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778B2510-1F4B-4D7D-89FF-B432B43F7AA4}" xr6:coauthVersionLast="47" xr6:coauthVersionMax="47" xr10:uidLastSave="{00000000-0000-0000-0000-000000000000}"/>
  <bookViews>
    <workbookView xWindow="1170" yWindow="1170" windowWidth="11745" windowHeight="13020" tabRatio="942"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Correctie gew. MB, CPI, ITC" sheetId="85" r:id="rId30"/>
    <sheet name="25. Incidentele correcties" sheetId="89" r:id="rId31"/>
    <sheet name="26. Toegestane inkomsten" sheetId="32" r:id="rId32"/>
    <sheet name="27. RPM" sheetId="34" r:id="rId33"/>
    <sheet name="28. Entry- en exittarieven " sheetId="36"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[1]ORI!#REF!</definedName>
    <definedName name="afd">'[2]PwC - Afdelingen'!$A$2:$B$109</definedName>
    <definedName name="afdtennet">'[2]TenneT - Afdelingen'!$D$3:$E$70</definedName>
    <definedName name="afwijking" localSheetId="28">#REF!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d" localSheetId="28">#REF!</definedName>
    <definedName name="dd">#REF!</definedName>
    <definedName name="DF_GRID_3" localSheetId="28">[1]ORI!#REF!</definedName>
    <definedName name="DF_GRID_3">[1]ORI!#REF!</definedName>
    <definedName name="ee" localSheetId="28">[1]ORI!#REF!</definedName>
    <definedName name="ee">[1]ORI!#REF!</definedName>
    <definedName name="eeee">'[7]Toegestane Omzet'!#REF!</definedName>
    <definedName name="Eigenaar">[3]Lijsten!$G$2:$G$11</definedName>
    <definedName name="eur" localSheetId="28">#REF!</definedName>
    <definedName name="eur">#REF!</definedName>
    <definedName name="ExternalData_1" localSheetId="17" hidden="1">'13. Desinvesteringen'!$B$19:$I$550</definedName>
    <definedName name="ExternalData_1" localSheetId="18" hidden="1">'14. Omzet'!$B$19:$J$23</definedName>
    <definedName name="ExternalData_2" localSheetId="16" hidden="1">'12. Investeringen (bijschatten)'!$B$19:$G$110</definedName>
    <definedName name="ExternalData_2" localSheetId="19" hidden="1">'15. Operationele kosten'!$B$19:$H$25</definedName>
    <definedName name="ExternalData_3" localSheetId="15" hidden="1">'11. Investeringen (WUI+ombouw)'!$B$19:$H$39</definedName>
    <definedName name="factor" localSheetId="28">#REF!</definedName>
    <definedName name="factor">#REF!</definedName>
    <definedName name="fik">[8]cockpit!$B$9</definedName>
    <definedName name="Financiering">[3]Lijsten!$P$2:$P$9</definedName>
    <definedName name="Jaar">[3]Lijsten!$A$2:$A$19</definedName>
    <definedName name="Kwartaal">[3]Lijsten!$B$2:$B$5</definedName>
    <definedName name="METHODE" localSheetId="28">#REF!</definedName>
    <definedName name="METHODE">#REF!</definedName>
    <definedName name="Naam">[9]Lijsten!$B$3:$B$10</definedName>
    <definedName name="NAAM_NE">'[7]Toegestane Omzet'!$M$1</definedName>
    <definedName name="NAAM_VOL">[4]Adresgegevens!$D$8</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28">'[7]Toegestane Omzet'!#REF!</definedName>
    <definedName name="PR_ME_2000">'[7]Toegestane Omzet'!#REF!</definedName>
    <definedName name="Projecteigenaar">[3]Lijsten!$H$2:$H$25</definedName>
    <definedName name="Projectleider">[3]Lijsten!$J$2:$J$15</definedName>
    <definedName name="Regio">[3]Lijsten!$F$2:$F$7</definedName>
    <definedName name="required_x" localSheetId="28">#REF!</definedName>
    <definedName name="required_x">#REF!</definedName>
    <definedName name="s" localSheetId="28">[10]Data!#REF!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'[2]PwC - TI-projecten'!$B$1:$E$303</definedName>
    <definedName name="TTTI">'[2]TenneT - Projecten TI'!$B$2:$G$221</definedName>
    <definedName name="VerbruikstarRC" localSheetId="28">[11]Tarievenvoorstel!#REF!</definedName>
    <definedName name="VerbruikstarRC">[11]Tarievenvoorstel!#REF!</definedName>
    <definedName name="wac" localSheetId="28">[10]Data!#REF!</definedName>
    <definedName name="wac">[10]Data!#REF!</definedName>
    <definedName name="wacc" localSheetId="28">[10]Data!#REF!</definedName>
    <definedName name="wacc">[10]Data!#REF!</definedName>
    <definedName name="wacc_exc_tax">[10]constants!$E$3</definedName>
    <definedName name="wacc_inc_tax">[10]constants!$E$4</definedName>
    <definedName name="WvD">'[2]TenneT - WvD'!$A$2:$A$274</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6" i="85" l="1"/>
  <c r="I34" i="68"/>
  <c r="I31" i="68"/>
  <c r="B547" i="40" l="1"/>
  <c r="D547" i="40"/>
  <c r="E547" i="40"/>
  <c r="F547" i="40"/>
  <c r="G547" i="40"/>
  <c r="B548" i="40"/>
  <c r="D548" i="40"/>
  <c r="E548" i="40"/>
  <c r="F548" i="40"/>
  <c r="G548" i="40"/>
  <c r="F264" i="65"/>
  <c r="G264" i="65"/>
  <c r="H264" i="65"/>
  <c r="I264" i="65"/>
  <c r="J264" i="65"/>
  <c r="F265" i="65"/>
  <c r="G265" i="65"/>
  <c r="H265" i="65"/>
  <c r="I265" i="65"/>
  <c r="J265" i="65"/>
  <c r="B265"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Q79" i="24" l="1"/>
  <c r="L55" i="32" l="1"/>
  <c r="M80" i="85"/>
  <c r="M81" i="85" s="1"/>
  <c r="M53" i="85"/>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L46" i="85"/>
  <c r="P61" i="50" l="1"/>
  <c r="N60" i="25" l="1"/>
  <c r="M60" i="37" l="1"/>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B817" i="37" l="1"/>
  <c r="F817" i="37"/>
  <c r="G817" i="37"/>
  <c r="H817" i="37"/>
  <c r="I817" i="37"/>
  <c r="Q817" i="37" s="1"/>
  <c r="AC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048" i="40" s="1"/>
  <c r="E425" i="40"/>
  <c r="F425" i="40"/>
  <c r="G425" i="40"/>
  <c r="E1048" i="40" s="1"/>
  <c r="D426" i="40"/>
  <c r="F1049" i="40" s="1"/>
  <c r="E426" i="40"/>
  <c r="F426" i="40"/>
  <c r="G426" i="40"/>
  <c r="E1049" i="40" s="1"/>
  <c r="D427" i="40"/>
  <c r="F1050" i="40" s="1"/>
  <c r="E427" i="40"/>
  <c r="F427" i="40"/>
  <c r="G427" i="40"/>
  <c r="E1050" i="40" s="1"/>
  <c r="D428" i="40"/>
  <c r="F1051" i="40" s="1"/>
  <c r="E428" i="40"/>
  <c r="F428" i="40"/>
  <c r="G428" i="40"/>
  <c r="E1051" i="40" s="1"/>
  <c r="D429" i="40"/>
  <c r="F1052" i="40" s="1"/>
  <c r="E429" i="40"/>
  <c r="F429" i="40"/>
  <c r="G429" i="40"/>
  <c r="E1052" i="40" s="1"/>
  <c r="D430" i="40"/>
  <c r="F1053" i="40" s="1"/>
  <c r="E430" i="40"/>
  <c r="F430" i="40"/>
  <c r="G430" i="40"/>
  <c r="E1053" i="40" s="1"/>
  <c r="D431" i="40"/>
  <c r="F1054" i="40" s="1"/>
  <c r="E431" i="40"/>
  <c r="F431" i="40"/>
  <c r="G431" i="40"/>
  <c r="E1054" i="40" s="1"/>
  <c r="D432" i="40"/>
  <c r="F1055" i="40" s="1"/>
  <c r="E432" i="40"/>
  <c r="F432" i="40"/>
  <c r="G432" i="40"/>
  <c r="E1055" i="40" s="1"/>
  <c r="D433" i="40"/>
  <c r="F1056" i="40" s="1"/>
  <c r="E433" i="40"/>
  <c r="F433" i="40"/>
  <c r="G433" i="40"/>
  <c r="E1056" i="40" s="1"/>
  <c r="D434" i="40"/>
  <c r="F1057" i="40" s="1"/>
  <c r="E434" i="40"/>
  <c r="F434" i="40"/>
  <c r="G434" i="40"/>
  <c r="E1057" i="40" s="1"/>
  <c r="D435" i="40"/>
  <c r="F1058" i="40" s="1"/>
  <c r="E435" i="40"/>
  <c r="F435" i="40"/>
  <c r="G435" i="40"/>
  <c r="E1058" i="40" s="1"/>
  <c r="D436" i="40"/>
  <c r="F1059" i="40" s="1"/>
  <c r="E436" i="40"/>
  <c r="F436" i="40"/>
  <c r="G436" i="40"/>
  <c r="E1059" i="40" s="1"/>
  <c r="D437" i="40"/>
  <c r="F1060" i="40" s="1"/>
  <c r="E437" i="40"/>
  <c r="F437" i="40"/>
  <c r="G437" i="40"/>
  <c r="E1060" i="40" s="1"/>
  <c r="D438" i="40"/>
  <c r="F1061" i="40" s="1"/>
  <c r="E438" i="40"/>
  <c r="F438" i="40"/>
  <c r="G438" i="40"/>
  <c r="E1061" i="40" s="1"/>
  <c r="D439" i="40"/>
  <c r="F1062" i="40" s="1"/>
  <c r="E439" i="40"/>
  <c r="F439" i="40"/>
  <c r="G439" i="40"/>
  <c r="E1062" i="40" s="1"/>
  <c r="D440" i="40"/>
  <c r="F1063" i="40" s="1"/>
  <c r="E440" i="40"/>
  <c r="F440" i="40"/>
  <c r="G440" i="40"/>
  <c r="E1063" i="40" s="1"/>
  <c r="D441" i="40"/>
  <c r="F1064" i="40" s="1"/>
  <c r="E441" i="40"/>
  <c r="F441" i="40"/>
  <c r="G441" i="40"/>
  <c r="E1064" i="40" s="1"/>
  <c r="D442" i="40"/>
  <c r="F1065" i="40" s="1"/>
  <c r="E442" i="40"/>
  <c r="F442" i="40"/>
  <c r="G442" i="40"/>
  <c r="E1065" i="40" s="1"/>
  <c r="D443" i="40"/>
  <c r="F1066" i="40" s="1"/>
  <c r="E443" i="40"/>
  <c r="F443" i="40"/>
  <c r="G443" i="40"/>
  <c r="E1066" i="40" s="1"/>
  <c r="D444" i="40"/>
  <c r="F1067" i="40" s="1"/>
  <c r="E444" i="40"/>
  <c r="F444" i="40"/>
  <c r="G444" i="40"/>
  <c r="E1067" i="40" s="1"/>
  <c r="D445" i="40"/>
  <c r="F1068" i="40" s="1"/>
  <c r="E445" i="40"/>
  <c r="F445" i="40"/>
  <c r="G445" i="40"/>
  <c r="E1068" i="40" s="1"/>
  <c r="D446" i="40"/>
  <c r="F1069" i="40" s="1"/>
  <c r="E446" i="40"/>
  <c r="F446" i="40"/>
  <c r="G446" i="40"/>
  <c r="E1069" i="40" s="1"/>
  <c r="D447" i="40"/>
  <c r="F1070" i="40" s="1"/>
  <c r="E447" i="40"/>
  <c r="F447" i="40"/>
  <c r="G447" i="40"/>
  <c r="E1070" i="40" s="1"/>
  <c r="D448" i="40"/>
  <c r="F1071" i="40" s="1"/>
  <c r="E448" i="40"/>
  <c r="F448" i="40"/>
  <c r="G448" i="40"/>
  <c r="E1071" i="40" s="1"/>
  <c r="D449" i="40"/>
  <c r="F1072" i="40" s="1"/>
  <c r="E449" i="40"/>
  <c r="F449" i="40"/>
  <c r="G449" i="40"/>
  <c r="E1072" i="40" s="1"/>
  <c r="D450" i="40"/>
  <c r="F1073" i="40" s="1"/>
  <c r="E450" i="40"/>
  <c r="F450" i="40"/>
  <c r="G450" i="40"/>
  <c r="E1073" i="40" s="1"/>
  <c r="D451" i="40"/>
  <c r="F1074" i="40" s="1"/>
  <c r="E451" i="40"/>
  <c r="F451" i="40"/>
  <c r="G451" i="40"/>
  <c r="E1074" i="40" s="1"/>
  <c r="D452" i="40"/>
  <c r="F1075" i="40" s="1"/>
  <c r="E452" i="40"/>
  <c r="F452" i="40"/>
  <c r="G452" i="40"/>
  <c r="E1075" i="40" s="1"/>
  <c r="D453" i="40"/>
  <c r="F1076" i="40" s="1"/>
  <c r="E453" i="40"/>
  <c r="F453" i="40"/>
  <c r="G453" i="40"/>
  <c r="E1076" i="40" s="1"/>
  <c r="D454" i="40"/>
  <c r="F1077" i="40" s="1"/>
  <c r="E454" i="40"/>
  <c r="F454" i="40"/>
  <c r="G454" i="40"/>
  <c r="E1077" i="40" s="1"/>
  <c r="D455" i="40"/>
  <c r="F1078" i="40" s="1"/>
  <c r="E455" i="40"/>
  <c r="F455" i="40"/>
  <c r="G455" i="40"/>
  <c r="E1078" i="40" s="1"/>
  <c r="D456" i="40"/>
  <c r="F1079" i="40" s="1"/>
  <c r="E456" i="40"/>
  <c r="F456" i="40"/>
  <c r="G456" i="40"/>
  <c r="E1079" i="40" s="1"/>
  <c r="D457" i="40"/>
  <c r="F1080" i="40" s="1"/>
  <c r="E457" i="40"/>
  <c r="F457" i="40"/>
  <c r="G457" i="40"/>
  <c r="E1080" i="40" s="1"/>
  <c r="D458" i="40"/>
  <c r="F1081" i="40" s="1"/>
  <c r="E458" i="40"/>
  <c r="F458" i="40"/>
  <c r="G458" i="40"/>
  <c r="E1081" i="40" s="1"/>
  <c r="D459" i="40"/>
  <c r="F1082" i="40" s="1"/>
  <c r="E459" i="40"/>
  <c r="F459" i="40"/>
  <c r="G459" i="40"/>
  <c r="E1082" i="40" s="1"/>
  <c r="D460" i="40"/>
  <c r="F1083" i="40" s="1"/>
  <c r="E460" i="40"/>
  <c r="F460" i="40"/>
  <c r="G460" i="40"/>
  <c r="E1083" i="40" s="1"/>
  <c r="D461" i="40"/>
  <c r="F1084" i="40" s="1"/>
  <c r="E461" i="40"/>
  <c r="F461" i="40"/>
  <c r="G461" i="40"/>
  <c r="E1084" i="40" s="1"/>
  <c r="D462" i="40"/>
  <c r="F1085" i="40" s="1"/>
  <c r="E462" i="40"/>
  <c r="F462" i="40"/>
  <c r="G462" i="40"/>
  <c r="E1085" i="40" s="1"/>
  <c r="D463" i="40"/>
  <c r="F1086" i="40" s="1"/>
  <c r="E463" i="40"/>
  <c r="F463" i="40"/>
  <c r="G463" i="40"/>
  <c r="E1086" i="40" s="1"/>
  <c r="D464" i="40"/>
  <c r="F1087" i="40" s="1"/>
  <c r="E464" i="40"/>
  <c r="F464" i="40"/>
  <c r="G464" i="40"/>
  <c r="E1087" i="40" s="1"/>
  <c r="D465" i="40"/>
  <c r="F1088" i="40" s="1"/>
  <c r="E465" i="40"/>
  <c r="F465" i="40"/>
  <c r="G465" i="40"/>
  <c r="E1088" i="40" s="1"/>
  <c r="D466" i="40"/>
  <c r="F1089" i="40" s="1"/>
  <c r="E466" i="40"/>
  <c r="F466" i="40"/>
  <c r="G466" i="40"/>
  <c r="E1089" i="40" s="1"/>
  <c r="D467" i="40"/>
  <c r="F1090" i="40" s="1"/>
  <c r="E467" i="40"/>
  <c r="F467" i="40"/>
  <c r="G467" i="40"/>
  <c r="E1090" i="40" s="1"/>
  <c r="D468" i="40"/>
  <c r="F1091" i="40" s="1"/>
  <c r="E468" i="40"/>
  <c r="F468" i="40"/>
  <c r="G468" i="40"/>
  <c r="E1091" i="40" s="1"/>
  <c r="D469" i="40"/>
  <c r="F1092" i="40" s="1"/>
  <c r="E469" i="40"/>
  <c r="F469" i="40"/>
  <c r="G469" i="40"/>
  <c r="E1092" i="40" s="1"/>
  <c r="D470" i="40"/>
  <c r="F1093" i="40" s="1"/>
  <c r="E470" i="40"/>
  <c r="F470" i="40"/>
  <c r="G470" i="40"/>
  <c r="E1093" i="40" s="1"/>
  <c r="D471" i="40"/>
  <c r="F1094" i="40" s="1"/>
  <c r="E471" i="40"/>
  <c r="F471" i="40"/>
  <c r="G471" i="40"/>
  <c r="E1094" i="40" s="1"/>
  <c r="D472" i="40"/>
  <c r="F1095" i="40" s="1"/>
  <c r="E472" i="40"/>
  <c r="F472" i="40"/>
  <c r="G472" i="40"/>
  <c r="E1095" i="40" s="1"/>
  <c r="D473" i="40"/>
  <c r="F1096" i="40" s="1"/>
  <c r="E473" i="40"/>
  <c r="F473" i="40"/>
  <c r="G473" i="40"/>
  <c r="E1096" i="40" s="1"/>
  <c r="D474" i="40"/>
  <c r="F1097" i="40" s="1"/>
  <c r="E474" i="40"/>
  <c r="F474" i="40"/>
  <c r="G474" i="40"/>
  <c r="E1097" i="40" s="1"/>
  <c r="D475" i="40"/>
  <c r="F1098" i="40" s="1"/>
  <c r="E475" i="40"/>
  <c r="F475" i="40"/>
  <c r="G475" i="40"/>
  <c r="E1098" i="40" s="1"/>
  <c r="D476" i="40"/>
  <c r="F1099" i="40" s="1"/>
  <c r="E476" i="40"/>
  <c r="F476" i="40"/>
  <c r="G476" i="40"/>
  <c r="E1099" i="40" s="1"/>
  <c r="D477" i="40"/>
  <c r="F1100" i="40" s="1"/>
  <c r="E477" i="40"/>
  <c r="F477" i="40"/>
  <c r="G477" i="40"/>
  <c r="E1100" i="40" s="1"/>
  <c r="D478" i="40"/>
  <c r="F1101" i="40" s="1"/>
  <c r="E478" i="40"/>
  <c r="F478" i="40"/>
  <c r="G478" i="40"/>
  <c r="E1101" i="40" s="1"/>
  <c r="D479" i="40"/>
  <c r="F1102" i="40" s="1"/>
  <c r="E479" i="40"/>
  <c r="F479" i="40"/>
  <c r="G479" i="40"/>
  <c r="E1102" i="40" s="1"/>
  <c r="D480" i="40"/>
  <c r="F1103" i="40" s="1"/>
  <c r="E480" i="40"/>
  <c r="F480" i="40"/>
  <c r="G480" i="40"/>
  <c r="E1103" i="40" s="1"/>
  <c r="D481" i="40"/>
  <c r="F1104" i="40" s="1"/>
  <c r="E481" i="40"/>
  <c r="F481" i="40"/>
  <c r="G481" i="40"/>
  <c r="E1104" i="40" s="1"/>
  <c r="D482" i="40"/>
  <c r="F1105" i="40" s="1"/>
  <c r="E482" i="40"/>
  <c r="F482" i="40"/>
  <c r="G482" i="40"/>
  <c r="E1105" i="40" s="1"/>
  <c r="D483" i="40"/>
  <c r="F1106" i="40" s="1"/>
  <c r="E483" i="40"/>
  <c r="F483" i="40"/>
  <c r="G483" i="40"/>
  <c r="E1106" i="40" s="1"/>
  <c r="D484" i="40"/>
  <c r="F1107" i="40" s="1"/>
  <c r="E484" i="40"/>
  <c r="F484" i="40"/>
  <c r="G484" i="40"/>
  <c r="E1107" i="40" s="1"/>
  <c r="D485" i="40"/>
  <c r="F1108" i="40" s="1"/>
  <c r="E485" i="40"/>
  <c r="F485" i="40"/>
  <c r="G485" i="40"/>
  <c r="E1108" i="40" s="1"/>
  <c r="D486" i="40"/>
  <c r="F1109" i="40" s="1"/>
  <c r="E486" i="40"/>
  <c r="F486" i="40"/>
  <c r="G486" i="40"/>
  <c r="E1109" i="40" s="1"/>
  <c r="D487" i="40"/>
  <c r="F1110" i="40" s="1"/>
  <c r="E487" i="40"/>
  <c r="F487" i="40"/>
  <c r="G487" i="40"/>
  <c r="E1110" i="40" s="1"/>
  <c r="D488" i="40"/>
  <c r="F1111" i="40" s="1"/>
  <c r="E488" i="40"/>
  <c r="F488" i="40"/>
  <c r="G488" i="40"/>
  <c r="E1111" i="40" s="1"/>
  <c r="D489" i="40"/>
  <c r="F1112" i="40" s="1"/>
  <c r="E489" i="40"/>
  <c r="F489" i="40"/>
  <c r="G489" i="40"/>
  <c r="E1112" i="40" s="1"/>
  <c r="D490" i="40"/>
  <c r="F1113" i="40" s="1"/>
  <c r="E490" i="40"/>
  <c r="F490" i="40"/>
  <c r="G490" i="40"/>
  <c r="E1113" i="40" s="1"/>
  <c r="D491" i="40"/>
  <c r="F1114" i="40" s="1"/>
  <c r="E491" i="40"/>
  <c r="F491" i="40"/>
  <c r="G491" i="40"/>
  <c r="E1114" i="40" s="1"/>
  <c r="D492" i="40"/>
  <c r="F1115" i="40" s="1"/>
  <c r="E492" i="40"/>
  <c r="F492" i="40"/>
  <c r="G492" i="40"/>
  <c r="E1115" i="40" s="1"/>
  <c r="D493" i="40"/>
  <c r="F1116" i="40" s="1"/>
  <c r="E493" i="40"/>
  <c r="F493" i="40"/>
  <c r="G493" i="40"/>
  <c r="E1116" i="40" s="1"/>
  <c r="D494" i="40"/>
  <c r="F1117" i="40" s="1"/>
  <c r="E494" i="40"/>
  <c r="F494" i="40"/>
  <c r="G494" i="40"/>
  <c r="E1117" i="40" s="1"/>
  <c r="D495" i="40"/>
  <c r="F1118" i="40" s="1"/>
  <c r="E495" i="40"/>
  <c r="F495" i="40"/>
  <c r="G495" i="40"/>
  <c r="E1118" i="40" s="1"/>
  <c r="D496" i="40"/>
  <c r="F1119" i="40" s="1"/>
  <c r="E496" i="40"/>
  <c r="F496" i="40"/>
  <c r="G496" i="40"/>
  <c r="E1119" i="40" s="1"/>
  <c r="D497" i="40"/>
  <c r="F1120" i="40" s="1"/>
  <c r="E497" i="40"/>
  <c r="F497" i="40"/>
  <c r="G497" i="40"/>
  <c r="E1120" i="40" s="1"/>
  <c r="D498" i="40"/>
  <c r="F1121" i="40" s="1"/>
  <c r="E498" i="40"/>
  <c r="F498" i="40"/>
  <c r="G498" i="40"/>
  <c r="E1121" i="40" s="1"/>
  <c r="D499" i="40"/>
  <c r="F1122" i="40" s="1"/>
  <c r="E499" i="40"/>
  <c r="F499" i="40"/>
  <c r="G499" i="40"/>
  <c r="E1122" i="40" s="1"/>
  <c r="D500" i="40"/>
  <c r="F1123" i="40" s="1"/>
  <c r="E500" i="40"/>
  <c r="F500" i="40"/>
  <c r="G500" i="40"/>
  <c r="E1123" i="40" s="1"/>
  <c r="D501" i="40"/>
  <c r="F1124" i="40" s="1"/>
  <c r="E501" i="40"/>
  <c r="F501" i="40"/>
  <c r="G501" i="40"/>
  <c r="E1124" i="40" s="1"/>
  <c r="D502" i="40"/>
  <c r="F1125" i="40" s="1"/>
  <c r="E502" i="40"/>
  <c r="F502" i="40"/>
  <c r="G502" i="40"/>
  <c r="E1125" i="40" s="1"/>
  <c r="D503" i="40"/>
  <c r="F1126" i="40" s="1"/>
  <c r="E503" i="40"/>
  <c r="F503" i="40"/>
  <c r="G503" i="40"/>
  <c r="E1126" i="40" s="1"/>
  <c r="D504" i="40"/>
  <c r="F1127" i="40" s="1"/>
  <c r="E504" i="40"/>
  <c r="F504" i="40"/>
  <c r="G504" i="40"/>
  <c r="E1127" i="40" s="1"/>
  <c r="D505" i="40"/>
  <c r="F1128" i="40" s="1"/>
  <c r="E505" i="40"/>
  <c r="F505" i="40"/>
  <c r="G505" i="40"/>
  <c r="E1128" i="40" s="1"/>
  <c r="D506" i="40"/>
  <c r="F1129" i="40" s="1"/>
  <c r="E506" i="40"/>
  <c r="F506" i="40"/>
  <c r="G506" i="40"/>
  <c r="E1129" i="40" s="1"/>
  <c r="D507" i="40"/>
  <c r="F1130" i="40" s="1"/>
  <c r="E507" i="40"/>
  <c r="F507" i="40"/>
  <c r="G507" i="40"/>
  <c r="E1130" i="40" s="1"/>
  <c r="D508" i="40"/>
  <c r="F1131" i="40" s="1"/>
  <c r="E508" i="40"/>
  <c r="F508" i="40"/>
  <c r="G508" i="40"/>
  <c r="E1131" i="40" s="1"/>
  <c r="D509" i="40"/>
  <c r="F1132" i="40" s="1"/>
  <c r="E509" i="40"/>
  <c r="F509" i="40"/>
  <c r="G509" i="40"/>
  <c r="E1132" i="40" s="1"/>
  <c r="D510" i="40"/>
  <c r="F1133" i="40" s="1"/>
  <c r="E510" i="40"/>
  <c r="F510" i="40"/>
  <c r="G510" i="40"/>
  <c r="E1133" i="40" s="1"/>
  <c r="D511" i="40"/>
  <c r="F1134" i="40" s="1"/>
  <c r="E511" i="40"/>
  <c r="F511" i="40"/>
  <c r="G511" i="40"/>
  <c r="E1134" i="40" s="1"/>
  <c r="D512" i="40"/>
  <c r="F1135" i="40" s="1"/>
  <c r="E512" i="40"/>
  <c r="F512" i="40"/>
  <c r="G512" i="40"/>
  <c r="E1135" i="40" s="1"/>
  <c r="D513" i="40"/>
  <c r="F1136" i="40" s="1"/>
  <c r="E513" i="40"/>
  <c r="F513" i="40"/>
  <c r="G513" i="40"/>
  <c r="E1136" i="40" s="1"/>
  <c r="D514" i="40"/>
  <c r="F1137" i="40" s="1"/>
  <c r="E514" i="40"/>
  <c r="F514" i="40"/>
  <c r="G514" i="40"/>
  <c r="E1137" i="40" s="1"/>
  <c r="D515" i="40"/>
  <c r="F1138" i="40" s="1"/>
  <c r="E515" i="40"/>
  <c r="F515" i="40"/>
  <c r="G515" i="40"/>
  <c r="E1138" i="40" s="1"/>
  <c r="D516" i="40"/>
  <c r="F1139" i="40" s="1"/>
  <c r="E516" i="40"/>
  <c r="F516" i="40"/>
  <c r="G516" i="40"/>
  <c r="E1139" i="40" s="1"/>
  <c r="D517" i="40"/>
  <c r="F1140" i="40" s="1"/>
  <c r="E517" i="40"/>
  <c r="F517" i="40"/>
  <c r="G517" i="40"/>
  <c r="E1140" i="40" s="1"/>
  <c r="D518" i="40"/>
  <c r="F1141" i="40" s="1"/>
  <c r="E518" i="40"/>
  <c r="F518" i="40"/>
  <c r="G518" i="40"/>
  <c r="E1141" i="40" s="1"/>
  <c r="D519" i="40"/>
  <c r="F1142" i="40" s="1"/>
  <c r="E519" i="40"/>
  <c r="F519" i="40"/>
  <c r="G519" i="40"/>
  <c r="E1142" i="40" s="1"/>
  <c r="D520" i="40"/>
  <c r="F1143" i="40" s="1"/>
  <c r="E520" i="40"/>
  <c r="F520" i="40"/>
  <c r="G520" i="40"/>
  <c r="E1143" i="40" s="1"/>
  <c r="D521" i="40"/>
  <c r="F1144" i="40" s="1"/>
  <c r="E521" i="40"/>
  <c r="F521" i="40"/>
  <c r="G521" i="40"/>
  <c r="E1144" i="40" s="1"/>
  <c r="D522" i="40"/>
  <c r="F1145" i="40" s="1"/>
  <c r="E522" i="40"/>
  <c r="F522" i="40"/>
  <c r="G522" i="40"/>
  <c r="E1145" i="40" s="1"/>
  <c r="D523" i="40"/>
  <c r="F1146" i="40" s="1"/>
  <c r="E523" i="40"/>
  <c r="F523" i="40"/>
  <c r="G523" i="40"/>
  <c r="E1146" i="40" s="1"/>
  <c r="D524" i="40"/>
  <c r="F1147" i="40" s="1"/>
  <c r="E524" i="40"/>
  <c r="F524" i="40"/>
  <c r="G524" i="40"/>
  <c r="E1147" i="40" s="1"/>
  <c r="D525" i="40"/>
  <c r="F1148" i="40" s="1"/>
  <c r="E525" i="40"/>
  <c r="F525" i="40"/>
  <c r="G525" i="40"/>
  <c r="E1148" i="40" s="1"/>
  <c r="D526" i="40"/>
  <c r="F1149" i="40" s="1"/>
  <c r="E526" i="40"/>
  <c r="F526" i="40"/>
  <c r="G526" i="40"/>
  <c r="E1149" i="40" s="1"/>
  <c r="D527" i="40"/>
  <c r="F1150" i="40" s="1"/>
  <c r="E527" i="40"/>
  <c r="F527" i="40"/>
  <c r="G527" i="40"/>
  <c r="E1150" i="40" s="1"/>
  <c r="D528" i="40"/>
  <c r="F1151" i="40" s="1"/>
  <c r="E528" i="40"/>
  <c r="F528" i="40"/>
  <c r="G528" i="40"/>
  <c r="E1151" i="40" s="1"/>
  <c r="D529" i="40"/>
  <c r="F1152" i="40" s="1"/>
  <c r="E529" i="40"/>
  <c r="F529" i="40"/>
  <c r="G529" i="40"/>
  <c r="E1152" i="40" s="1"/>
  <c r="D530" i="40"/>
  <c r="F1153" i="40" s="1"/>
  <c r="E530" i="40"/>
  <c r="F530" i="40"/>
  <c r="G530" i="40"/>
  <c r="E1153" i="40" s="1"/>
  <c r="D531" i="40"/>
  <c r="F1154" i="40" s="1"/>
  <c r="E531" i="40"/>
  <c r="F531" i="40"/>
  <c r="G531" i="40"/>
  <c r="E1154" i="40" s="1"/>
  <c r="D532" i="40"/>
  <c r="F1155" i="40" s="1"/>
  <c r="E532" i="40"/>
  <c r="F532" i="40"/>
  <c r="G532" i="40"/>
  <c r="E1155" i="40" s="1"/>
  <c r="D533" i="40"/>
  <c r="F1156" i="40" s="1"/>
  <c r="E533" i="40"/>
  <c r="F533" i="40"/>
  <c r="G533" i="40"/>
  <c r="E1156" i="40" s="1"/>
  <c r="D534" i="40"/>
  <c r="F1157" i="40" s="1"/>
  <c r="E534" i="40"/>
  <c r="F534" i="40"/>
  <c r="G534" i="40"/>
  <c r="E1157" i="40" s="1"/>
  <c r="D535" i="40"/>
  <c r="F1158" i="40" s="1"/>
  <c r="E535" i="40"/>
  <c r="F535" i="40"/>
  <c r="G535" i="40"/>
  <c r="E1158" i="40" s="1"/>
  <c r="D536" i="40"/>
  <c r="F1159" i="40" s="1"/>
  <c r="E536" i="40"/>
  <c r="F536" i="40"/>
  <c r="G536" i="40"/>
  <c r="E1159" i="40" s="1"/>
  <c r="D537" i="40"/>
  <c r="F1160" i="40" s="1"/>
  <c r="E537" i="40"/>
  <c r="F537" i="40"/>
  <c r="G537" i="40"/>
  <c r="E1160" i="40" s="1"/>
  <c r="D538" i="40"/>
  <c r="F1161" i="40" s="1"/>
  <c r="E538" i="40"/>
  <c r="F538" i="40"/>
  <c r="G538" i="40"/>
  <c r="E1161" i="40" s="1"/>
  <c r="D539" i="40"/>
  <c r="F1162" i="40" s="1"/>
  <c r="E539" i="40"/>
  <c r="F539" i="40"/>
  <c r="G539" i="40"/>
  <c r="E1162" i="40" s="1"/>
  <c r="D540" i="40"/>
  <c r="F1163" i="40" s="1"/>
  <c r="E540" i="40"/>
  <c r="F540" i="40"/>
  <c r="G540" i="40"/>
  <c r="E1163" i="40" s="1"/>
  <c r="D541" i="40"/>
  <c r="F1164" i="40" s="1"/>
  <c r="E541" i="40"/>
  <c r="F541" i="40"/>
  <c r="G541" i="40"/>
  <c r="E1164" i="40" s="1"/>
  <c r="D542" i="40"/>
  <c r="F1165" i="40" s="1"/>
  <c r="E542" i="40"/>
  <c r="F542" i="40"/>
  <c r="G542" i="40"/>
  <c r="E1165" i="40" s="1"/>
  <c r="D543" i="40"/>
  <c r="F1166" i="40" s="1"/>
  <c r="E543" i="40"/>
  <c r="F543" i="40"/>
  <c r="G543" i="40"/>
  <c r="E1166" i="40" s="1"/>
  <c r="D544" i="40"/>
  <c r="F1167" i="40" s="1"/>
  <c r="E544" i="40"/>
  <c r="F544" i="40"/>
  <c r="G544" i="40"/>
  <c r="E1167" i="40" s="1"/>
  <c r="D545" i="40"/>
  <c r="F1168" i="40" s="1"/>
  <c r="E545" i="40"/>
  <c r="F545" i="40"/>
  <c r="G545" i="40"/>
  <c r="E1168" i="40" s="1"/>
  <c r="D546" i="40"/>
  <c r="F1169" i="40" s="1"/>
  <c r="E546" i="40"/>
  <c r="F546" i="40"/>
  <c r="G546" i="40"/>
  <c r="E1169" i="40" s="1"/>
  <c r="F1170" i="40"/>
  <c r="E1170" i="40"/>
  <c r="F1171" i="40"/>
  <c r="E1171" i="40"/>
  <c r="AN300" i="50"/>
  <c r="AT300" i="50"/>
  <c r="AT302" i="50"/>
  <c r="AN302" i="50"/>
  <c r="AN303" i="50"/>
  <c r="AN304" i="50"/>
  <c r="AT304" i="50"/>
  <c r="AN305" i="50"/>
  <c r="AT306" i="50"/>
  <c r="AN306" i="50"/>
  <c r="K811" i="37" l="1"/>
  <c r="K807" i="37"/>
  <c r="M302" i="50"/>
  <c r="M306" i="50"/>
  <c r="N817" i="37"/>
  <c r="N805" i="37"/>
  <c r="L818" i="37"/>
  <c r="R818" i="37" s="1"/>
  <c r="K817" i="37"/>
  <c r="AN301" i="50"/>
  <c r="T301" i="50"/>
  <c r="Q307" i="50"/>
  <c r="N307" i="50"/>
  <c r="T305" i="50"/>
  <c r="P304" i="50"/>
  <c r="S302" i="50"/>
  <c r="M304" i="50"/>
  <c r="N301" i="50"/>
  <c r="Q305" i="50"/>
  <c r="AB305" i="50"/>
  <c r="M814" i="37"/>
  <c r="L816" i="37"/>
  <c r="K813" i="37"/>
  <c r="L820" i="37"/>
  <c r="R820" i="37" s="1"/>
  <c r="Q819" i="37"/>
  <c r="M816" i="37"/>
  <c r="N811" i="37"/>
  <c r="N813" i="37"/>
  <c r="L807" i="37"/>
  <c r="O815" i="37"/>
  <c r="O814" i="37"/>
  <c r="K809" i="37"/>
  <c r="Q809" i="37" s="1"/>
  <c r="K805" i="37"/>
  <c r="Q805" i="37" s="1"/>
  <c r="L819" i="37"/>
  <c r="O816" i="37"/>
  <c r="O820" i="37"/>
  <c r="L814" i="37"/>
  <c r="R814" i="37" s="1"/>
  <c r="N819" i="37"/>
  <c r="O818" i="37"/>
  <c r="M815" i="37"/>
  <c r="O807" i="37"/>
  <c r="L805" i="37"/>
  <c r="N820" i="37"/>
  <c r="M819" i="37"/>
  <c r="N818" i="37"/>
  <c r="M812" i="37"/>
  <c r="M810" i="37"/>
  <c r="N807" i="37"/>
  <c r="O805" i="37"/>
  <c r="K820" i="37"/>
  <c r="K818" i="37"/>
  <c r="L817" i="37"/>
  <c r="R817" i="37" s="1"/>
  <c r="R819" i="37"/>
  <c r="M817" i="37"/>
  <c r="M820" i="37"/>
  <c r="O819" i="37"/>
  <c r="K819" i="37"/>
  <c r="M818" i="37"/>
  <c r="O817" i="37"/>
  <c r="Q820" i="37"/>
  <c r="AC819" i="37"/>
  <c r="Q818" i="37"/>
  <c r="N812" i="37"/>
  <c r="O812" i="37"/>
  <c r="K812" i="37"/>
  <c r="N810" i="37"/>
  <c r="K810" i="37"/>
  <c r="O810" i="37"/>
  <c r="L809" i="37"/>
  <c r="M809" i="37"/>
  <c r="L808" i="37"/>
  <c r="N806" i="37"/>
  <c r="N804" i="37"/>
  <c r="L806" i="37"/>
  <c r="L804" i="37"/>
  <c r="R816" i="37"/>
  <c r="N816" i="37"/>
  <c r="AC816" i="37"/>
  <c r="N814" i="37"/>
  <c r="AC814" i="37"/>
  <c r="L813" i="37"/>
  <c r="R813" i="37" s="1"/>
  <c r="Q813" i="37"/>
  <c r="M813" i="37"/>
  <c r="L812" i="37"/>
  <c r="L811" i="37"/>
  <c r="Q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R804" i="37" s="1"/>
  <c r="S804" i="37" s="1"/>
  <c r="T804" i="37" s="1"/>
  <c r="U804" i="37" s="1"/>
  <c r="Q807" i="37"/>
  <c r="R807"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AH302" i="50" s="1"/>
  <c r="P301" i="50"/>
  <c r="S301" i="50"/>
  <c r="M301" i="50"/>
  <c r="AB301" i="50"/>
  <c r="Q301" i="50"/>
  <c r="V301" i="50"/>
  <c r="AB307" i="50" l="1"/>
  <c r="Z307" i="50"/>
  <c r="AH305" i="50"/>
  <c r="AD307" i="50"/>
  <c r="V307" i="50"/>
  <c r="AH307" i="50" s="1"/>
  <c r="AN307" i="50" s="1"/>
  <c r="Y307" i="50"/>
  <c r="AK307" i="50" s="1"/>
  <c r="X307" i="50"/>
  <c r="W307" i="50"/>
  <c r="AF307" i="50"/>
  <c r="AC307" i="50"/>
  <c r="R809" i="37"/>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J307" i="50"/>
  <c r="AH306" i="50"/>
  <c r="S820" i="37"/>
  <c r="T820" i="37" s="1"/>
  <c r="S817" i="37"/>
  <c r="T817" i="37" s="1"/>
  <c r="S807" i="37"/>
  <c r="T807" i="37" s="1"/>
  <c r="Q812" i="37"/>
  <c r="R812" i="37" s="1"/>
  <c r="S812" i="37" s="1"/>
  <c r="S814" i="37"/>
  <c r="S816" i="37"/>
  <c r="S813" i="37"/>
  <c r="T813" i="37" s="1"/>
  <c r="Q806" i="37"/>
  <c r="R806" i="37" s="1"/>
  <c r="S806" i="37" s="1"/>
  <c r="T806" i="37" s="1"/>
  <c r="U806" i="37" s="1"/>
  <c r="S809" i="37"/>
  <c r="T809" i="37" s="1"/>
  <c r="U809" i="37" s="1"/>
  <c r="Q810" i="37"/>
  <c r="R810" i="37" s="1"/>
  <c r="S810" i="37" s="1"/>
  <c r="AH301" i="50"/>
  <c r="AH303" i="50"/>
  <c r="AH300" i="50"/>
  <c r="AL307" i="50" l="1"/>
  <c r="AI307" i="50"/>
  <c r="AO307" i="50"/>
  <c r="AP307" i="50" s="1"/>
  <c r="AQ307" i="50" s="1"/>
  <c r="AR307" i="50" s="1"/>
  <c r="U820" i="37"/>
  <c r="U817" i="37"/>
  <c r="U819" i="37"/>
  <c r="T814" i="37"/>
  <c r="U813" i="37"/>
  <c r="T812" i="37"/>
  <c r="U811" i="37"/>
  <c r="T810" i="37"/>
  <c r="T816" i="37"/>
  <c r="U807" i="37"/>
  <c r="U812" i="37" l="1"/>
  <c r="U816" i="37"/>
  <c r="U810" i="37"/>
  <c r="U814" i="37"/>
  <c r="B143" i="65" l="1"/>
  <c r="F143" i="65"/>
  <c r="G143" i="65"/>
  <c r="H143" i="65"/>
  <c r="I143" i="65"/>
  <c r="J143" i="65"/>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6" i="65"/>
  <c r="G266" i="65"/>
  <c r="H266" i="65"/>
  <c r="I266" i="65"/>
  <c r="J266" i="65"/>
  <c r="U66" i="42"/>
  <c r="L66" i="42"/>
  <c r="M66" i="42"/>
  <c r="L67" i="42"/>
  <c r="BW67" i="42" s="1"/>
  <c r="M67" i="42"/>
  <c r="U68" i="42"/>
  <c r="L68" i="42"/>
  <c r="M68" i="42"/>
  <c r="U69" i="42"/>
  <c r="L69" i="42"/>
  <c r="BV69" i="42" s="1"/>
  <c r="M69" i="42"/>
  <c r="L70" i="42"/>
  <c r="BX70" i="42" s="1"/>
  <c r="M70" i="42"/>
  <c r="L71" i="42"/>
  <c r="BV71" i="42" s="1"/>
  <c r="M71" i="42"/>
  <c r="L72" i="42"/>
  <c r="BW72" i="42" s="1"/>
  <c r="M72" i="42"/>
  <c r="L73" i="42"/>
  <c r="BW73" i="42" s="1"/>
  <c r="M73" i="42"/>
  <c r="L74" i="42"/>
  <c r="BV74" i="42" s="1"/>
  <c r="M74" i="42"/>
  <c r="M75" i="42"/>
  <c r="L75" i="42"/>
  <c r="BX75" i="42" s="1"/>
  <c r="M76" i="42"/>
  <c r="L76" i="42"/>
  <c r="BW76" i="42" s="1"/>
  <c r="M77" i="42"/>
  <c r="L77" i="42"/>
  <c r="BV77" i="42" s="1"/>
  <c r="L78" i="42"/>
  <c r="BW78" i="42" s="1"/>
  <c r="M78" i="42"/>
  <c r="L79" i="42"/>
  <c r="BW79" i="42" s="1"/>
  <c r="M79" i="42"/>
  <c r="B144" i="65"/>
  <c r="U79" i="42" l="1"/>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AR66" i="42" s="1"/>
  <c r="AS66" i="42" s="1"/>
  <c r="AT66" i="42" s="1"/>
  <c r="Y66" i="42"/>
  <c r="AP66" i="42"/>
  <c r="O66" i="42"/>
  <c r="V66" i="42"/>
  <c r="AB66" i="42"/>
  <c r="B426" i="40"/>
  <c r="O77" i="42"/>
  <c r="R77" i="42" s="1"/>
  <c r="V77" i="42"/>
  <c r="BV78" i="42"/>
  <c r="U74" i="42"/>
  <c r="P73" i="42"/>
  <c r="BE73" i="42" s="1"/>
  <c r="BX72" i="42"/>
  <c r="U78" i="42"/>
  <c r="O76" i="42"/>
  <c r="U70" i="42"/>
  <c r="K266" i="65"/>
  <c r="M266" i="65"/>
  <c r="M264" i="65"/>
  <c r="K264" i="65"/>
  <c r="K262" i="65"/>
  <c r="M262" i="65"/>
  <c r="M260" i="65"/>
  <c r="K260" i="65"/>
  <c r="K258" i="65"/>
  <c r="M258" i="65"/>
  <c r="M256" i="65"/>
  <c r="K256" i="65"/>
  <c r="K254" i="65"/>
  <c r="M254" i="65"/>
  <c r="M252" i="65"/>
  <c r="K252" i="65"/>
  <c r="K250" i="65"/>
  <c r="M250" i="65"/>
  <c r="K248" i="65"/>
  <c r="M248" i="65"/>
  <c r="K246" i="65"/>
  <c r="M246" i="65"/>
  <c r="K244" i="65"/>
  <c r="M244" i="65"/>
  <c r="K242" i="65"/>
  <c r="M242" i="65"/>
  <c r="K240" i="65"/>
  <c r="M240" i="65"/>
  <c r="K238" i="65"/>
  <c r="M238" i="65"/>
  <c r="K236" i="65"/>
  <c r="M236" i="65"/>
  <c r="K234" i="65"/>
  <c r="M234" i="65"/>
  <c r="K232" i="65"/>
  <c r="M232" i="65"/>
  <c r="K230" i="65"/>
  <c r="M230" i="65"/>
  <c r="K228" i="65"/>
  <c r="M228" i="65"/>
  <c r="K226" i="65"/>
  <c r="M226" i="65"/>
  <c r="K224" i="65"/>
  <c r="M224" i="65"/>
  <c r="M222" i="65"/>
  <c r="K222" i="65"/>
  <c r="K220" i="65"/>
  <c r="M220" i="65"/>
  <c r="K218" i="65"/>
  <c r="M218" i="65"/>
  <c r="K216" i="65"/>
  <c r="M216" i="65"/>
  <c r="M214" i="65"/>
  <c r="K214" i="65"/>
  <c r="K212" i="65"/>
  <c r="M212" i="65"/>
  <c r="K210" i="65"/>
  <c r="M210" i="65"/>
  <c r="K208" i="65"/>
  <c r="M208" i="65"/>
  <c r="M206" i="65"/>
  <c r="K206" i="65"/>
  <c r="K204" i="65"/>
  <c r="M204" i="65"/>
  <c r="K202" i="65"/>
  <c r="M202" i="65"/>
  <c r="M200" i="65"/>
  <c r="K200" i="65"/>
  <c r="M198" i="65"/>
  <c r="K198" i="65"/>
  <c r="M196" i="65"/>
  <c r="K196" i="65"/>
  <c r="M194" i="65"/>
  <c r="K194" i="65"/>
  <c r="K192" i="65"/>
  <c r="M192" i="65"/>
  <c r="M190" i="65"/>
  <c r="K190" i="65"/>
  <c r="M188" i="65"/>
  <c r="K188" i="65"/>
  <c r="K186" i="65"/>
  <c r="M186" i="65"/>
  <c r="M184" i="65"/>
  <c r="K184" i="65"/>
  <c r="K182" i="65"/>
  <c r="M182" i="65"/>
  <c r="M180" i="65"/>
  <c r="K180" i="65"/>
  <c r="K178" i="65"/>
  <c r="M178" i="65"/>
  <c r="K176" i="65"/>
  <c r="M176" i="65"/>
  <c r="M174" i="65"/>
  <c r="K174" i="65"/>
  <c r="K172" i="65"/>
  <c r="M172" i="65"/>
  <c r="K170" i="65"/>
  <c r="M170" i="65"/>
  <c r="M168" i="65"/>
  <c r="K168" i="65"/>
  <c r="K166" i="65"/>
  <c r="M166" i="65"/>
  <c r="K164" i="65"/>
  <c r="M164" i="65"/>
  <c r="K162" i="65"/>
  <c r="M162" i="65"/>
  <c r="K160" i="65"/>
  <c r="M160" i="65"/>
  <c r="M158" i="65"/>
  <c r="K158" i="65"/>
  <c r="K156" i="65"/>
  <c r="M156" i="65"/>
  <c r="K154" i="65"/>
  <c r="M154" i="65"/>
  <c r="K152" i="65"/>
  <c r="M152" i="65"/>
  <c r="K150" i="65"/>
  <c r="M150" i="65"/>
  <c r="M148" i="65"/>
  <c r="K148" i="65"/>
  <c r="K146" i="65"/>
  <c r="M146" i="65"/>
  <c r="K144" i="65"/>
  <c r="M144" i="65"/>
  <c r="K265" i="65"/>
  <c r="M265" i="65"/>
  <c r="K263" i="65"/>
  <c r="M263" i="65"/>
  <c r="K261" i="65"/>
  <c r="M261" i="65"/>
  <c r="K259" i="65"/>
  <c r="M259" i="65"/>
  <c r="K257" i="65"/>
  <c r="M257" i="65"/>
  <c r="K255" i="65"/>
  <c r="M255" i="65"/>
  <c r="K253" i="65"/>
  <c r="M253" i="65"/>
  <c r="K251" i="65"/>
  <c r="M251" i="65"/>
  <c r="K249" i="65"/>
  <c r="M249" i="65"/>
  <c r="K247" i="65"/>
  <c r="M247" i="65"/>
  <c r="M245" i="65"/>
  <c r="K245" i="65"/>
  <c r="K243" i="65"/>
  <c r="M243" i="65"/>
  <c r="K241" i="65"/>
  <c r="M241" i="65"/>
  <c r="K239" i="65"/>
  <c r="M239" i="65"/>
  <c r="M237" i="65"/>
  <c r="K237" i="65"/>
  <c r="K235" i="65"/>
  <c r="M235" i="65"/>
  <c r="K233" i="65"/>
  <c r="M233" i="65"/>
  <c r="K231" i="65"/>
  <c r="M231" i="65"/>
  <c r="M229" i="65"/>
  <c r="K229" i="65"/>
  <c r="K227" i="65"/>
  <c r="M227" i="65"/>
  <c r="K225" i="65"/>
  <c r="M225" i="65"/>
  <c r="M223" i="65"/>
  <c r="K223" i="65"/>
  <c r="K221" i="65"/>
  <c r="M221" i="65"/>
  <c r="K219" i="65"/>
  <c r="M219" i="65"/>
  <c r="K217" i="65"/>
  <c r="M217" i="65"/>
  <c r="K215" i="65"/>
  <c r="M215" i="65"/>
  <c r="K213" i="65"/>
  <c r="M213" i="65"/>
  <c r="K211" i="65"/>
  <c r="M211" i="65"/>
  <c r="K209" i="65"/>
  <c r="M209" i="65"/>
  <c r="K207" i="65"/>
  <c r="M207" i="65"/>
  <c r="K205" i="65"/>
  <c r="M205" i="65"/>
  <c r="K203" i="65"/>
  <c r="M203" i="65"/>
  <c r="M201" i="65"/>
  <c r="K201" i="65"/>
  <c r="M199" i="65"/>
  <c r="K199" i="65"/>
  <c r="K197" i="65"/>
  <c r="M197" i="65"/>
  <c r="K195" i="65"/>
  <c r="M195" i="65"/>
  <c r="M193" i="65"/>
  <c r="K193" i="65"/>
  <c r="K191" i="65"/>
  <c r="M191" i="65"/>
  <c r="K189" i="65"/>
  <c r="M189" i="65"/>
  <c r="K187" i="65"/>
  <c r="M187" i="65"/>
  <c r="K185" i="65"/>
  <c r="M185" i="65"/>
  <c r="M183" i="65"/>
  <c r="K183" i="65"/>
  <c r="M181" i="65"/>
  <c r="K181" i="65"/>
  <c r="K179" i="65"/>
  <c r="M179" i="65"/>
  <c r="K177" i="65"/>
  <c r="M177" i="65"/>
  <c r="M175" i="65"/>
  <c r="K175" i="65"/>
  <c r="M173" i="65"/>
  <c r="K173" i="65"/>
  <c r="M171" i="65"/>
  <c r="K171" i="65"/>
  <c r="K169" i="65"/>
  <c r="M169" i="65"/>
  <c r="K167" i="65"/>
  <c r="M167" i="65"/>
  <c r="M165" i="65"/>
  <c r="K165" i="65"/>
  <c r="K163" i="65"/>
  <c r="M163" i="65"/>
  <c r="M161" i="65"/>
  <c r="K161" i="65"/>
  <c r="M159" i="65"/>
  <c r="K159" i="65"/>
  <c r="K157" i="65"/>
  <c r="M157" i="65"/>
  <c r="K155" i="65"/>
  <c r="M155" i="65"/>
  <c r="K153" i="65"/>
  <c r="M153" i="65"/>
  <c r="K151" i="65"/>
  <c r="M151" i="65"/>
  <c r="K149" i="65"/>
  <c r="M149" i="65"/>
  <c r="K147" i="65"/>
  <c r="M147" i="65"/>
  <c r="M145" i="65"/>
  <c r="K145" i="65"/>
  <c r="K143" i="65"/>
  <c r="M143" i="65"/>
  <c r="BV66" i="42"/>
  <c r="V73" i="42"/>
  <c r="BW77" i="42"/>
  <c r="P77" i="42"/>
  <c r="U77" i="42"/>
  <c r="V74" i="42"/>
  <c r="BV79" i="42"/>
  <c r="BX78" i="42"/>
  <c r="U76" i="42"/>
  <c r="U75" i="42"/>
  <c r="U72" i="42"/>
  <c r="U67" i="42"/>
  <c r="BD78" i="42"/>
  <c r="O79" i="42"/>
  <c r="R79" i="42" s="1"/>
  <c r="S79" i="42" s="1"/>
  <c r="P79" i="42"/>
  <c r="V79" i="42"/>
  <c r="O75" i="42"/>
  <c r="R75" i="42" s="1"/>
  <c r="P75" i="42"/>
  <c r="V75" i="42"/>
  <c r="AE66" i="42"/>
  <c r="P66" i="42"/>
  <c r="AF66" i="42"/>
  <c r="AG66" i="42"/>
  <c r="AD66" i="42"/>
  <c r="AH66" i="42"/>
  <c r="BV75" i="42"/>
  <c r="P74" i="42"/>
  <c r="P78" i="42"/>
  <c r="BW74" i="42"/>
  <c r="BX74" i="42"/>
  <c r="O72" i="42"/>
  <c r="R72" i="42" s="1"/>
  <c r="P72" i="42"/>
  <c r="V72" i="42"/>
  <c r="V78" i="42"/>
  <c r="BV76" i="42"/>
  <c r="BE77"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BD77" i="42" l="1"/>
  <c r="BD76" i="42"/>
  <c r="R76" i="42"/>
  <c r="R66" i="42"/>
  <c r="S66" i="42" s="1"/>
  <c r="Y67" i="42"/>
  <c r="B427" i="40"/>
  <c r="B145" i="65"/>
  <c r="AM66" i="42"/>
  <c r="BI66" i="42" s="1"/>
  <c r="AJ147" i="65"/>
  <c r="AK147" i="65"/>
  <c r="AI147" i="65"/>
  <c r="N147" i="65"/>
  <c r="AL147" i="65"/>
  <c r="AH147" i="65"/>
  <c r="AJ151" i="65"/>
  <c r="AK151" i="65"/>
  <c r="AL151" i="65"/>
  <c r="N151" i="65"/>
  <c r="N163" i="65"/>
  <c r="N191" i="65"/>
  <c r="AK203" i="65"/>
  <c r="AI203" i="65"/>
  <c r="AJ203" i="65"/>
  <c r="N203" i="65"/>
  <c r="AH203" i="65"/>
  <c r="AL203" i="65"/>
  <c r="N211" i="65"/>
  <c r="N231" i="65"/>
  <c r="N243" i="65"/>
  <c r="AJ243" i="65"/>
  <c r="AK243" i="65"/>
  <c r="AI243" i="65"/>
  <c r="AL243" i="65"/>
  <c r="AH243" i="65"/>
  <c r="N251" i="65"/>
  <c r="N255" i="65"/>
  <c r="AI144" i="65"/>
  <c r="AJ144" i="65"/>
  <c r="AK144" i="65"/>
  <c r="AL144" i="65"/>
  <c r="N144" i="65"/>
  <c r="AH144" i="65"/>
  <c r="N156" i="65"/>
  <c r="N164" i="65"/>
  <c r="AI176" i="65"/>
  <c r="N176" i="65"/>
  <c r="AK176" i="65"/>
  <c r="AL176" i="65"/>
  <c r="AH176" i="65"/>
  <c r="AJ176" i="65"/>
  <c r="AI204" i="65"/>
  <c r="AK204" i="65"/>
  <c r="AJ204" i="65"/>
  <c r="AL204" i="65"/>
  <c r="N204" i="65"/>
  <c r="AH204" i="65"/>
  <c r="N216" i="65"/>
  <c r="N220" i="65"/>
  <c r="N232" i="65"/>
  <c r="N184" i="65"/>
  <c r="AL184" i="65"/>
  <c r="AH184" i="65"/>
  <c r="AI184" i="65"/>
  <c r="AK184" i="65"/>
  <c r="AJ184" i="65"/>
  <c r="N196" i="65"/>
  <c r="AL196" i="65"/>
  <c r="AH196" i="65"/>
  <c r="AK196" i="65"/>
  <c r="AI196" i="65"/>
  <c r="AJ196" i="65"/>
  <c r="N252" i="65"/>
  <c r="N256" i="65"/>
  <c r="N260" i="65"/>
  <c r="AJ260" i="65"/>
  <c r="AI260" i="65"/>
  <c r="AL260" i="65"/>
  <c r="AK260" i="65"/>
  <c r="AH260" i="65"/>
  <c r="N264" i="65"/>
  <c r="AK264" i="65"/>
  <c r="AI264" i="65"/>
  <c r="AL264" i="65"/>
  <c r="AJ264" i="65"/>
  <c r="AH264" i="65"/>
  <c r="AJ143" i="65"/>
  <c r="AK143" i="65"/>
  <c r="AH143" i="65"/>
  <c r="N143" i="65"/>
  <c r="AI143" i="65"/>
  <c r="AL143" i="65"/>
  <c r="N155" i="65"/>
  <c r="N167" i="65"/>
  <c r="AI179" i="65"/>
  <c r="N179" i="65"/>
  <c r="AK179" i="65"/>
  <c r="AL179" i="65"/>
  <c r="AJ179" i="65"/>
  <c r="AH179" i="65"/>
  <c r="N187" i="65"/>
  <c r="AI187" i="65"/>
  <c r="AK187" i="65"/>
  <c r="AL187" i="65"/>
  <c r="AJ187" i="65"/>
  <c r="N195" i="65"/>
  <c r="AL195" i="65"/>
  <c r="AH195" i="65"/>
  <c r="AI195" i="65"/>
  <c r="AK195" i="65"/>
  <c r="AJ195" i="65"/>
  <c r="AJ207" i="65"/>
  <c r="AI207" i="65"/>
  <c r="AK207" i="65"/>
  <c r="AH207" i="65"/>
  <c r="N207" i="65"/>
  <c r="AL207" i="65"/>
  <c r="N215" i="65"/>
  <c r="N227" i="65"/>
  <c r="AL227" i="65"/>
  <c r="N235" i="65"/>
  <c r="N247" i="65"/>
  <c r="N259" i="65"/>
  <c r="AJ259" i="65"/>
  <c r="AI259" i="65"/>
  <c r="AL259" i="65"/>
  <c r="AK259" i="65"/>
  <c r="AH259" i="65"/>
  <c r="AK152" i="65"/>
  <c r="N152" i="65"/>
  <c r="AL152" i="65"/>
  <c r="N208" i="65"/>
  <c r="AI224" i="65"/>
  <c r="N224" i="65"/>
  <c r="AL224" i="65"/>
  <c r="AH224" i="65"/>
  <c r="AK224" i="65"/>
  <c r="AJ224" i="65"/>
  <c r="N236" i="65"/>
  <c r="N240" i="65"/>
  <c r="N244" i="65"/>
  <c r="AK244" i="65"/>
  <c r="AJ244" i="65"/>
  <c r="AH244" i="65"/>
  <c r="AI244" i="65"/>
  <c r="AL244" i="65"/>
  <c r="N159" i="65"/>
  <c r="AH171" i="65"/>
  <c r="AL171" i="65"/>
  <c r="N171" i="65"/>
  <c r="AI171" i="65"/>
  <c r="AK171" i="65"/>
  <c r="AJ171" i="65"/>
  <c r="AJ175" i="65"/>
  <c r="AH175" i="65"/>
  <c r="AL175" i="65"/>
  <c r="AI175" i="65"/>
  <c r="AK175" i="65"/>
  <c r="N175" i="65"/>
  <c r="N183" i="65"/>
  <c r="AK183" i="65"/>
  <c r="AH183" i="65"/>
  <c r="AL183" i="65"/>
  <c r="AI183" i="65"/>
  <c r="AJ183" i="65"/>
  <c r="N199" i="65"/>
  <c r="AI199" i="65"/>
  <c r="AK199" i="65"/>
  <c r="AJ199" i="65"/>
  <c r="AH199" i="65"/>
  <c r="AL199" i="65"/>
  <c r="AI223" i="65"/>
  <c r="AJ223" i="65"/>
  <c r="AK223" i="65"/>
  <c r="AH223" i="65"/>
  <c r="AL223" i="65"/>
  <c r="N223" i="65"/>
  <c r="AJ148" i="65"/>
  <c r="AK148" i="65"/>
  <c r="AI148" i="65"/>
  <c r="N148" i="65"/>
  <c r="AH148" i="65"/>
  <c r="AL148" i="65"/>
  <c r="N168" i="65"/>
  <c r="N180" i="65"/>
  <c r="AK180" i="65"/>
  <c r="AJ180" i="65"/>
  <c r="AL180" i="65"/>
  <c r="AH180" i="65"/>
  <c r="AI180" i="65"/>
  <c r="AL188" i="65"/>
  <c r="N188" i="65"/>
  <c r="AK188" i="65"/>
  <c r="AI200" i="65"/>
  <c r="AH200" i="65"/>
  <c r="AJ200" i="65"/>
  <c r="AL200" i="65"/>
  <c r="N200" i="65"/>
  <c r="AK200" i="65"/>
  <c r="AI149" i="65"/>
  <c r="AK149" i="65"/>
  <c r="AJ149" i="65"/>
  <c r="AH149" i="65"/>
  <c r="AL149" i="65"/>
  <c r="N149" i="65"/>
  <c r="AL153" i="65"/>
  <c r="N153" i="65"/>
  <c r="N157" i="65"/>
  <c r="N169" i="65"/>
  <c r="AI177" i="65"/>
  <c r="N177" i="65"/>
  <c r="AK177" i="65"/>
  <c r="AH177" i="65"/>
  <c r="AJ177" i="65"/>
  <c r="AL177" i="65"/>
  <c r="AH185" i="65"/>
  <c r="AI185" i="65"/>
  <c r="N185" i="65"/>
  <c r="AK185" i="65"/>
  <c r="AL185" i="65"/>
  <c r="AJ185" i="65"/>
  <c r="N189" i="65"/>
  <c r="AI197" i="65"/>
  <c r="AK197" i="65"/>
  <c r="AJ197" i="65"/>
  <c r="AH197" i="65"/>
  <c r="N197" i="65"/>
  <c r="AL197" i="65"/>
  <c r="AJ205" i="65"/>
  <c r="AH205" i="65"/>
  <c r="AI205" i="65"/>
  <c r="N205" i="65"/>
  <c r="AL205" i="65"/>
  <c r="AK205" i="65"/>
  <c r="N209" i="65"/>
  <c r="N213" i="65"/>
  <c r="N217" i="65"/>
  <c r="N221" i="65"/>
  <c r="AL221" i="65"/>
  <c r="AK221" i="65"/>
  <c r="AJ221" i="65"/>
  <c r="AH221" i="65"/>
  <c r="AI221" i="65"/>
  <c r="AH225" i="65"/>
  <c r="AK225" i="65"/>
  <c r="N225" i="65"/>
  <c r="AL225" i="65"/>
  <c r="AJ225" i="65"/>
  <c r="AI225" i="65"/>
  <c r="N233" i="65"/>
  <c r="N241" i="65"/>
  <c r="N249" i="65"/>
  <c r="N253" i="65"/>
  <c r="N257" i="65"/>
  <c r="N261" i="65"/>
  <c r="AI261" i="65"/>
  <c r="AJ261" i="65"/>
  <c r="AL261" i="65"/>
  <c r="AK261" i="65"/>
  <c r="AH261" i="65"/>
  <c r="N265" i="65"/>
  <c r="AI265" i="65"/>
  <c r="AK265" i="65"/>
  <c r="AJ265" i="65"/>
  <c r="AL265" i="65"/>
  <c r="AH265" i="65"/>
  <c r="AK146" i="65"/>
  <c r="AL146" i="65"/>
  <c r="AJ146" i="65"/>
  <c r="N146" i="65"/>
  <c r="AI146" i="65"/>
  <c r="AH146" i="65"/>
  <c r="N150" i="65"/>
  <c r="AI150" i="65"/>
  <c r="AK150" i="65"/>
  <c r="AL150" i="65"/>
  <c r="AJ150" i="65"/>
  <c r="N154" i="65"/>
  <c r="N162" i="65"/>
  <c r="N166" i="65"/>
  <c r="AJ170" i="65"/>
  <c r="N170" i="65"/>
  <c r="AL170" i="65"/>
  <c r="AH170" i="65"/>
  <c r="AK170" i="65"/>
  <c r="AI170" i="65"/>
  <c r="AI178" i="65"/>
  <c r="AJ178" i="65"/>
  <c r="N178" i="65"/>
  <c r="AK178" i="65"/>
  <c r="AH178" i="65"/>
  <c r="AL178" i="65"/>
  <c r="N182" i="65"/>
  <c r="AK182" i="65"/>
  <c r="AH182" i="65"/>
  <c r="AL182" i="65"/>
  <c r="AI182" i="65"/>
  <c r="AJ182" i="65"/>
  <c r="AK186" i="65"/>
  <c r="AL186" i="65"/>
  <c r="AI186" i="65"/>
  <c r="N186" i="65"/>
  <c r="AH186" i="65"/>
  <c r="AJ186" i="65"/>
  <c r="AK202" i="65"/>
  <c r="AJ202" i="65"/>
  <c r="AI202" i="65"/>
  <c r="AH202" i="65"/>
  <c r="AL202" i="65"/>
  <c r="N202" i="65"/>
  <c r="N210" i="65"/>
  <c r="N218" i="65"/>
  <c r="AK226" i="65"/>
  <c r="AL226" i="65"/>
  <c r="N226" i="65"/>
  <c r="N230" i="65"/>
  <c r="N234" i="65"/>
  <c r="N238" i="65"/>
  <c r="N242" i="65"/>
  <c r="N246" i="65"/>
  <c r="AL246" i="65"/>
  <c r="N250" i="65"/>
  <c r="N254" i="65"/>
  <c r="N258" i="65"/>
  <c r="N262" i="65"/>
  <c r="AI262" i="65"/>
  <c r="AL262" i="65"/>
  <c r="AK262" i="65"/>
  <c r="AJ262" i="65"/>
  <c r="AH262" i="65"/>
  <c r="N266" i="65"/>
  <c r="N219" i="65"/>
  <c r="N239" i="65"/>
  <c r="N263" i="65"/>
  <c r="AK263" i="65"/>
  <c r="AI263" i="65"/>
  <c r="AJ263" i="65"/>
  <c r="AL263" i="65"/>
  <c r="AH263" i="65"/>
  <c r="N160" i="65"/>
  <c r="AI172" i="65"/>
  <c r="AK172" i="65"/>
  <c r="AL172" i="65"/>
  <c r="AJ172" i="65"/>
  <c r="N172" i="65"/>
  <c r="AH172" i="65"/>
  <c r="N192" i="65"/>
  <c r="N212" i="65"/>
  <c r="N228" i="65"/>
  <c r="N248" i="65"/>
  <c r="N145" i="65"/>
  <c r="AL145" i="65"/>
  <c r="AK145" i="65"/>
  <c r="AI145" i="65"/>
  <c r="AJ145" i="65"/>
  <c r="AH145" i="65"/>
  <c r="N161" i="65"/>
  <c r="N165" i="65"/>
  <c r="AJ173" i="65"/>
  <c r="AH173" i="65"/>
  <c r="AL173" i="65"/>
  <c r="AI173" i="65"/>
  <c r="N173" i="65"/>
  <c r="AK173" i="65"/>
  <c r="N181" i="65"/>
  <c r="AI181" i="65"/>
  <c r="AJ181" i="65"/>
  <c r="AL181" i="65"/>
  <c r="AH181" i="65"/>
  <c r="AK181" i="65"/>
  <c r="N193" i="65"/>
  <c r="AH201" i="65"/>
  <c r="AI201" i="65"/>
  <c r="N201" i="65"/>
  <c r="AL201" i="65"/>
  <c r="AJ201" i="65"/>
  <c r="AK201" i="65"/>
  <c r="N229" i="65"/>
  <c r="N237" i="65"/>
  <c r="N245" i="65"/>
  <c r="AL245" i="65"/>
  <c r="AK245" i="65"/>
  <c r="N158" i="65"/>
  <c r="AJ174" i="65"/>
  <c r="AH174" i="65"/>
  <c r="AL174" i="65"/>
  <c r="N174" i="65"/>
  <c r="AK174" i="65"/>
  <c r="AI174" i="65"/>
  <c r="N190" i="65"/>
  <c r="N194" i="65"/>
  <c r="AI198" i="65"/>
  <c r="N198" i="65"/>
  <c r="AL198" i="65"/>
  <c r="AJ198" i="65"/>
  <c r="AK198" i="65"/>
  <c r="AH198" i="65"/>
  <c r="AJ206" i="65"/>
  <c r="AK206" i="65"/>
  <c r="AI206" i="65"/>
  <c r="N206" i="65"/>
  <c r="AH206" i="65"/>
  <c r="AL206" i="65"/>
  <c r="N214" i="65"/>
  <c r="AK222" i="65"/>
  <c r="AJ222" i="65"/>
  <c r="AH222" i="65"/>
  <c r="AI222" i="65"/>
  <c r="AL222" i="65"/>
  <c r="N222"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B428" i="40" l="1"/>
  <c r="B146" i="65"/>
  <c r="F82" i="36"/>
  <c r="BJ66" i="42"/>
  <c r="BG66" i="42"/>
  <c r="BH66" i="42"/>
  <c r="BF66" i="42"/>
  <c r="H75" i="66"/>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O77" i="24"/>
  <c r="N76" i="24"/>
  <c r="O76" i="24" s="1"/>
  <c r="M75" i="24"/>
  <c r="N75" i="24" s="1"/>
  <c r="O75" i="24" s="1"/>
  <c r="L74" i="24"/>
  <c r="M74" i="24" s="1"/>
  <c r="N74" i="24" s="1"/>
  <c r="O74" i="24" s="1"/>
  <c r="P78" i="24"/>
  <c r="Q78" i="24" s="1"/>
  <c r="B429" i="40" l="1"/>
  <c r="B147" i="65"/>
  <c r="P74" i="24"/>
  <c r="Q74" i="24" s="1"/>
  <c r="P75" i="24"/>
  <c r="Q75" i="24" s="1"/>
  <c r="P77" i="24"/>
  <c r="Q77" i="24" s="1"/>
  <c r="P76" i="24"/>
  <c r="Q76" i="24" s="1"/>
  <c r="L16" i="65"/>
  <c r="K16" i="65"/>
  <c r="J16" i="65"/>
  <c r="I16" i="65"/>
  <c r="H16" i="65"/>
  <c r="N55" i="25"/>
  <c r="B430" i="40" l="1"/>
  <c r="B148" i="65"/>
  <c r="AT291" i="50"/>
  <c r="N71" i="25"/>
  <c r="B431" i="40" l="1"/>
  <c r="B149" i="65"/>
  <c r="B432" i="40" l="1"/>
  <c r="B150" i="65"/>
  <c r="H50" i="37"/>
  <c r="I51" i="37"/>
  <c r="J52" i="37"/>
  <c r="K53" i="37"/>
  <c r="L54" i="37"/>
  <c r="M55" i="37"/>
  <c r="G49" i="37"/>
  <c r="H41" i="37"/>
  <c r="I42" i="37"/>
  <c r="J43" i="37"/>
  <c r="K44" i="37"/>
  <c r="L45" i="37"/>
  <c r="M46" i="37"/>
  <c r="G40" i="37"/>
  <c r="I803" i="37"/>
  <c r="H803" i="37"/>
  <c r="G803" i="37"/>
  <c r="F803" i="37"/>
  <c r="B803" i="37"/>
  <c r="B433" i="40" l="1"/>
  <c r="B151" i="65"/>
  <c r="K803" i="37"/>
  <c r="L803" i="37"/>
  <c r="M803" i="37"/>
  <c r="N803" i="37"/>
  <c r="O803" i="37"/>
  <c r="B434" i="40" l="1"/>
  <c r="B152" i="65"/>
  <c r="Q803" i="37"/>
  <c r="B435" i="40" l="1"/>
  <c r="B153" i="65"/>
  <c r="R803" i="37"/>
  <c r="B436" i="40" l="1"/>
  <c r="B154" i="65"/>
  <c r="S803" i="37"/>
  <c r="L34" i="85"/>
  <c r="B437" i="40" l="1"/>
  <c r="B155" i="65"/>
  <c r="T803" i="37"/>
  <c r="L67" i="85"/>
  <c r="K42" i="85"/>
  <c r="L42" i="85"/>
  <c r="J42" i="85"/>
  <c r="B438" i="40" l="1"/>
  <c r="B156" i="65"/>
  <c r="U803" i="37"/>
  <c r="B439" i="40" l="1"/>
  <c r="B157" i="65"/>
  <c r="N15" i="66"/>
  <c r="F64" i="66"/>
  <c r="B440" i="40" l="1"/>
  <c r="B158" i="65"/>
  <c r="J50" i="85"/>
  <c r="K50" i="85"/>
  <c r="L50" i="85"/>
  <c r="M50" i="85"/>
  <c r="N50" i="85"/>
  <c r="K49" i="85"/>
  <c r="L49" i="85"/>
  <c r="M49" i="85"/>
  <c r="N49" i="85"/>
  <c r="J49" i="85"/>
  <c r="H17" i="32"/>
  <c r="F13" i="32"/>
  <c r="B441" i="40" l="1"/>
  <c r="B159" i="65"/>
  <c r="M75" i="85"/>
  <c r="B442" i="40" l="1"/>
  <c r="B160" i="65"/>
  <c r="J29" i="25"/>
  <c r="I28" i="25"/>
  <c r="H27" i="25"/>
  <c r="J17" i="25"/>
  <c r="I16" i="25"/>
  <c r="H15" i="25"/>
  <c r="F67" i="25"/>
  <c r="N59" i="25"/>
  <c r="N58" i="25"/>
  <c r="M59" i="25"/>
  <c r="I60" i="25"/>
  <c r="J60" i="25"/>
  <c r="H60" i="25"/>
  <c r="H59" i="25"/>
  <c r="I59" i="25"/>
  <c r="J59" i="25"/>
  <c r="I58" i="25"/>
  <c r="J58" i="25"/>
  <c r="H58" i="25"/>
  <c r="B443" i="40" l="1"/>
  <c r="B161" i="65"/>
  <c r="F159" i="50"/>
  <c r="H159" i="50"/>
  <c r="I159" i="50"/>
  <c r="J159" i="50"/>
  <c r="K159" i="50"/>
  <c r="F160" i="50"/>
  <c r="H160" i="50"/>
  <c r="I160" i="50"/>
  <c r="J160" i="50"/>
  <c r="K160" i="50"/>
  <c r="T160" i="50"/>
  <c r="X160" i="50"/>
  <c r="F161" i="50"/>
  <c r="H161" i="50"/>
  <c r="I161" i="50"/>
  <c r="J161" i="50"/>
  <c r="K161" i="50"/>
  <c r="F162" i="50"/>
  <c r="H162" i="50"/>
  <c r="I162" i="50"/>
  <c r="J162" i="50"/>
  <c r="K162" i="50"/>
  <c r="P162" i="50"/>
  <c r="Q162" i="50"/>
  <c r="F163" i="50"/>
  <c r="H163" i="50"/>
  <c r="I163" i="50"/>
  <c r="J163" i="50"/>
  <c r="K163" i="50"/>
  <c r="F164" i="50"/>
  <c r="H164" i="50"/>
  <c r="I164" i="50"/>
  <c r="J164" i="50"/>
  <c r="K164" i="50"/>
  <c r="M164" i="50"/>
  <c r="F165" i="50"/>
  <c r="H165" i="50"/>
  <c r="I165" i="50"/>
  <c r="J165" i="50"/>
  <c r="K165" i="50"/>
  <c r="M165" i="50"/>
  <c r="F166" i="50"/>
  <c r="H166" i="50"/>
  <c r="I166" i="50"/>
  <c r="J166" i="50"/>
  <c r="K166" i="50"/>
  <c r="F167" i="50"/>
  <c r="H167" i="50"/>
  <c r="I167" i="50"/>
  <c r="J167" i="50"/>
  <c r="K167" i="50"/>
  <c r="P167" i="50"/>
  <c r="AD167" i="50"/>
  <c r="F168" i="50"/>
  <c r="H168" i="50"/>
  <c r="I168" i="50"/>
  <c r="J168" i="50"/>
  <c r="K168" i="50"/>
  <c r="F169" i="50"/>
  <c r="H169" i="50"/>
  <c r="I169" i="50"/>
  <c r="J169" i="50"/>
  <c r="K169" i="50"/>
  <c r="F170" i="50"/>
  <c r="H170" i="50"/>
  <c r="I170" i="50"/>
  <c r="J170" i="50"/>
  <c r="K170" i="50"/>
  <c r="T170" i="50"/>
  <c r="F171" i="50"/>
  <c r="H171" i="50"/>
  <c r="I171" i="50"/>
  <c r="J171" i="50"/>
  <c r="K171" i="50"/>
  <c r="M171" i="50"/>
  <c r="W171" i="50"/>
  <c r="F172" i="50"/>
  <c r="H172" i="50"/>
  <c r="I172" i="50"/>
  <c r="J172" i="50"/>
  <c r="AC172" i="50" s="1"/>
  <c r="K172" i="50"/>
  <c r="F173" i="50"/>
  <c r="H173" i="50"/>
  <c r="I173" i="50"/>
  <c r="J173" i="50"/>
  <c r="K173" i="50"/>
  <c r="P173" i="50"/>
  <c r="V173" i="50"/>
  <c r="W173" i="50"/>
  <c r="AD173" i="50"/>
  <c r="F174" i="50"/>
  <c r="H174" i="50"/>
  <c r="I174" i="50"/>
  <c r="J174" i="50"/>
  <c r="K174" i="50"/>
  <c r="Q174" i="50"/>
  <c r="F175" i="50"/>
  <c r="H175" i="50"/>
  <c r="I175" i="50"/>
  <c r="J175" i="50"/>
  <c r="K175" i="50"/>
  <c r="F176" i="50"/>
  <c r="H176" i="50"/>
  <c r="I176" i="50"/>
  <c r="J176" i="50"/>
  <c r="K176" i="50"/>
  <c r="F177" i="50"/>
  <c r="H177" i="50"/>
  <c r="I177" i="50"/>
  <c r="J177" i="50"/>
  <c r="K177" i="50"/>
  <c r="F178" i="50"/>
  <c r="H178" i="50"/>
  <c r="I178" i="50"/>
  <c r="J178" i="50"/>
  <c r="P178" i="50" s="1"/>
  <c r="S178" i="50" s="1"/>
  <c r="K178" i="50"/>
  <c r="AE178" i="50"/>
  <c r="F179" i="50"/>
  <c r="H179" i="50"/>
  <c r="I179" i="50"/>
  <c r="J179" i="50"/>
  <c r="K179" i="50"/>
  <c r="F180" i="50"/>
  <c r="H180" i="50"/>
  <c r="I180" i="50"/>
  <c r="J180" i="50"/>
  <c r="K180" i="50"/>
  <c r="M180" i="50"/>
  <c r="T180" i="50"/>
  <c r="F181" i="50"/>
  <c r="H181" i="50"/>
  <c r="I181" i="50"/>
  <c r="J181" i="50"/>
  <c r="M181" i="50" s="1"/>
  <c r="K181" i="50"/>
  <c r="W181" i="50"/>
  <c r="AC181" i="50"/>
  <c r="F182" i="50"/>
  <c r="H182" i="50"/>
  <c r="I182" i="50"/>
  <c r="J182" i="50"/>
  <c r="K182" i="50"/>
  <c r="AB182" i="50"/>
  <c r="F183" i="50"/>
  <c r="H183" i="50"/>
  <c r="I183" i="50"/>
  <c r="J183" i="50"/>
  <c r="K183" i="50"/>
  <c r="F184" i="50"/>
  <c r="H184" i="50"/>
  <c r="I184" i="50"/>
  <c r="J184" i="50"/>
  <c r="K184" i="50"/>
  <c r="F185" i="50"/>
  <c r="H185" i="50"/>
  <c r="I185" i="50"/>
  <c r="J185" i="50"/>
  <c r="K185" i="50"/>
  <c r="Q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AN190" i="50" s="1"/>
  <c r="K190" i="50"/>
  <c r="F191" i="50"/>
  <c r="H191" i="50"/>
  <c r="I191" i="50"/>
  <c r="J191" i="50"/>
  <c r="K191" i="50"/>
  <c r="M191" i="50"/>
  <c r="F192" i="50"/>
  <c r="H192" i="50"/>
  <c r="I192" i="50"/>
  <c r="J192" i="50"/>
  <c r="K192" i="50"/>
  <c r="F193" i="50"/>
  <c r="H193" i="50"/>
  <c r="I193" i="50"/>
  <c r="J193" i="50"/>
  <c r="K193" i="50"/>
  <c r="V193" i="50"/>
  <c r="AE193" i="50"/>
  <c r="F194" i="50"/>
  <c r="H194" i="50"/>
  <c r="I194" i="50"/>
  <c r="J194" i="50"/>
  <c r="T194" i="50" s="1"/>
  <c r="K194" i="50"/>
  <c r="F195" i="50"/>
  <c r="H195" i="50"/>
  <c r="I195" i="50"/>
  <c r="J195" i="50"/>
  <c r="K195" i="50"/>
  <c r="F196" i="50"/>
  <c r="H196" i="50"/>
  <c r="I196" i="50"/>
  <c r="J196" i="50"/>
  <c r="M196" i="50" s="1"/>
  <c r="K196" i="50"/>
  <c r="N196" i="50"/>
  <c r="F197" i="50"/>
  <c r="H197" i="50"/>
  <c r="AT197" i="50" s="1"/>
  <c r="I197" i="50"/>
  <c r="J197" i="50"/>
  <c r="K197" i="50"/>
  <c r="P197" i="50"/>
  <c r="S197" i="50" s="1"/>
  <c r="F198" i="50"/>
  <c r="H198" i="50"/>
  <c r="I198" i="50"/>
  <c r="J198" i="50"/>
  <c r="K198" i="50"/>
  <c r="F199" i="50"/>
  <c r="H199" i="50"/>
  <c r="I199" i="50"/>
  <c r="J199" i="50"/>
  <c r="K199" i="50"/>
  <c r="M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K75" i="85"/>
  <c r="L75" i="85"/>
  <c r="N75" i="85"/>
  <c r="J75" i="85"/>
  <c r="B444" i="40" l="1"/>
  <c r="B162"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S167" i="50"/>
  <c r="AV167" i="50"/>
  <c r="AU167" i="50"/>
  <c r="AT167" i="50"/>
  <c r="AO166" i="50"/>
  <c r="AP166" i="50"/>
  <c r="AN166" i="50"/>
  <c r="AT165" i="50"/>
  <c r="AU165" i="50"/>
  <c r="AV165" i="50"/>
  <c r="AV163" i="50"/>
  <c r="AU163" i="50"/>
  <c r="AT163" i="50"/>
  <c r="S162"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S173"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AH173" i="50" s="1"/>
  <c r="M170" i="50"/>
  <c r="Q166" i="50"/>
  <c r="N200" i="50"/>
  <c r="N170" i="50"/>
  <c r="Q164" i="50"/>
  <c r="W162" i="50"/>
  <c r="AD160" i="50"/>
  <c r="AJ160" i="50" s="1"/>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H200" i="50" s="1"/>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K193" i="50" s="1"/>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K186" i="50" s="1"/>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AH182" i="50" s="1"/>
  <c r="AI181"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AI165" i="50" s="1"/>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AI172" i="50" s="1"/>
  <c r="P171" i="50"/>
  <c r="S171" i="50" s="1"/>
  <c r="V171" i="50"/>
  <c r="AE171" i="50"/>
  <c r="Q171" i="50"/>
  <c r="X171" i="50"/>
  <c r="AD171" i="50"/>
  <c r="Y171" i="50"/>
  <c r="N171" i="50"/>
  <c r="AC171" i="50"/>
  <c r="AI171" i="50" s="1"/>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J167" i="50" s="1"/>
  <c r="AC167" i="50"/>
  <c r="V167" i="50"/>
  <c r="N167" i="50"/>
  <c r="AD181" i="50"/>
  <c r="AJ181" i="50" s="1"/>
  <c r="Y181" i="50"/>
  <c r="AK181" i="50" s="1"/>
  <c r="T181" i="50"/>
  <c r="M173" i="50"/>
  <c r="X173" i="50"/>
  <c r="AJ173" i="50" s="1"/>
  <c r="N172" i="50"/>
  <c r="T172" i="50"/>
  <c r="Y172" i="50"/>
  <c r="AD172" i="50"/>
  <c r="Q170" i="50"/>
  <c r="W170" i="50"/>
  <c r="AB170" i="50"/>
  <c r="AH170" i="50" s="1"/>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AI164" i="50" s="1"/>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52" i="32"/>
  <c r="K51" i="32"/>
  <c r="K50" i="32"/>
  <c r="K48" i="32"/>
  <c r="K47" i="32"/>
  <c r="K46" i="32"/>
  <c r="K45" i="32"/>
  <c r="K44" i="32"/>
  <c r="J36" i="32"/>
  <c r="K36" i="32"/>
  <c r="J37" i="32"/>
  <c r="K37" i="32"/>
  <c r="I37" i="32"/>
  <c r="I36" i="32"/>
  <c r="K43" i="32"/>
  <c r="K42" i="32"/>
  <c r="K40" i="32"/>
  <c r="K39" i="32"/>
  <c r="K38" i="32"/>
  <c r="N105" i="25"/>
  <c r="K103" i="25"/>
  <c r="N97" i="25"/>
  <c r="N98" i="25" s="1"/>
  <c r="P92" i="25"/>
  <c r="N79" i="25"/>
  <c r="N80" i="25" s="1"/>
  <c r="N81" i="25" s="1"/>
  <c r="N72" i="25"/>
  <c r="AK182" i="50" l="1"/>
  <c r="AJ199" i="50"/>
  <c r="AH162" i="50"/>
  <c r="AH181" i="50"/>
  <c r="AJ175" i="50"/>
  <c r="AL181" i="50"/>
  <c r="B445" i="40"/>
  <c r="B163"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N73" i="25"/>
  <c r="N74" i="25" s="1"/>
  <c r="K45" i="85"/>
  <c r="L45" i="85"/>
  <c r="L44" i="85"/>
  <c r="L43" i="85"/>
  <c r="L41" i="85"/>
  <c r="J40" i="85"/>
  <c r="K40" i="85"/>
  <c r="L40" i="85"/>
  <c r="K39" i="85"/>
  <c r="L39" i="85"/>
  <c r="J39" i="85"/>
  <c r="K37" i="85"/>
  <c r="L37" i="85"/>
  <c r="J37" i="85"/>
  <c r="K33" i="85"/>
  <c r="L33" i="85"/>
  <c r="L32" i="85"/>
  <c r="L31" i="85"/>
  <c r="J30" i="85"/>
  <c r="K30" i="85"/>
  <c r="L30" i="85"/>
  <c r="L29" i="85"/>
  <c r="J28" i="85"/>
  <c r="K28" i="85"/>
  <c r="L28" i="85"/>
  <c r="J27" i="85"/>
  <c r="K27" i="85"/>
  <c r="L27" i="85"/>
  <c r="K25" i="85"/>
  <c r="L25" i="85"/>
  <c r="J25" i="85"/>
  <c r="N21" i="85"/>
  <c r="M20" i="85"/>
  <c r="L19" i="85"/>
  <c r="K18" i="85"/>
  <c r="J17" i="85"/>
  <c r="I16" i="85"/>
  <c r="H15" i="85"/>
  <c r="N88" i="25"/>
  <c r="L18" i="34"/>
  <c r="F23" i="34"/>
  <c r="AH292" i="50" l="1"/>
  <c r="B446" i="40"/>
  <c r="B164"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L58" i="85"/>
  <c r="AJ289" i="50"/>
  <c r="AH271" i="50"/>
  <c r="AH289" i="50"/>
  <c r="AK289" i="50"/>
  <c r="L60" i="85"/>
  <c r="L61" i="85"/>
  <c r="J58" i="85"/>
  <c r="K58" i="85"/>
  <c r="L62" i="85"/>
  <c r="K60" i="85"/>
  <c r="J63" i="85"/>
  <c r="K63" i="85"/>
  <c r="L63" i="85"/>
  <c r="L66" i="85"/>
  <c r="J60" i="85"/>
  <c r="K61" i="85"/>
  <c r="L64" i="85"/>
  <c r="K66" i="85"/>
  <c r="J61" i="85"/>
  <c r="L65" i="85"/>
  <c r="L16" i="34"/>
  <c r="L15" i="34"/>
  <c r="L13" i="34"/>
  <c r="L12" i="34"/>
  <c r="L40" i="32"/>
  <c r="H31" i="68"/>
  <c r="P91" i="25"/>
  <c r="O86" i="25"/>
  <c r="J70" i="85" l="1"/>
  <c r="B447" i="40"/>
  <c r="B165" i="65"/>
  <c r="I52" i="68"/>
  <c r="L70" i="85"/>
  <c r="K70" i="85"/>
  <c r="B448" i="40" l="1"/>
  <c r="B166" i="65"/>
  <c r="F60" i="42"/>
  <c r="F175" i="24"/>
  <c r="F181" i="24"/>
  <c r="F182" i="24" s="1"/>
  <c r="B449" i="40" l="1"/>
  <c r="B167" i="65"/>
  <c r="I75" i="66"/>
  <c r="J75" i="66"/>
  <c r="Q34" i="66"/>
  <c r="P33" i="66"/>
  <c r="O32" i="66"/>
  <c r="N31" i="66"/>
  <c r="M30" i="66"/>
  <c r="L29" i="66"/>
  <c r="K28" i="66"/>
  <c r="B450" i="40" l="1"/>
  <c r="B168" i="65"/>
  <c r="O31" i="66"/>
  <c r="L18" i="85"/>
  <c r="M19" i="85"/>
  <c r="M18" i="85"/>
  <c r="K17" i="85"/>
  <c r="B451" i="40" l="1"/>
  <c r="B169" i="65"/>
  <c r="Q33" i="66"/>
  <c r="N20" i="85"/>
  <c r="P32" i="66"/>
  <c r="N30" i="66"/>
  <c r="P31" i="66"/>
  <c r="B452" i="40" l="1"/>
  <c r="B170" i="65"/>
  <c r="Q31" i="66"/>
  <c r="N18" i="85"/>
  <c r="Q32" i="66"/>
  <c r="N19" i="85"/>
  <c r="O30" i="66"/>
  <c r="L17" i="85"/>
  <c r="M17" i="85"/>
  <c r="M71" i="85" s="1"/>
  <c r="B453" i="40" l="1"/>
  <c r="B171" i="65"/>
  <c r="L53" i="32"/>
  <c r="L54" i="32"/>
  <c r="P30" i="66"/>
  <c r="J16" i="85"/>
  <c r="B454" i="40" l="1"/>
  <c r="B172" i="65"/>
  <c r="L28" i="66"/>
  <c r="I15" i="85"/>
  <c r="Q30" i="66"/>
  <c r="N17" i="85"/>
  <c r="J15" i="85"/>
  <c r="M29" i="66"/>
  <c r="K16" i="85"/>
  <c r="B455" i="40" l="1"/>
  <c r="B173" i="65"/>
  <c r="N29" i="66"/>
  <c r="L16" i="85"/>
  <c r="M28" i="66"/>
  <c r="K15" i="85"/>
  <c r="B456" i="40" l="1"/>
  <c r="B174" i="65"/>
  <c r="N28" i="66"/>
  <c r="L15" i="85"/>
  <c r="O29" i="66"/>
  <c r="M16" i="85"/>
  <c r="M65" i="42"/>
  <c r="S65" i="42" s="1"/>
  <c r="B11" i="69" a="1"/>
  <c r="B11" i="69" s="1"/>
  <c r="B457" i="40" l="1"/>
  <c r="B175" i="65"/>
  <c r="P29" i="66"/>
  <c r="O28" i="66"/>
  <c r="M15" i="85"/>
  <c r="O65" i="42"/>
  <c r="R65" i="42" s="1"/>
  <c r="U65" i="42"/>
  <c r="L65" i="42"/>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J51" i="65"/>
  <c r="I51" i="65"/>
  <c r="G51" i="65"/>
  <c r="B51"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B458" i="40" l="1"/>
  <c r="B176" i="65"/>
  <c r="Q29" i="66"/>
  <c r="N16" i="85"/>
  <c r="P28" i="66"/>
  <c r="M15" i="66"/>
  <c r="M80" i="66" s="1"/>
  <c r="B459" i="40" l="1"/>
  <c r="B177" i="65"/>
  <c r="Q28" i="66"/>
  <c r="N15" i="85"/>
  <c r="J71" i="66"/>
  <c r="B460" i="40" l="1"/>
  <c r="B178"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7" i="65"/>
  <c r="F128" i="65"/>
  <c r="F129" i="65"/>
  <c r="F130" i="65"/>
  <c r="F131" i="65"/>
  <c r="F132" i="65"/>
  <c r="F133" i="65"/>
  <c r="F134" i="65"/>
  <c r="F135" i="65"/>
  <c r="F136" i="65"/>
  <c r="F137" i="65"/>
  <c r="F138" i="65"/>
  <c r="F139" i="65"/>
  <c r="F140" i="65"/>
  <c r="F141" i="65"/>
  <c r="F142" i="65"/>
  <c r="Q68" i="66"/>
  <c r="P68" i="66"/>
  <c r="O68" i="66"/>
  <c r="N68" i="66"/>
  <c r="N80" i="66" s="1"/>
  <c r="Q67" i="66"/>
  <c r="P67" i="66"/>
  <c r="O67" i="66"/>
  <c r="N67" i="66"/>
  <c r="P45" i="66"/>
  <c r="Q46" i="66"/>
  <c r="P57" i="66"/>
  <c r="Q58" i="66"/>
  <c r="F25" i="66"/>
  <c r="N120" i="66" s="1"/>
  <c r="B461" i="40" l="1"/>
  <c r="B179" i="65"/>
  <c r="P122" i="66"/>
  <c r="N81" i="66"/>
  <c r="P82" i="66" s="1"/>
  <c r="F126" i="65"/>
  <c r="F22" i="66"/>
  <c r="F21" i="66"/>
  <c r="J72" i="66"/>
  <c r="M68" i="66"/>
  <c r="M67" i="66"/>
  <c r="F18" i="66"/>
  <c r="O56" i="66"/>
  <c r="N55" i="66"/>
  <c r="M54" i="66"/>
  <c r="L53" i="66"/>
  <c r="K52" i="66"/>
  <c r="J51" i="66"/>
  <c r="I50" i="66"/>
  <c r="H49" i="66"/>
  <c r="O44" i="66"/>
  <c r="N43" i="66"/>
  <c r="M42" i="66"/>
  <c r="L41" i="66"/>
  <c r="K40" i="66"/>
  <c r="J39" i="66"/>
  <c r="I38" i="66"/>
  <c r="H37" i="66"/>
  <c r="B462" i="40" l="1"/>
  <c r="B180" i="65"/>
  <c r="M81" i="66"/>
  <c r="O82" i="66" s="1"/>
  <c r="J267" i="50"/>
  <c r="J266" i="50"/>
  <c r="J265" i="50"/>
  <c r="J264" i="50"/>
  <c r="J263" i="50"/>
  <c r="J262" i="50"/>
  <c r="J261" i="50"/>
  <c r="J260" i="50"/>
  <c r="J259" i="50"/>
  <c r="J258" i="50"/>
  <c r="J257" i="50"/>
  <c r="J256" i="50"/>
  <c r="J255" i="50"/>
  <c r="J254" i="50"/>
  <c r="J253" i="50"/>
  <c r="J252" i="50"/>
  <c r="J251" i="50"/>
  <c r="B463" i="40" l="1"/>
  <c r="B181"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M61" i="42"/>
  <c r="S61" i="42" s="1"/>
  <c r="L62" i="42"/>
  <c r="M62" i="42"/>
  <c r="L63" i="42"/>
  <c r="M63" i="42"/>
  <c r="S63" i="42" s="1"/>
  <c r="L64" i="42"/>
  <c r="BV64" i="42" s="1"/>
  <c r="M64" i="42"/>
  <c r="S64" i="42" s="1"/>
  <c r="O62" i="42" l="1"/>
  <c r="R62" i="42" s="1"/>
  <c r="S62" i="42"/>
  <c r="B464" i="40"/>
  <c r="B182" i="65"/>
  <c r="P61" i="42"/>
  <c r="V61" i="42"/>
  <c r="O61" i="42"/>
  <c r="P64" i="42"/>
  <c r="V64" i="42"/>
  <c r="O64" i="42"/>
  <c r="R64" i="42" s="1"/>
  <c r="P63" i="42"/>
  <c r="V63" i="42"/>
  <c r="O63" i="42"/>
  <c r="R63" i="42" s="1"/>
  <c r="P65" i="42"/>
  <c r="V65" i="42"/>
  <c r="P62" i="42"/>
  <c r="V62" i="42"/>
  <c r="K52" i="65"/>
  <c r="K53" i="65"/>
  <c r="K54" i="65"/>
  <c r="K55" i="65"/>
  <c r="M56" i="65"/>
  <c r="K57" i="65"/>
  <c r="K58" i="65"/>
  <c r="M60" i="65"/>
  <c r="M62" i="65"/>
  <c r="K64" i="65"/>
  <c r="M65" i="65"/>
  <c r="M66" i="65"/>
  <c r="K67" i="65"/>
  <c r="K69" i="65"/>
  <c r="M70" i="65"/>
  <c r="K71" i="65"/>
  <c r="M73" i="65"/>
  <c r="M75" i="65"/>
  <c r="K76" i="65"/>
  <c r="M77" i="65"/>
  <c r="M78" i="65"/>
  <c r="K79" i="65"/>
  <c r="M80" i="65"/>
  <c r="K81" i="65"/>
  <c r="M82" i="65"/>
  <c r="K83" i="65"/>
  <c r="M84" i="65"/>
  <c r="M86" i="65"/>
  <c r="M88" i="65"/>
  <c r="M90" i="65"/>
  <c r="M92" i="65"/>
  <c r="M94" i="65"/>
  <c r="M95" i="65"/>
  <c r="K96" i="65"/>
  <c r="M97" i="65"/>
  <c r="K98" i="65"/>
  <c r="M99" i="65"/>
  <c r="K101" i="65"/>
  <c r="K102" i="65"/>
  <c r="K103" i="65"/>
  <c r="K105" i="65"/>
  <c r="K106" i="65"/>
  <c r="K107" i="65"/>
  <c r="K108" i="65"/>
  <c r="M109" i="65"/>
  <c r="M111" i="65"/>
  <c r="M112" i="65"/>
  <c r="M113" i="65"/>
  <c r="M114" i="65"/>
  <c r="M115" i="65"/>
  <c r="M116" i="65"/>
  <c r="M117" i="65"/>
  <c r="M118" i="65"/>
  <c r="M119" i="65"/>
  <c r="M120" i="65"/>
  <c r="M121" i="65"/>
  <c r="M122" i="65"/>
  <c r="K123" i="65"/>
  <c r="M124" i="65"/>
  <c r="K125" i="65"/>
  <c r="K127" i="65"/>
  <c r="M128" i="65"/>
  <c r="K129" i="65"/>
  <c r="M130" i="65"/>
  <c r="K131" i="65"/>
  <c r="K133" i="65"/>
  <c r="M134" i="65"/>
  <c r="K135" i="65"/>
  <c r="K137" i="65"/>
  <c r="K139" i="65"/>
  <c r="M140" i="65"/>
  <c r="K141" i="65"/>
  <c r="K142" i="65"/>
  <c r="F1032" i="40"/>
  <c r="E1032" i="40"/>
  <c r="F1033" i="40"/>
  <c r="E1033" i="40"/>
  <c r="F1034" i="40"/>
  <c r="E1034" i="40"/>
  <c r="F1035" i="40"/>
  <c r="E1035" i="40"/>
  <c r="F1036" i="40"/>
  <c r="E1036" i="40"/>
  <c r="F1037" i="40"/>
  <c r="E1037" i="40"/>
  <c r="F1038" i="40"/>
  <c r="E1038" i="40"/>
  <c r="F1039" i="40"/>
  <c r="E1039" i="40"/>
  <c r="F1040" i="40"/>
  <c r="E1040" i="40"/>
  <c r="F1041" i="40"/>
  <c r="E1041" i="40"/>
  <c r="F1042" i="40"/>
  <c r="E1042" i="40"/>
  <c r="F1043" i="40"/>
  <c r="E1043" i="40"/>
  <c r="F1044" i="40"/>
  <c r="E1044" i="40"/>
  <c r="F1045" i="40"/>
  <c r="E1045" i="40"/>
  <c r="F1046" i="40"/>
  <c r="E1046" i="40"/>
  <c r="F1047" i="40"/>
  <c r="E1047" i="40"/>
  <c r="E1031" i="40"/>
  <c r="F1031" i="40"/>
  <c r="E1030" i="40"/>
  <c r="F1030" i="40"/>
  <c r="E1029" i="40"/>
  <c r="F1029" i="40"/>
  <c r="E1028" i="40"/>
  <c r="F1028" i="40"/>
  <c r="E1027" i="40"/>
  <c r="F1027" i="40"/>
  <c r="E1026" i="40"/>
  <c r="F1026" i="40"/>
  <c r="E1025" i="40"/>
  <c r="F1025" i="40"/>
  <c r="E1024" i="40"/>
  <c r="F1024" i="40"/>
  <c r="E1023" i="40"/>
  <c r="F1023" i="40"/>
  <c r="E1022" i="40"/>
  <c r="F1022" i="40"/>
  <c r="E1021" i="40"/>
  <c r="F1021" i="40"/>
  <c r="E1020" i="40"/>
  <c r="F1020" i="40"/>
  <c r="E1019" i="40"/>
  <c r="F1019" i="40"/>
  <c r="E1018" i="40"/>
  <c r="F1018" i="40"/>
  <c r="E1017" i="40"/>
  <c r="F1017" i="40"/>
  <c r="E1016" i="40"/>
  <c r="F1016" i="40"/>
  <c r="E1015" i="40"/>
  <c r="F1015" i="40"/>
  <c r="E1014" i="40"/>
  <c r="F1014" i="40"/>
  <c r="E1013" i="40"/>
  <c r="F1013" i="40"/>
  <c r="E1012" i="40"/>
  <c r="F1012" i="40"/>
  <c r="E1011" i="40"/>
  <c r="F1011" i="40"/>
  <c r="E1010" i="40"/>
  <c r="F1010" i="40"/>
  <c r="E1009" i="40"/>
  <c r="F1009" i="40"/>
  <c r="E1008" i="40"/>
  <c r="F1008" i="40"/>
  <c r="E1007" i="40"/>
  <c r="F1007" i="40"/>
  <c r="E1006" i="40"/>
  <c r="F1006" i="40"/>
  <c r="E1005" i="40"/>
  <c r="F1005" i="40"/>
  <c r="E1004" i="40"/>
  <c r="F1004" i="40"/>
  <c r="E1003" i="40"/>
  <c r="F1003" i="40"/>
  <c r="E1002" i="40"/>
  <c r="F1002" i="40"/>
  <c r="E1001" i="40"/>
  <c r="F1001" i="40"/>
  <c r="E1000" i="40"/>
  <c r="F1000" i="40"/>
  <c r="E999" i="40"/>
  <c r="F999" i="40"/>
  <c r="E998" i="40"/>
  <c r="F998" i="40"/>
  <c r="E997" i="40"/>
  <c r="F997" i="40"/>
  <c r="E996" i="40"/>
  <c r="F996" i="40"/>
  <c r="E995" i="40"/>
  <c r="F995" i="40"/>
  <c r="E994" i="40"/>
  <c r="F994" i="40"/>
  <c r="E993" i="40"/>
  <c r="F993" i="40"/>
  <c r="E992" i="40"/>
  <c r="F992" i="40"/>
  <c r="E991" i="40"/>
  <c r="F991" i="40"/>
  <c r="E990" i="40"/>
  <c r="F990" i="40"/>
  <c r="E989" i="40"/>
  <c r="F989" i="40"/>
  <c r="E988" i="40"/>
  <c r="F988" i="40"/>
  <c r="E987" i="40"/>
  <c r="F987" i="40"/>
  <c r="E986" i="40"/>
  <c r="F986" i="40"/>
  <c r="E985" i="40"/>
  <c r="F985" i="40"/>
  <c r="E984" i="40"/>
  <c r="F984" i="40"/>
  <c r="E983" i="40"/>
  <c r="F983" i="40"/>
  <c r="E982" i="40"/>
  <c r="F982" i="40"/>
  <c r="E981" i="40"/>
  <c r="F981" i="40"/>
  <c r="E980" i="40"/>
  <c r="F980" i="40"/>
  <c r="E979" i="40"/>
  <c r="F979" i="40"/>
  <c r="E978" i="40"/>
  <c r="F978" i="40"/>
  <c r="E977" i="40"/>
  <c r="F977" i="40"/>
  <c r="E976" i="40"/>
  <c r="F976" i="40"/>
  <c r="E975" i="40"/>
  <c r="F975" i="40"/>
  <c r="E974" i="40"/>
  <c r="F974" i="40"/>
  <c r="E973" i="40"/>
  <c r="F973" i="40"/>
  <c r="F970" i="40"/>
  <c r="E970" i="40"/>
  <c r="F971" i="40"/>
  <c r="E971" i="40"/>
  <c r="F972" i="40"/>
  <c r="E972" i="40"/>
  <c r="BD62" i="42" l="1"/>
  <c r="U61" i="42"/>
  <c r="R61" i="42"/>
  <c r="B465" i="40"/>
  <c r="B183" i="65"/>
  <c r="U63" i="42"/>
  <c r="U64" i="42"/>
  <c r="U62" i="42"/>
  <c r="M142" i="65"/>
  <c r="M67" i="65"/>
  <c r="N67" i="65" s="1"/>
  <c r="M105" i="65"/>
  <c r="K140" i="65"/>
  <c r="K130" i="65"/>
  <c r="M106" i="65"/>
  <c r="AL106" i="65" s="1"/>
  <c r="M101" i="65"/>
  <c r="M103" i="65"/>
  <c r="AK103" i="65" s="1"/>
  <c r="K97" i="65"/>
  <c r="AJ86" i="65"/>
  <c r="K134" i="65"/>
  <c r="K128" i="65"/>
  <c r="K124" i="65"/>
  <c r="K82" i="65"/>
  <c r="M79" i="65"/>
  <c r="N79" i="65" s="1"/>
  <c r="M107" i="65"/>
  <c r="K86" i="65"/>
  <c r="M83" i="65"/>
  <c r="N83" i="65" s="1"/>
  <c r="K78" i="65"/>
  <c r="K75" i="65"/>
  <c r="N73" i="65"/>
  <c r="M69" i="65"/>
  <c r="K60" i="65"/>
  <c r="M54" i="65"/>
  <c r="N94" i="65"/>
  <c r="M71" i="65"/>
  <c r="N71" i="65" s="1"/>
  <c r="K62" i="65"/>
  <c r="K56" i="65"/>
  <c r="N122" i="65"/>
  <c r="AL120" i="65"/>
  <c r="K110" i="65"/>
  <c r="M110" i="65"/>
  <c r="K126" i="65"/>
  <c r="M126" i="65"/>
  <c r="N126" i="65" s="1"/>
  <c r="K132" i="65"/>
  <c r="M132" i="65"/>
  <c r="N132" i="65" s="1"/>
  <c r="AK128" i="65"/>
  <c r="AL121" i="65"/>
  <c r="AL119" i="65"/>
  <c r="K138" i="65"/>
  <c r="M138" i="65"/>
  <c r="K136" i="65"/>
  <c r="M136" i="65"/>
  <c r="K109" i="65"/>
  <c r="M102" i="65"/>
  <c r="K99" i="65"/>
  <c r="M98" i="65"/>
  <c r="K90" i="65"/>
  <c r="K88" i="65"/>
  <c r="M81" i="65"/>
  <c r="N81" i="65" s="1"/>
  <c r="K70" i="65"/>
  <c r="K66" i="65"/>
  <c r="M52" i="65"/>
  <c r="M76" i="65"/>
  <c r="N76" i="65" s="1"/>
  <c r="M64" i="65"/>
  <c r="N64" i="65" s="1"/>
  <c r="M58" i="65"/>
  <c r="N58" i="65" s="1"/>
  <c r="M96" i="65"/>
  <c r="K95" i="65"/>
  <c r="K92" i="65"/>
  <c r="K84" i="65"/>
  <c r="K80" i="65"/>
  <c r="N77" i="65"/>
  <c r="K65" i="65"/>
  <c r="BE64" i="42"/>
  <c r="BE62" i="42"/>
  <c r="BE65" i="42"/>
  <c r="BE63" i="42"/>
  <c r="BD61" i="42"/>
  <c r="BE61" i="42"/>
  <c r="BD65" i="42"/>
  <c r="BD63" i="42"/>
  <c r="BD64" i="42"/>
  <c r="N128" i="65"/>
  <c r="AH128" i="65"/>
  <c r="AL128" i="65"/>
  <c r="AI128" i="65"/>
  <c r="AJ128" i="65"/>
  <c r="N130" i="65"/>
  <c r="N134" i="65"/>
  <c r="AL134" i="65"/>
  <c r="N140" i="65"/>
  <c r="AK134" i="65"/>
  <c r="N124" i="65"/>
  <c r="AK121" i="65"/>
  <c r="AJ120" i="65"/>
  <c r="AI119" i="65"/>
  <c r="AK119" i="65"/>
  <c r="N109" i="65"/>
  <c r="AL109" i="65"/>
  <c r="AK109" i="65"/>
  <c r="K100" i="65"/>
  <c r="M100" i="65"/>
  <c r="K87" i="65"/>
  <c r="M87" i="65"/>
  <c r="AK120" i="65"/>
  <c r="AI120" i="65"/>
  <c r="AJ119" i="65"/>
  <c r="M141" i="65"/>
  <c r="M139" i="65"/>
  <c r="M137" i="65"/>
  <c r="M135" i="65"/>
  <c r="M133" i="65"/>
  <c r="M131" i="65"/>
  <c r="M129" i="65"/>
  <c r="M127" i="65"/>
  <c r="M125" i="65"/>
  <c r="M123" i="65"/>
  <c r="N121" i="65"/>
  <c r="AH120" i="65"/>
  <c r="N120" i="65"/>
  <c r="AH119" i="65"/>
  <c r="N119" i="65"/>
  <c r="N118" i="65"/>
  <c r="N117" i="65"/>
  <c r="N116" i="65"/>
  <c r="N115" i="65"/>
  <c r="N114" i="65"/>
  <c r="N113" i="65"/>
  <c r="N112" i="65"/>
  <c r="N111" i="65"/>
  <c r="K104" i="65"/>
  <c r="M104" i="65"/>
  <c r="N99" i="65"/>
  <c r="N90" i="65"/>
  <c r="K122" i="65"/>
  <c r="K121" i="65"/>
  <c r="K120" i="65"/>
  <c r="K119" i="65"/>
  <c r="K118" i="65"/>
  <c r="K117" i="65"/>
  <c r="K116" i="65"/>
  <c r="K115" i="65"/>
  <c r="K114" i="65"/>
  <c r="K113" i="65"/>
  <c r="K112" i="65"/>
  <c r="K111" i="65"/>
  <c r="M108" i="65"/>
  <c r="N97" i="65"/>
  <c r="N92" i="65"/>
  <c r="K89" i="65"/>
  <c r="M89" i="65"/>
  <c r="N84" i="65"/>
  <c r="K91" i="65"/>
  <c r="M91" i="65"/>
  <c r="AK86" i="65"/>
  <c r="N86" i="65"/>
  <c r="AL86" i="65"/>
  <c r="N95" i="65"/>
  <c r="K93" i="65"/>
  <c r="M93" i="65"/>
  <c r="N88" i="65"/>
  <c r="K85" i="65"/>
  <c r="M85" i="65"/>
  <c r="N78" i="65"/>
  <c r="K74" i="65"/>
  <c r="M74" i="65"/>
  <c r="N80" i="65"/>
  <c r="N65" i="65"/>
  <c r="K94" i="65"/>
  <c r="N82" i="65"/>
  <c r="M72" i="65"/>
  <c r="K72" i="65"/>
  <c r="K77" i="65"/>
  <c r="K73" i="65"/>
  <c r="N70" i="65"/>
  <c r="M68" i="65"/>
  <c r="K68" i="65"/>
  <c r="N75" i="65"/>
  <c r="N56" i="65"/>
  <c r="N66" i="65"/>
  <c r="K63" i="65"/>
  <c r="M63" i="65"/>
  <c r="K61" i="65"/>
  <c r="M61" i="65"/>
  <c r="K59" i="65"/>
  <c r="M59" i="65"/>
  <c r="N62" i="65"/>
  <c r="N60" i="65"/>
  <c r="M57" i="65"/>
  <c r="M55" i="65"/>
  <c r="M53" i="65"/>
  <c r="B466" i="40" l="1"/>
  <c r="B184" i="65"/>
  <c r="N102" i="65"/>
  <c r="N105" i="65"/>
  <c r="N110" i="65"/>
  <c r="N54" i="65"/>
  <c r="N142" i="65"/>
  <c r="N136" i="65"/>
  <c r="N107" i="65"/>
  <c r="N106" i="65"/>
  <c r="AK106" i="65"/>
  <c r="AH106" i="65"/>
  <c r="N98" i="65"/>
  <c r="N69" i="65"/>
  <c r="N52" i="65"/>
  <c r="N96" i="65"/>
  <c r="N101" i="65"/>
  <c r="AJ106" i="65"/>
  <c r="AI106" i="65"/>
  <c r="AL103" i="65"/>
  <c r="N103" i="65"/>
  <c r="AI103" i="65"/>
  <c r="AH103" i="65"/>
  <c r="AJ103" i="65"/>
  <c r="N138" i="65"/>
  <c r="N57" i="65"/>
  <c r="N139" i="65"/>
  <c r="N61" i="65"/>
  <c r="N68" i="65"/>
  <c r="AI85" i="65"/>
  <c r="AJ85" i="65"/>
  <c r="AL85" i="65"/>
  <c r="N85" i="65"/>
  <c r="AK85" i="65"/>
  <c r="N93" i="65"/>
  <c r="N125" i="65"/>
  <c r="AJ133" i="65"/>
  <c r="AK133" i="65"/>
  <c r="N133" i="65"/>
  <c r="AL133" i="65"/>
  <c r="N141" i="65"/>
  <c r="AL87" i="65"/>
  <c r="N87" i="65"/>
  <c r="AK87" i="65"/>
  <c r="N123" i="65"/>
  <c r="N100" i="65"/>
  <c r="N53" i="65"/>
  <c r="N74" i="65"/>
  <c r="N91" i="65"/>
  <c r="N89" i="65"/>
  <c r="N104" i="65"/>
  <c r="N127" i="65"/>
  <c r="N135" i="65"/>
  <c r="AL135" i="65"/>
  <c r="N108" i="65"/>
  <c r="N131" i="65"/>
  <c r="N55" i="65"/>
  <c r="N59" i="65"/>
  <c r="N63" i="65"/>
  <c r="N72" i="65"/>
  <c r="N129" i="65"/>
  <c r="N137" i="65"/>
  <c r="B467" i="40" l="1"/>
  <c r="B185" i="65"/>
  <c r="H34" i="68"/>
  <c r="H52" i="68" s="1"/>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6"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AH151" i="50" s="1"/>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AI148" i="50" s="1"/>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AK157" i="50" s="1"/>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B469" i="40" l="1"/>
  <c r="B187"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8" i="65"/>
  <c r="M60" i="42"/>
  <c r="L60" i="42"/>
  <c r="I19" i="68"/>
  <c r="J19" i="68"/>
  <c r="J20" i="68"/>
  <c r="K20" i="68"/>
  <c r="K21" i="68"/>
  <c r="L22" i="68"/>
  <c r="L21" i="68"/>
  <c r="I18" i="68"/>
  <c r="H18" i="68"/>
  <c r="F956" i="40"/>
  <c r="E956" i="40"/>
  <c r="F957" i="40"/>
  <c r="E957" i="40"/>
  <c r="F958" i="40"/>
  <c r="E958" i="40"/>
  <c r="F959" i="40"/>
  <c r="E959" i="40"/>
  <c r="F960" i="40"/>
  <c r="E960" i="40"/>
  <c r="F961" i="40"/>
  <c r="E961" i="40"/>
  <c r="F962" i="40"/>
  <c r="E962" i="40"/>
  <c r="F963" i="40"/>
  <c r="E963" i="40"/>
  <c r="F964" i="40"/>
  <c r="E964" i="40"/>
  <c r="F965" i="40"/>
  <c r="E965" i="40"/>
  <c r="F966" i="40"/>
  <c r="E966" i="40"/>
  <c r="F967" i="40"/>
  <c r="E967" i="40"/>
  <c r="F968" i="40"/>
  <c r="E968" i="40"/>
  <c r="F969" i="40"/>
  <c r="E969" i="40"/>
  <c r="I40" i="68"/>
  <c r="I41" i="68"/>
  <c r="I42" i="68"/>
  <c r="I43" i="68"/>
  <c r="I39" i="68"/>
  <c r="K59" i="24"/>
  <c r="I57" i="24"/>
  <c r="M44" i="24"/>
  <c r="L43" i="24"/>
  <c r="H40" i="37" s="1"/>
  <c r="K42" i="24"/>
  <c r="K17" i="25" s="1"/>
  <c r="J41" i="24"/>
  <c r="J16" i="25" s="1"/>
  <c r="I40" i="24"/>
  <c r="I15" i="25" s="1"/>
  <c r="F40" i="68"/>
  <c r="H40" i="68"/>
  <c r="F41" i="68"/>
  <c r="H41" i="68"/>
  <c r="F42" i="68"/>
  <c r="H42" i="68"/>
  <c r="F43" i="68"/>
  <c r="H43" i="68"/>
  <c r="H39" i="68"/>
  <c r="F39" i="68"/>
  <c r="F28" i="68"/>
  <c r="F25" i="68"/>
  <c r="V60" i="42" l="1"/>
  <c r="B471" i="40"/>
  <c r="B189" i="65"/>
  <c r="M41" i="66"/>
  <c r="I41" i="37"/>
  <c r="L42" i="24"/>
  <c r="L39" i="66" s="1"/>
  <c r="I49" i="66"/>
  <c r="I27" i="25"/>
  <c r="K51" i="66"/>
  <c r="K29" i="25"/>
  <c r="M43" i="24"/>
  <c r="I40" i="37" s="1"/>
  <c r="L40" i="66"/>
  <c r="J40" i="24"/>
  <c r="J15" i="25" s="1"/>
  <c r="I37" i="66"/>
  <c r="K41" i="24"/>
  <c r="K16" i="25" s="1"/>
  <c r="J38" i="66"/>
  <c r="K39" i="66"/>
  <c r="I49" i="32"/>
  <c r="B472" i="40" l="1"/>
  <c r="B190" i="65"/>
  <c r="M42" i="24"/>
  <c r="M17" i="25" s="1"/>
  <c r="L17" i="25"/>
  <c r="K40" i="24"/>
  <c r="K15" i="25" s="1"/>
  <c r="J37" i="66"/>
  <c r="L41" i="24"/>
  <c r="L16" i="25" s="1"/>
  <c r="K38" i="66"/>
  <c r="N43" i="24"/>
  <c r="J40" i="37" s="1"/>
  <c r="M40" i="66"/>
  <c r="K43" i="68"/>
  <c r="U43" i="68" s="1"/>
  <c r="K40" i="68"/>
  <c r="O40" i="68" s="1"/>
  <c r="K39" i="68"/>
  <c r="P39" i="68" s="1"/>
  <c r="O39" i="68"/>
  <c r="M39" i="66" l="1"/>
  <c r="B473" i="40"/>
  <c r="B191" i="65"/>
  <c r="N42" i="24"/>
  <c r="N17" i="25" s="1"/>
  <c r="M41" i="24"/>
  <c r="M16" i="25" s="1"/>
  <c r="L38" i="66"/>
  <c r="L40" i="24"/>
  <c r="L15" i="25" s="1"/>
  <c r="K37" i="66"/>
  <c r="O43" i="24"/>
  <c r="K40" i="37" s="1"/>
  <c r="N40" i="66"/>
  <c r="N39"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B474" i="40" l="1"/>
  <c r="B192" i="65"/>
  <c r="O42" i="24"/>
  <c r="O17" i="25" s="1"/>
  <c r="N41" i="24"/>
  <c r="N16" i="25" s="1"/>
  <c r="M38" i="66"/>
  <c r="P43" i="24"/>
  <c r="L40" i="37" s="1"/>
  <c r="O40" i="66"/>
  <c r="M40"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3" i="65"/>
  <c r="AF40" i="68"/>
  <c r="AG40" i="68" s="1"/>
  <c r="AM40" i="68" s="1"/>
  <c r="P42" i="24"/>
  <c r="P17" i="25" s="1"/>
  <c r="O41" i="24"/>
  <c r="O16" i="25" s="1"/>
  <c r="N38" i="66"/>
  <c r="N40" i="24"/>
  <c r="N15" i="25" s="1"/>
  <c r="M37" i="66"/>
  <c r="P40" i="66"/>
  <c r="Q43"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42" i="24"/>
  <c r="Q17" i="25" s="1"/>
  <c r="P39" i="66"/>
  <c r="B476" i="40"/>
  <c r="B194" i="65"/>
  <c r="Q40" i="66"/>
  <c r="M40" i="37"/>
  <c r="Q39" i="66"/>
  <c r="O40" i="24"/>
  <c r="O15" i="25" s="1"/>
  <c r="N37" i="66"/>
  <c r="AF42" i="68"/>
  <c r="AG42" i="68" s="1"/>
  <c r="AH42" i="68" s="1"/>
  <c r="AI42" i="68" s="1"/>
  <c r="AO42" i="68" s="1"/>
  <c r="O38" i="66"/>
  <c r="P41" i="24"/>
  <c r="P16" i="25" s="1"/>
  <c r="AN40" i="68"/>
  <c r="AK41" i="68"/>
  <c r="AL39" i="68"/>
  <c r="AL43" i="68"/>
  <c r="AK39" i="68"/>
  <c r="AK43" i="68"/>
  <c r="AF41" i="68"/>
  <c r="AG41" i="68" s="1"/>
  <c r="AH39" i="68"/>
  <c r="AM39" i="68"/>
  <c r="AK42" i="68"/>
  <c r="AH43" i="68"/>
  <c r="AM43" i="68"/>
  <c r="L20" i="32"/>
  <c r="M20" i="32"/>
  <c r="B477" i="40" l="1"/>
  <c r="B195" i="65"/>
  <c r="AM42" i="68"/>
  <c r="AN42" i="68"/>
  <c r="P38" i="66"/>
  <c r="Q41" i="24"/>
  <c r="O37" i="66"/>
  <c r="P40" i="24"/>
  <c r="P15" i="25" s="1"/>
  <c r="AL42" i="68"/>
  <c r="H47" i="68"/>
  <c r="AI39" i="68"/>
  <c r="AO39" i="68" s="1"/>
  <c r="AN39" i="68"/>
  <c r="AI43" i="68"/>
  <c r="AO43" i="68" s="1"/>
  <c r="AN43" i="68"/>
  <c r="AH41" i="68"/>
  <c r="AM41" i="68"/>
  <c r="J47" i="68" s="1"/>
  <c r="AL41" i="68"/>
  <c r="I47" i="68" s="1"/>
  <c r="B478" i="40" l="1"/>
  <c r="B196" i="65"/>
  <c r="Q38" i="66"/>
  <c r="Q16" i="25"/>
  <c r="P37" i="66"/>
  <c r="Q40" i="24"/>
  <c r="AI41" i="68"/>
  <c r="AO41" i="68" s="1"/>
  <c r="L47" i="68" s="1"/>
  <c r="AN41" i="68"/>
  <c r="K47" i="68" s="1"/>
  <c r="K17" i="42"/>
  <c r="AY66" i="42" s="1"/>
  <c r="BO66" i="42" s="1"/>
  <c r="L17" i="42"/>
  <c r="AZ66" i="42" s="1"/>
  <c r="BP66" i="42" s="1"/>
  <c r="M17" i="42"/>
  <c r="BA66" i="42" s="1"/>
  <c r="BQ66" i="42" s="1"/>
  <c r="N17" i="42"/>
  <c r="BB66" i="42" s="1"/>
  <c r="BR66" i="42" s="1"/>
  <c r="BZ66" i="42" s="1"/>
  <c r="J17" i="42"/>
  <c r="J16" i="50"/>
  <c r="M127" i="25"/>
  <c r="N127" i="25"/>
  <c r="O127" i="25"/>
  <c r="P127" i="25"/>
  <c r="Q127" i="25"/>
  <c r="N126" i="25"/>
  <c r="O126" i="25"/>
  <c r="P126" i="25"/>
  <c r="Q126" i="25"/>
  <c r="M126" i="25"/>
  <c r="F31" i="65"/>
  <c r="K51" i="65"/>
  <c r="AX66" i="42" l="1"/>
  <c r="BN66" i="42" s="1"/>
  <c r="B479" i="40"/>
  <c r="B197" i="65"/>
  <c r="AZ307" i="50"/>
  <c r="AZ302" i="50"/>
  <c r="AZ305" i="50"/>
  <c r="AZ301" i="50"/>
  <c r="AZ306" i="50"/>
  <c r="AZ300" i="50"/>
  <c r="AZ303" i="50"/>
  <c r="AZ304" i="50"/>
  <c r="AZ299" i="50"/>
  <c r="AZ297" i="50"/>
  <c r="AZ292" i="50"/>
  <c r="AZ293" i="50"/>
  <c r="AZ291" i="50"/>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8" i="65"/>
  <c r="M55" i="25"/>
  <c r="F28" i="65"/>
  <c r="M51" i="65"/>
  <c r="L45" i="65"/>
  <c r="K44" i="65"/>
  <c r="J43" i="65"/>
  <c r="I42" i="65"/>
  <c r="H41" i="65"/>
  <c r="L38" i="65"/>
  <c r="K37" i="65"/>
  <c r="J36" i="65"/>
  <c r="I35" i="65"/>
  <c r="H34" i="65"/>
  <c r="F25" i="65"/>
  <c r="F22" i="65"/>
  <c r="F19"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8" i="24"/>
  <c r="L59" i="24"/>
  <c r="L29" i="25" s="1"/>
  <c r="L60" i="24"/>
  <c r="M61" i="24"/>
  <c r="N62" i="24"/>
  <c r="O63" i="24"/>
  <c r="K52" i="37" s="1"/>
  <c r="P64" i="24"/>
  <c r="Q65" i="24"/>
  <c r="J40" i="50"/>
  <c r="N44" i="24"/>
  <c r="N45" i="24"/>
  <c r="O46" i="24"/>
  <c r="P47" i="24"/>
  <c r="Q48" i="24"/>
  <c r="B481" i="40" l="1"/>
  <c r="B199" i="65"/>
  <c r="R191" i="65"/>
  <c r="P191" i="65"/>
  <c r="Q211" i="65"/>
  <c r="S164" i="65"/>
  <c r="P216" i="65"/>
  <c r="R216" i="65"/>
  <c r="Q155" i="65"/>
  <c r="P155" i="65"/>
  <c r="S167" i="65"/>
  <c r="Q187" i="65"/>
  <c r="P187" i="65"/>
  <c r="T227" i="65"/>
  <c r="P227" i="65"/>
  <c r="P152" i="65"/>
  <c r="Q152" i="65"/>
  <c r="T208" i="65"/>
  <c r="S208" i="65"/>
  <c r="R159" i="65"/>
  <c r="P153" i="65"/>
  <c r="Q157" i="65"/>
  <c r="Q191" i="65"/>
  <c r="S211" i="65"/>
  <c r="T164" i="65"/>
  <c r="R155" i="65"/>
  <c r="P207" i="65"/>
  <c r="Q227" i="65"/>
  <c r="T157" i="65"/>
  <c r="Q249" i="65"/>
  <c r="T191" i="65"/>
  <c r="P211" i="65"/>
  <c r="S231" i="65"/>
  <c r="Q231" i="65"/>
  <c r="T255" i="65"/>
  <c r="R164" i="65"/>
  <c r="T216" i="65"/>
  <c r="T232" i="65"/>
  <c r="Q252" i="65"/>
  <c r="S155" i="65"/>
  <c r="T167" i="65"/>
  <c r="R227" i="65"/>
  <c r="S227" i="65"/>
  <c r="R235" i="65"/>
  <c r="P208" i="65"/>
  <c r="P236" i="65"/>
  <c r="P240" i="65"/>
  <c r="T159" i="65"/>
  <c r="Q159" i="65"/>
  <c r="R153" i="65"/>
  <c r="T211" i="65"/>
  <c r="R255" i="65"/>
  <c r="P252" i="65"/>
  <c r="R157" i="65"/>
  <c r="S213" i="65"/>
  <c r="R249" i="65"/>
  <c r="S249" i="65"/>
  <c r="T253" i="65"/>
  <c r="R257" i="65"/>
  <c r="S257" i="65"/>
  <c r="R162" i="65"/>
  <c r="S230" i="65"/>
  <c r="R234" i="65"/>
  <c r="P228" i="65"/>
  <c r="R194" i="65"/>
  <c r="S160" i="65"/>
  <c r="Q193" i="65"/>
  <c r="S229" i="65"/>
  <c r="S194" i="65"/>
  <c r="Q240" i="65"/>
  <c r="R209" i="65"/>
  <c r="R217" i="65"/>
  <c r="T241" i="65"/>
  <c r="P249" i="65"/>
  <c r="Q253" i="65"/>
  <c r="T250" i="65"/>
  <c r="T239" i="65"/>
  <c r="T160" i="65"/>
  <c r="S192" i="65"/>
  <c r="R151" i="65"/>
  <c r="R211" i="65"/>
  <c r="T231" i="65"/>
  <c r="P164" i="65"/>
  <c r="S252" i="65"/>
  <c r="T155" i="65"/>
  <c r="P167" i="65"/>
  <c r="T236" i="65"/>
  <c r="S209" i="65"/>
  <c r="T213" i="65"/>
  <c r="S241" i="65"/>
  <c r="T249" i="65"/>
  <c r="P253" i="65"/>
  <c r="S253" i="65"/>
  <c r="P257" i="65"/>
  <c r="Q150" i="65"/>
  <c r="Q154" i="65"/>
  <c r="Q162" i="65"/>
  <c r="S162" i="65"/>
  <c r="R166" i="65"/>
  <c r="T166" i="65"/>
  <c r="T210" i="65"/>
  <c r="Q234" i="65"/>
  <c r="S234" i="65"/>
  <c r="R238" i="65"/>
  <c r="P242" i="65"/>
  <c r="Q242" i="65"/>
  <c r="R258" i="65"/>
  <c r="T228" i="65"/>
  <c r="T237" i="65"/>
  <c r="T194" i="65"/>
  <c r="Q194" i="65"/>
  <c r="R163" i="65"/>
  <c r="S191" i="65"/>
  <c r="S156" i="65"/>
  <c r="Q216" i="65"/>
  <c r="P157" i="65"/>
  <c r="P213" i="65"/>
  <c r="T217" i="65"/>
  <c r="T233" i="65"/>
  <c r="Q257" i="65"/>
  <c r="T154" i="65"/>
  <c r="P166" i="65"/>
  <c r="Q210" i="65"/>
  <c r="R218" i="65"/>
  <c r="Q230" i="65"/>
  <c r="T234" i="65"/>
  <c r="T238" i="65"/>
  <c r="R242" i="65"/>
  <c r="S242" i="65"/>
  <c r="P250" i="65"/>
  <c r="T254" i="65"/>
  <c r="P239" i="65"/>
  <c r="T192" i="65"/>
  <c r="R156" i="65"/>
  <c r="Q167" i="65"/>
  <c r="S235" i="65"/>
  <c r="Q247" i="65"/>
  <c r="R152" i="65"/>
  <c r="R208" i="65"/>
  <c r="R240" i="65"/>
  <c r="S157" i="65"/>
  <c r="Q213" i="65"/>
  <c r="Q233" i="65"/>
  <c r="P233" i="65"/>
  <c r="P241" i="65"/>
  <c r="R253" i="65"/>
  <c r="T257" i="65"/>
  <c r="R154" i="65"/>
  <c r="P162" i="65"/>
  <c r="Q166" i="65"/>
  <c r="R210" i="65"/>
  <c r="R226" i="65"/>
  <c r="P226" i="65"/>
  <c r="R230" i="65"/>
  <c r="P230" i="65"/>
  <c r="T230" i="65"/>
  <c r="P234" i="65"/>
  <c r="S238" i="65"/>
  <c r="P238" i="65"/>
  <c r="T242" i="65"/>
  <c r="Q250" i="65"/>
  <c r="T258" i="65"/>
  <c r="P258" i="65"/>
  <c r="R219" i="65"/>
  <c r="R239" i="65"/>
  <c r="S239" i="65"/>
  <c r="R228" i="65"/>
  <c r="T248" i="65"/>
  <c r="R229" i="65"/>
  <c r="R237" i="65"/>
  <c r="Q153" i="65"/>
  <c r="T162" i="65"/>
  <c r="S210" i="65"/>
  <c r="S226" i="65"/>
  <c r="S246" i="65"/>
  <c r="R250" i="65"/>
  <c r="S254" i="65"/>
  <c r="T219" i="65"/>
  <c r="P160" i="65"/>
  <c r="R192" i="65"/>
  <c r="Q248" i="65"/>
  <c r="P193" i="65"/>
  <c r="Q190" i="65"/>
  <c r="P194" i="65"/>
  <c r="Q237" i="65"/>
  <c r="S248" i="65"/>
  <c r="S165" i="65"/>
  <c r="T158" i="65"/>
  <c r="S237" i="65"/>
  <c r="P190" i="65"/>
  <c r="T214" i="65"/>
  <c r="T165" i="65"/>
  <c r="S214" i="65"/>
  <c r="Q228" i="65"/>
  <c r="P229" i="65"/>
  <c r="S158" i="65"/>
  <c r="R254" i="65"/>
  <c r="P161" i="65"/>
  <c r="P214" i="65"/>
  <c r="R158" i="65"/>
  <c r="Q212" i="65"/>
  <c r="R212" i="65"/>
  <c r="Q165" i="65"/>
  <c r="P218" i="65"/>
  <c r="P217" i="65"/>
  <c r="S255" i="65"/>
  <c r="S251" i="65"/>
  <c r="R251" i="65"/>
  <c r="T163" i="65"/>
  <c r="P163" i="65"/>
  <c r="S188" i="65"/>
  <c r="T190" i="65"/>
  <c r="P192" i="65"/>
  <c r="T209" i="65"/>
  <c r="T169" i="65"/>
  <c r="Q169" i="65"/>
  <c r="T153" i="65"/>
  <c r="S168" i="65"/>
  <c r="T256" i="65"/>
  <c r="Q189" i="65"/>
  <c r="T215" i="65"/>
  <c r="Q215" i="65"/>
  <c r="S193" i="65"/>
  <c r="R248" i="65"/>
  <c r="Q239" i="65"/>
  <c r="Q238" i="65"/>
  <c r="S218" i="65"/>
  <c r="S152" i="65"/>
  <c r="P247" i="65"/>
  <c r="P251" i="65"/>
  <c r="T240" i="65"/>
  <c r="S220" i="65"/>
  <c r="Q151" i="65"/>
  <c r="S236" i="65"/>
  <c r="T252" i="65"/>
  <c r="P255" i="65"/>
  <c r="R252" i="65"/>
  <c r="Q258" i="65"/>
  <c r="S233" i="65"/>
  <c r="P159" i="65"/>
  <c r="P235" i="65"/>
  <c r="R232" i="65"/>
  <c r="R231" i="65"/>
  <c r="P232" i="65"/>
  <c r="P156" i="65"/>
  <c r="R188" i="65"/>
  <c r="S256" i="65"/>
  <c r="Q266" i="65"/>
  <c r="T168" i="65"/>
  <c r="S190" i="65"/>
  <c r="R266" i="65"/>
  <c r="T247" i="65"/>
  <c r="S153" i="65"/>
  <c r="P231" i="65"/>
  <c r="T235" i="65"/>
  <c r="P151" i="65"/>
  <c r="P210" i="65"/>
  <c r="R161" i="65"/>
  <c r="S161" i="65"/>
  <c r="R189" i="65"/>
  <c r="P158" i="65"/>
  <c r="P212" i="65"/>
  <c r="T212" i="65"/>
  <c r="S169" i="65"/>
  <c r="T266" i="65"/>
  <c r="P209" i="65"/>
  <c r="Q232" i="65"/>
  <c r="Q251" i="65"/>
  <c r="S163" i="65"/>
  <c r="Q256" i="65"/>
  <c r="R190" i="65"/>
  <c r="Q254" i="65"/>
  <c r="Q246" i="65"/>
  <c r="Q217" i="65"/>
  <c r="Q209" i="65"/>
  <c r="P169" i="65"/>
  <c r="P188" i="65"/>
  <c r="P168" i="65"/>
  <c r="R213" i="65"/>
  <c r="S189" i="65"/>
  <c r="P149" i="65"/>
  <c r="P215" i="65"/>
  <c r="Q214" i="65"/>
  <c r="P165" i="65"/>
  <c r="Q192" i="65"/>
  <c r="P219" i="65"/>
  <c r="R214" i="65"/>
  <c r="P237" i="65"/>
  <c r="S228" i="65"/>
  <c r="Q160" i="65"/>
  <c r="S219" i="65"/>
  <c r="S258" i="65"/>
  <c r="P246" i="65"/>
  <c r="Q226" i="65"/>
  <c r="Q218" i="65"/>
  <c r="P186" i="65"/>
  <c r="S166" i="65"/>
  <c r="S154" i="65"/>
  <c r="R241" i="65"/>
  <c r="S217" i="65"/>
  <c r="S247" i="65"/>
  <c r="R167" i="65"/>
  <c r="S232" i="65"/>
  <c r="R220" i="65"/>
  <c r="Q156" i="65"/>
  <c r="Q255" i="65"/>
  <c r="Q235" i="65"/>
  <c r="S216" i="65"/>
  <c r="T156" i="65"/>
  <c r="Q229" i="65"/>
  <c r="Q208" i="65"/>
  <c r="R215" i="65"/>
  <c r="T229" i="65"/>
  <c r="S266" i="65"/>
  <c r="R193" i="65"/>
  <c r="P254" i="65"/>
  <c r="Q241" i="65"/>
  <c r="R233" i="65"/>
  <c r="R247" i="65"/>
  <c r="R236" i="65"/>
  <c r="T220" i="65"/>
  <c r="Q164" i="65"/>
  <c r="Q236" i="65"/>
  <c r="P248" i="65"/>
  <c r="T218" i="65"/>
  <c r="Q161" i="65"/>
  <c r="T161" i="65"/>
  <c r="Q158" i="65"/>
  <c r="P245" i="65"/>
  <c r="S212" i="65"/>
  <c r="Q219" i="65"/>
  <c r="P225" i="65"/>
  <c r="Q220" i="65"/>
  <c r="T251" i="65"/>
  <c r="Q163" i="65"/>
  <c r="Q188" i="65"/>
  <c r="P256" i="65"/>
  <c r="R256" i="65"/>
  <c r="T193" i="65"/>
  <c r="S250" i="65"/>
  <c r="R246" i="65"/>
  <c r="R169" i="65"/>
  <c r="R168" i="65"/>
  <c r="S240" i="65"/>
  <c r="P189" i="65"/>
  <c r="T189" i="65"/>
  <c r="S215" i="65"/>
  <c r="R165" i="65"/>
  <c r="P266" i="65"/>
  <c r="R160" i="65"/>
  <c r="P154" i="65"/>
  <c r="P150" i="65"/>
  <c r="Q168" i="65"/>
  <c r="S159" i="65"/>
  <c r="P220" i="65"/>
  <c r="P147" i="65"/>
  <c r="Q147" i="65"/>
  <c r="R147" i="65"/>
  <c r="V147" i="65"/>
  <c r="Z151" i="65"/>
  <c r="Z203" i="65"/>
  <c r="V203" i="65"/>
  <c r="S203" i="65"/>
  <c r="X211" i="65"/>
  <c r="X231" i="65"/>
  <c r="W231" i="65"/>
  <c r="R243" i="65"/>
  <c r="Z243" i="65"/>
  <c r="V243" i="65"/>
  <c r="Y144" i="65"/>
  <c r="Q144" i="65"/>
  <c r="Y164" i="65"/>
  <c r="V176" i="65"/>
  <c r="S176" i="65"/>
  <c r="Y176" i="65"/>
  <c r="Z204" i="65"/>
  <c r="S204" i="65"/>
  <c r="W204" i="65"/>
  <c r="Y204" i="65"/>
  <c r="T184" i="65"/>
  <c r="Z184" i="65"/>
  <c r="Y196" i="65"/>
  <c r="X196" i="65"/>
  <c r="Z196" i="65"/>
  <c r="W260" i="65"/>
  <c r="X260" i="65"/>
  <c r="Y264" i="65"/>
  <c r="T264" i="65"/>
  <c r="X264" i="65"/>
  <c r="T143" i="65"/>
  <c r="Y143" i="65"/>
  <c r="W167" i="65"/>
  <c r="Q179" i="65"/>
  <c r="W179" i="65"/>
  <c r="V187" i="65"/>
  <c r="AB187" i="65" s="1"/>
  <c r="AH187" i="65" s="1"/>
  <c r="AN187" i="65" s="1"/>
  <c r="X195" i="65"/>
  <c r="W195" i="65"/>
  <c r="Y195" i="65"/>
  <c r="Y207" i="65"/>
  <c r="W207" i="65"/>
  <c r="V227" i="65"/>
  <c r="X259" i="65"/>
  <c r="Q224" i="65"/>
  <c r="W244" i="65"/>
  <c r="V244" i="65"/>
  <c r="W159" i="65"/>
  <c r="X159" i="65"/>
  <c r="AD159" i="65" s="1"/>
  <c r="V171" i="65"/>
  <c r="P171" i="65"/>
  <c r="X171" i="65"/>
  <c r="S171" i="65"/>
  <c r="P175" i="65"/>
  <c r="S175" i="65"/>
  <c r="T175" i="65"/>
  <c r="Y175" i="65"/>
  <c r="W183" i="65"/>
  <c r="S183" i="65"/>
  <c r="P199" i="65"/>
  <c r="W223" i="65"/>
  <c r="Y223" i="65"/>
  <c r="Z148" i="65"/>
  <c r="R148" i="65"/>
  <c r="X148" i="65"/>
  <c r="T180" i="65"/>
  <c r="V180" i="65"/>
  <c r="V200" i="65"/>
  <c r="W200" i="65"/>
  <c r="Z149" i="65"/>
  <c r="R149" i="65"/>
  <c r="Q149" i="65"/>
  <c r="W153" i="65"/>
  <c r="W157" i="65"/>
  <c r="Y177" i="65"/>
  <c r="S185" i="65"/>
  <c r="Z185" i="65"/>
  <c r="T147" i="65"/>
  <c r="Y147" i="65"/>
  <c r="S147" i="65"/>
  <c r="T151" i="65"/>
  <c r="AF151" i="65" s="1"/>
  <c r="AR151" i="65" s="1"/>
  <c r="V191" i="65"/>
  <c r="Q203" i="65"/>
  <c r="W211" i="65"/>
  <c r="Q243" i="65"/>
  <c r="T243" i="65"/>
  <c r="AF243" i="65" s="1"/>
  <c r="AR243" i="65" s="1"/>
  <c r="P144" i="65"/>
  <c r="W144" i="65"/>
  <c r="S144" i="65"/>
  <c r="Z176" i="65"/>
  <c r="X176" i="65"/>
  <c r="P204" i="65"/>
  <c r="Y184" i="65"/>
  <c r="S184" i="65"/>
  <c r="V184" i="65"/>
  <c r="P196" i="65"/>
  <c r="R196" i="65"/>
  <c r="AD196" i="65" s="1"/>
  <c r="AP196" i="65" s="1"/>
  <c r="S260" i="65"/>
  <c r="V260" i="65"/>
  <c r="T260" i="65"/>
  <c r="S264" i="65"/>
  <c r="AE264" i="65" s="1"/>
  <c r="AQ264" i="65" s="1"/>
  <c r="P143" i="65"/>
  <c r="W143" i="65"/>
  <c r="W155" i="65"/>
  <c r="V167" i="65"/>
  <c r="V179" i="65"/>
  <c r="T179" i="65"/>
  <c r="S179" i="65"/>
  <c r="X187" i="65"/>
  <c r="R187" i="65"/>
  <c r="Z195" i="65"/>
  <c r="S195" i="65"/>
  <c r="AE195" i="65" s="1"/>
  <c r="AQ195" i="65" s="1"/>
  <c r="Z227" i="65"/>
  <c r="S259" i="65"/>
  <c r="W259" i="65"/>
  <c r="T224" i="65"/>
  <c r="Y224" i="65"/>
  <c r="R224" i="65"/>
  <c r="X224" i="65"/>
  <c r="Q244" i="65"/>
  <c r="AC244" i="65" s="1"/>
  <c r="AO244" i="65" s="1"/>
  <c r="Z244" i="65"/>
  <c r="Y159" i="65"/>
  <c r="Z171" i="65"/>
  <c r="T171" i="65"/>
  <c r="Y171" i="65"/>
  <c r="V175" i="65"/>
  <c r="X175" i="65"/>
  <c r="T183" i="65"/>
  <c r="X183" i="65"/>
  <c r="V183" i="65"/>
  <c r="Q199" i="65"/>
  <c r="Z199" i="65"/>
  <c r="T199" i="65"/>
  <c r="X199" i="65"/>
  <c r="V223" i="65"/>
  <c r="T223" i="65"/>
  <c r="Q148" i="65"/>
  <c r="Y148" i="65"/>
  <c r="S180" i="65"/>
  <c r="Z180" i="65"/>
  <c r="Q180" i="65"/>
  <c r="T188" i="65"/>
  <c r="P200" i="65"/>
  <c r="R200" i="65"/>
  <c r="X200" i="65"/>
  <c r="S149" i="65"/>
  <c r="Z157" i="65"/>
  <c r="Q177" i="65"/>
  <c r="T177" i="65"/>
  <c r="R177" i="65"/>
  <c r="Q185" i="65"/>
  <c r="R185" i="65"/>
  <c r="T185" i="65"/>
  <c r="AF185" i="65" s="1"/>
  <c r="AR185" i="65" s="1"/>
  <c r="T197" i="65"/>
  <c r="R197" i="65"/>
  <c r="T205" i="65"/>
  <c r="Z205" i="65"/>
  <c r="W205" i="65"/>
  <c r="Q221" i="65"/>
  <c r="W221" i="65"/>
  <c r="V221" i="65"/>
  <c r="R221" i="65"/>
  <c r="R225" i="65"/>
  <c r="Z249" i="65"/>
  <c r="Y253" i="65"/>
  <c r="W261" i="65"/>
  <c r="T261" i="65"/>
  <c r="Q265" i="65"/>
  <c r="Z265" i="65"/>
  <c r="R265" i="65"/>
  <c r="Y146" i="65"/>
  <c r="S146" i="65"/>
  <c r="Z150" i="65"/>
  <c r="X162" i="65"/>
  <c r="Z162" i="65"/>
  <c r="Z170" i="65"/>
  <c r="Y170" i="65"/>
  <c r="W147" i="65"/>
  <c r="X147" i="65"/>
  <c r="V151" i="65"/>
  <c r="W191" i="65"/>
  <c r="W203" i="65"/>
  <c r="P203" i="65"/>
  <c r="Y203" i="65"/>
  <c r="X203" i="65"/>
  <c r="Y211" i="65"/>
  <c r="Z211" i="65"/>
  <c r="V231" i="65"/>
  <c r="Y243" i="65"/>
  <c r="S243" i="65"/>
  <c r="P243" i="65"/>
  <c r="AB243" i="65" s="1"/>
  <c r="AN243" i="65" s="1"/>
  <c r="W243" i="65"/>
  <c r="Y255" i="65"/>
  <c r="T144" i="65"/>
  <c r="V144" i="65"/>
  <c r="X144" i="65"/>
  <c r="Z164" i="65"/>
  <c r="W164" i="65"/>
  <c r="R176" i="65"/>
  <c r="AD176" i="65" s="1"/>
  <c r="AP176" i="65" s="1"/>
  <c r="T176" i="65"/>
  <c r="AF176" i="65" s="1"/>
  <c r="AR176" i="65" s="1"/>
  <c r="Q204" i="65"/>
  <c r="R204" i="65"/>
  <c r="V216" i="65"/>
  <c r="Z220" i="65"/>
  <c r="W232" i="65"/>
  <c r="AC232" i="65" s="1"/>
  <c r="Q184" i="65"/>
  <c r="P184" i="65"/>
  <c r="AB184" i="65" s="1"/>
  <c r="AN184" i="65" s="1"/>
  <c r="X184" i="65"/>
  <c r="W196" i="65"/>
  <c r="Q196" i="65"/>
  <c r="Z252" i="65"/>
  <c r="Z260" i="65"/>
  <c r="W264" i="65"/>
  <c r="R264" i="65"/>
  <c r="P264" i="65"/>
  <c r="R143" i="65"/>
  <c r="V143" i="65"/>
  <c r="AB143" i="65" s="1"/>
  <c r="AN143" i="65" s="1"/>
  <c r="S143" i="65"/>
  <c r="Z155" i="65"/>
  <c r="X155" i="65"/>
  <c r="Z167" i="65"/>
  <c r="X167" i="65"/>
  <c r="Z179" i="65"/>
  <c r="Y179" i="65"/>
  <c r="X179" i="65"/>
  <c r="T187" i="65"/>
  <c r="Y187" i="65"/>
  <c r="T195" i="65"/>
  <c r="Q195" i="65"/>
  <c r="R195" i="65"/>
  <c r="AD195" i="65" s="1"/>
  <c r="AP195" i="65" s="1"/>
  <c r="P195" i="65"/>
  <c r="T207" i="65"/>
  <c r="Z207" i="65"/>
  <c r="S207" i="65"/>
  <c r="V207" i="65"/>
  <c r="R259" i="65"/>
  <c r="AD259" i="65" s="1"/>
  <c r="AP259" i="65" s="1"/>
  <c r="Z259" i="65"/>
  <c r="V259" i="65"/>
  <c r="Q259" i="65"/>
  <c r="AC259" i="65" s="1"/>
  <c r="AO259" i="65" s="1"/>
  <c r="T152" i="65"/>
  <c r="W152" i="65"/>
  <c r="V208" i="65"/>
  <c r="V224" i="65"/>
  <c r="Z224" i="65"/>
  <c r="W224" i="65"/>
  <c r="V236" i="65"/>
  <c r="X240" i="65"/>
  <c r="Y244" i="65"/>
  <c r="T244" i="65"/>
  <c r="AF244" i="65" s="1"/>
  <c r="AR244" i="65" s="1"/>
  <c r="P244" i="65"/>
  <c r="R171" i="65"/>
  <c r="Z175" i="65"/>
  <c r="W175" i="65"/>
  <c r="R175" i="65"/>
  <c r="Z183" i="65"/>
  <c r="W199" i="65"/>
  <c r="V199" i="65"/>
  <c r="R223" i="65"/>
  <c r="X223" i="65"/>
  <c r="S223" i="65"/>
  <c r="AE223" i="65" s="1"/>
  <c r="AQ223" i="65" s="1"/>
  <c r="P148" i="65"/>
  <c r="W148" i="65"/>
  <c r="S148" i="65"/>
  <c r="X180" i="65"/>
  <c r="Y180" i="65"/>
  <c r="Z188" i="65"/>
  <c r="AF188" i="65" s="1"/>
  <c r="AR188" i="65" s="1"/>
  <c r="S200" i="65"/>
  <c r="Q200" i="65"/>
  <c r="X149" i="65"/>
  <c r="Y149" i="65"/>
  <c r="Y153" i="65"/>
  <c r="V153" i="65"/>
  <c r="X157" i="65"/>
  <c r="V157" i="65"/>
  <c r="Y157" i="65"/>
  <c r="V177" i="65"/>
  <c r="S177" i="65"/>
  <c r="Y151" i="65"/>
  <c r="S151" i="65"/>
  <c r="Z191" i="65"/>
  <c r="T203" i="65"/>
  <c r="AF203" i="65" s="1"/>
  <c r="AR203" i="65" s="1"/>
  <c r="Y231" i="65"/>
  <c r="X243" i="65"/>
  <c r="Z144" i="65"/>
  <c r="V204" i="65"/>
  <c r="Z216" i="65"/>
  <c r="V220" i="65"/>
  <c r="X232" i="65"/>
  <c r="AD232" i="65" s="1"/>
  <c r="W184" i="65"/>
  <c r="P260" i="65"/>
  <c r="Q143" i="65"/>
  <c r="AC143" i="65" s="1"/>
  <c r="AO143" i="65" s="1"/>
  <c r="V155" i="65"/>
  <c r="Y259" i="65"/>
  <c r="T259" i="65"/>
  <c r="Y208" i="65"/>
  <c r="P224" i="65"/>
  <c r="W240" i="65"/>
  <c r="R244" i="65"/>
  <c r="W171" i="65"/>
  <c r="P183" i="65"/>
  <c r="AB183" i="65" s="1"/>
  <c r="AN183" i="65" s="1"/>
  <c r="Y199" i="65"/>
  <c r="Q223" i="65"/>
  <c r="Z223" i="65"/>
  <c r="P180" i="65"/>
  <c r="T149" i="65"/>
  <c r="AF149" i="65" s="1"/>
  <c r="AR149" i="65" s="1"/>
  <c r="X177" i="65"/>
  <c r="W185" i="65"/>
  <c r="Q197" i="65"/>
  <c r="V205" i="65"/>
  <c r="R205" i="65"/>
  <c r="Y205" i="65"/>
  <c r="Y213" i="65"/>
  <c r="S221" i="65"/>
  <c r="X221" i="65"/>
  <c r="T221" i="65"/>
  <c r="W225" i="65"/>
  <c r="Y225" i="65"/>
  <c r="V233" i="65"/>
  <c r="V241" i="65"/>
  <c r="X249" i="65"/>
  <c r="V253" i="65"/>
  <c r="S261" i="65"/>
  <c r="X261" i="65"/>
  <c r="T265" i="65"/>
  <c r="S150" i="65"/>
  <c r="Y162" i="65"/>
  <c r="X166" i="65"/>
  <c r="Q170" i="65"/>
  <c r="W170" i="65"/>
  <c r="Q178" i="65"/>
  <c r="S178" i="65"/>
  <c r="T178" i="65"/>
  <c r="P178" i="65"/>
  <c r="P182" i="65"/>
  <c r="V182" i="65"/>
  <c r="Q186" i="65"/>
  <c r="T186" i="65"/>
  <c r="V186" i="65"/>
  <c r="AB186" i="65" s="1"/>
  <c r="AN186" i="65" s="1"/>
  <c r="Q202" i="65"/>
  <c r="Y230" i="65"/>
  <c r="Y234" i="65"/>
  <c r="Z242" i="65"/>
  <c r="Y242" i="65"/>
  <c r="W262" i="65"/>
  <c r="R262" i="65"/>
  <c r="Q262" i="65"/>
  <c r="Y263" i="65"/>
  <c r="T263" i="65"/>
  <c r="V263" i="65"/>
  <c r="S172" i="65"/>
  <c r="Z172" i="65"/>
  <c r="V172" i="65"/>
  <c r="T145" i="65"/>
  <c r="R145" i="65"/>
  <c r="W145" i="65"/>
  <c r="V145" i="65"/>
  <c r="R173" i="65"/>
  <c r="T173" i="65"/>
  <c r="V173" i="65"/>
  <c r="Z181" i="65"/>
  <c r="Q201" i="65"/>
  <c r="W201" i="65"/>
  <c r="Z237" i="65"/>
  <c r="W245" i="65"/>
  <c r="R245" i="65"/>
  <c r="Z245" i="65"/>
  <c r="S174" i="65"/>
  <c r="X194" i="65"/>
  <c r="T198" i="65"/>
  <c r="Q198" i="65"/>
  <c r="W206" i="65"/>
  <c r="Y206" i="65"/>
  <c r="S206" i="65"/>
  <c r="X206" i="65"/>
  <c r="Q222" i="65"/>
  <c r="R222" i="65"/>
  <c r="V222" i="65"/>
  <c r="V262" i="65"/>
  <c r="X263" i="65"/>
  <c r="W172" i="65"/>
  <c r="X228" i="65"/>
  <c r="Z145" i="65"/>
  <c r="W173" i="65"/>
  <c r="S181" i="65"/>
  <c r="Y181" i="65"/>
  <c r="T201" i="65"/>
  <c r="R201" i="65"/>
  <c r="Y201" i="65"/>
  <c r="X201" i="65"/>
  <c r="X237" i="65"/>
  <c r="Y237" i="65"/>
  <c r="AE237" i="65" s="1"/>
  <c r="Q245" i="65"/>
  <c r="AC245" i="65" s="1"/>
  <c r="P174" i="65"/>
  <c r="V194" i="65"/>
  <c r="P198" i="65"/>
  <c r="S198" i="65"/>
  <c r="Q206" i="65"/>
  <c r="Y222" i="65"/>
  <c r="X222" i="65"/>
  <c r="W165" i="65"/>
  <c r="Z193" i="65"/>
  <c r="V237" i="65"/>
  <c r="Y245" i="65"/>
  <c r="R174" i="65"/>
  <c r="Z190" i="65"/>
  <c r="W194" i="65"/>
  <c r="R198" i="65"/>
  <c r="W198" i="65"/>
  <c r="T206" i="65"/>
  <c r="T222" i="65"/>
  <c r="Q264" i="65"/>
  <c r="W227" i="65"/>
  <c r="Z152" i="65"/>
  <c r="S224" i="65"/>
  <c r="W236" i="65"/>
  <c r="Z159" i="65"/>
  <c r="V148" i="65"/>
  <c r="Z200" i="65"/>
  <c r="Y200" i="65"/>
  <c r="W169" i="65"/>
  <c r="AC169" i="65" s="1"/>
  <c r="W177" i="65"/>
  <c r="V197" i="65"/>
  <c r="W233" i="65"/>
  <c r="P261" i="65"/>
  <c r="V265" i="65"/>
  <c r="Y150" i="65"/>
  <c r="V154" i="65"/>
  <c r="P202" i="65"/>
  <c r="V210" i="65"/>
  <c r="Y258" i="65"/>
  <c r="Y266" i="65"/>
  <c r="Z219" i="65"/>
  <c r="Q263" i="65"/>
  <c r="Z263" i="65"/>
  <c r="R172" i="65"/>
  <c r="T172" i="65"/>
  <c r="Y191" i="65"/>
  <c r="X156" i="65"/>
  <c r="W176" i="65"/>
  <c r="Y216" i="65"/>
  <c r="X220" i="65"/>
  <c r="Z232" i="65"/>
  <c r="V196" i="65"/>
  <c r="R260" i="65"/>
  <c r="AD260" i="65" s="1"/>
  <c r="AP260" i="65" s="1"/>
  <c r="V264" i="65"/>
  <c r="X143" i="65"/>
  <c r="R179" i="65"/>
  <c r="Z187" i="65"/>
  <c r="AF187" i="65" s="1"/>
  <c r="AR187" i="65" s="1"/>
  <c r="V195" i="65"/>
  <c r="X207" i="65"/>
  <c r="Y227" i="65"/>
  <c r="V247" i="65"/>
  <c r="V159" i="65"/>
  <c r="Q183" i="65"/>
  <c r="AC183" i="65" s="1"/>
  <c r="AO183" i="65" s="1"/>
  <c r="R183" i="65"/>
  <c r="S199" i="65"/>
  <c r="T148" i="65"/>
  <c r="AF148" i="65" s="1"/>
  <c r="AR148" i="65" s="1"/>
  <c r="R180" i="65"/>
  <c r="T200" i="65"/>
  <c r="Z177" i="65"/>
  <c r="Y185" i="65"/>
  <c r="V185" i="65"/>
  <c r="X197" i="65"/>
  <c r="Z197" i="65"/>
  <c r="AF197" i="65" s="1"/>
  <c r="AR197" i="65" s="1"/>
  <c r="W197" i="65"/>
  <c r="X213" i="65"/>
  <c r="V213" i="65"/>
  <c r="X217" i="65"/>
  <c r="P221" i="65"/>
  <c r="AB221" i="65" s="1"/>
  <c r="AN221" i="65" s="1"/>
  <c r="T225" i="65"/>
  <c r="Q225" i="65"/>
  <c r="Y233" i="65"/>
  <c r="X233" i="65"/>
  <c r="Y241" i="65"/>
  <c r="V249" i="65"/>
  <c r="W257" i="65"/>
  <c r="R261" i="65"/>
  <c r="Z261" i="65"/>
  <c r="Y265" i="65"/>
  <c r="P265" i="65"/>
  <c r="T146" i="65"/>
  <c r="P146" i="65"/>
  <c r="R150" i="65"/>
  <c r="X154" i="65"/>
  <c r="W162" i="65"/>
  <c r="P170" i="65"/>
  <c r="V178" i="65"/>
  <c r="Y178" i="65"/>
  <c r="S182" i="65"/>
  <c r="T182" i="65"/>
  <c r="R182" i="65"/>
  <c r="S186" i="65"/>
  <c r="W186" i="65"/>
  <c r="Y202" i="65"/>
  <c r="W202" i="65"/>
  <c r="S202" i="65"/>
  <c r="Y210" i="65"/>
  <c r="AE210" i="65" s="1"/>
  <c r="V226" i="65"/>
  <c r="W226" i="65"/>
  <c r="Z230" i="65"/>
  <c r="X230" i="65"/>
  <c r="V230" i="65"/>
  <c r="W234" i="65"/>
  <c r="Z238" i="65"/>
  <c r="W242" i="65"/>
  <c r="W258" i="65"/>
  <c r="Z262" i="65"/>
  <c r="T262" i="65"/>
  <c r="X262" i="65"/>
  <c r="S263" i="65"/>
  <c r="X172" i="65"/>
  <c r="AD172" i="65" s="1"/>
  <c r="AP172" i="65" s="1"/>
  <c r="Q145" i="65"/>
  <c r="Y173" i="65"/>
  <c r="Q173" i="65"/>
  <c r="T181" i="65"/>
  <c r="W193" i="65"/>
  <c r="V174" i="65"/>
  <c r="V198" i="65"/>
  <c r="V165" i="65"/>
  <c r="W229" i="65"/>
  <c r="T174" i="65"/>
  <c r="X190" i="65"/>
  <c r="V211" i="65"/>
  <c r="W251" i="65"/>
  <c r="V255" i="65"/>
  <c r="X164" i="65"/>
  <c r="Q176" i="65"/>
  <c r="AC176" i="65" s="1"/>
  <c r="AO176" i="65" s="1"/>
  <c r="P176" i="65"/>
  <c r="AB176" i="65" s="1"/>
  <c r="AN176" i="65" s="1"/>
  <c r="X204" i="65"/>
  <c r="W220" i="65"/>
  <c r="Y232" i="65"/>
  <c r="R184" i="65"/>
  <c r="T196" i="65"/>
  <c r="S196" i="65"/>
  <c r="Y260" i="65"/>
  <c r="Z264" i="65"/>
  <c r="P179" i="65"/>
  <c r="AB179" i="65" s="1"/>
  <c r="AN179" i="65" s="1"/>
  <c r="S187" i="65"/>
  <c r="P259" i="65"/>
  <c r="X208" i="65"/>
  <c r="R199" i="65"/>
  <c r="X205" i="65"/>
  <c r="P205" i="65"/>
  <c r="Z221" i="65"/>
  <c r="W241" i="65"/>
  <c r="Z253" i="65"/>
  <c r="X146" i="65"/>
  <c r="W178" i="65"/>
  <c r="Z182" i="65"/>
  <c r="R202" i="65"/>
  <c r="Z226" i="65"/>
  <c r="Y226" i="65"/>
  <c r="Y246" i="65"/>
  <c r="Z246" i="65"/>
  <c r="X258" i="65"/>
  <c r="X266" i="65"/>
  <c r="Y219" i="65"/>
  <c r="Z147" i="65"/>
  <c r="R203" i="65"/>
  <c r="R144" i="65"/>
  <c r="V164" i="65"/>
  <c r="T204" i="65"/>
  <c r="AF204" i="65" s="1"/>
  <c r="AR204" i="65" s="1"/>
  <c r="Y252" i="65"/>
  <c r="Q260" i="65"/>
  <c r="AC260" i="65" s="1"/>
  <c r="AO260" i="65" s="1"/>
  <c r="Z143" i="65"/>
  <c r="Y155" i="65"/>
  <c r="AE155" i="65" s="1"/>
  <c r="Q207" i="65"/>
  <c r="AC207" i="65" s="1"/>
  <c r="AO207" i="65" s="1"/>
  <c r="R207" i="65"/>
  <c r="X227" i="65"/>
  <c r="X236" i="65"/>
  <c r="S244" i="65"/>
  <c r="Q171" i="65"/>
  <c r="Q175" i="65"/>
  <c r="AC175" i="65" s="1"/>
  <c r="AO175" i="65" s="1"/>
  <c r="P223" i="65"/>
  <c r="W180" i="65"/>
  <c r="W149" i="65"/>
  <c r="Z153" i="65"/>
  <c r="P177" i="65"/>
  <c r="X185" i="65"/>
  <c r="S197" i="65"/>
  <c r="Y197" i="65"/>
  <c r="S205" i="65"/>
  <c r="W213" i="65"/>
  <c r="Z213" i="65"/>
  <c r="Z225" i="65"/>
  <c r="S225" i="65"/>
  <c r="X241" i="65"/>
  <c r="Y249" i="65"/>
  <c r="X253" i="65"/>
  <c r="W253" i="65"/>
  <c r="X257" i="65"/>
  <c r="Q261" i="65"/>
  <c r="AC261" i="65" s="1"/>
  <c r="AO261" i="65" s="1"/>
  <c r="V261" i="65"/>
  <c r="S265" i="65"/>
  <c r="X265" i="65"/>
  <c r="Z146" i="65"/>
  <c r="W146" i="65"/>
  <c r="V146" i="65"/>
  <c r="Q146" i="65"/>
  <c r="T150" i="65"/>
  <c r="X150" i="65"/>
  <c r="W150" i="65"/>
  <c r="Z154" i="65"/>
  <c r="V162" i="65"/>
  <c r="Y166" i="65"/>
  <c r="R170" i="65"/>
  <c r="V170" i="65"/>
  <c r="S170" i="65"/>
  <c r="Z178" i="65"/>
  <c r="X178" i="65"/>
  <c r="R178" i="65"/>
  <c r="X182" i="65"/>
  <c r="Y182" i="65"/>
  <c r="Q182" i="65"/>
  <c r="W182" i="65"/>
  <c r="Y186" i="65"/>
  <c r="R186" i="65"/>
  <c r="X186" i="65"/>
  <c r="Z186" i="65"/>
  <c r="Z202" i="65"/>
  <c r="V202" i="65"/>
  <c r="X202" i="65"/>
  <c r="AD202" i="65" s="1"/>
  <c r="AP202" i="65" s="1"/>
  <c r="X210" i="65"/>
  <c r="T226" i="65"/>
  <c r="Z234" i="65"/>
  <c r="X234" i="65"/>
  <c r="W238" i="65"/>
  <c r="V242" i="65"/>
  <c r="X242" i="65"/>
  <c r="T246" i="65"/>
  <c r="AF246" i="65" s="1"/>
  <c r="AR246" i="65" s="1"/>
  <c r="Z250" i="65"/>
  <c r="Z258" i="65"/>
  <c r="Y262" i="65"/>
  <c r="P262" i="65"/>
  <c r="AB262" i="65" s="1"/>
  <c r="AN262" i="65" s="1"/>
  <c r="V219" i="65"/>
  <c r="X239" i="65"/>
  <c r="W263" i="65"/>
  <c r="R263" i="65"/>
  <c r="P263" i="65"/>
  <c r="W160" i="65"/>
  <c r="V160" i="65"/>
  <c r="Z160" i="65"/>
  <c r="Y172" i="65"/>
  <c r="Q172" i="65"/>
  <c r="AC172" i="65" s="1"/>
  <c r="AO172" i="65" s="1"/>
  <c r="Y192" i="65"/>
  <c r="Z192" i="65"/>
  <c r="Y228" i="65"/>
  <c r="Z228" i="65"/>
  <c r="W248" i="65"/>
  <c r="X145" i="65"/>
  <c r="Y145" i="65"/>
  <c r="Z173" i="65"/>
  <c r="P181" i="65"/>
  <c r="Q181" i="65"/>
  <c r="Y193" i="65"/>
  <c r="Z201" i="65"/>
  <c r="V201" i="65"/>
  <c r="T245" i="65"/>
  <c r="AF245" i="65" s="1"/>
  <c r="AR245" i="65" s="1"/>
  <c r="Q174" i="65"/>
  <c r="Y194" i="65"/>
  <c r="X198" i="65"/>
  <c r="Z206" i="65"/>
  <c r="S222" i="65"/>
  <c r="Y167" i="65"/>
  <c r="Y235" i="65"/>
  <c r="AE235" i="65" s="1"/>
  <c r="Y152" i="65"/>
  <c r="X244" i="65"/>
  <c r="Y183" i="65"/>
  <c r="V168" i="65"/>
  <c r="P185" i="65"/>
  <c r="P197" i="65"/>
  <c r="Q205" i="65"/>
  <c r="AC205" i="65" s="1"/>
  <c r="AO205" i="65" s="1"/>
  <c r="Y221" i="65"/>
  <c r="X225" i="65"/>
  <c r="W249" i="65"/>
  <c r="Y261" i="65"/>
  <c r="W265" i="65"/>
  <c r="R146" i="65"/>
  <c r="X170" i="65"/>
  <c r="T170" i="65"/>
  <c r="AF170" i="65" s="1"/>
  <c r="AR170" i="65" s="1"/>
  <c r="T202" i="65"/>
  <c r="Y218" i="65"/>
  <c r="W230" i="65"/>
  <c r="V234" i="65"/>
  <c r="Y238" i="65"/>
  <c r="S262" i="65"/>
  <c r="Y239" i="65"/>
  <c r="P172" i="65"/>
  <c r="AB172" i="65" s="1"/>
  <c r="AN172" i="65" s="1"/>
  <c r="X165" i="65"/>
  <c r="S173" i="65"/>
  <c r="W181" i="65"/>
  <c r="X245" i="65"/>
  <c r="W174" i="65"/>
  <c r="X174" i="65"/>
  <c r="X214" i="65"/>
  <c r="P222" i="65"/>
  <c r="W222" i="65"/>
  <c r="Z174" i="65"/>
  <c r="Z194" i="65"/>
  <c r="V206" i="65"/>
  <c r="Y198" i="65"/>
  <c r="X212" i="65"/>
  <c r="W228" i="65"/>
  <c r="P173" i="65"/>
  <c r="V193" i="65"/>
  <c r="P201" i="65"/>
  <c r="V229" i="65"/>
  <c r="V190" i="65"/>
  <c r="AB190" i="65" s="1"/>
  <c r="P145" i="65"/>
  <c r="V228" i="65"/>
  <c r="X173" i="65"/>
  <c r="V181" i="65"/>
  <c r="X181" i="65"/>
  <c r="Z229" i="65"/>
  <c r="W237" i="65"/>
  <c r="S245" i="65"/>
  <c r="Y174" i="65"/>
  <c r="Z198" i="65"/>
  <c r="R206" i="65"/>
  <c r="Z222" i="65"/>
  <c r="S145" i="65"/>
  <c r="R181" i="65"/>
  <c r="S201" i="65"/>
  <c r="P206" i="65"/>
  <c r="Z168" i="65"/>
  <c r="X226" i="65"/>
  <c r="X161" i="65"/>
  <c r="X238" i="65"/>
  <c r="V158" i="65"/>
  <c r="W161" i="65"/>
  <c r="Y217" i="65"/>
  <c r="W254" i="65"/>
  <c r="V256" i="65"/>
  <c r="Z256" i="65"/>
  <c r="Z254" i="65"/>
  <c r="Y250" i="65"/>
  <c r="Z217" i="65"/>
  <c r="Y168" i="65"/>
  <c r="V218" i="65"/>
  <c r="V149" i="65"/>
  <c r="X229" i="65"/>
  <c r="X248" i="65"/>
  <c r="W239" i="65"/>
  <c r="X254" i="65"/>
  <c r="W190" i="65"/>
  <c r="X192" i="65"/>
  <c r="W266" i="65"/>
  <c r="X250" i="65"/>
  <c r="V166" i="65"/>
  <c r="Y154" i="65"/>
  <c r="Z257" i="65"/>
  <c r="Z241" i="65"/>
  <c r="Z233" i="65"/>
  <c r="AF233" i="65" s="1"/>
  <c r="V189" i="65"/>
  <c r="AB189" i="65" s="1"/>
  <c r="X247" i="65"/>
  <c r="W156" i="65"/>
  <c r="X153" i="65"/>
  <c r="Y236" i="65"/>
  <c r="V235" i="65"/>
  <c r="AB235" i="65" s="1"/>
  <c r="W187" i="65"/>
  <c r="V232" i="65"/>
  <c r="Z156" i="65"/>
  <c r="AF156" i="65" s="1"/>
  <c r="Z255" i="65"/>
  <c r="Z235" i="65"/>
  <c r="Y220" i="65"/>
  <c r="W255" i="65"/>
  <c r="Y247" i="65"/>
  <c r="W256" i="65"/>
  <c r="Y163" i="65"/>
  <c r="W216" i="65"/>
  <c r="V240" i="65"/>
  <c r="X193" i="65"/>
  <c r="Z239" i="65"/>
  <c r="Y158" i="65"/>
  <c r="V212" i="65"/>
  <c r="W151" i="65"/>
  <c r="V225" i="65"/>
  <c r="AB225" i="65" s="1"/>
  <c r="AN225" i="65" s="1"/>
  <c r="X251" i="65"/>
  <c r="V163" i="65"/>
  <c r="X188" i="65"/>
  <c r="V214" i="65"/>
  <c r="X218" i="65"/>
  <c r="Y169" i="65"/>
  <c r="Y189" i="65"/>
  <c r="X215" i="65"/>
  <c r="Y214" i="65"/>
  <c r="AE214" i="65" s="1"/>
  <c r="Y160" i="65"/>
  <c r="V248" i="65"/>
  <c r="Z218" i="65"/>
  <c r="W154" i="65"/>
  <c r="W252" i="65"/>
  <c r="V245" i="65"/>
  <c r="X246" i="65"/>
  <c r="Y190" i="65"/>
  <c r="V161" i="65"/>
  <c r="X158" i="65"/>
  <c r="Y212" i="65"/>
  <c r="Y254" i="65"/>
  <c r="Z251" i="65"/>
  <c r="X191" i="65"/>
  <c r="W163" i="65"/>
  <c r="V188" i="65"/>
  <c r="AB188" i="65" s="1"/>
  <c r="X256" i="65"/>
  <c r="Z231" i="65"/>
  <c r="X160" i="65"/>
  <c r="Z169" i="65"/>
  <c r="W168" i="65"/>
  <c r="W215" i="65"/>
  <c r="Y165" i="65"/>
  <c r="V257" i="65"/>
  <c r="Z247" i="65"/>
  <c r="Y215" i="65"/>
  <c r="Z236" i="65"/>
  <c r="Z240" i="65"/>
  <c r="Z208" i="65"/>
  <c r="W235" i="65"/>
  <c r="X151" i="65"/>
  <c r="W166" i="65"/>
  <c r="X152" i="65"/>
  <c r="Z266" i="65"/>
  <c r="Y161" i="65"/>
  <c r="W158" i="65"/>
  <c r="V258" i="65"/>
  <c r="W218" i="65"/>
  <c r="X189" i="65"/>
  <c r="V251" i="65"/>
  <c r="Y188" i="65"/>
  <c r="Z248" i="65"/>
  <c r="W217" i="65"/>
  <c r="X169" i="65"/>
  <c r="V239" i="65"/>
  <c r="Z210" i="65"/>
  <c r="Z166" i="65"/>
  <c r="X235" i="65"/>
  <c r="Y156" i="65"/>
  <c r="Z209" i="65"/>
  <c r="AF209" i="65" s="1"/>
  <c r="Z158" i="65"/>
  <c r="W212" i="65"/>
  <c r="V215" i="65"/>
  <c r="V266" i="65"/>
  <c r="V246" i="65"/>
  <c r="Z189" i="65"/>
  <c r="Y251" i="65"/>
  <c r="Z163" i="65"/>
  <c r="W188" i="65"/>
  <c r="X219" i="65"/>
  <c r="V217" i="65"/>
  <c r="W209" i="65"/>
  <c r="V169" i="65"/>
  <c r="X168" i="65"/>
  <c r="Z215" i="65"/>
  <c r="X252" i="65"/>
  <c r="Z214" i="65"/>
  <c r="W214" i="65"/>
  <c r="Y229" i="65"/>
  <c r="Z165" i="65"/>
  <c r="V192" i="65"/>
  <c r="W219" i="65"/>
  <c r="W246" i="65"/>
  <c r="W210" i="65"/>
  <c r="Y257" i="65"/>
  <c r="X209" i="65"/>
  <c r="W247" i="65"/>
  <c r="Y240" i="65"/>
  <c r="V252" i="65"/>
  <c r="W208" i="65"/>
  <c r="V250" i="65"/>
  <c r="Z161" i="65"/>
  <c r="Z212" i="65"/>
  <c r="V254" i="65"/>
  <c r="X216" i="65"/>
  <c r="X163" i="65"/>
  <c r="Y256" i="65"/>
  <c r="W250" i="65"/>
  <c r="V209" i="65"/>
  <c r="W189" i="65"/>
  <c r="Y248" i="65"/>
  <c r="W192" i="65"/>
  <c r="V238" i="65"/>
  <c r="V150" i="65"/>
  <c r="AB150" i="65" s="1"/>
  <c r="Y209" i="65"/>
  <c r="V156" i="65"/>
  <c r="V152" i="65"/>
  <c r="X255"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J273" i="65"/>
  <c r="K273" i="65"/>
  <c r="L273" i="65"/>
  <c r="Q57" i="66"/>
  <c r="M54" i="37"/>
  <c r="N42" i="66"/>
  <c r="J42" i="37"/>
  <c r="L52" i="66"/>
  <c r="H49" i="37"/>
  <c r="Q45" i="66"/>
  <c r="M45" i="37"/>
  <c r="N41" i="66"/>
  <c r="J41" i="37"/>
  <c r="P44" i="66"/>
  <c r="L44" i="37"/>
  <c r="N54" i="66"/>
  <c r="J51" i="37"/>
  <c r="M187" i="50"/>
  <c r="P187" i="50" s="1"/>
  <c r="M194" i="50"/>
  <c r="P194" i="50" s="1"/>
  <c r="J50" i="66"/>
  <c r="J28" i="25"/>
  <c r="N195" i="50"/>
  <c r="Q195" i="50" s="1"/>
  <c r="S195" i="50" s="1"/>
  <c r="N188" i="50"/>
  <c r="Q188" i="50" s="1"/>
  <c r="S188" i="50" s="1"/>
  <c r="L50" i="42"/>
  <c r="O55" i="66"/>
  <c r="M59" i="24"/>
  <c r="L51" i="66"/>
  <c r="P73" i="65"/>
  <c r="Q73" i="65"/>
  <c r="R114" i="65"/>
  <c r="R115" i="65"/>
  <c r="P58" i="65"/>
  <c r="T82" i="65"/>
  <c r="P117" i="65"/>
  <c r="S77" i="65"/>
  <c r="P77" i="65"/>
  <c r="Q79" i="65"/>
  <c r="P62" i="65"/>
  <c r="R71" i="65"/>
  <c r="S79" i="65"/>
  <c r="P130" i="65"/>
  <c r="Q130" i="65"/>
  <c r="R62" i="65"/>
  <c r="Q77" i="65"/>
  <c r="S116" i="65"/>
  <c r="Q64" i="65"/>
  <c r="Q67" i="65"/>
  <c r="T65" i="65"/>
  <c r="S75" i="65"/>
  <c r="T117" i="65"/>
  <c r="P132" i="65"/>
  <c r="S140" i="65"/>
  <c r="S126" i="65"/>
  <c r="Q75" i="65"/>
  <c r="T81" i="65"/>
  <c r="S67" i="65"/>
  <c r="Q114" i="65"/>
  <c r="P110" i="65"/>
  <c r="P114" i="65"/>
  <c r="R117" i="65"/>
  <c r="P75" i="65"/>
  <c r="P108" i="65"/>
  <c r="Q60" i="65"/>
  <c r="R65" i="65"/>
  <c r="Q62" i="65"/>
  <c r="R75" i="65"/>
  <c r="P82" i="65"/>
  <c r="Q66" i="65"/>
  <c r="Q81" i="65"/>
  <c r="R66" i="65"/>
  <c r="R70" i="65"/>
  <c r="T73" i="65"/>
  <c r="T62" i="65"/>
  <c r="P70" i="65"/>
  <c r="T70" i="65"/>
  <c r="S62" i="65"/>
  <c r="Q70" i="65"/>
  <c r="P66" i="65"/>
  <c r="S78" i="65"/>
  <c r="R140" i="65"/>
  <c r="T80" i="65"/>
  <c r="S71" i="65"/>
  <c r="S111" i="65"/>
  <c r="T110" i="65"/>
  <c r="T118" i="65"/>
  <c r="S124" i="65"/>
  <c r="Q140" i="65"/>
  <c r="R81" i="65"/>
  <c r="R67" i="65"/>
  <c r="Q84" i="65"/>
  <c r="S118" i="65"/>
  <c r="R132" i="65"/>
  <c r="T67" i="65"/>
  <c r="Q80" i="65"/>
  <c r="P84" i="65"/>
  <c r="Q117" i="65"/>
  <c r="R112" i="65"/>
  <c r="R116" i="65"/>
  <c r="S65" i="65"/>
  <c r="Q110" i="65"/>
  <c r="T78" i="65"/>
  <c r="R77" i="65"/>
  <c r="S110" i="65"/>
  <c r="P64" i="65"/>
  <c r="R118" i="65"/>
  <c r="R84" i="65"/>
  <c r="T71" i="65"/>
  <c r="P124" i="65"/>
  <c r="T79" i="65"/>
  <c r="R69" i="65"/>
  <c r="P79" i="65"/>
  <c r="T76" i="65"/>
  <c r="S76" i="65"/>
  <c r="Q78" i="65"/>
  <c r="T124" i="65"/>
  <c r="T126" i="65"/>
  <c r="Q76" i="65"/>
  <c r="R76" i="65"/>
  <c r="Q71" i="65"/>
  <c r="S70" i="65"/>
  <c r="T114" i="65"/>
  <c r="Q124" i="65"/>
  <c r="P67" i="65"/>
  <c r="P112" i="65"/>
  <c r="Q118" i="65"/>
  <c r="S112" i="65"/>
  <c r="S81" i="65"/>
  <c r="R109" i="65"/>
  <c r="T111" i="65"/>
  <c r="T116" i="65"/>
  <c r="Q109" i="65"/>
  <c r="P60" i="65"/>
  <c r="T69" i="65"/>
  <c r="P69" i="65"/>
  <c r="S82" i="65"/>
  <c r="P115" i="65"/>
  <c r="R111" i="65"/>
  <c r="Q65" i="65"/>
  <c r="T77" i="65"/>
  <c r="Q116" i="65"/>
  <c r="T64" i="65"/>
  <c r="P71" i="65"/>
  <c r="Q115" i="65"/>
  <c r="Q132" i="65"/>
  <c r="P126" i="65"/>
  <c r="P116" i="65"/>
  <c r="P118" i="65"/>
  <c r="Q112" i="65"/>
  <c r="S80" i="65"/>
  <c r="S117" i="65"/>
  <c r="S109" i="65"/>
  <c r="T112" i="65"/>
  <c r="P111" i="65"/>
  <c r="S73" i="65"/>
  <c r="R73" i="65"/>
  <c r="T130" i="65"/>
  <c r="Q83" i="65"/>
  <c r="S69" i="65"/>
  <c r="R64" i="65"/>
  <c r="P83" i="65"/>
  <c r="R78" i="65"/>
  <c r="S64" i="65"/>
  <c r="P78" i="65"/>
  <c r="P109" i="65"/>
  <c r="S66" i="65"/>
  <c r="T75" i="65"/>
  <c r="P80" i="65"/>
  <c r="T84" i="65"/>
  <c r="S115" i="65"/>
  <c r="S132" i="65"/>
  <c r="Q126" i="65"/>
  <c r="R113" i="65"/>
  <c r="R130" i="65"/>
  <c r="P76" i="65"/>
  <c r="R80" i="65"/>
  <c r="Q113" i="65"/>
  <c r="R110" i="65"/>
  <c r="R79" i="65"/>
  <c r="P113" i="65"/>
  <c r="R126" i="65"/>
  <c r="T132" i="65"/>
  <c r="T83" i="65"/>
  <c r="S83" i="65"/>
  <c r="Q82" i="65"/>
  <c r="R82" i="65"/>
  <c r="S130" i="65"/>
  <c r="P140" i="65"/>
  <c r="S114" i="65"/>
  <c r="P65" i="65"/>
  <c r="S84" i="65"/>
  <c r="R124" i="65"/>
  <c r="Q107" i="65"/>
  <c r="Q111" i="65"/>
  <c r="T113" i="65"/>
  <c r="R83" i="65"/>
  <c r="S113" i="65"/>
  <c r="R60" i="65"/>
  <c r="T66" i="65"/>
  <c r="P81" i="65"/>
  <c r="T115" i="65"/>
  <c r="P106" i="65"/>
  <c r="Q129" i="65"/>
  <c r="Q69" i="65"/>
  <c r="P107" i="65"/>
  <c r="Q141" i="65"/>
  <c r="T141" i="65"/>
  <c r="R141" i="65"/>
  <c r="R131" i="65"/>
  <c r="Q63" i="65"/>
  <c r="Q74" i="65"/>
  <c r="R68" i="65"/>
  <c r="P68" i="65"/>
  <c r="S63" i="65"/>
  <c r="T127" i="65"/>
  <c r="T123" i="65"/>
  <c r="Q68" i="65"/>
  <c r="R129" i="65"/>
  <c r="R127" i="65"/>
  <c r="T68" i="65"/>
  <c r="R108" i="65"/>
  <c r="S141" i="65"/>
  <c r="R61" i="65"/>
  <c r="P74" i="65"/>
  <c r="S61" i="65"/>
  <c r="Q127" i="65"/>
  <c r="P63" i="65"/>
  <c r="T131" i="65"/>
  <c r="Q72" i="65"/>
  <c r="S127" i="65"/>
  <c r="R123" i="65"/>
  <c r="P59" i="65"/>
  <c r="T72" i="65"/>
  <c r="Q123" i="65"/>
  <c r="Q108" i="65"/>
  <c r="S131" i="65"/>
  <c r="Q61" i="65"/>
  <c r="R72" i="65"/>
  <c r="Q59" i="65"/>
  <c r="P123" i="65"/>
  <c r="P61" i="65"/>
  <c r="T74" i="65"/>
  <c r="T63" i="65"/>
  <c r="T129" i="65"/>
  <c r="P72" i="65"/>
  <c r="S74" i="65"/>
  <c r="S68" i="65"/>
  <c r="P141" i="65"/>
  <c r="P127" i="65"/>
  <c r="P131" i="65"/>
  <c r="S72" i="65"/>
  <c r="R63" i="65"/>
  <c r="P129" i="65"/>
  <c r="Q131" i="65"/>
  <c r="S123" i="65"/>
  <c r="S129" i="65"/>
  <c r="R74" i="65"/>
  <c r="P97" i="65"/>
  <c r="Z88" i="65"/>
  <c r="Q120" i="65"/>
  <c r="S121" i="65"/>
  <c r="T94" i="65"/>
  <c r="X94" i="65"/>
  <c r="V136" i="65"/>
  <c r="S128" i="65"/>
  <c r="P128" i="65"/>
  <c r="Q128" i="65"/>
  <c r="X134" i="65"/>
  <c r="T134" i="65"/>
  <c r="V134" i="65"/>
  <c r="Y121" i="65"/>
  <c r="T119" i="65"/>
  <c r="W119" i="65"/>
  <c r="Q122" i="65"/>
  <c r="P120" i="65"/>
  <c r="R99" i="65"/>
  <c r="W90" i="65"/>
  <c r="X90" i="65"/>
  <c r="V90" i="65"/>
  <c r="W122" i="65"/>
  <c r="Z97" i="65"/>
  <c r="W92" i="65"/>
  <c r="X92" i="65"/>
  <c r="V92" i="65"/>
  <c r="P95" i="65"/>
  <c r="S95" i="65"/>
  <c r="W95" i="65"/>
  <c r="R86" i="65"/>
  <c r="S86" i="65"/>
  <c r="T86" i="65"/>
  <c r="Y88" i="65"/>
  <c r="Y60" i="65"/>
  <c r="S54" i="65"/>
  <c r="P54" i="65"/>
  <c r="Q54" i="65"/>
  <c r="Q94" i="65"/>
  <c r="W97" i="65"/>
  <c r="W134" i="65"/>
  <c r="T97" i="65"/>
  <c r="S122" i="65"/>
  <c r="Z99" i="65"/>
  <c r="Y97" i="65"/>
  <c r="R54" i="65"/>
  <c r="X136" i="65"/>
  <c r="Y136" i="65"/>
  <c r="T128" i="65"/>
  <c r="Z128" i="65"/>
  <c r="X142" i="65"/>
  <c r="P134" i="65"/>
  <c r="Z134" i="65"/>
  <c r="Z140" i="65"/>
  <c r="R134" i="65"/>
  <c r="R121" i="65"/>
  <c r="Z120" i="65"/>
  <c r="R119" i="65"/>
  <c r="Y99" i="65"/>
  <c r="T90" i="65"/>
  <c r="W102" i="65"/>
  <c r="R122" i="65"/>
  <c r="V105" i="65"/>
  <c r="S97" i="65"/>
  <c r="Q97" i="65"/>
  <c r="R92" i="65"/>
  <c r="AD92" i="65" s="1"/>
  <c r="Y92" i="65"/>
  <c r="T95" i="65"/>
  <c r="X86" i="65"/>
  <c r="P86" i="65"/>
  <c r="Y105" i="65"/>
  <c r="P88" i="65"/>
  <c r="Y94" i="65"/>
  <c r="X56" i="65"/>
  <c r="T56" i="65"/>
  <c r="V56" i="65"/>
  <c r="T60" i="65"/>
  <c r="P94" i="65"/>
  <c r="V94" i="65"/>
  <c r="X128" i="65"/>
  <c r="Y128" i="65"/>
  <c r="P142" i="65"/>
  <c r="S134" i="65"/>
  <c r="Y134" i="65"/>
  <c r="R142" i="65"/>
  <c r="T140" i="65"/>
  <c r="AF140" i="65" s="1"/>
  <c r="P121" i="65"/>
  <c r="W121" i="65"/>
  <c r="P119" i="65"/>
  <c r="X95" i="65"/>
  <c r="Z122" i="65"/>
  <c r="T120" i="65"/>
  <c r="Z119" i="65"/>
  <c r="X122" i="65"/>
  <c r="X119" i="65"/>
  <c r="Q99" i="65"/>
  <c r="S90" i="65"/>
  <c r="P90" i="65"/>
  <c r="AB90" i="65" s="1"/>
  <c r="Q90" i="65"/>
  <c r="P122" i="65"/>
  <c r="V122" i="65"/>
  <c r="Z109" i="65"/>
  <c r="T136" i="65"/>
  <c r="V128" i="65"/>
  <c r="Q142" i="65"/>
  <c r="W136" i="65"/>
  <c r="R120" i="65"/>
  <c r="S99" i="65"/>
  <c r="P99" i="65"/>
  <c r="Y122" i="65"/>
  <c r="Q121" i="65"/>
  <c r="Z90" i="65"/>
  <c r="X97" i="65"/>
  <c r="S92" i="65"/>
  <c r="P92" i="65"/>
  <c r="AB92" i="65" s="1"/>
  <c r="Y95" i="65"/>
  <c r="Q95" i="65"/>
  <c r="W86" i="65"/>
  <c r="Q86" i="65"/>
  <c r="W94" i="65"/>
  <c r="W73" i="65"/>
  <c r="Q56" i="65"/>
  <c r="V54" i="65"/>
  <c r="Z94" i="65"/>
  <c r="V95" i="65"/>
  <c r="Z86" i="65"/>
  <c r="Q92" i="65"/>
  <c r="S119" i="65"/>
  <c r="Z103" i="65"/>
  <c r="W105" i="65"/>
  <c r="T105" i="65"/>
  <c r="R95" i="65"/>
  <c r="V142" i="65"/>
  <c r="Q134" i="65"/>
  <c r="T121" i="65"/>
  <c r="Y119" i="65"/>
  <c r="Z106" i="65"/>
  <c r="W120" i="65"/>
  <c r="X120" i="65"/>
  <c r="X99" i="65"/>
  <c r="V99" i="65"/>
  <c r="X102" i="65"/>
  <c r="V120" i="65"/>
  <c r="V118" i="65"/>
  <c r="X98" i="65"/>
  <c r="V86" i="65"/>
  <c r="R105" i="65"/>
  <c r="R97" i="65"/>
  <c r="R88" i="65"/>
  <c r="S88" i="65"/>
  <c r="AE88" i="65" s="1"/>
  <c r="T88" i="65"/>
  <c r="S94" i="65"/>
  <c r="P56" i="65"/>
  <c r="Z56" i="65"/>
  <c r="W56" i="65"/>
  <c r="T54" i="65"/>
  <c r="Z54" i="65"/>
  <c r="Z92" i="65"/>
  <c r="Q88" i="65"/>
  <c r="S120" i="65"/>
  <c r="Z60" i="65"/>
  <c r="R128" i="65"/>
  <c r="Z136" i="65"/>
  <c r="S142" i="65"/>
  <c r="W128" i="65"/>
  <c r="X106" i="65"/>
  <c r="Q119" i="65"/>
  <c r="X121" i="65"/>
  <c r="R90" i="65"/>
  <c r="AD90" i="65" s="1"/>
  <c r="Q102" i="65"/>
  <c r="T102" i="65"/>
  <c r="T109" i="65"/>
  <c r="V98" i="65"/>
  <c r="X105" i="65"/>
  <c r="Z96" i="65"/>
  <c r="Z95" i="65"/>
  <c r="Y86" i="65"/>
  <c r="Y101" i="65"/>
  <c r="W88" i="65"/>
  <c r="X88" i="65"/>
  <c r="V88" i="65"/>
  <c r="V73" i="65"/>
  <c r="S56" i="65"/>
  <c r="Y56" i="65"/>
  <c r="S60" i="65"/>
  <c r="X54" i="65"/>
  <c r="Y54" i="65"/>
  <c r="T99" i="65"/>
  <c r="AF99" i="65" s="1"/>
  <c r="T142" i="65"/>
  <c r="Y120" i="65"/>
  <c r="W99" i="65"/>
  <c r="Y90" i="65"/>
  <c r="V102" i="65"/>
  <c r="P102" i="65"/>
  <c r="T122" i="65"/>
  <c r="AF122" i="65" s="1"/>
  <c r="Z121" i="65"/>
  <c r="V121" i="65"/>
  <c r="V119" i="65"/>
  <c r="Z98" i="65"/>
  <c r="V97" i="65"/>
  <c r="T92" i="65"/>
  <c r="X96" i="65"/>
  <c r="R94" i="65"/>
  <c r="R56" i="65"/>
  <c r="X75" i="65"/>
  <c r="Y140" i="65"/>
  <c r="X101" i="65"/>
  <c r="Z107" i="65"/>
  <c r="W76" i="65"/>
  <c r="S98" i="65"/>
  <c r="W77" i="65"/>
  <c r="Z138" i="65"/>
  <c r="R102" i="65"/>
  <c r="Z105" i="65"/>
  <c r="Q105" i="65"/>
  <c r="W54" i="65"/>
  <c r="Q52" i="65"/>
  <c r="W103" i="65"/>
  <c r="Q96" i="65"/>
  <c r="P103" i="65"/>
  <c r="R101" i="65"/>
  <c r="R107" i="65"/>
  <c r="V113" i="65"/>
  <c r="V115" i="65"/>
  <c r="X138" i="65"/>
  <c r="Z52" i="65"/>
  <c r="Q103" i="65"/>
  <c r="T52" i="65"/>
  <c r="P138" i="65"/>
  <c r="X140" i="65"/>
  <c r="X79" i="65"/>
  <c r="Y58" i="65"/>
  <c r="S58" i="65"/>
  <c r="Y83" i="65"/>
  <c r="W82" i="65"/>
  <c r="X83" i="65"/>
  <c r="Y113" i="65"/>
  <c r="R96" i="65"/>
  <c r="AD96" i="65" s="1"/>
  <c r="W78" i="65"/>
  <c r="V110" i="65"/>
  <c r="R52" i="65"/>
  <c r="W114" i="65"/>
  <c r="V78" i="65"/>
  <c r="V58" i="65"/>
  <c r="V82" i="65"/>
  <c r="Z78" i="65"/>
  <c r="X115" i="65"/>
  <c r="X124" i="65"/>
  <c r="Y130" i="65"/>
  <c r="Y57" i="65"/>
  <c r="V139" i="65"/>
  <c r="W139" i="65"/>
  <c r="X139" i="65"/>
  <c r="T139" i="65"/>
  <c r="Z61" i="65"/>
  <c r="Z71" i="65"/>
  <c r="W65" i="65"/>
  <c r="Y85" i="65"/>
  <c r="Z85" i="65"/>
  <c r="W85" i="65"/>
  <c r="Y93" i="65"/>
  <c r="Z93" i="65"/>
  <c r="Z76" i="65"/>
  <c r="W109" i="65"/>
  <c r="X112" i="65"/>
  <c r="X116" i="65"/>
  <c r="T125" i="65"/>
  <c r="T133" i="65"/>
  <c r="T87" i="65"/>
  <c r="V87" i="65"/>
  <c r="W113" i="65"/>
  <c r="Y124" i="65"/>
  <c r="S100" i="65"/>
  <c r="T100" i="65"/>
  <c r="Q53" i="65"/>
  <c r="R53" i="65"/>
  <c r="S53" i="65"/>
  <c r="T53" i="65"/>
  <c r="T91" i="65"/>
  <c r="V91" i="65"/>
  <c r="T89" i="65"/>
  <c r="V89" i="65"/>
  <c r="V112" i="65"/>
  <c r="Q104" i="65"/>
  <c r="R104" i="65"/>
  <c r="Y104" i="65"/>
  <c r="Z118" i="65"/>
  <c r="V135" i="65"/>
  <c r="W135" i="65"/>
  <c r="X135" i="65"/>
  <c r="Z112" i="65"/>
  <c r="V81" i="65"/>
  <c r="Z55" i="65"/>
  <c r="T55" i="65"/>
  <c r="R59" i="65"/>
  <c r="X59" i="65"/>
  <c r="S59" i="65"/>
  <c r="V66" i="65"/>
  <c r="X71" i="65"/>
  <c r="Z126" i="65"/>
  <c r="P101" i="65"/>
  <c r="W132" i="65"/>
  <c r="Q106" i="65"/>
  <c r="Z77" i="65"/>
  <c r="Z102" i="65"/>
  <c r="Y80" i="65"/>
  <c r="Y142" i="65"/>
  <c r="X52" i="65"/>
  <c r="P105" i="65"/>
  <c r="S52" i="65"/>
  <c r="S96" i="65"/>
  <c r="Y77" i="65"/>
  <c r="S101" i="65"/>
  <c r="P52" i="65"/>
  <c r="Y73" i="65"/>
  <c r="S107" i="65"/>
  <c r="Q136" i="65"/>
  <c r="Y103" i="65"/>
  <c r="X126" i="65"/>
  <c r="V114" i="65"/>
  <c r="V79" i="65"/>
  <c r="X84" i="65"/>
  <c r="Z83" i="65"/>
  <c r="W84" i="65"/>
  <c r="V83" i="65"/>
  <c r="Z130" i="65"/>
  <c r="P98" i="65"/>
  <c r="Y98" i="65"/>
  <c r="Y114" i="65"/>
  <c r="R138" i="65"/>
  <c r="Z124" i="65"/>
  <c r="X64" i="65"/>
  <c r="X70" i="65"/>
  <c r="W118" i="65"/>
  <c r="X130" i="65"/>
  <c r="W58" i="65"/>
  <c r="Q57" i="65"/>
  <c r="R57" i="65"/>
  <c r="S57" i="65"/>
  <c r="P57" i="65"/>
  <c r="Q139" i="65"/>
  <c r="Z64" i="65"/>
  <c r="T61" i="65"/>
  <c r="AF61" i="65" s="1"/>
  <c r="Y66" i="65"/>
  <c r="X67" i="65"/>
  <c r="Y70" i="65"/>
  <c r="Z81" i="65"/>
  <c r="S85" i="65"/>
  <c r="T93" i="65"/>
  <c r="S93" i="65"/>
  <c r="R93" i="65"/>
  <c r="Z115" i="65"/>
  <c r="Z125" i="65"/>
  <c r="W125" i="65"/>
  <c r="X125" i="65"/>
  <c r="Y125" i="65"/>
  <c r="S87" i="65"/>
  <c r="X87" i="65"/>
  <c r="V100" i="65"/>
  <c r="X100" i="65"/>
  <c r="V53" i="65"/>
  <c r="Q91" i="65"/>
  <c r="S89" i="65"/>
  <c r="X89" i="65"/>
  <c r="V104" i="65"/>
  <c r="T104" i="65"/>
  <c r="S135" i="65"/>
  <c r="Y109" i="65"/>
  <c r="Y112" i="65"/>
  <c r="W116" i="65"/>
  <c r="W75" i="65"/>
  <c r="V80" i="65"/>
  <c r="Y59" i="65"/>
  <c r="X66" i="65"/>
  <c r="W83" i="65"/>
  <c r="Z113" i="65"/>
  <c r="Q137" i="65"/>
  <c r="R137" i="65"/>
  <c r="S137" i="65"/>
  <c r="T137" i="65"/>
  <c r="V109" i="65"/>
  <c r="Z110" i="65"/>
  <c r="Y132" i="65"/>
  <c r="W101" i="65"/>
  <c r="T107" i="65"/>
  <c r="T106" i="65"/>
  <c r="W142" i="65"/>
  <c r="S105" i="65"/>
  <c r="Z142" i="65"/>
  <c r="Y81" i="65"/>
  <c r="X103" i="65"/>
  <c r="V96" i="65"/>
  <c r="T96" i="65"/>
  <c r="Y96" i="65"/>
  <c r="Q101" i="65"/>
  <c r="P136" i="65"/>
  <c r="X107" i="65"/>
  <c r="Q98" i="65"/>
  <c r="W112" i="65"/>
  <c r="Z73" i="65"/>
  <c r="V77" i="65"/>
  <c r="V101" i="65"/>
  <c r="W52" i="65"/>
  <c r="W106" i="65"/>
  <c r="V140" i="65"/>
  <c r="R103" i="65"/>
  <c r="Q138" i="65"/>
  <c r="V103" i="65"/>
  <c r="X58" i="65"/>
  <c r="X132" i="65"/>
  <c r="T58" i="65"/>
  <c r="X62" i="65"/>
  <c r="Y84" i="65"/>
  <c r="X117" i="65"/>
  <c r="V117" i="65"/>
  <c r="V132" i="65"/>
  <c r="W124" i="65"/>
  <c r="Q58" i="65"/>
  <c r="V57" i="65"/>
  <c r="S139" i="65"/>
  <c r="P139" i="65"/>
  <c r="Y64" i="65"/>
  <c r="T85" i="65"/>
  <c r="AF85" i="65" s="1"/>
  <c r="AR85" i="65" s="1"/>
  <c r="W93" i="65"/>
  <c r="Z111" i="65"/>
  <c r="V125" i="65"/>
  <c r="P125" i="65"/>
  <c r="Z133" i="65"/>
  <c r="Y87" i="65"/>
  <c r="Q100" i="65"/>
  <c r="X53" i="65"/>
  <c r="Z91" i="65"/>
  <c r="W91" i="65"/>
  <c r="P89" i="65"/>
  <c r="AB89" i="65" s="1"/>
  <c r="Z89" i="65"/>
  <c r="V116" i="65"/>
  <c r="P104" i="65"/>
  <c r="AB104" i="65" s="1"/>
  <c r="T135" i="65"/>
  <c r="Y110" i="65"/>
  <c r="Y116" i="65"/>
  <c r="W140" i="65"/>
  <c r="Z108" i="65"/>
  <c r="T108" i="65"/>
  <c r="W60" i="65"/>
  <c r="X80" i="65"/>
  <c r="W62" i="65"/>
  <c r="V67" i="65"/>
  <c r="V65" i="65"/>
  <c r="X114" i="65"/>
  <c r="W137" i="65"/>
  <c r="Y126" i="65"/>
  <c r="Y62" i="65"/>
  <c r="T101" i="65"/>
  <c r="S106" i="65"/>
  <c r="Y102" i="65"/>
  <c r="Z67" i="65"/>
  <c r="Y138" i="65"/>
  <c r="S103" i="65"/>
  <c r="AE103" i="65" s="1"/>
  <c r="AQ103" i="65" s="1"/>
  <c r="V138" i="65"/>
  <c r="S138" i="65"/>
  <c r="T103" i="65"/>
  <c r="AF103" i="65" s="1"/>
  <c r="AR103" i="65" s="1"/>
  <c r="Z79" i="65"/>
  <c r="Y69" i="65"/>
  <c r="R58" i="65"/>
  <c r="W79" i="65"/>
  <c r="X113" i="65"/>
  <c r="V111" i="65"/>
  <c r="X78" i="65"/>
  <c r="W110" i="65"/>
  <c r="Z57" i="65"/>
  <c r="R139" i="65"/>
  <c r="V70" i="65"/>
  <c r="Z80" i="65"/>
  <c r="Q93" i="65"/>
  <c r="R87" i="65"/>
  <c r="W117" i="65"/>
  <c r="Y65" i="65"/>
  <c r="Z100" i="65"/>
  <c r="Y100" i="65"/>
  <c r="P100" i="65"/>
  <c r="W53" i="65"/>
  <c r="P53" i="65"/>
  <c r="P91" i="65"/>
  <c r="R91" i="65"/>
  <c r="Y89" i="65"/>
  <c r="X104" i="65"/>
  <c r="R135" i="65"/>
  <c r="Y135" i="65"/>
  <c r="Y111" i="65"/>
  <c r="Y108" i="65"/>
  <c r="Z75" i="65"/>
  <c r="X81" i="65"/>
  <c r="R55" i="65"/>
  <c r="S55" i="65"/>
  <c r="P55" i="65"/>
  <c r="Z62" i="65"/>
  <c r="T59" i="65"/>
  <c r="Y71" i="65"/>
  <c r="V137" i="65"/>
  <c r="V62" i="65"/>
  <c r="Y106" i="65"/>
  <c r="V69" i="65"/>
  <c r="W130" i="65"/>
  <c r="R106" i="65"/>
  <c r="T138" i="65"/>
  <c r="Y52" i="65"/>
  <c r="V52" i="65"/>
  <c r="W67" i="65"/>
  <c r="Y76" i="65"/>
  <c r="Z82" i="65"/>
  <c r="X82" i="65"/>
  <c r="V84" i="65"/>
  <c r="P96" i="65"/>
  <c r="T98" i="65"/>
  <c r="X111" i="65"/>
  <c r="W138" i="65"/>
  <c r="Y118" i="65"/>
  <c r="V76" i="65"/>
  <c r="W126" i="65"/>
  <c r="Z58" i="65"/>
  <c r="X57" i="65"/>
  <c r="T57" i="65"/>
  <c r="AF57" i="65" s="1"/>
  <c r="Z116" i="65"/>
  <c r="V64" i="65"/>
  <c r="V71" i="65"/>
  <c r="Q85" i="65"/>
  <c r="R85" i="65"/>
  <c r="V93" i="65"/>
  <c r="S125" i="65"/>
  <c r="Q133" i="65"/>
  <c r="R133" i="65"/>
  <c r="S133" i="65"/>
  <c r="Y133" i="65"/>
  <c r="Q87" i="65"/>
  <c r="W87" i="65"/>
  <c r="W81" i="65"/>
  <c r="W100" i="65"/>
  <c r="Y67" i="65"/>
  <c r="Y91" i="65"/>
  <c r="S91" i="65"/>
  <c r="X91" i="65"/>
  <c r="R89" i="65"/>
  <c r="Z114" i="65"/>
  <c r="Q135" i="65"/>
  <c r="P135" i="65"/>
  <c r="Y78" i="65"/>
  <c r="Z65" i="65"/>
  <c r="Q55" i="65"/>
  <c r="W55" i="65"/>
  <c r="X55" i="65"/>
  <c r="Z59" i="65"/>
  <c r="Z70" i="65"/>
  <c r="Y82" i="65"/>
  <c r="W107" i="65"/>
  <c r="Z117" i="65"/>
  <c r="Z137" i="65"/>
  <c r="Y137" i="65"/>
  <c r="W115" i="65"/>
  <c r="V124" i="65"/>
  <c r="Y107" i="65"/>
  <c r="R98" i="65"/>
  <c r="AD98" i="65" s="1"/>
  <c r="S102" i="65"/>
  <c r="S136" i="65"/>
  <c r="X77" i="65"/>
  <c r="Z101" i="65"/>
  <c r="X73" i="65"/>
  <c r="V130" i="65"/>
  <c r="W69" i="65"/>
  <c r="X60" i="65"/>
  <c r="Y79" i="65"/>
  <c r="W96" i="65"/>
  <c r="AC96" i="65" s="1"/>
  <c r="W98" i="65"/>
  <c r="Y117" i="65"/>
  <c r="W64" i="65"/>
  <c r="V126" i="65"/>
  <c r="W57" i="65"/>
  <c r="W71" i="65"/>
  <c r="P93" i="65"/>
  <c r="X76" i="65"/>
  <c r="X133" i="65"/>
  <c r="Z87" i="65"/>
  <c r="R100" i="65"/>
  <c r="Y53" i="65"/>
  <c r="Q89" i="65"/>
  <c r="Y75" i="65"/>
  <c r="Y55" i="65"/>
  <c r="W70" i="65"/>
  <c r="X137" i="65"/>
  <c r="Z132" i="65"/>
  <c r="Y139" i="65"/>
  <c r="V85" i="65"/>
  <c r="X85" i="65"/>
  <c r="X93" i="65"/>
  <c r="W133" i="65"/>
  <c r="X109" i="65"/>
  <c r="S108" i="65"/>
  <c r="V55" i="65"/>
  <c r="V106" i="65"/>
  <c r="Z66" i="65"/>
  <c r="X110" i="65"/>
  <c r="V75" i="65"/>
  <c r="X65" i="65"/>
  <c r="R125" i="65"/>
  <c r="AD125" i="65" s="1"/>
  <c r="P87" i="65"/>
  <c r="Z53" i="65"/>
  <c r="W80" i="65"/>
  <c r="Z84" i="65"/>
  <c r="S104" i="65"/>
  <c r="W104" i="65"/>
  <c r="Z135" i="65"/>
  <c r="Y115" i="65"/>
  <c r="W111" i="65"/>
  <c r="V60" i="65"/>
  <c r="R136" i="65"/>
  <c r="Z139" i="65"/>
  <c r="W66" i="65"/>
  <c r="P85" i="65"/>
  <c r="Q125" i="65"/>
  <c r="AC125" i="65" s="1"/>
  <c r="V133" i="65"/>
  <c r="P133" i="65"/>
  <c r="W89" i="65"/>
  <c r="Z104" i="65"/>
  <c r="X118" i="65"/>
  <c r="P137" i="65"/>
  <c r="Z141" i="65"/>
  <c r="X63" i="65"/>
  <c r="W68" i="65"/>
  <c r="Z129" i="65"/>
  <c r="X129" i="65"/>
  <c r="W108" i="65"/>
  <c r="X123" i="65"/>
  <c r="Z63" i="65"/>
  <c r="Y74" i="65"/>
  <c r="X69" i="65"/>
  <c r="V107" i="65"/>
  <c r="V108" i="65"/>
  <c r="V63" i="65"/>
  <c r="X141" i="65"/>
  <c r="W59" i="65"/>
  <c r="V141" i="65"/>
  <c r="Y129" i="65"/>
  <c r="Y131" i="65"/>
  <c r="Y127" i="65"/>
  <c r="Y61" i="65"/>
  <c r="W129" i="65"/>
  <c r="X72" i="65"/>
  <c r="W127" i="65"/>
  <c r="W123" i="65"/>
  <c r="W74" i="65"/>
  <c r="X108" i="65"/>
  <c r="V74" i="65"/>
  <c r="V127" i="65"/>
  <c r="V61" i="65"/>
  <c r="Z69" i="65"/>
  <c r="Y63" i="65"/>
  <c r="W141" i="65"/>
  <c r="V59" i="65"/>
  <c r="V131" i="65"/>
  <c r="V72" i="65"/>
  <c r="V129" i="65"/>
  <c r="W72" i="65"/>
  <c r="X127" i="65"/>
  <c r="Z74" i="65"/>
  <c r="V123" i="65"/>
  <c r="Z68" i="65"/>
  <c r="X131" i="65"/>
  <c r="X61" i="65"/>
  <c r="Z131" i="65"/>
  <c r="W63" i="65"/>
  <c r="Y141" i="65"/>
  <c r="Z123" i="65"/>
  <c r="Z72" i="65"/>
  <c r="Z127" i="65"/>
  <c r="W131" i="65"/>
  <c r="V68" i="65"/>
  <c r="Y72" i="65"/>
  <c r="Y68" i="65"/>
  <c r="Y123" i="65"/>
  <c r="W61" i="65"/>
  <c r="X74" i="65"/>
  <c r="X68" i="65"/>
  <c r="N51" i="65"/>
  <c r="W51" i="65" s="1"/>
  <c r="N43" i="42"/>
  <c r="M44" i="50"/>
  <c r="L43" i="50"/>
  <c r="O45" i="24"/>
  <c r="K42" i="37" s="1"/>
  <c r="N52" i="42"/>
  <c r="M31" i="25"/>
  <c r="J48" i="42"/>
  <c r="O62" i="24"/>
  <c r="K49" i="42"/>
  <c r="M51" i="42"/>
  <c r="M60" i="24"/>
  <c r="I47" i="42"/>
  <c r="Q64" i="24"/>
  <c r="N61" i="24"/>
  <c r="J50" i="37" s="1"/>
  <c r="K58" i="24"/>
  <c r="K28" i="25" s="1"/>
  <c r="K41" i="50"/>
  <c r="O44" i="24"/>
  <c r="K41" i="37" s="1"/>
  <c r="Q47" i="24"/>
  <c r="I41" i="65"/>
  <c r="P63" i="24"/>
  <c r="L52" i="37" s="1"/>
  <c r="L52" i="50"/>
  <c r="K51" i="50"/>
  <c r="J57" i="24"/>
  <c r="J27" i="25" s="1"/>
  <c r="J38" i="42"/>
  <c r="J39" i="42"/>
  <c r="K40" i="42"/>
  <c r="M18" i="25"/>
  <c r="P22" i="25"/>
  <c r="O21" i="25"/>
  <c r="N19" i="25"/>
  <c r="L30" i="25"/>
  <c r="Q35" i="25"/>
  <c r="N32" i="25"/>
  <c r="I49" i="50"/>
  <c r="N54" i="50"/>
  <c r="M53" i="50"/>
  <c r="L44" i="65"/>
  <c r="K43" i="65"/>
  <c r="P46" i="24"/>
  <c r="J42" i="65"/>
  <c r="J50" i="50"/>
  <c r="N59" i="24"/>
  <c r="I38" i="42"/>
  <c r="K39" i="42"/>
  <c r="L41" i="42"/>
  <c r="M42" i="42"/>
  <c r="L18" i="25"/>
  <c r="Q23" i="25"/>
  <c r="N20" i="25"/>
  <c r="M19" i="25"/>
  <c r="P34" i="25"/>
  <c r="O33" i="25"/>
  <c r="I40" i="50"/>
  <c r="Q61" i="50" s="1"/>
  <c r="N45" i="50"/>
  <c r="K42" i="50"/>
  <c r="J41" i="50"/>
  <c r="I38" i="32"/>
  <c r="J38" i="32"/>
  <c r="I39" i="32"/>
  <c r="J39" i="32"/>
  <c r="I40" i="32"/>
  <c r="J40" i="32"/>
  <c r="I41" i="32"/>
  <c r="J41" i="32"/>
  <c r="I42" i="32"/>
  <c r="J42" i="32"/>
  <c r="I43" i="32"/>
  <c r="J43" i="32"/>
  <c r="I46" i="32"/>
  <c r="J46" i="32"/>
  <c r="I51" i="32"/>
  <c r="J51" i="32"/>
  <c r="E955" i="40"/>
  <c r="CE229" i="53"/>
  <c r="CF229" i="53"/>
  <c r="CG229" i="53"/>
  <c r="CH229" i="53"/>
  <c r="CD229" i="53"/>
  <c r="CC13" i="40" s="1"/>
  <c r="AD187" i="65" l="1"/>
  <c r="AP187" i="65" s="1"/>
  <c r="AB147" i="65"/>
  <c r="AN147" i="65" s="1"/>
  <c r="AD261" i="65"/>
  <c r="AP261" i="65" s="1"/>
  <c r="AE177" i="65"/>
  <c r="AQ177" i="65" s="1"/>
  <c r="AC195" i="65"/>
  <c r="AO195" i="65" s="1"/>
  <c r="AC201" i="65"/>
  <c r="AO201" i="65" s="1"/>
  <c r="AE202" i="65"/>
  <c r="AQ202" i="65" s="1"/>
  <c r="AD118" i="65"/>
  <c r="AB111" i="65"/>
  <c r="AB197" i="65"/>
  <c r="AN197" i="65" s="1"/>
  <c r="AE222" i="65"/>
  <c r="AQ222" i="65" s="1"/>
  <c r="AD178" i="65"/>
  <c r="AP178" i="65" s="1"/>
  <c r="AB259" i="65"/>
  <c r="AN259" i="65" s="1"/>
  <c r="AF200" i="65"/>
  <c r="AR200" i="65" s="1"/>
  <c r="AE151" i="65"/>
  <c r="AQ151" i="65" s="1"/>
  <c r="AE148" i="65"/>
  <c r="AQ148" i="65" s="1"/>
  <c r="AD223" i="65"/>
  <c r="AP223" i="65" s="1"/>
  <c r="AB171" i="65"/>
  <c r="AN171" i="65" s="1"/>
  <c r="AF184" i="65"/>
  <c r="AR184" i="65" s="1"/>
  <c r="AC209" i="65"/>
  <c r="AE215" i="65"/>
  <c r="AE245" i="65"/>
  <c r="AQ245" i="65" s="1"/>
  <c r="AB173" i="65"/>
  <c r="AN173" i="65" s="1"/>
  <c r="AF226" i="65"/>
  <c r="AR226" i="65" s="1"/>
  <c r="AF150" i="65"/>
  <c r="AR150" i="65" s="1"/>
  <c r="AC171" i="65"/>
  <c r="AO171" i="65" s="1"/>
  <c r="AC145" i="65"/>
  <c r="AO145" i="65" s="1"/>
  <c r="AF262" i="65"/>
  <c r="AR262" i="65" s="1"/>
  <c r="AB265" i="65"/>
  <c r="AN265" i="65" s="1"/>
  <c r="AE233" i="65"/>
  <c r="AE199" i="65"/>
  <c r="AQ199" i="65" s="1"/>
  <c r="AF172" i="65"/>
  <c r="AR172" i="65" s="1"/>
  <c r="AB261" i="65"/>
  <c r="AN261" i="65" s="1"/>
  <c r="AC165" i="65"/>
  <c r="AE181" i="65"/>
  <c r="AQ181" i="65" s="1"/>
  <c r="AF263" i="65"/>
  <c r="AR263" i="65" s="1"/>
  <c r="AC186" i="65"/>
  <c r="AO186" i="65" s="1"/>
  <c r="AC170" i="65"/>
  <c r="AO170" i="65" s="1"/>
  <c r="AF265" i="65"/>
  <c r="AR265" i="65" s="1"/>
  <c r="AC197" i="65"/>
  <c r="AO197" i="65" s="1"/>
  <c r="AB180" i="65"/>
  <c r="AN180" i="65" s="1"/>
  <c r="AC200" i="65"/>
  <c r="AO200" i="65" s="1"/>
  <c r="AF207" i="65"/>
  <c r="AR207" i="65" s="1"/>
  <c r="AF195" i="65"/>
  <c r="AR195" i="65" s="1"/>
  <c r="AE146" i="65"/>
  <c r="AQ146" i="65" s="1"/>
  <c r="AD200" i="65"/>
  <c r="AP200" i="65" s="1"/>
  <c r="AF171" i="65"/>
  <c r="AR171" i="65" s="1"/>
  <c r="AE147" i="65"/>
  <c r="AQ147" i="65" s="1"/>
  <c r="AE176" i="65"/>
  <c r="AQ176" i="65" s="1"/>
  <c r="AE159" i="65"/>
  <c r="AC174" i="65"/>
  <c r="AO174" i="65" s="1"/>
  <c r="AB263" i="65"/>
  <c r="AN263" i="65" s="1"/>
  <c r="AF186" i="65"/>
  <c r="AR186" i="65" s="1"/>
  <c r="AC146" i="65"/>
  <c r="AO146" i="65" s="1"/>
  <c r="AB205" i="65"/>
  <c r="AN205" i="65" s="1"/>
  <c r="AD179" i="65"/>
  <c r="AP179" i="65" s="1"/>
  <c r="AC233" i="65"/>
  <c r="AC264" i="65"/>
  <c r="AO264" i="65" s="1"/>
  <c r="AD201" i="65"/>
  <c r="AP201" i="65" s="1"/>
  <c r="AE175" i="65"/>
  <c r="AQ175" i="65" s="1"/>
  <c r="AE204" i="65"/>
  <c r="AQ204" i="65" s="1"/>
  <c r="AD181" i="65"/>
  <c r="AP181" i="65" s="1"/>
  <c r="AB201" i="65"/>
  <c r="AN201" i="65" s="1"/>
  <c r="AE173" i="65"/>
  <c r="AQ173" i="65" s="1"/>
  <c r="AE262" i="65"/>
  <c r="AQ262" i="65" s="1"/>
  <c r="AD263" i="65"/>
  <c r="AP263" i="65" s="1"/>
  <c r="AC150" i="65"/>
  <c r="AO150" i="65" s="1"/>
  <c r="AE225" i="65"/>
  <c r="AQ225" i="65" s="1"/>
  <c r="AE205" i="65"/>
  <c r="AQ205" i="65" s="1"/>
  <c r="AB223" i="65"/>
  <c r="AN223" i="65" s="1"/>
  <c r="AE187" i="65"/>
  <c r="AQ187" i="65" s="1"/>
  <c r="AE263" i="65"/>
  <c r="AQ263" i="65" s="1"/>
  <c r="AE224" i="65"/>
  <c r="AQ224" i="65" s="1"/>
  <c r="AC223" i="65"/>
  <c r="AO223" i="65" s="1"/>
  <c r="AB260" i="65"/>
  <c r="AN260" i="65" s="1"/>
  <c r="AD175" i="65"/>
  <c r="AP175" i="65" s="1"/>
  <c r="AB244" i="65"/>
  <c r="AN244" i="65" s="1"/>
  <c r="AE207" i="65"/>
  <c r="AQ207" i="65" s="1"/>
  <c r="AE143" i="65"/>
  <c r="AQ143" i="65" s="1"/>
  <c r="AD264" i="65"/>
  <c r="AP264" i="65" s="1"/>
  <c r="B482" i="40"/>
  <c r="B200" i="65"/>
  <c r="AD174" i="65"/>
  <c r="AP174" i="65" s="1"/>
  <c r="AE198" i="65"/>
  <c r="AQ198" i="65" s="1"/>
  <c r="AB145" i="65"/>
  <c r="AN145" i="65" s="1"/>
  <c r="AF178" i="65"/>
  <c r="AR178" i="65" s="1"/>
  <c r="AF152" i="65"/>
  <c r="AR152" i="65" s="1"/>
  <c r="AC265" i="65"/>
  <c r="AO265" i="65" s="1"/>
  <c r="AD185" i="65"/>
  <c r="AP185" i="65" s="1"/>
  <c r="AC177" i="65"/>
  <c r="AO177" i="65" s="1"/>
  <c r="AF223" i="65"/>
  <c r="AR223" i="65" s="1"/>
  <c r="AE185" i="65"/>
  <c r="AQ185" i="65" s="1"/>
  <c r="AB199" i="65"/>
  <c r="AN199" i="65" s="1"/>
  <c r="AF143" i="65"/>
  <c r="AR143" i="65" s="1"/>
  <c r="AD160" i="65"/>
  <c r="AF189" i="65"/>
  <c r="AD169" i="65"/>
  <c r="AD256" i="65"/>
  <c r="AF251" i="65"/>
  <c r="AE212" i="65"/>
  <c r="AC164" i="65"/>
  <c r="AD233" i="65"/>
  <c r="AE266" i="65"/>
  <c r="AC255" i="65"/>
  <c r="AC226" i="65"/>
  <c r="AB219" i="65"/>
  <c r="AH219" i="65" s="1"/>
  <c r="AB215" i="65"/>
  <c r="AB168" i="65"/>
  <c r="AC217" i="65"/>
  <c r="AB209" i="65"/>
  <c r="AB212" i="65"/>
  <c r="AD161" i="65"/>
  <c r="AE190" i="65"/>
  <c r="AC258" i="65"/>
  <c r="AE236" i="65"/>
  <c r="AB251" i="65"/>
  <c r="AC238" i="65"/>
  <c r="AE168" i="65"/>
  <c r="AB163" i="65"/>
  <c r="AE255" i="65"/>
  <c r="AB161" i="65"/>
  <c r="AH161" i="65" s="1"/>
  <c r="AN161" i="65" s="1"/>
  <c r="AC228" i="65"/>
  <c r="AE248" i="65"/>
  <c r="AD237" i="65"/>
  <c r="AE239" i="65"/>
  <c r="AE238" i="65"/>
  <c r="AD230" i="65"/>
  <c r="AC166" i="65"/>
  <c r="AD253" i="65"/>
  <c r="AC213" i="65"/>
  <c r="AD152" i="65"/>
  <c r="AD156" i="65"/>
  <c r="AB250" i="65"/>
  <c r="AH250" i="65" s="1"/>
  <c r="AN250" i="65" s="1"/>
  <c r="AF234" i="65"/>
  <c r="AB166" i="65"/>
  <c r="AH166" i="65" s="1"/>
  <c r="AF217" i="65"/>
  <c r="AE156" i="65"/>
  <c r="AF194" i="65"/>
  <c r="AC242" i="65"/>
  <c r="AC234" i="65"/>
  <c r="AE162" i="65"/>
  <c r="AB257" i="65"/>
  <c r="AH257" i="65" s="1"/>
  <c r="AB167" i="65"/>
  <c r="AH167" i="65" s="1"/>
  <c r="AN167" i="65" s="1"/>
  <c r="AF160" i="65"/>
  <c r="AB249" i="65"/>
  <c r="AC240" i="65"/>
  <c r="AE160" i="65"/>
  <c r="AF253" i="65"/>
  <c r="AD157" i="65"/>
  <c r="AB236" i="65"/>
  <c r="AH236" i="65" s="1"/>
  <c r="AD227" i="65"/>
  <c r="AF232" i="65"/>
  <c r="AC249" i="65"/>
  <c r="AC157" i="65"/>
  <c r="AF208" i="65"/>
  <c r="AF227" i="65"/>
  <c r="AR227" i="65" s="1"/>
  <c r="AE164" i="65"/>
  <c r="AD146" i="65"/>
  <c r="AP146" i="65" s="1"/>
  <c r="AD150" i="65"/>
  <c r="AP150" i="65" s="1"/>
  <c r="AB198" i="65"/>
  <c r="AN198" i="65" s="1"/>
  <c r="AC203" i="65"/>
  <c r="AO203" i="65" s="1"/>
  <c r="AF145" i="65"/>
  <c r="AR145" i="65" s="1"/>
  <c r="AH190" i="65"/>
  <c r="AN190" i="65" s="1"/>
  <c r="AB206" i="65"/>
  <c r="AN206" i="65" s="1"/>
  <c r="AD144" i="65"/>
  <c r="AP144" i="65" s="1"/>
  <c r="AC149" i="65"/>
  <c r="AO149" i="65" s="1"/>
  <c r="AH215" i="65"/>
  <c r="AH251" i="65"/>
  <c r="AN251" i="65" s="1"/>
  <c r="AC215" i="65"/>
  <c r="AE226" i="65"/>
  <c r="AQ226" i="65" s="1"/>
  <c r="AF258" i="65"/>
  <c r="AE230" i="65"/>
  <c r="AH235" i="65"/>
  <c r="AN235" i="65" s="1"/>
  <c r="AE201" i="65"/>
  <c r="AQ201" i="65" s="1"/>
  <c r="AE244" i="65"/>
  <c r="AQ244" i="65" s="1"/>
  <c r="AF181" i="65"/>
  <c r="AR181" i="65" s="1"/>
  <c r="AD182" i="65"/>
  <c r="AP182" i="65" s="1"/>
  <c r="AC225" i="65"/>
  <c r="AO225" i="65" s="1"/>
  <c r="AB196" i="65"/>
  <c r="AN196" i="65" s="1"/>
  <c r="AD198" i="65"/>
  <c r="AP198" i="65" s="1"/>
  <c r="AD222" i="65"/>
  <c r="AP222" i="65" s="1"/>
  <c r="AC222" i="65"/>
  <c r="AO222" i="65" s="1"/>
  <c r="AE174" i="65"/>
  <c r="AQ174" i="65" s="1"/>
  <c r="AC202" i="65"/>
  <c r="AO202" i="65" s="1"/>
  <c r="AE178" i="65"/>
  <c r="AQ178" i="65" s="1"/>
  <c r="AF221" i="65"/>
  <c r="AR221" i="65" s="1"/>
  <c r="AE200" i="65"/>
  <c r="AQ200" i="65" s="1"/>
  <c r="AF183" i="65"/>
  <c r="AR183" i="65" s="1"/>
  <c r="AD171" i="65"/>
  <c r="AP171" i="65" s="1"/>
  <c r="AB224" i="65"/>
  <c r="AN224" i="65" s="1"/>
  <c r="AB195" i="65"/>
  <c r="AN195" i="65" s="1"/>
  <c r="AB264" i="65"/>
  <c r="AN264" i="65" s="1"/>
  <c r="AB203" i="65"/>
  <c r="AN203" i="65" s="1"/>
  <c r="AD147" i="65"/>
  <c r="AP147" i="65" s="1"/>
  <c r="AF261" i="65"/>
  <c r="AR261" i="65" s="1"/>
  <c r="AD225" i="65"/>
  <c r="AP225" i="65" s="1"/>
  <c r="AC221" i="65"/>
  <c r="AO221" i="65" s="1"/>
  <c r="AD197" i="65"/>
  <c r="AP197" i="65" s="1"/>
  <c r="AC185" i="65"/>
  <c r="AO185" i="65" s="1"/>
  <c r="AB200" i="65"/>
  <c r="AN200" i="65" s="1"/>
  <c r="AE180" i="65"/>
  <c r="AQ180" i="65" s="1"/>
  <c r="AC199" i="65"/>
  <c r="AO199" i="65" s="1"/>
  <c r="AF179" i="65"/>
  <c r="AR179" i="65" s="1"/>
  <c r="AB144" i="65"/>
  <c r="AN144" i="65" s="1"/>
  <c r="AD149" i="65"/>
  <c r="AP149" i="65" s="1"/>
  <c r="AE183" i="65"/>
  <c r="AQ183" i="65" s="1"/>
  <c r="AC179" i="65"/>
  <c r="AO179" i="65" s="1"/>
  <c r="AC147" i="65"/>
  <c r="AO147" i="65" s="1"/>
  <c r="AC168" i="65"/>
  <c r="AB266" i="65"/>
  <c r="AD246" i="65"/>
  <c r="AB256" i="65"/>
  <c r="AC220" i="65"/>
  <c r="AB245" i="65"/>
  <c r="AF218" i="65"/>
  <c r="AF220" i="65"/>
  <c r="AC241" i="65"/>
  <c r="AF229" i="65"/>
  <c r="AC156" i="65"/>
  <c r="AE247" i="65"/>
  <c r="AE166" i="65"/>
  <c r="AB246" i="65"/>
  <c r="AE228" i="65"/>
  <c r="AC192" i="65"/>
  <c r="AB149" i="65"/>
  <c r="AN149" i="65" s="1"/>
  <c r="AC246" i="65"/>
  <c r="AE163" i="65"/>
  <c r="AF266" i="65"/>
  <c r="AB158" i="65"/>
  <c r="AB210" i="65"/>
  <c r="AE153" i="65"/>
  <c r="AF168" i="65"/>
  <c r="AB156" i="65"/>
  <c r="AD252" i="65"/>
  <c r="AC151" i="65"/>
  <c r="AB247" i="65"/>
  <c r="AC239" i="65"/>
  <c r="AF215" i="65"/>
  <c r="AF153" i="65"/>
  <c r="AR153" i="65" s="1"/>
  <c r="AB192" i="65"/>
  <c r="AF163" i="65"/>
  <c r="AB217" i="65"/>
  <c r="AC212" i="65"/>
  <c r="AD254" i="65"/>
  <c r="AC237" i="65"/>
  <c r="AC248" i="65"/>
  <c r="AE254" i="65"/>
  <c r="AD229" i="65"/>
  <c r="AD239" i="65"/>
  <c r="AC250" i="65"/>
  <c r="AB234" i="65"/>
  <c r="AB226" i="65"/>
  <c r="AB162" i="65"/>
  <c r="AB241" i="65"/>
  <c r="AE157" i="65"/>
  <c r="AC247" i="65"/>
  <c r="AF192" i="65"/>
  <c r="AE242" i="65"/>
  <c r="AC230" i="65"/>
  <c r="AF154" i="65"/>
  <c r="AB213" i="65"/>
  <c r="AE191" i="65"/>
  <c r="AF237" i="65"/>
  <c r="AB242" i="65"/>
  <c r="AF210" i="65"/>
  <c r="AC162" i="65"/>
  <c r="AE253" i="65"/>
  <c r="AF213" i="65"/>
  <c r="AF155" i="65"/>
  <c r="AD211" i="65"/>
  <c r="AF239" i="65"/>
  <c r="AF241" i="65"/>
  <c r="AE194" i="65"/>
  <c r="AD194" i="65"/>
  <c r="AD162" i="65"/>
  <c r="AE249" i="65"/>
  <c r="AB252" i="65"/>
  <c r="AC159" i="65"/>
  <c r="AB208" i="65"/>
  <c r="AF167" i="65"/>
  <c r="AF216" i="65"/>
  <c r="AE231" i="65"/>
  <c r="AF157" i="65"/>
  <c r="AF164" i="65"/>
  <c r="AB153" i="65"/>
  <c r="AC152" i="65"/>
  <c r="AC155" i="65"/>
  <c r="AC211" i="65"/>
  <c r="AE186" i="65"/>
  <c r="AQ186" i="65" s="1"/>
  <c r="AD184" i="65"/>
  <c r="AP184" i="65" s="1"/>
  <c r="AE179" i="65"/>
  <c r="AQ179" i="65" s="1"/>
  <c r="AB155" i="65"/>
  <c r="AB59" i="65"/>
  <c r="AH59" i="65" s="1"/>
  <c r="AE65" i="65"/>
  <c r="AD70" i="65"/>
  <c r="AH188" i="65"/>
  <c r="AH189" i="65"/>
  <c r="AE154" i="65"/>
  <c r="AC161" i="65"/>
  <c r="AD212" i="65"/>
  <c r="AC181" i="65"/>
  <c r="AO181" i="65" s="1"/>
  <c r="AD186" i="65"/>
  <c r="AP186" i="65" s="1"/>
  <c r="AC182" i="65"/>
  <c r="AO182" i="65" s="1"/>
  <c r="AD170" i="65"/>
  <c r="AP170" i="65" s="1"/>
  <c r="AE265" i="65"/>
  <c r="AQ265" i="65" s="1"/>
  <c r="AB177" i="65"/>
  <c r="AN177" i="65" s="1"/>
  <c r="AE196" i="65"/>
  <c r="AQ196" i="65" s="1"/>
  <c r="AC173" i="65"/>
  <c r="AO173" i="65" s="1"/>
  <c r="AF182" i="65"/>
  <c r="AR182" i="65" s="1"/>
  <c r="AB170" i="65"/>
  <c r="AN170" i="65" s="1"/>
  <c r="AB146" i="65"/>
  <c r="AN146" i="65" s="1"/>
  <c r="AE241" i="65"/>
  <c r="AF225" i="65"/>
  <c r="AR225" i="65" s="1"/>
  <c r="AB185" i="65"/>
  <c r="AN185" i="65" s="1"/>
  <c r="AD180" i="65"/>
  <c r="AP180" i="65" s="1"/>
  <c r="AD207" i="65"/>
  <c r="AP207" i="65" s="1"/>
  <c r="AD143" i="65"/>
  <c r="AP143" i="65" s="1"/>
  <c r="AF222" i="65"/>
  <c r="AR222" i="65" s="1"/>
  <c r="AF201" i="65"/>
  <c r="AR201" i="65" s="1"/>
  <c r="AD206" i="65"/>
  <c r="AP206" i="65" s="1"/>
  <c r="AC198" i="65"/>
  <c r="AO198" i="65" s="1"/>
  <c r="AF173" i="65"/>
  <c r="AR173" i="65" s="1"/>
  <c r="AD145" i="65"/>
  <c r="AP145" i="65" s="1"/>
  <c r="AE172" i="65"/>
  <c r="AQ172" i="65" s="1"/>
  <c r="AC262" i="65"/>
  <c r="AO262" i="65" s="1"/>
  <c r="AB182" i="65"/>
  <c r="AN182" i="65" s="1"/>
  <c r="AC178" i="65"/>
  <c r="AO178" i="65" s="1"/>
  <c r="AE261" i="65"/>
  <c r="AQ261" i="65" s="1"/>
  <c r="AD205" i="65"/>
  <c r="AP205" i="65" s="1"/>
  <c r="AD244" i="65"/>
  <c r="AP244" i="65" s="1"/>
  <c r="AF259" i="65"/>
  <c r="AR259" i="65" s="1"/>
  <c r="AD167" i="65"/>
  <c r="AC196" i="65"/>
  <c r="AO196" i="65" s="1"/>
  <c r="AC184" i="65"/>
  <c r="AO184" i="65" s="1"/>
  <c r="AD204" i="65"/>
  <c r="AP204" i="65" s="1"/>
  <c r="AF144" i="65"/>
  <c r="AR144" i="65" s="1"/>
  <c r="AE243" i="65"/>
  <c r="AQ243" i="65" s="1"/>
  <c r="AD265" i="65"/>
  <c r="AP265" i="65" s="1"/>
  <c r="AD221" i="65"/>
  <c r="AP221" i="65" s="1"/>
  <c r="AD177" i="65"/>
  <c r="AP177" i="65" s="1"/>
  <c r="AE149" i="65"/>
  <c r="AQ149" i="65" s="1"/>
  <c r="AD199" i="65"/>
  <c r="AP199" i="65" s="1"/>
  <c r="AD224" i="65"/>
  <c r="AP224" i="65" s="1"/>
  <c r="AE259" i="65"/>
  <c r="AQ259" i="65" s="1"/>
  <c r="AE260" i="65"/>
  <c r="AQ260" i="65" s="1"/>
  <c r="AE184" i="65"/>
  <c r="AQ184" i="65" s="1"/>
  <c r="AF147" i="65"/>
  <c r="AR147" i="65" s="1"/>
  <c r="AF180" i="65"/>
  <c r="AR180" i="65" s="1"/>
  <c r="AB175" i="65"/>
  <c r="AN175" i="65" s="1"/>
  <c r="AF264" i="65"/>
  <c r="AR264" i="65" s="1"/>
  <c r="AF196" i="65"/>
  <c r="AR196" i="65" s="1"/>
  <c r="AD165" i="65"/>
  <c r="AE240" i="65"/>
  <c r="AE250" i="65"/>
  <c r="AC188" i="65"/>
  <c r="AC158" i="65"/>
  <c r="AB248" i="65"/>
  <c r="AD236" i="65"/>
  <c r="AB254" i="65"/>
  <c r="AD215" i="65"/>
  <c r="AE216" i="65"/>
  <c r="AD220" i="65"/>
  <c r="AE217" i="65"/>
  <c r="AE258" i="65"/>
  <c r="AB237" i="65"/>
  <c r="AB165" i="65"/>
  <c r="AE189" i="65"/>
  <c r="AB169" i="65"/>
  <c r="AC254" i="65"/>
  <c r="AC251" i="65"/>
  <c r="AE169" i="65"/>
  <c r="AD189" i="65"/>
  <c r="AB151" i="65"/>
  <c r="AF247" i="65"/>
  <c r="AC266" i="65"/>
  <c r="AB232" i="65"/>
  <c r="AB159" i="65"/>
  <c r="AB255" i="65"/>
  <c r="AE220" i="65"/>
  <c r="AE152" i="65"/>
  <c r="AQ152" i="65" s="1"/>
  <c r="AD248" i="65"/>
  <c r="AC189" i="65"/>
  <c r="AF190" i="65"/>
  <c r="AD251" i="65"/>
  <c r="AB218" i="65"/>
  <c r="AD158" i="65"/>
  <c r="AE158" i="65"/>
  <c r="AF165" i="65"/>
  <c r="AF158" i="65"/>
  <c r="AB194" i="65"/>
  <c r="AD192" i="65"/>
  <c r="AD250" i="65"/>
  <c r="AF162" i="65"/>
  <c r="AF248" i="65"/>
  <c r="AD219" i="65"/>
  <c r="AF242" i="65"/>
  <c r="AF230" i="65"/>
  <c r="AD226" i="65"/>
  <c r="AD154" i="65"/>
  <c r="AB233" i="65"/>
  <c r="AD240" i="65"/>
  <c r="AB239" i="65"/>
  <c r="AD242" i="65"/>
  <c r="AD218" i="65"/>
  <c r="AC257" i="65"/>
  <c r="AB157" i="65"/>
  <c r="AD163" i="65"/>
  <c r="AF228" i="65"/>
  <c r="AD238" i="65"/>
  <c r="AF166" i="65"/>
  <c r="AC154" i="65"/>
  <c r="AB253" i="65"/>
  <c r="AE209" i="65"/>
  <c r="AE252" i="65"/>
  <c r="AD151" i="65"/>
  <c r="AP151" i="65" s="1"/>
  <c r="AF250" i="65"/>
  <c r="AD217" i="65"/>
  <c r="AE229" i="65"/>
  <c r="AB228" i="65"/>
  <c r="AE257" i="65"/>
  <c r="AD249" i="65"/>
  <c r="AD255" i="65"/>
  <c r="AF159" i="65"/>
  <c r="AD235" i="65"/>
  <c r="AD164" i="65"/>
  <c r="AB211" i="65"/>
  <c r="AC227" i="65"/>
  <c r="AE211" i="65"/>
  <c r="AB152" i="65"/>
  <c r="AC187" i="65"/>
  <c r="AO187" i="65" s="1"/>
  <c r="AD216" i="65"/>
  <c r="AB191" i="65"/>
  <c r="AH150" i="65"/>
  <c r="AN150" i="65" s="1"/>
  <c r="AF224" i="65"/>
  <c r="AR224" i="65" s="1"/>
  <c r="AF260" i="65"/>
  <c r="AR260" i="65" s="1"/>
  <c r="AF175" i="65"/>
  <c r="AR175" i="65" s="1"/>
  <c r="AC229" i="65"/>
  <c r="AC160" i="65"/>
  <c r="AH168" i="65"/>
  <c r="AN168" i="65" s="1"/>
  <c r="AC256" i="65"/>
  <c r="AH212" i="65"/>
  <c r="AB231" i="65"/>
  <c r="AD188" i="65"/>
  <c r="AH163" i="65"/>
  <c r="AN163" i="65" s="1"/>
  <c r="AF219" i="65"/>
  <c r="AF231" i="65"/>
  <c r="AH249" i="65"/>
  <c r="AI249" i="65" s="1"/>
  <c r="AO249" i="65" s="1"/>
  <c r="AC231" i="65"/>
  <c r="AD155" i="65"/>
  <c r="AD153" i="65"/>
  <c r="AE145" i="65"/>
  <c r="AQ145" i="65" s="1"/>
  <c r="AB193" i="65"/>
  <c r="AF202" i="65"/>
  <c r="AR202" i="65" s="1"/>
  <c r="AB181" i="65"/>
  <c r="AN181" i="65" s="1"/>
  <c r="AB202" i="65"/>
  <c r="AN202" i="65" s="1"/>
  <c r="AE197" i="65"/>
  <c r="AQ197" i="65" s="1"/>
  <c r="AF174" i="65"/>
  <c r="AR174" i="65" s="1"/>
  <c r="AE182" i="65"/>
  <c r="AQ182" i="65" s="1"/>
  <c r="AF146" i="65"/>
  <c r="AR146" i="65" s="1"/>
  <c r="AC263" i="65"/>
  <c r="AO263" i="65" s="1"/>
  <c r="AF206" i="65"/>
  <c r="AR206" i="65" s="1"/>
  <c r="AC206" i="65"/>
  <c r="AO206" i="65" s="1"/>
  <c r="AB174" i="65"/>
  <c r="AN174" i="65" s="1"/>
  <c r="AB222" i="65"/>
  <c r="AN222" i="65" s="1"/>
  <c r="AE206" i="65"/>
  <c r="AQ206" i="65" s="1"/>
  <c r="AF198" i="65"/>
  <c r="AR198" i="65" s="1"/>
  <c r="AD245" i="65"/>
  <c r="AD173" i="65"/>
  <c r="AP173" i="65" s="1"/>
  <c r="AD262" i="65"/>
  <c r="AP262" i="65" s="1"/>
  <c r="AB178" i="65"/>
  <c r="AN178" i="65" s="1"/>
  <c r="AE150" i="65"/>
  <c r="AQ150" i="65" s="1"/>
  <c r="AE221" i="65"/>
  <c r="AQ221" i="65" s="1"/>
  <c r="AB204" i="65"/>
  <c r="AN204" i="65" s="1"/>
  <c r="AB148" i="65"/>
  <c r="AN148" i="65" s="1"/>
  <c r="AC204" i="65"/>
  <c r="AO204" i="65" s="1"/>
  <c r="AD203" i="65"/>
  <c r="AP203" i="65" s="1"/>
  <c r="AE170" i="65"/>
  <c r="AQ170" i="65" s="1"/>
  <c r="AF205" i="65"/>
  <c r="AR205" i="65" s="1"/>
  <c r="AF177" i="65"/>
  <c r="AR177" i="65" s="1"/>
  <c r="AC180" i="65"/>
  <c r="AO180" i="65" s="1"/>
  <c r="AC148" i="65"/>
  <c r="AO148" i="65" s="1"/>
  <c r="AF199" i="65"/>
  <c r="AR199" i="65" s="1"/>
  <c r="AD183" i="65"/>
  <c r="AP183" i="65" s="1"/>
  <c r="AE144" i="65"/>
  <c r="AQ144" i="65" s="1"/>
  <c r="AC243" i="65"/>
  <c r="AO243" i="65" s="1"/>
  <c r="AD148" i="65"/>
  <c r="AP148" i="65" s="1"/>
  <c r="AE171" i="65"/>
  <c r="AQ171" i="65" s="1"/>
  <c r="AC224" i="65"/>
  <c r="AO224" i="65" s="1"/>
  <c r="AC144" i="65"/>
  <c r="AO144" i="65" s="1"/>
  <c r="AD243" i="65"/>
  <c r="AP243" i="65" s="1"/>
  <c r="AE203" i="65"/>
  <c r="AQ203" i="65" s="1"/>
  <c r="AB220" i="65"/>
  <c r="AB154" i="65"/>
  <c r="AD168" i="65"/>
  <c r="AF193" i="65"/>
  <c r="AC163" i="65"/>
  <c r="AC219" i="65"/>
  <c r="AF161" i="65"/>
  <c r="AC236" i="65"/>
  <c r="AD247" i="65"/>
  <c r="AD193" i="65"/>
  <c r="AC208" i="65"/>
  <c r="AC235" i="65"/>
  <c r="AE232" i="65"/>
  <c r="AD241" i="65"/>
  <c r="AC218" i="65"/>
  <c r="AE219" i="65"/>
  <c r="AD214" i="65"/>
  <c r="AC214" i="65"/>
  <c r="AD213" i="65"/>
  <c r="AD190" i="65"/>
  <c r="AF212" i="65"/>
  <c r="AE161" i="65"/>
  <c r="AF235" i="65"/>
  <c r="AD266" i="65"/>
  <c r="AE256" i="65"/>
  <c r="AD231" i="65"/>
  <c r="AF252" i="65"/>
  <c r="AF240" i="65"/>
  <c r="AE218" i="65"/>
  <c r="AE193" i="65"/>
  <c r="AF256" i="65"/>
  <c r="AF169" i="65"/>
  <c r="AE188" i="65"/>
  <c r="AQ188" i="65" s="1"/>
  <c r="AE251" i="65"/>
  <c r="AB214" i="65"/>
  <c r="AB229" i="65"/>
  <c r="AF214" i="65"/>
  <c r="AE165" i="65"/>
  <c r="AC190" i="65"/>
  <c r="AB160" i="65"/>
  <c r="AE246" i="65"/>
  <c r="AC153" i="65"/>
  <c r="AD228" i="65"/>
  <c r="AB258" i="65"/>
  <c r="AB238" i="65"/>
  <c r="AB230" i="65"/>
  <c r="AD210" i="65"/>
  <c r="AF257" i="65"/>
  <c r="AD208" i="65"/>
  <c r="AC167" i="65"/>
  <c r="AF254" i="65"/>
  <c r="AF238" i="65"/>
  <c r="AC210" i="65"/>
  <c r="AC216" i="65"/>
  <c r="AC194" i="65"/>
  <c r="AD258" i="65"/>
  <c r="AE234" i="65"/>
  <c r="AD166" i="65"/>
  <c r="AF249" i="65"/>
  <c r="AF236" i="65"/>
  <c r="AB164" i="65"/>
  <c r="AE192" i="65"/>
  <c r="AC253" i="65"/>
  <c r="AD209" i="65"/>
  <c r="AC193" i="65"/>
  <c r="AD234" i="65"/>
  <c r="AD257" i="65"/>
  <c r="AE213" i="65"/>
  <c r="AF211" i="65"/>
  <c r="AB240" i="65"/>
  <c r="AE227" i="65"/>
  <c r="AC252" i="65"/>
  <c r="AF255" i="65"/>
  <c r="AF191" i="65"/>
  <c r="AB207" i="65"/>
  <c r="AN207" i="65" s="1"/>
  <c r="AC191" i="65"/>
  <c r="AE208" i="65"/>
  <c r="AB227" i="65"/>
  <c r="AE167" i="65"/>
  <c r="AB216" i="65"/>
  <c r="AD191" i="65"/>
  <c r="AB124" i="65"/>
  <c r="AB107" i="65"/>
  <c r="AH107" i="65" s="1"/>
  <c r="AF72" i="65"/>
  <c r="AB64" i="65"/>
  <c r="AH64" i="65" s="1"/>
  <c r="O54" i="66"/>
  <c r="K51" i="37"/>
  <c r="M52" i="66"/>
  <c r="I49" i="37"/>
  <c r="Q44" i="66"/>
  <c r="M44" i="37"/>
  <c r="P60" i="42"/>
  <c r="P43" i="66"/>
  <c r="L43" i="37"/>
  <c r="Q34" i="25"/>
  <c r="M53" i="37"/>
  <c r="AE68" i="65"/>
  <c r="AC129" i="65"/>
  <c r="AD114" i="65"/>
  <c r="AH104" i="65"/>
  <c r="AH92" i="65"/>
  <c r="AH89" i="65"/>
  <c r="AN89" i="65" s="1"/>
  <c r="AH90" i="65"/>
  <c r="AN90" i="65" s="1"/>
  <c r="AD134" i="65"/>
  <c r="AB60" i="65"/>
  <c r="AH60" i="65" s="1"/>
  <c r="AN60" i="65" s="1"/>
  <c r="AC110" i="65"/>
  <c r="L51" i="50"/>
  <c r="AC79" i="65"/>
  <c r="AF132" i="65"/>
  <c r="AC141" i="65"/>
  <c r="AC123" i="65"/>
  <c r="AD106" i="65"/>
  <c r="AP106" i="65" s="1"/>
  <c r="AB136" i="65"/>
  <c r="AE105" i="65"/>
  <c r="AB58" i="65"/>
  <c r="N51" i="66"/>
  <c r="N87" i="66" s="1"/>
  <c r="P89" i="66" s="1"/>
  <c r="N29" i="25"/>
  <c r="N53" i="50"/>
  <c r="Q175" i="50"/>
  <c r="Q169" i="50"/>
  <c r="N187" i="50"/>
  <c r="Q187" i="50" s="1"/>
  <c r="S187" i="50" s="1"/>
  <c r="N194" i="50"/>
  <c r="Q194" i="50" s="1"/>
  <c r="S194" i="50" s="1"/>
  <c r="Q181" i="50"/>
  <c r="Q163" i="50"/>
  <c r="M51" i="66"/>
  <c r="M87" i="66" s="1"/>
  <c r="O89" i="66" s="1"/>
  <c r="M29" i="25"/>
  <c r="AB87" i="65"/>
  <c r="AB135" i="65"/>
  <c r="AE125" i="65"/>
  <c r="AF138" i="65"/>
  <c r="AF107" i="65"/>
  <c r="AC136" i="65"/>
  <c r="AE104" i="65"/>
  <c r="AF93" i="65"/>
  <c r="AE101" i="65"/>
  <c r="AD102" i="65"/>
  <c r="AF92" i="65"/>
  <c r="AC95" i="65"/>
  <c r="AD56" i="65"/>
  <c r="O32" i="25"/>
  <c r="J49" i="50"/>
  <c r="M30" i="25"/>
  <c r="M104" i="25" s="1"/>
  <c r="K50" i="50"/>
  <c r="N51" i="42"/>
  <c r="Q56" i="66"/>
  <c r="M50" i="42"/>
  <c r="P55" i="66"/>
  <c r="K48" i="42"/>
  <c r="N53" i="66"/>
  <c r="O61" i="24"/>
  <c r="K57" i="24"/>
  <c r="J49" i="66"/>
  <c r="L58" i="24"/>
  <c r="K50" i="66"/>
  <c r="AB85" i="65"/>
  <c r="AD55" i="65"/>
  <c r="AB139" i="65"/>
  <c r="AF96" i="65"/>
  <c r="AD101" i="65"/>
  <c r="AE60" i="65"/>
  <c r="AD142" i="65"/>
  <c r="AF128" i="65"/>
  <c r="AR128" i="65" s="1"/>
  <c r="AB137" i="65"/>
  <c r="AB133" i="65"/>
  <c r="AE91" i="65"/>
  <c r="AB100" i="65"/>
  <c r="AC106" i="65"/>
  <c r="AO106" i="65" s="1"/>
  <c r="AC94" i="65"/>
  <c r="AE99" i="65"/>
  <c r="AD136" i="65"/>
  <c r="AB106" i="65"/>
  <c r="AN106" i="65" s="1"/>
  <c r="AF82" i="65"/>
  <c r="AF78" i="65"/>
  <c r="AF59" i="65"/>
  <c r="AC137" i="65"/>
  <c r="AD104" i="65"/>
  <c r="AF89" i="65"/>
  <c r="AB119" i="65"/>
  <c r="AN119" i="65" s="1"/>
  <c r="AB54" i="65"/>
  <c r="AF86" i="65"/>
  <c r="AR86" i="65" s="1"/>
  <c r="AC122" i="65"/>
  <c r="AE108" i="65"/>
  <c r="AC98" i="65"/>
  <c r="AE85" i="65"/>
  <c r="AQ85" i="65" s="1"/>
  <c r="AF52" i="65"/>
  <c r="AF109" i="65"/>
  <c r="AR109" i="65" s="1"/>
  <c r="AE120" i="65"/>
  <c r="AQ120" i="65" s="1"/>
  <c r="AD95" i="65"/>
  <c r="AD135" i="65"/>
  <c r="AD87" i="65"/>
  <c r="AF108" i="65"/>
  <c r="AB125" i="65"/>
  <c r="AE57" i="65"/>
  <c r="AC103" i="65"/>
  <c r="AO103" i="65" s="1"/>
  <c r="AC105" i="65"/>
  <c r="AD94" i="65"/>
  <c r="AF88" i="65"/>
  <c r="AD105" i="65"/>
  <c r="AC86" i="65"/>
  <c r="AE139" i="65"/>
  <c r="AB57" i="65"/>
  <c r="AD53" i="65"/>
  <c r="AE142" i="65"/>
  <c r="AC99" i="65"/>
  <c r="AD128" i="65"/>
  <c r="AP128" i="65" s="1"/>
  <c r="AE54" i="65"/>
  <c r="AB96" i="65"/>
  <c r="AC139" i="65"/>
  <c r="AC57" i="65"/>
  <c r="AE53" i="65"/>
  <c r="AE100" i="65"/>
  <c r="AD52" i="65"/>
  <c r="AE58" i="65"/>
  <c r="AB138" i="65"/>
  <c r="AB56" i="65"/>
  <c r="AD88" i="65"/>
  <c r="AC142" i="65"/>
  <c r="AE90" i="65"/>
  <c r="AC97" i="65"/>
  <c r="AE95" i="65"/>
  <c r="AB128" i="65"/>
  <c r="AN128" i="65" s="1"/>
  <c r="AF94" i="65"/>
  <c r="AB97" i="65"/>
  <c r="AD63" i="65"/>
  <c r="AB141" i="65"/>
  <c r="AH141" i="65" s="1"/>
  <c r="AF129" i="65"/>
  <c r="AB123" i="65"/>
  <c r="AH123" i="65" s="1"/>
  <c r="AE131" i="65"/>
  <c r="AF131" i="65"/>
  <c r="AB74" i="65"/>
  <c r="AH74" i="65" s="1"/>
  <c r="AN74" i="65" s="1"/>
  <c r="AF123" i="65"/>
  <c r="AD141" i="65"/>
  <c r="AB81" i="65"/>
  <c r="AH81" i="65" s="1"/>
  <c r="AN81" i="65" s="1"/>
  <c r="AD83" i="65"/>
  <c r="AD124" i="65"/>
  <c r="AE83" i="65"/>
  <c r="AC126" i="65"/>
  <c r="AB80" i="65"/>
  <c r="AH80" i="65" s="1"/>
  <c r="AN80" i="65" s="1"/>
  <c r="AB78" i="65"/>
  <c r="AH78" i="65" s="1"/>
  <c r="AD64" i="65"/>
  <c r="AE109" i="65"/>
  <c r="AQ109" i="65" s="1"/>
  <c r="AB118" i="65"/>
  <c r="AH118" i="65" s="1"/>
  <c r="AN118" i="65" s="1"/>
  <c r="AC115" i="65"/>
  <c r="AF77" i="65"/>
  <c r="AE81" i="65"/>
  <c r="AB67" i="65"/>
  <c r="AH67" i="65" s="1"/>
  <c r="AF124" i="65"/>
  <c r="AE110" i="65"/>
  <c r="AB84" i="65"/>
  <c r="AH84" i="65" s="1"/>
  <c r="AE78" i="65"/>
  <c r="AF70" i="65"/>
  <c r="AC60" i="65"/>
  <c r="AB114" i="65"/>
  <c r="AH114" i="65" s="1"/>
  <c r="AN114" i="65" s="1"/>
  <c r="AF81" i="65"/>
  <c r="AB132" i="65"/>
  <c r="AH132" i="65" s="1"/>
  <c r="AC67" i="65"/>
  <c r="AD62" i="65"/>
  <c r="AD71" i="65"/>
  <c r="AE77" i="65"/>
  <c r="AE123" i="65"/>
  <c r="AC59" i="65"/>
  <c r="AD123" i="65"/>
  <c r="AD61" i="65"/>
  <c r="AD127" i="65"/>
  <c r="AF66" i="65"/>
  <c r="AF83" i="65"/>
  <c r="AD79" i="65"/>
  <c r="AB76" i="65"/>
  <c r="AH76" i="65" s="1"/>
  <c r="AN76" i="65" s="1"/>
  <c r="AE132" i="65"/>
  <c r="AF75" i="65"/>
  <c r="AE64" i="65"/>
  <c r="AE69" i="65"/>
  <c r="AB69" i="65"/>
  <c r="AH69" i="65" s="1"/>
  <c r="AF116" i="65"/>
  <c r="AD76" i="65"/>
  <c r="AC78" i="65"/>
  <c r="AD69" i="65"/>
  <c r="AD116" i="65"/>
  <c r="AC80" i="65"/>
  <c r="AE71" i="65"/>
  <c r="AB66" i="65"/>
  <c r="AH66" i="65" s="1"/>
  <c r="AC75" i="65"/>
  <c r="AF117" i="65"/>
  <c r="AC64" i="65"/>
  <c r="AC130" i="65"/>
  <c r="AE96" i="65"/>
  <c r="AF105" i="65"/>
  <c r="AF56" i="65"/>
  <c r="AE122" i="65"/>
  <c r="AF101" i="65"/>
  <c r="AF87" i="65"/>
  <c r="AR87" i="65" s="1"/>
  <c r="AB99" i="65"/>
  <c r="AF68" i="65"/>
  <c r="AB140" i="65"/>
  <c r="AC71" i="65"/>
  <c r="AC140" i="65"/>
  <c r="AB82" i="65"/>
  <c r="AC69" i="65"/>
  <c r="AE138" i="65"/>
  <c r="AE107" i="65"/>
  <c r="AC109" i="65"/>
  <c r="AB103" i="65"/>
  <c r="AN103" i="65" s="1"/>
  <c r="AF54" i="65"/>
  <c r="AD97" i="65"/>
  <c r="AE119" i="65"/>
  <c r="AQ119" i="65" s="1"/>
  <c r="AB122" i="65"/>
  <c r="AE97" i="65"/>
  <c r="AB134" i="65"/>
  <c r="AE86" i="65"/>
  <c r="AQ86" i="65" s="1"/>
  <c r="AF134" i="65"/>
  <c r="AR134" i="65" s="1"/>
  <c r="AE72" i="65"/>
  <c r="AF63" i="65"/>
  <c r="AF141" i="65"/>
  <c r="AF113" i="65"/>
  <c r="AE130" i="65"/>
  <c r="AB71" i="65"/>
  <c r="AC124" i="65"/>
  <c r="AD77" i="65"/>
  <c r="AC84" i="65"/>
  <c r="AE136" i="65"/>
  <c r="AB55" i="65"/>
  <c r="AB91" i="65"/>
  <c r="AH111" i="65"/>
  <c r="AN111" i="65" s="1"/>
  <c r="AF58" i="65"/>
  <c r="AB98" i="65"/>
  <c r="AD59" i="65"/>
  <c r="AF91" i="65"/>
  <c r="AC53" i="65"/>
  <c r="AF125" i="65"/>
  <c r="AD115" i="65"/>
  <c r="AB113" i="65"/>
  <c r="AE56" i="65"/>
  <c r="AF102" i="65"/>
  <c r="AC119" i="65"/>
  <c r="AO119" i="65" s="1"/>
  <c r="AC88" i="65"/>
  <c r="AF121" i="65"/>
  <c r="AR121" i="65" s="1"/>
  <c r="AC92" i="65"/>
  <c r="AC121" i="65"/>
  <c r="AD120" i="65"/>
  <c r="AP120" i="65" s="1"/>
  <c r="AF136" i="65"/>
  <c r="AC90" i="65"/>
  <c r="AB121" i="65"/>
  <c r="AE134" i="65"/>
  <c r="AQ134" i="65" s="1"/>
  <c r="AB105" i="65"/>
  <c r="AE87" i="65"/>
  <c r="AQ87" i="65" s="1"/>
  <c r="AE59" i="65"/>
  <c r="AF142" i="65"/>
  <c r="AF60" i="65"/>
  <c r="AE129" i="65"/>
  <c r="AD68" i="65"/>
  <c r="AD80" i="65"/>
  <c r="AE82" i="65"/>
  <c r="AB79" i="65"/>
  <c r="AE118" i="65"/>
  <c r="AE111" i="65"/>
  <c r="AC89" i="65"/>
  <c r="AC55" i="65"/>
  <c r="AC135" i="65"/>
  <c r="AE133" i="65"/>
  <c r="AQ133" i="65" s="1"/>
  <c r="AD91" i="65"/>
  <c r="AD58" i="65"/>
  <c r="AF137" i="65"/>
  <c r="AC104" i="65"/>
  <c r="AF133" i="65"/>
  <c r="AR133" i="65" s="1"/>
  <c r="AF71" i="65"/>
  <c r="AE94" i="65"/>
  <c r="AF120" i="65"/>
  <c r="AR120" i="65" s="1"/>
  <c r="AB88" i="65"/>
  <c r="AF95" i="65"/>
  <c r="AF90" i="65"/>
  <c r="AD121" i="65"/>
  <c r="AB95" i="65"/>
  <c r="AE128" i="65"/>
  <c r="AQ128" i="65" s="1"/>
  <c r="AB63" i="65"/>
  <c r="AF127" i="65"/>
  <c r="AC74" i="65"/>
  <c r="AE84" i="65"/>
  <c r="AE117" i="65"/>
  <c r="AB116" i="65"/>
  <c r="AC65" i="65"/>
  <c r="AE112" i="65"/>
  <c r="AE124" i="65"/>
  <c r="AB70" i="65"/>
  <c r="AD75" i="65"/>
  <c r="AB108" i="65"/>
  <c r="AB110" i="65"/>
  <c r="AB62" i="65"/>
  <c r="AH124" i="65"/>
  <c r="AN124" i="65" s="1"/>
  <c r="AD133" i="65"/>
  <c r="AP133" i="65" s="1"/>
  <c r="AD85" i="65"/>
  <c r="AP85" i="65" s="1"/>
  <c r="AD139" i="65"/>
  <c r="AB117" i="65"/>
  <c r="AH117" i="65" s="1"/>
  <c r="AN117" i="65" s="1"/>
  <c r="AC138" i="65"/>
  <c r="AC52" i="65"/>
  <c r="AC101" i="65"/>
  <c r="AE137" i="65"/>
  <c r="AE135" i="65"/>
  <c r="AE89" i="65"/>
  <c r="AD93" i="65"/>
  <c r="AE73" i="65"/>
  <c r="AC108" i="65"/>
  <c r="AD100" i="65"/>
  <c r="AB93" i="65"/>
  <c r="AD73" i="65"/>
  <c r="AE102" i="65"/>
  <c r="AD89" i="65"/>
  <c r="AC87" i="65"/>
  <c r="AC133" i="65"/>
  <c r="AC85" i="65"/>
  <c r="AO85" i="65" s="1"/>
  <c r="AF98" i="65"/>
  <c r="AE55" i="65"/>
  <c r="AB53" i="65"/>
  <c r="AC93" i="65"/>
  <c r="AE106" i="65"/>
  <c r="AQ106" i="65" s="1"/>
  <c r="AF135" i="65"/>
  <c r="AR135" i="65" s="1"/>
  <c r="AC100" i="65"/>
  <c r="AC58" i="65"/>
  <c r="AD103" i="65"/>
  <c r="AP103" i="65" s="1"/>
  <c r="AB101" i="65"/>
  <c r="AD86" i="65"/>
  <c r="AP86" i="65" s="1"/>
  <c r="AD99" i="65"/>
  <c r="AF119" i="65"/>
  <c r="AR119" i="65" s="1"/>
  <c r="AC131" i="65"/>
  <c r="AB131" i="65"/>
  <c r="AE74" i="65"/>
  <c r="AF74" i="65"/>
  <c r="AD72" i="65"/>
  <c r="AE127" i="65"/>
  <c r="AC127" i="65"/>
  <c r="AE141" i="65"/>
  <c r="AD129" i="65"/>
  <c r="AE63" i="65"/>
  <c r="AC63" i="65"/>
  <c r="AD60" i="65"/>
  <c r="AC111" i="65"/>
  <c r="AB65" i="65"/>
  <c r="AD82" i="65"/>
  <c r="AD110" i="65"/>
  <c r="AD130" i="65"/>
  <c r="AE115" i="65"/>
  <c r="AE66" i="65"/>
  <c r="AD78" i="65"/>
  <c r="AC83" i="65"/>
  <c r="AE80" i="65"/>
  <c r="AB126" i="65"/>
  <c r="AF64" i="65"/>
  <c r="AD111" i="65"/>
  <c r="AF69" i="65"/>
  <c r="AF111" i="65"/>
  <c r="AC118" i="65"/>
  <c r="AF114" i="65"/>
  <c r="AC76" i="65"/>
  <c r="AE76" i="65"/>
  <c r="AF79" i="65"/>
  <c r="AD112" i="65"/>
  <c r="AF67" i="65"/>
  <c r="AD67" i="65"/>
  <c r="AF118" i="65"/>
  <c r="AF80" i="65"/>
  <c r="AC70" i="65"/>
  <c r="AF62" i="65"/>
  <c r="AC81" i="65"/>
  <c r="AC62" i="65"/>
  <c r="AB75" i="65"/>
  <c r="AC114" i="65"/>
  <c r="AE126" i="65"/>
  <c r="AE75" i="65"/>
  <c r="AE116" i="65"/>
  <c r="AB130" i="65"/>
  <c r="AC73" i="65"/>
  <c r="AF106" i="65"/>
  <c r="AR106" i="65" s="1"/>
  <c r="AD137" i="65"/>
  <c r="AD66" i="65"/>
  <c r="AF104" i="65"/>
  <c r="AC91" i="65"/>
  <c r="AE93" i="65"/>
  <c r="AD57" i="65"/>
  <c r="AD138" i="65"/>
  <c r="AD84" i="65"/>
  <c r="AB52" i="65"/>
  <c r="AE52" i="65"/>
  <c r="AF55" i="65"/>
  <c r="AF53" i="65"/>
  <c r="AF100" i="65"/>
  <c r="AF139" i="65"/>
  <c r="AD107" i="65"/>
  <c r="AE98" i="65"/>
  <c r="AB102" i="65"/>
  <c r="AC102" i="65"/>
  <c r="AC120" i="65"/>
  <c r="AO120" i="65" s="1"/>
  <c r="AC134" i="65"/>
  <c r="AC56" i="65"/>
  <c r="AE92" i="65"/>
  <c r="AB142" i="65"/>
  <c r="AB94" i="65"/>
  <c r="AB86" i="65"/>
  <c r="AD122" i="65"/>
  <c r="AD119" i="65"/>
  <c r="AP119" i="65" s="1"/>
  <c r="AD54" i="65"/>
  <c r="AF97" i="65"/>
  <c r="AC54" i="65"/>
  <c r="AB120" i="65"/>
  <c r="AN120" i="65" s="1"/>
  <c r="AE121" i="65"/>
  <c r="AQ121" i="65" s="1"/>
  <c r="AC128" i="65"/>
  <c r="AO128" i="65" s="1"/>
  <c r="AD74" i="65"/>
  <c r="AB129" i="65"/>
  <c r="AB127" i="65"/>
  <c r="AH127" i="65" s="1"/>
  <c r="AB72" i="65"/>
  <c r="AB61" i="65"/>
  <c r="AC61" i="65"/>
  <c r="AC72" i="65"/>
  <c r="AE61" i="65"/>
  <c r="AD108" i="65"/>
  <c r="AC68" i="65"/>
  <c r="AB68" i="65"/>
  <c r="AD131" i="65"/>
  <c r="AF115" i="65"/>
  <c r="AE113" i="65"/>
  <c r="AC107" i="65"/>
  <c r="AE114" i="65"/>
  <c r="AC82" i="65"/>
  <c r="AD126" i="65"/>
  <c r="AC113" i="65"/>
  <c r="AD113" i="65"/>
  <c r="AF84" i="65"/>
  <c r="AB109" i="65"/>
  <c r="AB83" i="65"/>
  <c r="AF130" i="65"/>
  <c r="AF112" i="65"/>
  <c r="AC112" i="65"/>
  <c r="AC132" i="65"/>
  <c r="AC116" i="65"/>
  <c r="AB115" i="65"/>
  <c r="AD109" i="65"/>
  <c r="AB112" i="65"/>
  <c r="AE70" i="65"/>
  <c r="AF126" i="65"/>
  <c r="AF76" i="65"/>
  <c r="AC117" i="65"/>
  <c r="AD132" i="65"/>
  <c r="AD81" i="65"/>
  <c r="AF110" i="65"/>
  <c r="AD140" i="65"/>
  <c r="AE62" i="65"/>
  <c r="AF73" i="65"/>
  <c r="AC66" i="65"/>
  <c r="AD65" i="65"/>
  <c r="AD117" i="65"/>
  <c r="AE67" i="65"/>
  <c r="AE140" i="65"/>
  <c r="AF65" i="65"/>
  <c r="AC77" i="65"/>
  <c r="AE79" i="65"/>
  <c r="AB77" i="65"/>
  <c r="AB73" i="65"/>
  <c r="L42" i="50"/>
  <c r="P45" i="24"/>
  <c r="O42" i="66"/>
  <c r="L40" i="42"/>
  <c r="O20" i="25"/>
  <c r="J41" i="65"/>
  <c r="L39" i="42"/>
  <c r="O41" i="66"/>
  <c r="Q155" i="50"/>
  <c r="Q145" i="50"/>
  <c r="Q139" i="50"/>
  <c r="Q152" i="50"/>
  <c r="Q157" i="50"/>
  <c r="Q148" i="50"/>
  <c r="Q153" i="50"/>
  <c r="Q149" i="50"/>
  <c r="Q156" i="50"/>
  <c r="Q138" i="50"/>
  <c r="Q140" i="50"/>
  <c r="Q151" i="50"/>
  <c r="Q150" i="50"/>
  <c r="Q154" i="50"/>
  <c r="Q158" i="50"/>
  <c r="Q146" i="50"/>
  <c r="Q144" i="50"/>
  <c r="Q147" i="50"/>
  <c r="P51" i="65"/>
  <c r="Z51" i="65"/>
  <c r="S51" i="65"/>
  <c r="R51" i="65"/>
  <c r="V51" i="65"/>
  <c r="T51" i="65"/>
  <c r="Q51" i="65"/>
  <c r="Y51" i="65"/>
  <c r="X51" i="65"/>
  <c r="P44" i="24"/>
  <c r="L41" i="50"/>
  <c r="N31" i="25"/>
  <c r="O19" i="25"/>
  <c r="N60" i="24"/>
  <c r="J47" i="42"/>
  <c r="P62" i="24"/>
  <c r="L49" i="42"/>
  <c r="O59" i="24"/>
  <c r="Q46" i="24"/>
  <c r="K42" i="65"/>
  <c r="M43" i="50"/>
  <c r="P21" i="25"/>
  <c r="M41" i="42"/>
  <c r="Q63" i="24"/>
  <c r="M52" i="37" s="1"/>
  <c r="M52" i="50"/>
  <c r="P33" i="25"/>
  <c r="K40" i="50"/>
  <c r="N18" i="25"/>
  <c r="K38" i="42"/>
  <c r="L43" i="65"/>
  <c r="N44" i="50"/>
  <c r="Q22" i="25"/>
  <c r="N42" i="42"/>
  <c r="K20" i="32"/>
  <c r="AN59" i="65" l="1"/>
  <c r="AI166" i="65"/>
  <c r="AI212" i="65"/>
  <c r="AH245" i="65"/>
  <c r="AI245" i="65" s="1"/>
  <c r="AN249" i="65"/>
  <c r="AN212" i="65"/>
  <c r="AI188" i="65"/>
  <c r="AO188" i="65" s="1"/>
  <c r="AN257" i="65"/>
  <c r="AN219" i="65"/>
  <c r="S60" i="42"/>
  <c r="U60" i="42" s="1"/>
  <c r="AH209" i="65"/>
  <c r="AI209" i="65" s="1"/>
  <c r="AO209" i="65" s="1"/>
  <c r="AI168" i="65"/>
  <c r="AJ168" i="65" s="1"/>
  <c r="AK168" i="65" s="1"/>
  <c r="B483" i="40"/>
  <c r="B201" i="65"/>
  <c r="AJ212" i="65"/>
  <c r="AK212" i="65" s="1"/>
  <c r="AQ212" i="65" s="1"/>
  <c r="AI215" i="65"/>
  <c r="AI189" i="65"/>
  <c r="AJ166" i="65"/>
  <c r="AK166" i="65" s="1"/>
  <c r="AL166" i="65" s="1"/>
  <c r="AR166" i="65" s="1"/>
  <c r="AN188" i="65"/>
  <c r="AN215" i="65"/>
  <c r="AH229" i="65"/>
  <c r="AI229" i="65" s="1"/>
  <c r="AJ229" i="65" s="1"/>
  <c r="AK229" i="65" s="1"/>
  <c r="AL229" i="65" s="1"/>
  <c r="AR229" i="65" s="1"/>
  <c r="AH253" i="65"/>
  <c r="AI253" i="65" s="1"/>
  <c r="AJ253" i="65" s="1"/>
  <c r="AH169" i="65"/>
  <c r="AI169" i="65" s="1"/>
  <c r="AH246" i="65"/>
  <c r="AI246" i="65" s="1"/>
  <c r="AJ246" i="65" s="1"/>
  <c r="AI236" i="65"/>
  <c r="AJ236" i="65" s="1"/>
  <c r="AK236" i="65" s="1"/>
  <c r="AO253" i="65"/>
  <c r="AH214" i="65"/>
  <c r="AI214" i="65" s="1"/>
  <c r="AJ214" i="65" s="1"/>
  <c r="AK214" i="65" s="1"/>
  <c r="AJ249" i="65"/>
  <c r="AK249" i="65" s="1"/>
  <c r="AL249" i="65" s="1"/>
  <c r="AR249" i="65" s="1"/>
  <c r="AO166" i="65"/>
  <c r="AH231" i="65"/>
  <c r="AI231" i="65" s="1"/>
  <c r="AJ231" i="65" s="1"/>
  <c r="AK231" i="65" s="1"/>
  <c r="AL231" i="65" s="1"/>
  <c r="AR231" i="65" s="1"/>
  <c r="AH228" i="65"/>
  <c r="AI228" i="65" s="1"/>
  <c r="AH254" i="65"/>
  <c r="AI254" i="65" s="1"/>
  <c r="AJ254" i="65" s="1"/>
  <c r="AK254" i="65" s="1"/>
  <c r="AL254" i="65" s="1"/>
  <c r="AR254" i="65" s="1"/>
  <c r="AN189" i="65"/>
  <c r="AH153" i="65"/>
  <c r="AI153" i="65" s="1"/>
  <c r="AJ153" i="65" s="1"/>
  <c r="AK153" i="65" s="1"/>
  <c r="AQ153" i="65" s="1"/>
  <c r="AH252" i="65"/>
  <c r="AI252" i="65" s="1"/>
  <c r="AJ252" i="65" s="1"/>
  <c r="AK252" i="65" s="1"/>
  <c r="AL252" i="65" s="1"/>
  <c r="AR252" i="65" s="1"/>
  <c r="AH213" i="65"/>
  <c r="AI213" i="65" s="1"/>
  <c r="AH162" i="65"/>
  <c r="AI162" i="65" s="1"/>
  <c r="AJ162" i="65" s="1"/>
  <c r="AK162" i="65" s="1"/>
  <c r="AH156" i="65"/>
  <c r="AI156" i="65" s="1"/>
  <c r="AJ156" i="65" s="1"/>
  <c r="AH158" i="65"/>
  <c r="AI158" i="65" s="1"/>
  <c r="AJ158" i="65" s="1"/>
  <c r="AK158" i="65" s="1"/>
  <c r="AL158" i="65" s="1"/>
  <c r="AR158" i="65" s="1"/>
  <c r="AN236" i="65"/>
  <c r="AI167" i="65"/>
  <c r="AJ167" i="65" s="1"/>
  <c r="AK167" i="65" s="1"/>
  <c r="AL167" i="65" s="1"/>
  <c r="AR167" i="65" s="1"/>
  <c r="AN166" i="65"/>
  <c r="AO215" i="65"/>
  <c r="AH160" i="65"/>
  <c r="AI160" i="65" s="1"/>
  <c r="AJ160" i="65" s="1"/>
  <c r="AJ189" i="65"/>
  <c r="AK189" i="65" s="1"/>
  <c r="AL189" i="65" s="1"/>
  <c r="AR189" i="65" s="1"/>
  <c r="AH155" i="65"/>
  <c r="AI155" i="65" s="1"/>
  <c r="AJ155" i="65" s="1"/>
  <c r="AK155" i="65" s="1"/>
  <c r="AO246" i="65"/>
  <c r="AH266" i="65"/>
  <c r="AI266" i="65" s="1"/>
  <c r="AJ266" i="65" s="1"/>
  <c r="AK266" i="65" s="1"/>
  <c r="AH227" i="65"/>
  <c r="AI227" i="65" s="1"/>
  <c r="AJ227" i="65" s="1"/>
  <c r="AH240" i="65"/>
  <c r="AI240" i="65" s="1"/>
  <c r="AH230" i="65"/>
  <c r="AI230" i="65" s="1"/>
  <c r="AJ230" i="65" s="1"/>
  <c r="AP231" i="65"/>
  <c r="AO214" i="65"/>
  <c r="AH154" i="65"/>
  <c r="AI154" i="65" s="1"/>
  <c r="AJ154" i="65" s="1"/>
  <c r="AK154" i="65" s="1"/>
  <c r="AL154" i="65" s="1"/>
  <c r="AR154" i="65" s="1"/>
  <c r="AL212" i="65"/>
  <c r="AR212" i="65" s="1"/>
  <c r="AH211" i="65"/>
  <c r="AI211" i="65" s="1"/>
  <c r="AJ211" i="65" s="1"/>
  <c r="AK211" i="65" s="1"/>
  <c r="AL211" i="65" s="1"/>
  <c r="AR211" i="65" s="1"/>
  <c r="AH157" i="65"/>
  <c r="AI157" i="65" s="1"/>
  <c r="AH239" i="65"/>
  <c r="AI239" i="65" s="1"/>
  <c r="AJ239" i="65" s="1"/>
  <c r="AK239" i="65" s="1"/>
  <c r="AH194" i="65"/>
  <c r="AI194" i="65" s="1"/>
  <c r="AJ194" i="65" s="1"/>
  <c r="AK194" i="65" s="1"/>
  <c r="AL194" i="65" s="1"/>
  <c r="AR194" i="65" s="1"/>
  <c r="AO189" i="65"/>
  <c r="AH255" i="65"/>
  <c r="AI255" i="65" s="1"/>
  <c r="AH165" i="65"/>
  <c r="AI165" i="65" s="1"/>
  <c r="AQ249" i="65"/>
  <c r="AH242" i="65"/>
  <c r="AI242" i="65" s="1"/>
  <c r="AH226" i="65"/>
  <c r="AI226" i="65" s="1"/>
  <c r="AP254" i="65"/>
  <c r="AH192" i="65"/>
  <c r="AI192" i="65" s="1"/>
  <c r="AJ192" i="65" s="1"/>
  <c r="AK192" i="65" s="1"/>
  <c r="AL192" i="65" s="1"/>
  <c r="AR192" i="65" s="1"/>
  <c r="AH247" i="65"/>
  <c r="AI247" i="65" s="1"/>
  <c r="AJ247" i="65" s="1"/>
  <c r="AK247" i="65" s="1"/>
  <c r="AH256" i="65"/>
  <c r="AI256" i="65" s="1"/>
  <c r="AJ256" i="65" s="1"/>
  <c r="AI235" i="65"/>
  <c r="AJ235" i="65" s="1"/>
  <c r="AK235" i="65" s="1"/>
  <c r="AI250" i="65"/>
  <c r="AJ250" i="65" s="1"/>
  <c r="AK250" i="65" s="1"/>
  <c r="AL250" i="65" s="1"/>
  <c r="AR250" i="65" s="1"/>
  <c r="AI161" i="65"/>
  <c r="AJ161" i="65" s="1"/>
  <c r="AI251" i="65"/>
  <c r="AJ251" i="65" s="1"/>
  <c r="AK251" i="65" s="1"/>
  <c r="AL251" i="65" s="1"/>
  <c r="AR251" i="65" s="1"/>
  <c r="AJ215" i="65"/>
  <c r="AK215" i="65" s="1"/>
  <c r="AH216" i="65"/>
  <c r="AI216" i="65" s="1"/>
  <c r="AJ216" i="65" s="1"/>
  <c r="AK216" i="65" s="1"/>
  <c r="AL216" i="65" s="1"/>
  <c r="AR216" i="65" s="1"/>
  <c r="AH258" i="65"/>
  <c r="AI258" i="65" s="1"/>
  <c r="AO256" i="65"/>
  <c r="AH191" i="65"/>
  <c r="AI191" i="65" s="1"/>
  <c r="AJ191" i="65" s="1"/>
  <c r="AK191" i="65" s="1"/>
  <c r="AL191" i="65" s="1"/>
  <c r="AR191" i="65" s="1"/>
  <c r="AH233" i="65"/>
  <c r="AI233" i="65" s="1"/>
  <c r="AH232" i="65"/>
  <c r="AI232" i="65" s="1"/>
  <c r="AH241" i="65"/>
  <c r="AI241" i="65" s="1"/>
  <c r="AJ241" i="65" s="1"/>
  <c r="AK241" i="65" s="1"/>
  <c r="AL241" i="65" s="1"/>
  <c r="AR241" i="65" s="1"/>
  <c r="AH217" i="65"/>
  <c r="AI217" i="65" s="1"/>
  <c r="AH210" i="65"/>
  <c r="AI210" i="65" s="1"/>
  <c r="AJ210" i="65" s="1"/>
  <c r="AK210" i="65" s="1"/>
  <c r="AH164" i="65"/>
  <c r="AI164" i="65" s="1"/>
  <c r="AH238" i="65"/>
  <c r="AI238" i="65" s="1"/>
  <c r="AP214" i="65"/>
  <c r="AH220" i="65"/>
  <c r="AI220" i="65" s="1"/>
  <c r="AJ220" i="65" s="1"/>
  <c r="AK220" i="65" s="1"/>
  <c r="AL220" i="65" s="1"/>
  <c r="AR220" i="65" s="1"/>
  <c r="AH193" i="65"/>
  <c r="AI193" i="65" s="1"/>
  <c r="AJ193" i="65" s="1"/>
  <c r="AK193" i="65" s="1"/>
  <c r="AL193" i="65" s="1"/>
  <c r="AR193" i="65" s="1"/>
  <c r="AI163" i="65"/>
  <c r="AJ163" i="65" s="1"/>
  <c r="AK163" i="65" s="1"/>
  <c r="AL163" i="65" s="1"/>
  <c r="AR163" i="65" s="1"/>
  <c r="AI219" i="65"/>
  <c r="AJ219" i="65" s="1"/>
  <c r="AK219" i="65" s="1"/>
  <c r="AL219" i="65" s="1"/>
  <c r="AR219" i="65" s="1"/>
  <c r="AH152" i="65"/>
  <c r="AI152" i="65" s="1"/>
  <c r="AJ152" i="65" s="1"/>
  <c r="AP152" i="65" s="1"/>
  <c r="AP249" i="65"/>
  <c r="AH218" i="65"/>
  <c r="AI218" i="65" s="1"/>
  <c r="AJ218" i="65" s="1"/>
  <c r="AK218" i="65" s="1"/>
  <c r="AL218" i="65" s="1"/>
  <c r="AR218" i="65" s="1"/>
  <c r="AH159" i="65"/>
  <c r="AI159" i="65" s="1"/>
  <c r="AJ159" i="65" s="1"/>
  <c r="AH151" i="65"/>
  <c r="AI151" i="65" s="1"/>
  <c r="AO254" i="65"/>
  <c r="AH237" i="65"/>
  <c r="AI237" i="65" s="1"/>
  <c r="AJ237" i="65" s="1"/>
  <c r="AH248" i="65"/>
  <c r="AI248" i="65" s="1"/>
  <c r="AO248" i="65" s="1"/>
  <c r="AJ188" i="65"/>
  <c r="AP188" i="65" s="1"/>
  <c r="AO155" i="65"/>
  <c r="AH208" i="65"/>
  <c r="AI208" i="65" s="1"/>
  <c r="AJ208" i="65" s="1"/>
  <c r="AK208" i="65" s="1"/>
  <c r="AL208" i="65" s="1"/>
  <c r="AR208" i="65" s="1"/>
  <c r="AO230" i="65"/>
  <c r="AH234" i="65"/>
  <c r="AI234" i="65" s="1"/>
  <c r="AQ254" i="65"/>
  <c r="AO212" i="65"/>
  <c r="AO156" i="65"/>
  <c r="AI257" i="65"/>
  <c r="AJ257" i="65" s="1"/>
  <c r="AK257" i="65" s="1"/>
  <c r="AL257" i="65" s="1"/>
  <c r="AR257" i="65" s="1"/>
  <c r="AI190" i="65"/>
  <c r="AJ190" i="65" s="1"/>
  <c r="AK190" i="65" s="1"/>
  <c r="AN107" i="65"/>
  <c r="AI64" i="65"/>
  <c r="AJ64" i="65" s="1"/>
  <c r="AK64" i="65" s="1"/>
  <c r="AQ64" i="65" s="1"/>
  <c r="P54" i="66"/>
  <c r="L51" i="37"/>
  <c r="P42" i="66"/>
  <c r="L42" i="37"/>
  <c r="L50" i="50"/>
  <c r="K50" i="37"/>
  <c r="Q43" i="66"/>
  <c r="M43" i="37"/>
  <c r="N52" i="66"/>
  <c r="J49" i="37"/>
  <c r="P41" i="66"/>
  <c r="L41" i="37"/>
  <c r="AH121" i="65"/>
  <c r="AI121" i="65" s="1"/>
  <c r="AJ121" i="65" s="1"/>
  <c r="AP121" i="65" s="1"/>
  <c r="AH122" i="65"/>
  <c r="AI122" i="65" s="1"/>
  <c r="AJ122" i="65" s="1"/>
  <c r="AK122" i="65" s="1"/>
  <c r="AL122" i="65" s="1"/>
  <c r="AR122" i="65" s="1"/>
  <c r="AH133" i="65"/>
  <c r="AI133" i="65" s="1"/>
  <c r="AO133" i="65" s="1"/>
  <c r="AI104" i="65"/>
  <c r="AJ104" i="65" s="1"/>
  <c r="AK104" i="65" s="1"/>
  <c r="AL104" i="65" s="1"/>
  <c r="AR104" i="65" s="1"/>
  <c r="AN104" i="65"/>
  <c r="AH105" i="65"/>
  <c r="AI105" i="65" s="1"/>
  <c r="AJ105" i="65" s="1"/>
  <c r="AK105" i="65" s="1"/>
  <c r="AL105" i="65" s="1"/>
  <c r="AR105" i="65" s="1"/>
  <c r="AH134" i="65"/>
  <c r="AI134" i="65" s="1"/>
  <c r="AJ134" i="65" s="1"/>
  <c r="AP134" i="65" s="1"/>
  <c r="AH102" i="65"/>
  <c r="AI102" i="65" s="1"/>
  <c r="AJ102" i="65" s="1"/>
  <c r="AK102" i="65" s="1"/>
  <c r="AL102" i="65" s="1"/>
  <c r="AR102" i="65" s="1"/>
  <c r="AH52" i="65"/>
  <c r="AI52" i="65" s="1"/>
  <c r="AJ52" i="65" s="1"/>
  <c r="AK52" i="65" s="1"/>
  <c r="AL52" i="65" s="1"/>
  <c r="AR52" i="65" s="1"/>
  <c r="AH142" i="65"/>
  <c r="AI142" i="65" s="1"/>
  <c r="AJ142" i="65" s="1"/>
  <c r="AK142" i="65" s="1"/>
  <c r="AL142" i="65" s="1"/>
  <c r="AR142" i="65" s="1"/>
  <c r="AH91" i="65"/>
  <c r="AI91" i="65" s="1"/>
  <c r="AJ91" i="65" s="1"/>
  <c r="AK91" i="65" s="1"/>
  <c r="AL91" i="65" s="1"/>
  <c r="AR91" i="65" s="1"/>
  <c r="AH125" i="65"/>
  <c r="AH136" i="65"/>
  <c r="AI136" i="65" s="1"/>
  <c r="AJ136" i="65" s="1"/>
  <c r="AK136" i="65" s="1"/>
  <c r="AL136" i="65" s="1"/>
  <c r="AR136" i="65" s="1"/>
  <c r="AI92" i="65"/>
  <c r="AJ92" i="65" s="1"/>
  <c r="AH86" i="65"/>
  <c r="AI86" i="65" s="1"/>
  <c r="AO86" i="65" s="1"/>
  <c r="AO102" i="65"/>
  <c r="AH98" i="65"/>
  <c r="AI98" i="65" s="1"/>
  <c r="AJ98" i="65" s="1"/>
  <c r="AH55" i="65"/>
  <c r="AI55" i="65" s="1"/>
  <c r="AJ55" i="65" s="1"/>
  <c r="AK55" i="65" s="1"/>
  <c r="AL55" i="65" s="1"/>
  <c r="AR55" i="65" s="1"/>
  <c r="AH97" i="65"/>
  <c r="AI97" i="65" s="1"/>
  <c r="AJ97" i="65" s="1"/>
  <c r="AK97" i="65" s="1"/>
  <c r="AL97" i="65" s="1"/>
  <c r="AR97" i="65" s="1"/>
  <c r="AH56" i="65"/>
  <c r="AI56" i="65" s="1"/>
  <c r="AJ56" i="65" s="1"/>
  <c r="AK56" i="65" s="1"/>
  <c r="AL56" i="65" s="1"/>
  <c r="AR56" i="65" s="1"/>
  <c r="AH96" i="65"/>
  <c r="AI96" i="65" s="1"/>
  <c r="AH54" i="65"/>
  <c r="AI54" i="65" s="1"/>
  <c r="AJ54" i="65" s="1"/>
  <c r="AK54" i="65" s="1"/>
  <c r="AL54" i="65" s="1"/>
  <c r="AR54" i="65" s="1"/>
  <c r="AH137" i="65"/>
  <c r="AI137" i="65" s="1"/>
  <c r="AJ137" i="65" s="1"/>
  <c r="AH85" i="65"/>
  <c r="AN85" i="65" s="1"/>
  <c r="AH135" i="65"/>
  <c r="AN92" i="65"/>
  <c r="AH95" i="65"/>
  <c r="AI95" i="65" s="1"/>
  <c r="AJ95" i="65" s="1"/>
  <c r="AK95" i="65" s="1"/>
  <c r="AL95" i="65" s="1"/>
  <c r="AR95" i="65" s="1"/>
  <c r="AH88" i="65"/>
  <c r="AI88" i="65" s="1"/>
  <c r="AJ88" i="65" s="1"/>
  <c r="AK88" i="65" s="1"/>
  <c r="AH138" i="65"/>
  <c r="AI138" i="65" s="1"/>
  <c r="AJ138" i="65" s="1"/>
  <c r="AK138" i="65" s="1"/>
  <c r="AL138" i="65" s="1"/>
  <c r="AR138" i="65" s="1"/>
  <c r="AH100" i="65"/>
  <c r="AI100" i="65" s="1"/>
  <c r="AJ100" i="65" s="1"/>
  <c r="AK100" i="65" s="1"/>
  <c r="AL100" i="65" s="1"/>
  <c r="AR100" i="65" s="1"/>
  <c r="AH87" i="65"/>
  <c r="AI87" i="65" s="1"/>
  <c r="AJ87" i="65" s="1"/>
  <c r="AP87" i="65" s="1"/>
  <c r="AH58" i="65"/>
  <c r="AI58" i="65" s="1"/>
  <c r="AJ58" i="65" s="1"/>
  <c r="AK58" i="65" s="1"/>
  <c r="AL58" i="65" s="1"/>
  <c r="AR58" i="65" s="1"/>
  <c r="AH53" i="65"/>
  <c r="AI53" i="65" s="1"/>
  <c r="AJ53" i="65" s="1"/>
  <c r="AK53" i="65" s="1"/>
  <c r="AL53" i="65" s="1"/>
  <c r="AR53" i="65" s="1"/>
  <c r="AH94" i="65"/>
  <c r="AI94" i="65" s="1"/>
  <c r="AJ94" i="65" s="1"/>
  <c r="AK94" i="65" s="1"/>
  <c r="AH101" i="65"/>
  <c r="AI101" i="65" s="1"/>
  <c r="AJ101" i="65" s="1"/>
  <c r="AK101" i="65" s="1"/>
  <c r="AL101" i="65" s="1"/>
  <c r="AR101" i="65" s="1"/>
  <c r="AH93" i="65"/>
  <c r="AI93" i="65" s="1"/>
  <c r="AJ93" i="65" s="1"/>
  <c r="AK93" i="65" s="1"/>
  <c r="AL93" i="65" s="1"/>
  <c r="AR93" i="65" s="1"/>
  <c r="AH99" i="65"/>
  <c r="AI99" i="65" s="1"/>
  <c r="AJ99" i="65" s="1"/>
  <c r="AK99" i="65" s="1"/>
  <c r="AL99" i="65" s="1"/>
  <c r="AR99" i="65" s="1"/>
  <c r="AH57" i="65"/>
  <c r="AI57" i="65" s="1"/>
  <c r="AJ57" i="65" s="1"/>
  <c r="AK57" i="65" s="1"/>
  <c r="AL57" i="65" s="1"/>
  <c r="AR57" i="65" s="1"/>
  <c r="AH139" i="65"/>
  <c r="AI139" i="65" s="1"/>
  <c r="AJ139" i="65" s="1"/>
  <c r="AK139" i="65" s="1"/>
  <c r="AL139" i="65" s="1"/>
  <c r="AR139" i="65" s="1"/>
  <c r="AI107" i="65"/>
  <c r="AJ107" i="65" s="1"/>
  <c r="AK107" i="65" s="1"/>
  <c r="AL107" i="65" s="1"/>
  <c r="AR107" i="65" s="1"/>
  <c r="AI59" i="65"/>
  <c r="AJ59" i="65" s="1"/>
  <c r="AK59" i="65" s="1"/>
  <c r="AL59" i="65" s="1"/>
  <c r="AR59" i="65" s="1"/>
  <c r="AI90" i="65"/>
  <c r="AJ90" i="65" s="1"/>
  <c r="AI89" i="65"/>
  <c r="AJ89" i="65" s="1"/>
  <c r="AK89" i="65" s="1"/>
  <c r="AL89" i="65" s="1"/>
  <c r="AR89" i="65" s="1"/>
  <c r="AI141" i="65"/>
  <c r="AO141" i="65" s="1"/>
  <c r="AI123" i="65"/>
  <c r="AJ123" i="65" s="1"/>
  <c r="AP123" i="65" s="1"/>
  <c r="K49" i="66"/>
  <c r="K27" i="25"/>
  <c r="O51" i="66"/>
  <c r="O29" i="25"/>
  <c r="L50" i="66"/>
  <c r="L28" i="25"/>
  <c r="AZ140" i="50"/>
  <c r="M42" i="50"/>
  <c r="P61" i="24"/>
  <c r="O31" i="25"/>
  <c r="M58" i="24"/>
  <c r="N50" i="42"/>
  <c r="Q55" i="66"/>
  <c r="M40" i="42"/>
  <c r="K41" i="65"/>
  <c r="L48" i="42"/>
  <c r="O53" i="66"/>
  <c r="P20" i="25"/>
  <c r="Q45" i="24"/>
  <c r="M39" i="42"/>
  <c r="AI60" i="65"/>
  <c r="AI84" i="65"/>
  <c r="AJ84" i="65" s="1"/>
  <c r="AI78" i="65"/>
  <c r="AO78" i="65" s="1"/>
  <c r="AI67" i="65"/>
  <c r="AO67" i="65" s="1"/>
  <c r="AI69" i="65"/>
  <c r="AJ69" i="65" s="1"/>
  <c r="AI80" i="65"/>
  <c r="AO80" i="65" s="1"/>
  <c r="AI66" i="65"/>
  <c r="AO66" i="65" s="1"/>
  <c r="AN141" i="65"/>
  <c r="AN69" i="65"/>
  <c r="AI111" i="65"/>
  <c r="AJ111" i="65" s="1"/>
  <c r="AK111" i="65" s="1"/>
  <c r="AL111" i="65" s="1"/>
  <c r="AR111" i="65" s="1"/>
  <c r="AI132" i="65"/>
  <c r="AJ132" i="65" s="1"/>
  <c r="AK132" i="65" s="1"/>
  <c r="AN64" i="65"/>
  <c r="AH115" i="65"/>
  <c r="AI115" i="65" s="1"/>
  <c r="AH61" i="65"/>
  <c r="AI61" i="65" s="1"/>
  <c r="AJ61" i="65" s="1"/>
  <c r="AH130" i="65"/>
  <c r="AI130" i="65" s="1"/>
  <c r="AH126" i="65"/>
  <c r="AH62" i="65"/>
  <c r="AI62" i="65" s="1"/>
  <c r="AJ62" i="65" s="1"/>
  <c r="AH108" i="65"/>
  <c r="AI108" i="65" s="1"/>
  <c r="AH113" i="65"/>
  <c r="AI113" i="65" s="1"/>
  <c r="AJ113" i="65" s="1"/>
  <c r="AK113" i="65" s="1"/>
  <c r="AL113" i="65" s="1"/>
  <c r="AR113" i="65" s="1"/>
  <c r="AH72" i="65"/>
  <c r="AI72" i="65" s="1"/>
  <c r="AH75" i="65"/>
  <c r="AI75" i="65" s="1"/>
  <c r="AH65" i="65"/>
  <c r="AI65" i="65" s="1"/>
  <c r="AJ65" i="65" s="1"/>
  <c r="AK65" i="65" s="1"/>
  <c r="AH131" i="65"/>
  <c r="AI131" i="65" s="1"/>
  <c r="AJ131" i="65" s="1"/>
  <c r="AK131" i="65" s="1"/>
  <c r="AH116" i="65"/>
  <c r="AI116" i="65" s="1"/>
  <c r="AJ116" i="65" s="1"/>
  <c r="AH63" i="65"/>
  <c r="AI63" i="65" s="1"/>
  <c r="AJ63" i="65" s="1"/>
  <c r="AH79" i="65"/>
  <c r="AI79" i="65" s="1"/>
  <c r="AI76" i="65"/>
  <c r="AJ76" i="65" s="1"/>
  <c r="AH73" i="65"/>
  <c r="AI73" i="65" s="1"/>
  <c r="AJ73" i="65" s="1"/>
  <c r="AK73" i="65" s="1"/>
  <c r="AL73" i="65" s="1"/>
  <c r="AR73" i="65" s="1"/>
  <c r="AI117" i="65"/>
  <c r="AJ117" i="65" s="1"/>
  <c r="AK117" i="65" s="1"/>
  <c r="AL117" i="65" s="1"/>
  <c r="AR117" i="65" s="1"/>
  <c r="AH112" i="65"/>
  <c r="AI112" i="65" s="1"/>
  <c r="AJ112" i="65" s="1"/>
  <c r="AK112" i="65" s="1"/>
  <c r="AL112" i="65" s="1"/>
  <c r="AR112" i="65" s="1"/>
  <c r="AH83" i="65"/>
  <c r="AI83" i="65" s="1"/>
  <c r="AJ83" i="65" s="1"/>
  <c r="AH68" i="65"/>
  <c r="AI68" i="65" s="1"/>
  <c r="AJ68" i="65" s="1"/>
  <c r="AK68" i="65" s="1"/>
  <c r="AN127" i="65"/>
  <c r="AI127" i="65"/>
  <c r="AJ127" i="65" s="1"/>
  <c r="AI124" i="65"/>
  <c r="AJ124" i="65" s="1"/>
  <c r="AH70" i="65"/>
  <c r="AI70" i="65" s="1"/>
  <c r="AJ70" i="65" s="1"/>
  <c r="AN67" i="65"/>
  <c r="AI74" i="65"/>
  <c r="AJ74" i="65" s="1"/>
  <c r="AK74" i="65" s="1"/>
  <c r="AL74" i="65" s="1"/>
  <c r="AR74" i="65" s="1"/>
  <c r="AH71" i="65"/>
  <c r="AI71" i="65" s="1"/>
  <c r="AJ71" i="65" s="1"/>
  <c r="AI114" i="65"/>
  <c r="AJ114" i="65" s="1"/>
  <c r="AH140" i="65"/>
  <c r="AI140" i="65" s="1"/>
  <c r="AJ140" i="65" s="1"/>
  <c r="AN123" i="65"/>
  <c r="AH77" i="65"/>
  <c r="AI77" i="65" s="1"/>
  <c r="AJ77" i="65" s="1"/>
  <c r="AK77" i="65" s="1"/>
  <c r="AH109" i="65"/>
  <c r="AI109" i="65" s="1"/>
  <c r="AJ109" i="65" s="1"/>
  <c r="AP109" i="65" s="1"/>
  <c r="AH129" i="65"/>
  <c r="AI129" i="65" s="1"/>
  <c r="AH110" i="65"/>
  <c r="AI110" i="65" s="1"/>
  <c r="AN66" i="65"/>
  <c r="AN84" i="65"/>
  <c r="AI118" i="65"/>
  <c r="AJ118" i="65" s="1"/>
  <c r="AI81" i="65"/>
  <c r="AJ81" i="65" s="1"/>
  <c r="AK81" i="65" s="1"/>
  <c r="AN132" i="65"/>
  <c r="AH82" i="65"/>
  <c r="AI82" i="65" s="1"/>
  <c r="AJ82" i="65" s="1"/>
  <c r="AK82" i="65" s="1"/>
  <c r="AL82" i="65" s="1"/>
  <c r="AR82" i="65" s="1"/>
  <c r="AN78" i="65"/>
  <c r="P19" i="25"/>
  <c r="Q44" i="24"/>
  <c r="M41" i="50"/>
  <c r="AZ139" i="50"/>
  <c r="AB51" i="65"/>
  <c r="AH51" i="65" s="1"/>
  <c r="O60" i="24"/>
  <c r="K47" i="42"/>
  <c r="N30" i="25"/>
  <c r="N104" i="25" s="1"/>
  <c r="K49" i="50"/>
  <c r="M49" i="42"/>
  <c r="P32" i="25"/>
  <c r="Q62" i="24"/>
  <c r="M51" i="50"/>
  <c r="L40" i="50"/>
  <c r="O18" i="25"/>
  <c r="L38" i="42"/>
  <c r="N52" i="50"/>
  <c r="Q33" i="25"/>
  <c r="P59" i="24"/>
  <c r="Q61" i="24"/>
  <c r="M50" i="37" s="1"/>
  <c r="L57" i="24"/>
  <c r="N58" i="24"/>
  <c r="L42" i="65"/>
  <c r="N41" i="42"/>
  <c r="N43" i="50"/>
  <c r="Q21" i="25"/>
  <c r="AO231" i="65" l="1"/>
  <c r="AO153" i="65"/>
  <c r="AO162" i="65"/>
  <c r="AQ154" i="65"/>
  <c r="AQ231" i="65"/>
  <c r="AP252" i="65"/>
  <c r="AQ163" i="65"/>
  <c r="AP247" i="65"/>
  <c r="M120" i="66"/>
  <c r="O122" i="66" s="1"/>
  <c r="AQ218" i="65"/>
  <c r="AJ245" i="65"/>
  <c r="AP245" i="65" s="1"/>
  <c r="AO245" i="65"/>
  <c r="AQ247" i="65"/>
  <c r="AL247" i="65"/>
  <c r="AR247" i="65" s="1"/>
  <c r="AN231" i="65"/>
  <c r="AN245" i="65"/>
  <c r="AP246" i="65"/>
  <c r="AK246" i="65"/>
  <c r="AQ246" i="65" s="1"/>
  <c r="AO193" i="65"/>
  <c r="AN208" i="65"/>
  <c r="AO168" i="65"/>
  <c r="AO151" i="65"/>
  <c r="I273" i="65"/>
  <c r="AP194" i="65"/>
  <c r="AN213" i="65"/>
  <c r="AP212" i="65"/>
  <c r="AN228" i="65"/>
  <c r="AN253" i="65"/>
  <c r="AP189" i="65"/>
  <c r="AN227" i="65"/>
  <c r="AJ209" i="65"/>
  <c r="AK209" i="65" s="1"/>
  <c r="AL209" i="65" s="1"/>
  <c r="AR209" i="65" s="1"/>
  <c r="AP162" i="65"/>
  <c r="AN218" i="65"/>
  <c r="AN164" i="65"/>
  <c r="AP166" i="65"/>
  <c r="AQ166" i="65"/>
  <c r="AN162" i="65"/>
  <c r="B484" i="40"/>
  <c r="B202" i="65"/>
  <c r="AN209" i="65"/>
  <c r="AQ250" i="65"/>
  <c r="AO154" i="65"/>
  <c r="AN159" i="65"/>
  <c r="AN220" i="65"/>
  <c r="AN242" i="65"/>
  <c r="AP220" i="65"/>
  <c r="AN254" i="65"/>
  <c r="AP168" i="65"/>
  <c r="AN169" i="65"/>
  <c r="AQ211" i="65"/>
  <c r="AN234" i="65"/>
  <c r="AJ248" i="65"/>
  <c r="AK248" i="65" s="1"/>
  <c r="AL248" i="65" s="1"/>
  <c r="AR248" i="65" s="1"/>
  <c r="AP208" i="65"/>
  <c r="AQ208" i="65"/>
  <c r="AO152" i="65"/>
  <c r="AN232" i="65"/>
  <c r="AN258" i="65"/>
  <c r="AN211" i="65"/>
  <c r="AO219" i="65"/>
  <c r="AN240" i="65"/>
  <c r="AN266" i="65"/>
  <c r="AO239" i="65"/>
  <c r="AO266" i="65"/>
  <c r="AP218" i="65"/>
  <c r="AN248" i="65"/>
  <c r="AN151" i="65"/>
  <c r="AN152" i="65"/>
  <c r="AN193" i="65"/>
  <c r="AP191" i="65"/>
  <c r="AQ191" i="65"/>
  <c r="AP215" i="65"/>
  <c r="AP250" i="65"/>
  <c r="AN191" i="65"/>
  <c r="AN256" i="65"/>
  <c r="AO211" i="65"/>
  <c r="AN165" i="65"/>
  <c r="AO167" i="65"/>
  <c r="AN155" i="65"/>
  <c r="AP219" i="65"/>
  <c r="AP216" i="65"/>
  <c r="AO159" i="65"/>
  <c r="AL190" i="65"/>
  <c r="AR190" i="65" s="1"/>
  <c r="AQ190" i="65"/>
  <c r="AL210" i="65"/>
  <c r="AR210" i="65" s="1"/>
  <c r="AQ210" i="65"/>
  <c r="AP190" i="65"/>
  <c r="AL215" i="65"/>
  <c r="AR215" i="65" s="1"/>
  <c r="AQ215" i="65"/>
  <c r="AL236" i="65"/>
  <c r="AR236" i="65" s="1"/>
  <c r="AQ236" i="65"/>
  <c r="AJ234" i="65"/>
  <c r="AO234" i="65"/>
  <c r="AN237" i="65"/>
  <c r="AK159" i="65"/>
  <c r="AP159" i="65"/>
  <c r="AO257" i="65"/>
  <c r="AO210" i="65"/>
  <c r="AN210" i="65"/>
  <c r="AN241" i="65"/>
  <c r="AJ258" i="65"/>
  <c r="AO258" i="65"/>
  <c r="AO252" i="65"/>
  <c r="AK256" i="65"/>
  <c r="AP256" i="65"/>
  <c r="AN247" i="65"/>
  <c r="AP229" i="65"/>
  <c r="AJ242" i="65"/>
  <c r="AO242" i="65"/>
  <c r="AO161" i="65"/>
  <c r="AJ165" i="65"/>
  <c r="AO165" i="65"/>
  <c r="AN255" i="65"/>
  <c r="AN194" i="65"/>
  <c r="AN157" i="65"/>
  <c r="AP193" i="65"/>
  <c r="AO216" i="65"/>
  <c r="AJ240" i="65"/>
  <c r="AO240" i="65"/>
  <c r="AL266" i="65"/>
  <c r="AR266" i="65" s="1"/>
  <c r="AQ266" i="65"/>
  <c r="AO250" i="65"/>
  <c r="AL155" i="65"/>
  <c r="AR155" i="65" s="1"/>
  <c r="AQ155" i="65"/>
  <c r="AP167" i="65"/>
  <c r="AO220" i="65"/>
  <c r="AN158" i="65"/>
  <c r="AO237" i="65"/>
  <c r="AJ213" i="65"/>
  <c r="AO213" i="65"/>
  <c r="AN252" i="65"/>
  <c r="AQ220" i="65"/>
  <c r="AP154" i="65"/>
  <c r="AJ228" i="65"/>
  <c r="AO228" i="65"/>
  <c r="AO160" i="65"/>
  <c r="AJ169" i="65"/>
  <c r="AO169" i="65"/>
  <c r="AK253" i="65"/>
  <c r="AP253" i="65"/>
  <c r="AP155" i="65"/>
  <c r="AN229" i="65"/>
  <c r="AK237" i="65"/>
  <c r="AP237" i="65"/>
  <c r="AL235" i="65"/>
  <c r="AR235" i="65" s="1"/>
  <c r="AQ235" i="65"/>
  <c r="AO247" i="65"/>
  <c r="AJ157" i="65"/>
  <c r="AO157" i="65"/>
  <c r="AO190" i="65"/>
  <c r="AJ238" i="65"/>
  <c r="AO238" i="65"/>
  <c r="AJ217" i="65"/>
  <c r="AO217" i="65"/>
  <c r="AO233" i="65"/>
  <c r="AJ233" i="65"/>
  <c r="AP235" i="65"/>
  <c r="AO236" i="65"/>
  <c r="AK161" i="65"/>
  <c r="AP161" i="65"/>
  <c r="AJ226" i="65"/>
  <c r="AP226" i="65" s="1"/>
  <c r="AO226" i="65"/>
  <c r="AL239" i="65"/>
  <c r="AR239" i="65" s="1"/>
  <c r="AQ239" i="65"/>
  <c r="AQ252" i="65"/>
  <c r="AP241" i="65"/>
  <c r="AQ193" i="65"/>
  <c r="AK230" i="65"/>
  <c r="AP230" i="65"/>
  <c r="AK160" i="65"/>
  <c r="AP160" i="65"/>
  <c r="AO241" i="65"/>
  <c r="AK156" i="65"/>
  <c r="AP156" i="65"/>
  <c r="AP239" i="65"/>
  <c r="AQ189" i="65"/>
  <c r="AQ158" i="65"/>
  <c r="AL168" i="65"/>
  <c r="AR168" i="65" s="1"/>
  <c r="AQ168" i="65"/>
  <c r="AO208" i="65"/>
  <c r="AL214" i="65"/>
  <c r="AR214" i="65" s="1"/>
  <c r="AQ214" i="65"/>
  <c r="AP210" i="65"/>
  <c r="AP257" i="65"/>
  <c r="AN246" i="65"/>
  <c r="AO235" i="65"/>
  <c r="AQ248" i="65"/>
  <c r="AJ255" i="65"/>
  <c r="AO255" i="65"/>
  <c r="AQ241" i="65"/>
  <c r="AQ216" i="65"/>
  <c r="AO163" i="65"/>
  <c r="AN238" i="65"/>
  <c r="AJ164" i="65"/>
  <c r="AO164" i="65"/>
  <c r="AN217" i="65"/>
  <c r="AO158" i="65"/>
  <c r="AJ232" i="65"/>
  <c r="AO232" i="65"/>
  <c r="AN233" i="65"/>
  <c r="AQ219" i="65"/>
  <c r="AN216" i="65"/>
  <c r="AO192" i="65"/>
  <c r="AN192" i="65"/>
  <c r="AN226" i="65"/>
  <c r="AP236" i="65"/>
  <c r="AO251" i="65"/>
  <c r="AP158" i="65"/>
  <c r="AN239" i="65"/>
  <c r="AQ229" i="65"/>
  <c r="AO229" i="65"/>
  <c r="AN154" i="65"/>
  <c r="AQ251" i="65"/>
  <c r="AN230" i="65"/>
  <c r="AQ192" i="65"/>
  <c r="AK227" i="65"/>
  <c r="AQ227" i="65" s="1"/>
  <c r="AP227" i="65"/>
  <c r="AP211" i="65"/>
  <c r="AN160" i="65"/>
  <c r="AN156" i="65"/>
  <c r="AL162" i="65"/>
  <c r="AR162" i="65" s="1"/>
  <c r="AQ162" i="65"/>
  <c r="AQ194" i="65"/>
  <c r="AN153" i="65"/>
  <c r="AP192" i="65"/>
  <c r="AP163" i="65"/>
  <c r="AO227" i="65"/>
  <c r="AP153" i="65"/>
  <c r="AO218" i="65"/>
  <c r="AN214" i="65"/>
  <c r="AO194" i="65"/>
  <c r="AQ167" i="65"/>
  <c r="AP251" i="65"/>
  <c r="AQ257" i="65"/>
  <c r="AP266" i="65"/>
  <c r="AO191" i="65"/>
  <c r="AP64" i="65"/>
  <c r="AO64" i="65"/>
  <c r="AO88" i="65"/>
  <c r="Q41" i="66"/>
  <c r="M41" i="37"/>
  <c r="O52" i="66"/>
  <c r="K49" i="37"/>
  <c r="Q54" i="66"/>
  <c r="M51" i="37"/>
  <c r="Q42" i="66"/>
  <c r="M42" i="37"/>
  <c r="P53" i="66"/>
  <c r="L50" i="37"/>
  <c r="AI125" i="65"/>
  <c r="AO125" i="65" s="1"/>
  <c r="AQ102" i="65"/>
  <c r="AQ55" i="65"/>
  <c r="AP102" i="65"/>
  <c r="AO136" i="65"/>
  <c r="AQ91" i="65"/>
  <c r="AP91" i="65"/>
  <c r="AO91" i="65"/>
  <c r="H273" i="65"/>
  <c r="AQ142" i="65"/>
  <c r="AN136" i="65"/>
  <c r="AP142" i="65"/>
  <c r="AO142" i="65"/>
  <c r="AP97" i="65"/>
  <c r="AQ104" i="65"/>
  <c r="AN121" i="65"/>
  <c r="AQ105" i="65"/>
  <c r="AQ122" i="65"/>
  <c r="AQ138" i="65"/>
  <c r="AQ94" i="65"/>
  <c r="AL94" i="65"/>
  <c r="AR94" i="65" s="1"/>
  <c r="AN54" i="65"/>
  <c r="AN125" i="65"/>
  <c r="AN122" i="65"/>
  <c r="AO104" i="65"/>
  <c r="AO101" i="65"/>
  <c r="AN101" i="65"/>
  <c r="AP54" i="65"/>
  <c r="AQ56" i="65"/>
  <c r="AQ52" i="65"/>
  <c r="AP136" i="65"/>
  <c r="AN134" i="65"/>
  <c r="AN105" i="65"/>
  <c r="AP122" i="65"/>
  <c r="AN133" i="65"/>
  <c r="AO121" i="65"/>
  <c r="AO122" i="65"/>
  <c r="AQ54" i="65"/>
  <c r="AN135" i="65"/>
  <c r="AI135" i="65"/>
  <c r="AP137" i="65"/>
  <c r="AK137" i="65"/>
  <c r="AP105" i="65"/>
  <c r="AQ136" i="65"/>
  <c r="AO105" i="65"/>
  <c r="AP104" i="65"/>
  <c r="AO134" i="65"/>
  <c r="AN139" i="65"/>
  <c r="AP93" i="65"/>
  <c r="AO97" i="65"/>
  <c r="AP52" i="65"/>
  <c r="AN142" i="65"/>
  <c r="AO95" i="65"/>
  <c r="AQ97" i="65"/>
  <c r="AP139" i="65"/>
  <c r="AN93" i="65"/>
  <c r="AP56" i="65"/>
  <c r="AO89" i="65"/>
  <c r="AN96" i="65"/>
  <c r="AN97" i="65"/>
  <c r="AO92" i="65"/>
  <c r="AO52" i="65"/>
  <c r="AN52" i="65"/>
  <c r="AN57" i="65"/>
  <c r="AO59" i="65"/>
  <c r="AO107" i="65"/>
  <c r="AN87" i="65"/>
  <c r="AQ53" i="65"/>
  <c r="AO53" i="65"/>
  <c r="AN95" i="65"/>
  <c r="AN137" i="65"/>
  <c r="AO98" i="65"/>
  <c r="AJ96" i="65"/>
  <c r="AO96" i="65"/>
  <c r="AN56" i="65"/>
  <c r="AN98" i="65"/>
  <c r="AO90" i="65"/>
  <c r="AO138" i="65"/>
  <c r="AP99" i="65"/>
  <c r="AN86" i="65"/>
  <c r="AO139" i="65"/>
  <c r="AQ59" i="65"/>
  <c r="AQ89" i="65"/>
  <c r="AP140" i="65"/>
  <c r="AK140" i="65"/>
  <c r="AP61" i="65"/>
  <c r="AK61" i="65"/>
  <c r="AJ141" i="65"/>
  <c r="AK141" i="65" s="1"/>
  <c r="AQ141" i="65" s="1"/>
  <c r="AK90" i="65"/>
  <c r="AP90" i="65"/>
  <c r="AQ57" i="65"/>
  <c r="AO57" i="65"/>
  <c r="AQ107" i="65"/>
  <c r="AL88" i="65"/>
  <c r="AR88" i="65" s="1"/>
  <c r="AQ88" i="65"/>
  <c r="AO100" i="65"/>
  <c r="AO137" i="65"/>
  <c r="AO55" i="65"/>
  <c r="AO94" i="65"/>
  <c r="AP94" i="65"/>
  <c r="AP100" i="65"/>
  <c r="AP138" i="65"/>
  <c r="AO108" i="65"/>
  <c r="AJ108" i="65"/>
  <c r="AO60" i="65"/>
  <c r="AJ60" i="65"/>
  <c r="AQ99" i="65"/>
  <c r="AQ58" i="65"/>
  <c r="AN99" i="65"/>
  <c r="AO87" i="65"/>
  <c r="AN94" i="65"/>
  <c r="AN53" i="65"/>
  <c r="AN58" i="65"/>
  <c r="AQ101" i="65"/>
  <c r="AN100" i="65"/>
  <c r="AP53" i="65"/>
  <c r="AN138" i="65"/>
  <c r="AN88" i="65"/>
  <c r="AO56" i="65"/>
  <c r="AP101" i="65"/>
  <c r="AQ100" i="65"/>
  <c r="AN55" i="65"/>
  <c r="AP58" i="65"/>
  <c r="AO93" i="65"/>
  <c r="AP57" i="65"/>
  <c r="AQ93" i="65"/>
  <c r="AK92" i="65"/>
  <c r="AP92" i="65"/>
  <c r="AP95" i="65"/>
  <c r="AQ139" i="65"/>
  <c r="AP88" i="65"/>
  <c r="AN91" i="65"/>
  <c r="AP89" i="65"/>
  <c r="AN102" i="65"/>
  <c r="AK98" i="65"/>
  <c r="AP98" i="65"/>
  <c r="AO58" i="65"/>
  <c r="AO54" i="65"/>
  <c r="AP55" i="65"/>
  <c r="AJ125" i="65"/>
  <c r="AO99" i="65"/>
  <c r="AQ95" i="65"/>
  <c r="AP59" i="65"/>
  <c r="AP107" i="65"/>
  <c r="AO123" i="65"/>
  <c r="L41" i="65"/>
  <c r="P51" i="66"/>
  <c r="P29" i="25"/>
  <c r="N50" i="66"/>
  <c r="N28" i="25"/>
  <c r="L49" i="66"/>
  <c r="L27" i="25"/>
  <c r="M50" i="66"/>
  <c r="M28" i="25"/>
  <c r="M48" i="42"/>
  <c r="P31" i="25"/>
  <c r="M50" i="50"/>
  <c r="Q19" i="25"/>
  <c r="Q20" i="25"/>
  <c r="N48" i="42"/>
  <c r="Q53" i="66"/>
  <c r="N42" i="50"/>
  <c r="N39" i="42"/>
  <c r="N40" i="42"/>
  <c r="AJ67" i="65"/>
  <c r="AK67" i="65" s="1"/>
  <c r="AL67" i="65" s="1"/>
  <c r="AR67" i="65" s="1"/>
  <c r="AO111" i="65"/>
  <c r="AO84" i="65"/>
  <c r="AP111" i="65"/>
  <c r="AO62" i="65"/>
  <c r="AL64" i="65"/>
  <c r="AR64" i="65" s="1"/>
  <c r="AJ78" i="65"/>
  <c r="AK78" i="65" s="1"/>
  <c r="AL78" i="65" s="1"/>
  <c r="AR78" i="65" s="1"/>
  <c r="AO61" i="65"/>
  <c r="AO73" i="65"/>
  <c r="AN71" i="65"/>
  <c r="AO83" i="65"/>
  <c r="AP65" i="65"/>
  <c r="AQ74" i="65"/>
  <c r="AN140" i="65"/>
  <c r="AK84" i="65"/>
  <c r="AQ84" i="65" s="1"/>
  <c r="AP84" i="65"/>
  <c r="AO124" i="65"/>
  <c r="AO68" i="65"/>
  <c r="AJ66" i="65"/>
  <c r="AK66" i="65" s="1"/>
  <c r="AL66" i="65" s="1"/>
  <c r="AR66" i="65" s="1"/>
  <c r="AO132" i="65"/>
  <c r="AN110" i="65"/>
  <c r="AO69" i="65"/>
  <c r="AO113" i="65"/>
  <c r="AK123" i="65"/>
  <c r="AQ123" i="65" s="1"/>
  <c r="AQ113" i="65"/>
  <c r="AO76" i="65"/>
  <c r="AN83" i="65"/>
  <c r="AK69" i="65"/>
  <c r="AP69" i="65"/>
  <c r="AO112" i="65"/>
  <c r="AJ80" i="65"/>
  <c r="AP112" i="65"/>
  <c r="AP132" i="65"/>
  <c r="AO116" i="65"/>
  <c r="AN108" i="65"/>
  <c r="AO74" i="65"/>
  <c r="AN129" i="65"/>
  <c r="AN70" i="65"/>
  <c r="AO71" i="65"/>
  <c r="AN79" i="65"/>
  <c r="AN72" i="65"/>
  <c r="AP68" i="65"/>
  <c r="AN61" i="65"/>
  <c r="AQ73" i="65"/>
  <c r="AO70" i="65"/>
  <c r="AL132" i="65"/>
  <c r="AR132" i="65" s="1"/>
  <c r="AQ132" i="65"/>
  <c r="AQ82" i="65"/>
  <c r="AN82" i="65"/>
  <c r="AN112" i="65"/>
  <c r="AN73" i="65"/>
  <c r="AN63" i="65"/>
  <c r="AN75" i="65"/>
  <c r="AP113" i="65"/>
  <c r="AL77" i="65"/>
  <c r="AR77" i="65" s="1"/>
  <c r="AQ77" i="65"/>
  <c r="AK127" i="65"/>
  <c r="AP127" i="65"/>
  <c r="AL131" i="65"/>
  <c r="AR131" i="65" s="1"/>
  <c r="AQ131" i="65"/>
  <c r="AO127" i="65"/>
  <c r="AI126" i="65"/>
  <c r="AO130" i="65"/>
  <c r="AJ130" i="65"/>
  <c r="AK118" i="65"/>
  <c r="AP118" i="65"/>
  <c r="AO118" i="65"/>
  <c r="AO109" i="65"/>
  <c r="AK63" i="65"/>
  <c r="AP63" i="65"/>
  <c r="AO72" i="65"/>
  <c r="AJ72" i="65"/>
  <c r="AO140" i="65"/>
  <c r="AO63" i="65"/>
  <c r="AN130" i="65"/>
  <c r="AP81" i="65"/>
  <c r="AQ112" i="65"/>
  <c r="AO81" i="65"/>
  <c r="AJ129" i="65"/>
  <c r="AO129" i="65"/>
  <c r="AO77" i="65"/>
  <c r="AP82" i="65"/>
  <c r="AK114" i="65"/>
  <c r="AP114" i="65"/>
  <c r="AK71" i="65"/>
  <c r="AP71" i="65"/>
  <c r="AQ117" i="65"/>
  <c r="AK124" i="65"/>
  <c r="AP124" i="65"/>
  <c r="AN68" i="65"/>
  <c r="AK83" i="65"/>
  <c r="AP83" i="65"/>
  <c r="AO117" i="65"/>
  <c r="AK76" i="65"/>
  <c r="AP76" i="65"/>
  <c r="AJ79" i="65"/>
  <c r="AO79" i="65"/>
  <c r="AN116" i="65"/>
  <c r="AP73" i="65"/>
  <c r="AJ75" i="65"/>
  <c r="AO75" i="65"/>
  <c r="AP131" i="65"/>
  <c r="AP117" i="65"/>
  <c r="AN113" i="65"/>
  <c r="AN62" i="65"/>
  <c r="AO82" i="65"/>
  <c r="AL65" i="65"/>
  <c r="AR65" i="65" s="1"/>
  <c r="AQ65" i="65"/>
  <c r="AJ115" i="65"/>
  <c r="AO115" i="65"/>
  <c r="AJ110" i="65"/>
  <c r="AO110" i="65"/>
  <c r="AP70" i="65"/>
  <c r="AK70" i="65"/>
  <c r="AL81" i="65"/>
  <c r="AR81" i="65" s="1"/>
  <c r="AQ81" i="65"/>
  <c r="AN109" i="65"/>
  <c r="AN77" i="65"/>
  <c r="AP77" i="65"/>
  <c r="AO131" i="65"/>
  <c r="AL68" i="65"/>
  <c r="AR68" i="65" s="1"/>
  <c r="AQ68" i="65"/>
  <c r="AQ111" i="65"/>
  <c r="AK116" i="65"/>
  <c r="AP116" i="65"/>
  <c r="AN131" i="65"/>
  <c r="AN65" i="65"/>
  <c r="AO65" i="65"/>
  <c r="AK62" i="65"/>
  <c r="AP62" i="65"/>
  <c r="AN126" i="65"/>
  <c r="AO114" i="65"/>
  <c r="AP74" i="65"/>
  <c r="AN115" i="65"/>
  <c r="N41" i="50"/>
  <c r="N49" i="42"/>
  <c r="N51" i="50"/>
  <c r="Q32" i="25"/>
  <c r="L47" i="42"/>
  <c r="P60" i="24"/>
  <c r="L49" i="50"/>
  <c r="O30" i="25"/>
  <c r="O104" i="25" s="1"/>
  <c r="M57" i="24"/>
  <c r="Q59" i="24"/>
  <c r="Q29" i="25" s="1"/>
  <c r="O58" i="24"/>
  <c r="N50" i="50"/>
  <c r="Q31" i="25"/>
  <c r="M40" i="50"/>
  <c r="P18" i="25"/>
  <c r="M38" i="42"/>
  <c r="AD51" i="65"/>
  <c r="AE51" i="65"/>
  <c r="AC51" i="65"/>
  <c r="AI51" i="65" s="1"/>
  <c r="AF51" i="65"/>
  <c r="M28" i="32"/>
  <c r="L27" i="32"/>
  <c r="K26" i="32"/>
  <c r="J25" i="32"/>
  <c r="I24" i="32"/>
  <c r="H23" i="32"/>
  <c r="N132" i="25" l="1"/>
  <c r="AP209" i="65"/>
  <c r="AQ209" i="65"/>
  <c r="AP248" i="65"/>
  <c r="B485" i="40"/>
  <c r="B203" i="65"/>
  <c r="AL160" i="65"/>
  <c r="AR160" i="65" s="1"/>
  <c r="AQ160" i="65"/>
  <c r="AK228" i="65"/>
  <c r="AP228" i="65"/>
  <c r="AK240" i="65"/>
  <c r="AP240" i="65"/>
  <c r="AK232" i="65"/>
  <c r="AP232" i="65"/>
  <c r="AK164" i="65"/>
  <c r="AP164" i="65"/>
  <c r="AK255" i="65"/>
  <c r="AP255" i="65"/>
  <c r="AL156" i="65"/>
  <c r="AR156" i="65" s="1"/>
  <c r="AQ156" i="65"/>
  <c r="AK217" i="65"/>
  <c r="AP217" i="65"/>
  <c r="AK169" i="65"/>
  <c r="AP169" i="65"/>
  <c r="AK213" i="65"/>
  <c r="AP213" i="65"/>
  <c r="AK258" i="65"/>
  <c r="AP258" i="65"/>
  <c r="AL230" i="65"/>
  <c r="AR230" i="65" s="1"/>
  <c r="AQ230" i="65"/>
  <c r="AK233" i="65"/>
  <c r="AP233" i="65"/>
  <c r="AK157" i="65"/>
  <c r="AP157" i="65"/>
  <c r="AK242" i="65"/>
  <c r="AP242" i="65"/>
  <c r="AL256" i="65"/>
  <c r="AR256" i="65" s="1"/>
  <c r="AQ256" i="65"/>
  <c r="AK234" i="65"/>
  <c r="AP234" i="65"/>
  <c r="AL161" i="65"/>
  <c r="AR161" i="65" s="1"/>
  <c r="AQ161" i="65"/>
  <c r="AK238" i="65"/>
  <c r="AP238" i="65"/>
  <c r="AL237" i="65"/>
  <c r="AR237" i="65" s="1"/>
  <c r="AQ237" i="65"/>
  <c r="AL253" i="65"/>
  <c r="AR253" i="65" s="1"/>
  <c r="AQ253" i="65"/>
  <c r="AK165" i="65"/>
  <c r="AP165" i="65"/>
  <c r="AL159" i="65"/>
  <c r="AR159" i="65" s="1"/>
  <c r="AQ159" i="65"/>
  <c r="AL84" i="65"/>
  <c r="AR84" i="65" s="1"/>
  <c r="P52" i="66"/>
  <c r="L49" i="37"/>
  <c r="AL141" i="65"/>
  <c r="AR141" i="65" s="1"/>
  <c r="AP141" i="65"/>
  <c r="AJ135" i="65"/>
  <c r="AO135" i="65"/>
  <c r="AL137" i="65"/>
  <c r="AR137" i="65" s="1"/>
  <c r="AQ137" i="65"/>
  <c r="AL98" i="65"/>
  <c r="AR98" i="65" s="1"/>
  <c r="AQ98" i="65"/>
  <c r="AL92" i="65"/>
  <c r="AR92" i="65" s="1"/>
  <c r="AQ92" i="65"/>
  <c r="AL61" i="65"/>
  <c r="AR61" i="65" s="1"/>
  <c r="AQ61" i="65"/>
  <c r="AK60" i="65"/>
  <c r="AP60" i="65"/>
  <c r="AQ62" i="65"/>
  <c r="AL62" i="65"/>
  <c r="AR62" i="65" s="1"/>
  <c r="AL90" i="65"/>
  <c r="AR90" i="65" s="1"/>
  <c r="AQ90" i="65"/>
  <c r="AL140" i="65"/>
  <c r="AR140" i="65" s="1"/>
  <c r="AQ140" i="65"/>
  <c r="AK96" i="65"/>
  <c r="AP96" i="65"/>
  <c r="AK125" i="65"/>
  <c r="AP125" i="65"/>
  <c r="AK108" i="65"/>
  <c r="AP108" i="65"/>
  <c r="M49" i="66"/>
  <c r="M93" i="66" s="1"/>
  <c r="O95" i="66" s="1"/>
  <c r="M27" i="25"/>
  <c r="O50" i="66"/>
  <c r="O28" i="25"/>
  <c r="AL123" i="65"/>
  <c r="AR123" i="65" s="1"/>
  <c r="AP66" i="65"/>
  <c r="AP67" i="65"/>
  <c r="Q51" i="66"/>
  <c r="AQ67" i="65"/>
  <c r="AQ66" i="65"/>
  <c r="AQ78" i="65"/>
  <c r="AP78" i="65"/>
  <c r="AL69" i="65"/>
  <c r="AR69" i="65" s="1"/>
  <c r="AQ69" i="65"/>
  <c r="AK80" i="65"/>
  <c r="AP80" i="65"/>
  <c r="AK115" i="65"/>
  <c r="AP115" i="65"/>
  <c r="AK79" i="65"/>
  <c r="AP79" i="65"/>
  <c r="AL124" i="65"/>
  <c r="AR124" i="65" s="1"/>
  <c r="AQ124" i="65"/>
  <c r="AL116" i="65"/>
  <c r="AR116" i="65" s="1"/>
  <c r="AQ116" i="65"/>
  <c r="AL83" i="65"/>
  <c r="AR83" i="65" s="1"/>
  <c r="AQ83" i="65"/>
  <c r="AQ114" i="65"/>
  <c r="AL114" i="65"/>
  <c r="AR114" i="65" s="1"/>
  <c r="AK129" i="65"/>
  <c r="AP129" i="65"/>
  <c r="AL63" i="65"/>
  <c r="AR63" i="65" s="1"/>
  <c r="AQ63" i="65"/>
  <c r="AQ118" i="65"/>
  <c r="AL118" i="65"/>
  <c r="AR118" i="65" s="1"/>
  <c r="AJ126" i="65"/>
  <c r="AO126" i="65"/>
  <c r="AK110" i="65"/>
  <c r="AP110" i="65"/>
  <c r="AL76" i="65"/>
  <c r="AR76" i="65" s="1"/>
  <c r="AQ76" i="65"/>
  <c r="AK72" i="65"/>
  <c r="AP72" i="65"/>
  <c r="AK130" i="65"/>
  <c r="AP130" i="65"/>
  <c r="AL127" i="65"/>
  <c r="AR127" i="65" s="1"/>
  <c r="AQ127" i="65"/>
  <c r="AL70" i="65"/>
  <c r="AR70" i="65" s="1"/>
  <c r="AQ70" i="65"/>
  <c r="AK75" i="65"/>
  <c r="AP75" i="65"/>
  <c r="AL71" i="65"/>
  <c r="AR71" i="65" s="1"/>
  <c r="AQ71" i="65"/>
  <c r="AJ51" i="65"/>
  <c r="M49" i="50"/>
  <c r="M47" i="42"/>
  <c r="P30" i="25"/>
  <c r="P104" i="25" s="1"/>
  <c r="Q60" i="24"/>
  <c r="N40" i="50"/>
  <c r="Q18" i="25"/>
  <c r="N38" i="42"/>
  <c r="P58" i="24"/>
  <c r="N57" i="24"/>
  <c r="J272" i="65" l="1"/>
  <c r="B486" i="40"/>
  <c r="B204" i="65"/>
  <c r="AL232" i="65"/>
  <c r="AR232" i="65" s="1"/>
  <c r="AQ232" i="65"/>
  <c r="AL238" i="65"/>
  <c r="AR238" i="65" s="1"/>
  <c r="AQ238" i="65"/>
  <c r="AL165" i="65"/>
  <c r="AR165" i="65" s="1"/>
  <c r="AQ165" i="65"/>
  <c r="AL157" i="65"/>
  <c r="AR157" i="65" s="1"/>
  <c r="AQ157" i="65"/>
  <c r="AL213" i="65"/>
  <c r="AR213" i="65" s="1"/>
  <c r="AQ213" i="65"/>
  <c r="AL217" i="65"/>
  <c r="AR217" i="65" s="1"/>
  <c r="AQ217" i="65"/>
  <c r="AL255" i="65"/>
  <c r="AR255" i="65" s="1"/>
  <c r="AQ255" i="65"/>
  <c r="AL228" i="65"/>
  <c r="AR228" i="65" s="1"/>
  <c r="AQ228" i="65"/>
  <c r="AL234" i="65"/>
  <c r="AR234" i="65" s="1"/>
  <c r="AQ234" i="65"/>
  <c r="AL242" i="65"/>
  <c r="AR242" i="65" s="1"/>
  <c r="AQ242" i="65"/>
  <c r="AL233" i="65"/>
  <c r="AR233" i="65" s="1"/>
  <c r="AQ233" i="65"/>
  <c r="AL258" i="65"/>
  <c r="AR258" i="65" s="1"/>
  <c r="AQ258" i="65"/>
  <c r="AL169" i="65"/>
  <c r="AR169" i="65" s="1"/>
  <c r="AQ169" i="65"/>
  <c r="AL164" i="65"/>
  <c r="AR164" i="65" s="1"/>
  <c r="AQ164" i="65"/>
  <c r="AL240" i="65"/>
  <c r="AR240" i="65" s="1"/>
  <c r="AQ240" i="65"/>
  <c r="O132" i="25"/>
  <c r="Q52" i="66"/>
  <c r="M49" i="37"/>
  <c r="AK51" i="65"/>
  <c r="AK135" i="65"/>
  <c r="AQ135" i="65" s="1"/>
  <c r="AP135" i="65"/>
  <c r="AQ110" i="65"/>
  <c r="AL110" i="65"/>
  <c r="AR110" i="65" s="1"/>
  <c r="AL108" i="65"/>
  <c r="AR108" i="65" s="1"/>
  <c r="AQ108" i="65"/>
  <c r="AL96" i="65"/>
  <c r="AR96" i="65" s="1"/>
  <c r="AQ96" i="65"/>
  <c r="AL60" i="65"/>
  <c r="AR60" i="65" s="1"/>
  <c r="AQ60" i="65"/>
  <c r="AL125" i="65"/>
  <c r="AR125" i="65" s="1"/>
  <c r="AQ125" i="65"/>
  <c r="N49" i="66"/>
  <c r="N93" i="66" s="1"/>
  <c r="P95" i="66" s="1"/>
  <c r="N27" i="25"/>
  <c r="P50" i="66"/>
  <c r="P28" i="25"/>
  <c r="AL80" i="65"/>
  <c r="AR80" i="65" s="1"/>
  <c r="AQ80" i="65"/>
  <c r="AL130" i="65"/>
  <c r="AR130" i="65" s="1"/>
  <c r="AQ130" i="65"/>
  <c r="AL79" i="65"/>
  <c r="AR79" i="65" s="1"/>
  <c r="AQ79" i="65"/>
  <c r="AK126" i="65"/>
  <c r="AP126" i="65"/>
  <c r="AL75" i="65"/>
  <c r="AR75" i="65" s="1"/>
  <c r="AQ75" i="65"/>
  <c r="AL72" i="65"/>
  <c r="AR72" i="65" s="1"/>
  <c r="AQ72" i="65"/>
  <c r="AL129" i="65"/>
  <c r="AR129" i="65" s="1"/>
  <c r="AQ129" i="65"/>
  <c r="AL115" i="65"/>
  <c r="AR115" i="65" s="1"/>
  <c r="AQ115" i="65"/>
  <c r="AN51" i="65"/>
  <c r="N47" i="42"/>
  <c r="Q30" i="25"/>
  <c r="Q104" i="25" s="1"/>
  <c r="N49" i="50"/>
  <c r="O57" i="24"/>
  <c r="Q58" i="24"/>
  <c r="Q28" i="25" s="1"/>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642" i="40"/>
  <c r="F643" i="40"/>
  <c r="F644" i="40"/>
  <c r="F645" i="40"/>
  <c r="F646" i="40"/>
  <c r="F647" i="40"/>
  <c r="F648" i="40"/>
  <c r="F649" i="40"/>
  <c r="F650" i="40"/>
  <c r="F651" i="40"/>
  <c r="F652" i="40"/>
  <c r="F653" i="40"/>
  <c r="F654" i="40"/>
  <c r="F655" i="40"/>
  <c r="F656" i="40"/>
  <c r="F657" i="40"/>
  <c r="F658" i="40"/>
  <c r="F659" i="40"/>
  <c r="F660" i="40"/>
  <c r="F661" i="40"/>
  <c r="F662" i="40"/>
  <c r="F663" i="40"/>
  <c r="F664" i="40"/>
  <c r="F665" i="40"/>
  <c r="F666" i="40"/>
  <c r="F667" i="40"/>
  <c r="F668" i="40"/>
  <c r="F669" i="40"/>
  <c r="F670" i="40"/>
  <c r="F671" i="40"/>
  <c r="F672" i="40"/>
  <c r="F673" i="40"/>
  <c r="F674" i="40"/>
  <c r="F675" i="40"/>
  <c r="F676" i="40"/>
  <c r="F677" i="40"/>
  <c r="F678" i="40"/>
  <c r="F679" i="40"/>
  <c r="F680" i="40"/>
  <c r="F681" i="40"/>
  <c r="F682" i="40"/>
  <c r="F683" i="40"/>
  <c r="F684" i="40"/>
  <c r="F685" i="40"/>
  <c r="F686" i="40"/>
  <c r="F687" i="40"/>
  <c r="F688" i="40"/>
  <c r="F689" i="40"/>
  <c r="F690" i="40"/>
  <c r="F691" i="40"/>
  <c r="F692" i="40"/>
  <c r="F693" i="40"/>
  <c r="F694" i="40"/>
  <c r="F695" i="40"/>
  <c r="F696" i="40"/>
  <c r="F697" i="40"/>
  <c r="F698" i="40"/>
  <c r="F699" i="40"/>
  <c r="F700" i="40"/>
  <c r="F701" i="40"/>
  <c r="F702" i="40"/>
  <c r="F703" i="40"/>
  <c r="F704" i="40"/>
  <c r="F705" i="40"/>
  <c r="F706" i="40"/>
  <c r="F707" i="40"/>
  <c r="F708" i="40"/>
  <c r="F709" i="40"/>
  <c r="F710" i="40"/>
  <c r="F711" i="40"/>
  <c r="F712" i="40"/>
  <c r="F713" i="40"/>
  <c r="F714" i="40"/>
  <c r="F715" i="40"/>
  <c r="F716" i="40"/>
  <c r="F717" i="40"/>
  <c r="F718" i="40"/>
  <c r="F719" i="40"/>
  <c r="F720" i="40"/>
  <c r="F721" i="40"/>
  <c r="F722" i="40"/>
  <c r="F723" i="40"/>
  <c r="F724" i="40"/>
  <c r="F725" i="40"/>
  <c r="F726" i="40"/>
  <c r="F727" i="40"/>
  <c r="F728" i="40"/>
  <c r="F729" i="40"/>
  <c r="F730" i="40"/>
  <c r="F731" i="40"/>
  <c r="F732" i="40"/>
  <c r="F733" i="40"/>
  <c r="F734" i="40"/>
  <c r="F735" i="40"/>
  <c r="F736" i="40"/>
  <c r="F737" i="40"/>
  <c r="F738" i="40"/>
  <c r="F739" i="40"/>
  <c r="F740" i="40"/>
  <c r="F741" i="40"/>
  <c r="F742" i="40"/>
  <c r="F743" i="40"/>
  <c r="F744" i="40"/>
  <c r="F745" i="40"/>
  <c r="F746" i="40"/>
  <c r="F747" i="40"/>
  <c r="F748" i="40"/>
  <c r="F749" i="40"/>
  <c r="F750" i="40"/>
  <c r="F751" i="40"/>
  <c r="F752" i="40"/>
  <c r="F753" i="40"/>
  <c r="F754" i="40"/>
  <c r="F755" i="40"/>
  <c r="F756" i="40"/>
  <c r="F757" i="40"/>
  <c r="F758" i="40"/>
  <c r="F759" i="40"/>
  <c r="F760" i="40"/>
  <c r="F761" i="40"/>
  <c r="F762" i="40"/>
  <c r="F763"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0" i="40"/>
  <c r="F801" i="40"/>
  <c r="F802" i="40"/>
  <c r="F803" i="40"/>
  <c r="F804" i="40"/>
  <c r="F805" i="40"/>
  <c r="F806" i="40"/>
  <c r="F807" i="40"/>
  <c r="F808" i="40"/>
  <c r="F809" i="40"/>
  <c r="F810" i="40"/>
  <c r="F811" i="40"/>
  <c r="F812" i="40"/>
  <c r="F813" i="40"/>
  <c r="F814" i="40"/>
  <c r="F815" i="40"/>
  <c r="F816" i="40"/>
  <c r="F817" i="40"/>
  <c r="F818" i="40"/>
  <c r="F819" i="40"/>
  <c r="F820" i="40"/>
  <c r="F821" i="40"/>
  <c r="F822" i="40"/>
  <c r="F823" i="40"/>
  <c r="F824" i="40"/>
  <c r="F825" i="40"/>
  <c r="F826" i="40"/>
  <c r="F827" i="40"/>
  <c r="F828" i="40"/>
  <c r="F829" i="40"/>
  <c r="F830" i="40"/>
  <c r="F831" i="40"/>
  <c r="F832" i="40"/>
  <c r="F833" i="40"/>
  <c r="F834" i="40"/>
  <c r="F835" i="40"/>
  <c r="F836" i="40"/>
  <c r="F837" i="40"/>
  <c r="F838" i="40"/>
  <c r="F839" i="40"/>
  <c r="F840" i="40"/>
  <c r="F841" i="40"/>
  <c r="F842" i="40"/>
  <c r="F843" i="40"/>
  <c r="F844" i="40"/>
  <c r="F845" i="40"/>
  <c r="F846" i="40"/>
  <c r="F847" i="40"/>
  <c r="F848" i="40"/>
  <c r="F849" i="40"/>
  <c r="F850" i="40"/>
  <c r="F851" i="40"/>
  <c r="F852" i="40"/>
  <c r="F853" i="40"/>
  <c r="F854" i="40"/>
  <c r="F855" i="40"/>
  <c r="F856" i="40"/>
  <c r="F857" i="40"/>
  <c r="F858" i="40"/>
  <c r="F859" i="40"/>
  <c r="F860" i="40"/>
  <c r="F861" i="40"/>
  <c r="F862" i="40"/>
  <c r="F863" i="40"/>
  <c r="F864" i="40"/>
  <c r="F865" i="40"/>
  <c r="F866" i="40"/>
  <c r="F867" i="40"/>
  <c r="F868" i="40"/>
  <c r="F869" i="40"/>
  <c r="F870" i="40"/>
  <c r="F871" i="40"/>
  <c r="F872" i="40"/>
  <c r="F873" i="40"/>
  <c r="F874" i="40"/>
  <c r="F875" i="40"/>
  <c r="F876" i="40"/>
  <c r="F877" i="40"/>
  <c r="F878" i="40"/>
  <c r="F879" i="40"/>
  <c r="F880" i="40"/>
  <c r="F881" i="40"/>
  <c r="F882" i="40"/>
  <c r="F883" i="40"/>
  <c r="F884" i="40"/>
  <c r="F885" i="40"/>
  <c r="F886" i="40"/>
  <c r="F887" i="40"/>
  <c r="F888" i="40"/>
  <c r="F889" i="40"/>
  <c r="F890" i="40"/>
  <c r="F891" i="40"/>
  <c r="F892"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641"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AR80" i="50" s="1"/>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AR86" i="50" s="1"/>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AR92" i="50" s="1"/>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T114" i="50" s="1"/>
  <c r="K114" i="50"/>
  <c r="B115" i="50"/>
  <c r="F115" i="50"/>
  <c r="H115" i="50"/>
  <c r="AT115" i="50" s="1"/>
  <c r="I115" i="50"/>
  <c r="J115" i="50"/>
  <c r="K115" i="50"/>
  <c r="B116" i="50"/>
  <c r="F116" i="50"/>
  <c r="H116" i="50"/>
  <c r="AT116" i="50" s="1"/>
  <c r="I116" i="50"/>
  <c r="J116" i="50"/>
  <c r="AN116" i="50" s="1"/>
  <c r="K116" i="50"/>
  <c r="B117" i="50"/>
  <c r="F117" i="50"/>
  <c r="H117" i="50"/>
  <c r="AT117" i="50" s="1"/>
  <c r="I117" i="50"/>
  <c r="J117" i="50"/>
  <c r="K117" i="50"/>
  <c r="B118" i="50"/>
  <c r="F118" i="50"/>
  <c r="H118" i="50"/>
  <c r="AT118" i="50" s="1"/>
  <c r="I118" i="50"/>
  <c r="J118" i="50"/>
  <c r="AN118" i="50" s="1"/>
  <c r="K118" i="50"/>
  <c r="B119" i="50"/>
  <c r="F119" i="50"/>
  <c r="H119" i="50"/>
  <c r="AT119" i="50" s="1"/>
  <c r="I119" i="50"/>
  <c r="J119" i="50"/>
  <c r="K119" i="50"/>
  <c r="B120" i="50"/>
  <c r="F120" i="50"/>
  <c r="H120" i="50"/>
  <c r="AT120" i="50" s="1"/>
  <c r="I120" i="50"/>
  <c r="J120" i="50"/>
  <c r="AN120" i="50" s="1"/>
  <c r="K120" i="50"/>
  <c r="B121" i="50"/>
  <c r="F121" i="50"/>
  <c r="H121" i="50"/>
  <c r="AT121" i="50" s="1"/>
  <c r="I121" i="50"/>
  <c r="J121" i="50"/>
  <c r="K121" i="50"/>
  <c r="B122" i="50"/>
  <c r="F122" i="50"/>
  <c r="H122" i="50"/>
  <c r="AT122" i="50" s="1"/>
  <c r="I122" i="50"/>
  <c r="J122" i="50"/>
  <c r="AN122" i="50" s="1"/>
  <c r="K122" i="50"/>
  <c r="B123" i="50"/>
  <c r="F123" i="50"/>
  <c r="H123" i="50"/>
  <c r="AT123" i="50" s="1"/>
  <c r="I123" i="50"/>
  <c r="J123" i="50"/>
  <c r="K123" i="50"/>
  <c r="B124" i="50"/>
  <c r="F124" i="50"/>
  <c r="H124" i="50"/>
  <c r="AT124" i="50" s="1"/>
  <c r="I124" i="50"/>
  <c r="J124" i="50"/>
  <c r="AN124" i="50" s="1"/>
  <c r="K124" i="50"/>
  <c r="B125" i="50"/>
  <c r="F125" i="50"/>
  <c r="H125" i="50"/>
  <c r="AT125" i="50" s="1"/>
  <c r="I125" i="50"/>
  <c r="J125" i="50"/>
  <c r="K125" i="50"/>
  <c r="B126" i="50"/>
  <c r="F126" i="50"/>
  <c r="H126" i="50"/>
  <c r="AT126" i="50" s="1"/>
  <c r="I126" i="50"/>
  <c r="J126" i="50"/>
  <c r="AN126" i="50" s="1"/>
  <c r="K126" i="50"/>
  <c r="B127" i="50"/>
  <c r="F127" i="50"/>
  <c r="H127" i="50"/>
  <c r="AT127" i="50" s="1"/>
  <c r="I127" i="50"/>
  <c r="J127" i="50"/>
  <c r="K127" i="50"/>
  <c r="B128" i="50"/>
  <c r="F128" i="50"/>
  <c r="H128" i="50"/>
  <c r="AT128" i="50" s="1"/>
  <c r="I128" i="50"/>
  <c r="J128" i="50"/>
  <c r="AN128" i="50" s="1"/>
  <c r="K128" i="50"/>
  <c r="B129" i="50"/>
  <c r="F129" i="50"/>
  <c r="H129" i="50"/>
  <c r="AT129" i="50" s="1"/>
  <c r="I129" i="50"/>
  <c r="J129" i="50"/>
  <c r="K129" i="50"/>
  <c r="B130" i="50"/>
  <c r="F130" i="50"/>
  <c r="H130" i="50"/>
  <c r="AT130" i="50" s="1"/>
  <c r="I130" i="50"/>
  <c r="J130" i="50"/>
  <c r="AN130" i="50" s="1"/>
  <c r="K130" i="50"/>
  <c r="B131" i="50"/>
  <c r="F131" i="50"/>
  <c r="H131" i="50"/>
  <c r="AT131" i="50" s="1"/>
  <c r="I131" i="50"/>
  <c r="J131" i="50"/>
  <c r="K131" i="50"/>
  <c r="B132" i="50"/>
  <c r="F132" i="50"/>
  <c r="H132" i="50"/>
  <c r="AT132" i="50" s="1"/>
  <c r="I132" i="50"/>
  <c r="J132" i="50"/>
  <c r="AN132" i="50" s="1"/>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L272" i="65" l="1"/>
  <c r="B487" i="40"/>
  <c r="B205"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K272" i="65"/>
  <c r="P132" i="25"/>
  <c r="AL51" i="65"/>
  <c r="N139" i="25"/>
  <c r="N140" i="25" s="1"/>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W242" i="50"/>
  <c r="AB242" i="50"/>
  <c r="AF242" i="50"/>
  <c r="Q242" i="50"/>
  <c r="S242" i="50" s="1"/>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27" i="25"/>
  <c r="Q50" i="66"/>
  <c r="AL126" i="65"/>
  <c r="AR126" i="65" s="1"/>
  <c r="AQ126"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1" i="65"/>
  <c r="I271" i="65" s="1"/>
  <c r="P57" i="24"/>
  <c r="Q224" i="50" l="1"/>
  <c r="S224" i="50" s="1"/>
  <c r="B488" i="40"/>
  <c r="B206" i="65"/>
  <c r="AL247" i="50"/>
  <c r="AN242" i="50"/>
  <c r="AO242" i="50" s="1"/>
  <c r="AP242" i="50" s="1"/>
  <c r="AQ242" i="50" s="1"/>
  <c r="AR242" i="50" s="1"/>
  <c r="AN219" i="50"/>
  <c r="AO219" i="50" s="1"/>
  <c r="AP219" i="50" s="1"/>
  <c r="AQ219" i="50" s="1"/>
  <c r="AR219" i="50" s="1"/>
  <c r="AN247" i="50"/>
  <c r="AO247" i="50" s="1"/>
  <c r="AP247" i="50" s="1"/>
  <c r="AQ247" i="50" s="1"/>
  <c r="AR247" i="50" s="1"/>
  <c r="Q132" i="25"/>
  <c r="Q226" i="50"/>
  <c r="S226" i="50" s="1"/>
  <c r="Q237" i="50"/>
  <c r="S237" i="50" s="1"/>
  <c r="Q239" i="50"/>
  <c r="S239" i="50" s="1"/>
  <c r="Q241" i="50"/>
  <c r="S241" i="50" s="1"/>
  <c r="AH247" i="50"/>
  <c r="Q238" i="50"/>
  <c r="S238" i="50" s="1"/>
  <c r="Q240" i="50"/>
  <c r="S240" i="50" s="1"/>
  <c r="AL238" i="50"/>
  <c r="N141" i="25"/>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27" i="25"/>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AJ115" i="50" s="1"/>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1" i="65"/>
  <c r="J271" i="65" s="1"/>
  <c r="Q57" i="24"/>
  <c r="Q27" i="25" s="1"/>
  <c r="E941" i="40"/>
  <c r="E942" i="40"/>
  <c r="E943" i="40"/>
  <c r="E944" i="40"/>
  <c r="E945" i="40"/>
  <c r="E946" i="40"/>
  <c r="E947" i="40"/>
  <c r="E948" i="40"/>
  <c r="E949" i="40"/>
  <c r="E950" i="40"/>
  <c r="E951" i="40"/>
  <c r="E952" i="40"/>
  <c r="E953" i="40"/>
  <c r="E954"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AN61" i="50" l="1"/>
  <c r="AO61" i="50" s="1"/>
  <c r="AP61" i="50" s="1"/>
  <c r="AQ61" i="50" s="1"/>
  <c r="AR61" i="50" s="1"/>
  <c r="B489" i="40"/>
  <c r="B207" i="65"/>
  <c r="H547" i="37"/>
  <c r="H795" i="37"/>
  <c r="AI103" i="50"/>
  <c r="AI115" i="50"/>
  <c r="AH109" i="50"/>
  <c r="AZ121" i="50"/>
  <c r="N142" i="25"/>
  <c r="AJ109" i="50"/>
  <c r="V91" i="50"/>
  <c r="AB91" i="50"/>
  <c r="Q49" i="66"/>
  <c r="AR51" i="65"/>
  <c r="L271" i="65" s="1"/>
  <c r="AQ51" i="65"/>
  <c r="K271"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B490" i="40" l="1"/>
  <c r="B208" i="65"/>
  <c r="K796" i="37"/>
  <c r="J797" i="37"/>
  <c r="N797" i="37" s="1"/>
  <c r="R797" i="37" s="1"/>
  <c r="J781" i="37"/>
  <c r="N781" i="37" s="1"/>
  <c r="T781" i="37" s="1"/>
  <c r="K758" i="37"/>
  <c r="K522" i="37"/>
  <c r="N522" i="37" s="1"/>
  <c r="J749" i="37"/>
  <c r="N749" i="37" s="1"/>
  <c r="T749" i="37" s="1"/>
  <c r="K756" i="37"/>
  <c r="N143" i="25"/>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S722"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09"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0"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1"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2"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3"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4" i="65"/>
  <c r="Z784" i="37"/>
  <c r="Z743" i="37"/>
  <c r="Z744" i="37"/>
  <c r="Z796" i="37"/>
  <c r="Y627" i="37"/>
  <c r="Z782" i="37"/>
  <c r="Z791" i="37"/>
  <c r="Z740" i="37"/>
  <c r="Z736" i="37"/>
  <c r="Z753" i="37"/>
  <c r="Z716" i="37"/>
  <c r="Z751" i="37"/>
  <c r="Z747" i="37"/>
  <c r="Z728" i="37"/>
  <c r="Z745" i="37"/>
  <c r="Z741" i="37"/>
  <c r="Z663" i="37"/>
  <c r="Z732" i="37"/>
  <c r="Z679" i="37"/>
  <c r="Z731" i="37"/>
  <c r="Z582" i="37"/>
  <c r="B497" i="40" l="1"/>
  <c r="B215" i="65"/>
  <c r="Z627" i="37"/>
  <c r="B498" i="40" l="1"/>
  <c r="B216" i="65"/>
  <c r="J16" i="37"/>
  <c r="K16" i="37"/>
  <c r="L16" i="37"/>
  <c r="M16" i="37"/>
  <c r="I16" i="37"/>
  <c r="H15" i="37"/>
  <c r="G15" i="37"/>
  <c r="F28" i="37"/>
  <c r="B499" i="40" l="1"/>
  <c r="B217" i="65"/>
  <c r="AD820" i="37"/>
  <c r="AD814" i="37"/>
  <c r="AC805" i="37"/>
  <c r="AC810" i="37"/>
  <c r="AC808" i="37"/>
  <c r="AD813" i="37"/>
  <c r="AD815" i="37"/>
  <c r="AC811" i="37"/>
  <c r="AC812" i="37"/>
  <c r="AD818" i="37"/>
  <c r="AD819"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M805" i="37" s="1"/>
  <c r="AA815" i="37"/>
  <c r="AA807" i="37"/>
  <c r="AA813" i="37"/>
  <c r="AM813" i="37" s="1"/>
  <c r="AA817" i="37"/>
  <c r="AA811" i="37"/>
  <c r="AM811" i="37" s="1"/>
  <c r="AA820" i="37"/>
  <c r="AM820" i="37" s="1"/>
  <c r="AA819" i="37"/>
  <c r="AM819" i="37" s="1"/>
  <c r="AA810" i="37"/>
  <c r="AM810" i="37" s="1"/>
  <c r="AA812" i="37"/>
  <c r="AA814" i="37"/>
  <c r="AA816" i="37"/>
  <c r="AM816" i="37" s="1"/>
  <c r="Z805" i="37"/>
  <c r="AL805" i="37" s="1"/>
  <c r="Z806" i="37"/>
  <c r="Z808" i="37"/>
  <c r="Z804" i="37"/>
  <c r="Z818" i="37"/>
  <c r="Z813" i="37"/>
  <c r="AL813" i="37" s="1"/>
  <c r="Z807" i="37"/>
  <c r="Z820" i="37"/>
  <c r="Z809" i="37"/>
  <c r="AL809" i="37" s="1"/>
  <c r="Z815" i="37"/>
  <c r="AL815" i="37" s="1"/>
  <c r="Z817" i="37"/>
  <c r="Z819" i="37"/>
  <c r="Z811" i="37"/>
  <c r="AL811" i="37" s="1"/>
  <c r="Z812" i="37"/>
  <c r="AL812" i="37" s="1"/>
  <c r="Z810" i="37"/>
  <c r="Z816" i="37"/>
  <c r="Z814" i="37"/>
  <c r="Y815" i="37"/>
  <c r="AK815" i="37" s="1"/>
  <c r="Y804" i="37"/>
  <c r="Y805" i="37"/>
  <c r="AK805" i="37" s="1"/>
  <c r="Y819" i="37"/>
  <c r="Y808" i="37"/>
  <c r="AK808" i="37" s="1"/>
  <c r="Y813" i="37"/>
  <c r="AK813" i="37" s="1"/>
  <c r="Y807" i="37"/>
  <c r="Y818" i="37"/>
  <c r="Y817" i="37"/>
  <c r="Y812" i="37"/>
  <c r="AK812" i="37" s="1"/>
  <c r="Y810" i="37"/>
  <c r="Y820" i="37"/>
  <c r="Y814" i="37"/>
  <c r="AK814" i="37" s="1"/>
  <c r="Y811" i="37"/>
  <c r="AK811" i="37" s="1"/>
  <c r="Y816" i="37"/>
  <c r="AK816" i="37" s="1"/>
  <c r="Y806" i="37"/>
  <c r="Y809" i="37"/>
  <c r="W803" i="37"/>
  <c r="W817" i="37"/>
  <c r="AI817" i="37" s="1"/>
  <c r="W805" i="37"/>
  <c r="AI805" i="37" s="1"/>
  <c r="W809" i="37"/>
  <c r="AI809" i="37" s="1"/>
  <c r="W813" i="37"/>
  <c r="AI813" i="37" s="1"/>
  <c r="W811" i="37"/>
  <c r="W812" i="37"/>
  <c r="W807" i="37"/>
  <c r="AI807" i="37" s="1"/>
  <c r="W818" i="37"/>
  <c r="AI818" i="37" s="1"/>
  <c r="W814" i="37"/>
  <c r="AI814" i="37" s="1"/>
  <c r="W808" i="37"/>
  <c r="AI808" i="37" s="1"/>
  <c r="W820" i="37"/>
  <c r="AI820" i="37" s="1"/>
  <c r="W819" i="37"/>
  <c r="AI819" i="37" s="1"/>
  <c r="W806" i="37"/>
  <c r="AI806" i="37" s="1"/>
  <c r="W816" i="37"/>
  <c r="AI816" i="37" s="1"/>
  <c r="W815" i="37"/>
  <c r="AI815" i="37" s="1"/>
  <c r="W804" i="37"/>
  <c r="AI804" i="37" s="1"/>
  <c r="W810" i="37"/>
  <c r="X817" i="37"/>
  <c r="X816" i="37"/>
  <c r="AJ816" i="37" s="1"/>
  <c r="X819" i="37"/>
  <c r="X815" i="37"/>
  <c r="X813" i="37"/>
  <c r="X814" i="37"/>
  <c r="X818" i="37"/>
  <c r="X812" i="37"/>
  <c r="X820" i="37"/>
  <c r="AJ820" i="37" s="1"/>
  <c r="X804" i="37"/>
  <c r="AJ804" i="37" s="1"/>
  <c r="X808" i="37"/>
  <c r="X811" i="37"/>
  <c r="X806" i="37"/>
  <c r="X805" i="37"/>
  <c r="X807" i="37"/>
  <c r="X809" i="37"/>
  <c r="X810" i="37"/>
  <c r="AJ810" i="37" s="1"/>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K818" i="37" l="1"/>
  <c r="AM815" i="37"/>
  <c r="AM817" i="37"/>
  <c r="AI812" i="37"/>
  <c r="AL806" i="37"/>
  <c r="AM812" i="37"/>
  <c r="AM808" i="37"/>
  <c r="AJ805" i="37"/>
  <c r="AJ814" i="37"/>
  <c r="AK809" i="37"/>
  <c r="AK817" i="37"/>
  <c r="AM804" i="37"/>
  <c r="AJ813" i="37"/>
  <c r="AJ817" i="37"/>
  <c r="AK820" i="37"/>
  <c r="AK819" i="37"/>
  <c r="AL818" i="37"/>
  <c r="B500" i="40"/>
  <c r="B218"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J828" i="37" l="1"/>
  <c r="K829" i="37"/>
  <c r="M829" i="37"/>
  <c r="L829" i="37"/>
  <c r="L828" i="37"/>
  <c r="M828" i="37"/>
  <c r="I828" i="37"/>
  <c r="K828" i="37"/>
  <c r="J829" i="37"/>
  <c r="B501" i="40"/>
  <c r="B219"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J20" i="32"/>
  <c r="B502" i="40" l="1"/>
  <c r="B220"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V555" i="37"/>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800" i="40"/>
  <c r="E801" i="40"/>
  <c r="E802" i="40"/>
  <c r="E803" i="40"/>
  <c r="E804" i="40"/>
  <c r="E805" i="40"/>
  <c r="E806" i="40"/>
  <c r="E807" i="40"/>
  <c r="E808" i="40"/>
  <c r="E809" i="40"/>
  <c r="E810" i="40"/>
  <c r="E811" i="40"/>
  <c r="E812" i="40"/>
  <c r="E813" i="40"/>
  <c r="E814" i="40"/>
  <c r="E815" i="40"/>
  <c r="E816" i="40"/>
  <c r="E817" i="40"/>
  <c r="E818" i="40"/>
  <c r="E819" i="40"/>
  <c r="E820" i="40"/>
  <c r="E821" i="40"/>
  <c r="E822" i="40"/>
  <c r="E823" i="40"/>
  <c r="E824" i="40"/>
  <c r="E825" i="40"/>
  <c r="E826" i="40"/>
  <c r="E827" i="40"/>
  <c r="E828" i="40"/>
  <c r="E829" i="40"/>
  <c r="E830" i="40"/>
  <c r="E831" i="40"/>
  <c r="E832" i="40"/>
  <c r="E833" i="40"/>
  <c r="E834" i="40"/>
  <c r="E835" i="40"/>
  <c r="E836" i="40"/>
  <c r="E837" i="40"/>
  <c r="E838" i="40"/>
  <c r="E839" i="40"/>
  <c r="E840" i="40"/>
  <c r="E841" i="40"/>
  <c r="E842" i="40"/>
  <c r="E843" i="40"/>
  <c r="E844" i="40"/>
  <c r="E845" i="40"/>
  <c r="E846" i="40"/>
  <c r="E847" i="40"/>
  <c r="E848" i="40"/>
  <c r="E849" i="40"/>
  <c r="E850" i="40"/>
  <c r="E851" i="40"/>
  <c r="E852" i="40"/>
  <c r="E853" i="40"/>
  <c r="E854" i="40"/>
  <c r="E855" i="40"/>
  <c r="E856" i="40"/>
  <c r="E857" i="40"/>
  <c r="E858" i="40"/>
  <c r="E859" i="40"/>
  <c r="E860" i="40"/>
  <c r="E861" i="40"/>
  <c r="E862" i="40"/>
  <c r="E863" i="40"/>
  <c r="E864" i="40"/>
  <c r="E865" i="40"/>
  <c r="E866" i="40"/>
  <c r="E867" i="40"/>
  <c r="E868" i="40"/>
  <c r="E869" i="40"/>
  <c r="E870" i="40"/>
  <c r="E871" i="40"/>
  <c r="E872" i="40"/>
  <c r="E873" i="40"/>
  <c r="E874" i="40"/>
  <c r="E875" i="40"/>
  <c r="E876" i="40"/>
  <c r="E877" i="40"/>
  <c r="E878" i="40"/>
  <c r="E879" i="40"/>
  <c r="E880" i="40"/>
  <c r="E881" i="40"/>
  <c r="E882" i="40"/>
  <c r="E883" i="40"/>
  <c r="E884" i="40"/>
  <c r="E885" i="40"/>
  <c r="E886" i="40"/>
  <c r="E887" i="40"/>
  <c r="E888" i="40"/>
  <c r="E889" i="40"/>
  <c r="E890" i="40"/>
  <c r="E891" i="40"/>
  <c r="E892" i="40"/>
  <c r="E893" i="40"/>
  <c r="E894" i="40"/>
  <c r="E895" i="40"/>
  <c r="E896" i="40"/>
  <c r="E897" i="40"/>
  <c r="E898" i="40"/>
  <c r="E899" i="40"/>
  <c r="E900" i="40"/>
  <c r="E901" i="40"/>
  <c r="E902" i="40"/>
  <c r="E903" i="40"/>
  <c r="E904" i="40"/>
  <c r="E905" i="40"/>
  <c r="E906" i="40"/>
  <c r="E907" i="40"/>
  <c r="E908" i="40"/>
  <c r="E909" i="40"/>
  <c r="E910" i="40"/>
  <c r="E911" i="40"/>
  <c r="E912" i="40"/>
  <c r="E913" i="40"/>
  <c r="E914" i="40"/>
  <c r="E915" i="40"/>
  <c r="E916" i="40"/>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792" i="40"/>
  <c r="E793" i="40"/>
  <c r="E794" i="40"/>
  <c r="E795" i="40"/>
  <c r="E796" i="40"/>
  <c r="E797" i="40"/>
  <c r="E798" i="40"/>
  <c r="E799" i="40"/>
  <c r="E785" i="40"/>
  <c r="E786" i="40"/>
  <c r="E787" i="40"/>
  <c r="E788" i="40"/>
  <c r="E789" i="40"/>
  <c r="E790" i="40"/>
  <c r="E791" i="40"/>
  <c r="E761" i="40"/>
  <c r="E762" i="40"/>
  <c r="E763" i="40"/>
  <c r="E764" i="40"/>
  <c r="E765" i="40"/>
  <c r="E766" i="40"/>
  <c r="E767" i="40"/>
  <c r="E768" i="40"/>
  <c r="E769" i="40"/>
  <c r="E770" i="40"/>
  <c r="E771" i="40"/>
  <c r="E772" i="40"/>
  <c r="E773" i="40"/>
  <c r="E774" i="40"/>
  <c r="E775" i="40"/>
  <c r="E776" i="40"/>
  <c r="E777" i="40"/>
  <c r="E778" i="40"/>
  <c r="E779" i="40"/>
  <c r="E780" i="40"/>
  <c r="E781" i="40"/>
  <c r="E782" i="40"/>
  <c r="E783" i="40"/>
  <c r="E784" i="40"/>
  <c r="E760" i="40"/>
  <c r="E759" i="40"/>
  <c r="H827" i="37" l="1"/>
  <c r="H826" i="37" s="1"/>
  <c r="B503" i="40"/>
  <c r="B221" i="65"/>
  <c r="M134" i="25"/>
  <c r="Q134" i="25"/>
  <c r="N134" i="25"/>
  <c r="X555" i="37"/>
  <c r="O134"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B504" i="40" l="1"/>
  <c r="B222" i="65"/>
  <c r="AD555" i="37"/>
  <c r="I825" i="37"/>
  <c r="AF307" i="37"/>
  <c r="O133" i="25" s="1"/>
  <c r="N133" i="25"/>
  <c r="Y555" i="37"/>
  <c r="P134" i="25" s="1"/>
  <c r="M133" i="25"/>
  <c r="K825" i="37"/>
  <c r="J825" i="37"/>
  <c r="M825" i="37"/>
  <c r="AM308" i="37"/>
  <c r="AH525" i="37"/>
  <c r="AN525" i="37" s="1"/>
  <c r="AM525" i="37"/>
  <c r="AK307" i="37"/>
  <c r="AG307" i="37"/>
  <c r="AL307" i="37"/>
  <c r="AL308" i="37"/>
  <c r="AG542" i="37"/>
  <c r="AL542" i="37"/>
  <c r="AJ308" i="37"/>
  <c r="I824" i="37" s="1"/>
  <c r="AK308" i="37"/>
  <c r="AG317" i="37"/>
  <c r="AL317" i="37"/>
  <c r="AH489" i="37"/>
  <c r="AN489" i="37" s="1"/>
  <c r="AH521" i="37"/>
  <c r="AN521" i="37" s="1"/>
  <c r="B86" i="10"/>
  <c r="B87" i="10" s="1"/>
  <c r="B92" i="10" s="1"/>
  <c r="B505" i="40" l="1"/>
  <c r="B223" i="65"/>
  <c r="AE555" i="37"/>
  <c r="L825" i="37" s="1"/>
  <c r="P133" i="25"/>
  <c r="AH307" i="37"/>
  <c r="AM307" i="37"/>
  <c r="AH542" i="37"/>
  <c r="AN542" i="37" s="1"/>
  <c r="AM542" i="37"/>
  <c r="AH317" i="37"/>
  <c r="AN317" i="37" s="1"/>
  <c r="AM317" i="37"/>
  <c r="J824" i="37"/>
  <c r="K824" i="37"/>
  <c r="K830" i="37" s="1"/>
  <c r="B506" i="40" l="1"/>
  <c r="B224" i="65"/>
  <c r="AN307" i="37"/>
  <c r="M824" i="37" s="1"/>
  <c r="M830" i="37" s="1"/>
  <c r="Q133" i="25"/>
  <c r="L824" i="37"/>
  <c r="F51" i="25"/>
  <c r="B507" i="40" l="1"/>
  <c r="B225" i="65"/>
  <c r="E756" i="40"/>
  <c r="E757" i="40"/>
  <c r="E758" i="40"/>
  <c r="E753" i="40"/>
  <c r="E754" i="40"/>
  <c r="E755" i="40"/>
  <c r="E649" i="40"/>
  <c r="E650" i="40"/>
  <c r="E651" i="40"/>
  <c r="E652" i="40"/>
  <c r="E653" i="40"/>
  <c r="E654" i="40"/>
  <c r="E655" i="40"/>
  <c r="E656" i="40"/>
  <c r="E657" i="40"/>
  <c r="E658" i="40"/>
  <c r="E659" i="40"/>
  <c r="E660" i="40"/>
  <c r="E661" i="40"/>
  <c r="E662" i="40"/>
  <c r="E663" i="40"/>
  <c r="E664" i="40"/>
  <c r="E665" i="40"/>
  <c r="E666" i="40"/>
  <c r="E667" i="40"/>
  <c r="E668" i="40"/>
  <c r="E669" i="40"/>
  <c r="E670" i="40"/>
  <c r="E671" i="40"/>
  <c r="E672" i="40"/>
  <c r="E673" i="40"/>
  <c r="E674" i="40"/>
  <c r="E675" i="40"/>
  <c r="E676" i="40"/>
  <c r="E677" i="40"/>
  <c r="E678" i="40"/>
  <c r="E679" i="40"/>
  <c r="E680" i="40"/>
  <c r="E681" i="40"/>
  <c r="E682" i="40"/>
  <c r="E683" i="40"/>
  <c r="E684" i="40"/>
  <c r="E685" i="40"/>
  <c r="E686" i="40"/>
  <c r="E687" i="40"/>
  <c r="E688" i="40"/>
  <c r="E689" i="40"/>
  <c r="E690" i="40"/>
  <c r="E691" i="40"/>
  <c r="E692" i="40"/>
  <c r="E693" i="40"/>
  <c r="E694" i="40"/>
  <c r="E695" i="40"/>
  <c r="E696" i="40"/>
  <c r="E697" i="40"/>
  <c r="E698" i="40"/>
  <c r="E699" i="40"/>
  <c r="E700" i="40"/>
  <c r="E701" i="40"/>
  <c r="E702" i="40"/>
  <c r="E703" i="40"/>
  <c r="E704" i="40"/>
  <c r="E705" i="40"/>
  <c r="E706" i="40"/>
  <c r="E707" i="40"/>
  <c r="E708" i="40"/>
  <c r="E709" i="40"/>
  <c r="E710" i="40"/>
  <c r="E711" i="40"/>
  <c r="E712" i="40"/>
  <c r="E713" i="40"/>
  <c r="E714" i="40"/>
  <c r="E715" i="40"/>
  <c r="E716" i="40"/>
  <c r="E717" i="40"/>
  <c r="E718" i="40"/>
  <c r="E719" i="40"/>
  <c r="E720" i="40"/>
  <c r="E721" i="40"/>
  <c r="E722" i="40"/>
  <c r="E723" i="40"/>
  <c r="E724" i="40"/>
  <c r="E725" i="40"/>
  <c r="E726" i="40"/>
  <c r="E727" i="40"/>
  <c r="E728" i="40"/>
  <c r="E729" i="40"/>
  <c r="E730" i="40"/>
  <c r="E731" i="40"/>
  <c r="E732" i="40"/>
  <c r="E733" i="40"/>
  <c r="E734" i="40"/>
  <c r="E735" i="40"/>
  <c r="E736" i="40"/>
  <c r="E737" i="40"/>
  <c r="E738" i="40"/>
  <c r="E739" i="40"/>
  <c r="E740" i="40"/>
  <c r="E741" i="40"/>
  <c r="E742" i="40"/>
  <c r="E743" i="40"/>
  <c r="E744" i="40"/>
  <c r="E745" i="40"/>
  <c r="E746" i="40"/>
  <c r="E747" i="40"/>
  <c r="E748" i="40"/>
  <c r="E749" i="40"/>
  <c r="E750" i="40"/>
  <c r="E751" i="40"/>
  <c r="E752" i="40"/>
  <c r="E642" i="40"/>
  <c r="E643" i="40"/>
  <c r="E644" i="40"/>
  <c r="E645" i="40"/>
  <c r="E646" i="40"/>
  <c r="E647" i="40"/>
  <c r="E648" i="40"/>
  <c r="B508" i="40" l="1"/>
  <c r="B226" i="65"/>
  <c r="J31" i="42"/>
  <c r="I30" i="42"/>
  <c r="K32" i="42"/>
  <c r="L33" i="42"/>
  <c r="M34" i="42"/>
  <c r="N35" i="42"/>
  <c r="H29" i="42"/>
  <c r="F26" i="42"/>
  <c r="F23" i="42"/>
  <c r="F20" i="42"/>
  <c r="BD60" i="42" s="1"/>
  <c r="I16" i="42"/>
  <c r="H16" i="42"/>
  <c r="AV66" i="42" s="1"/>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I20" i="32"/>
  <c r="L32" i="32" s="1"/>
  <c r="N37" i="50"/>
  <c r="M36" i="50"/>
  <c r="L35" i="50"/>
  <c r="K34" i="50"/>
  <c r="J33" i="50"/>
  <c r="I32" i="50"/>
  <c r="H31" i="50"/>
  <c r="F28" i="50"/>
  <c r="F25" i="50"/>
  <c r="F22" i="50"/>
  <c r="F19" i="50"/>
  <c r="K16" i="50"/>
  <c r="L16" i="50"/>
  <c r="M16" i="50"/>
  <c r="N16" i="50"/>
  <c r="B509" i="40" l="1"/>
  <c r="B227" i="65"/>
  <c r="AE306" i="50"/>
  <c r="AC305" i="50"/>
  <c r="W306" i="50"/>
  <c r="Y305" i="50"/>
  <c r="AD302" i="50"/>
  <c r="Y300" i="50"/>
  <c r="AF302" i="50"/>
  <c r="AE301" i="50"/>
  <c r="AE302" i="50"/>
  <c r="Y302" i="50"/>
  <c r="Z302" i="50"/>
  <c r="AL302" i="50" s="1"/>
  <c r="X305" i="50"/>
  <c r="Y306" i="50"/>
  <c r="AK306" i="50" s="1"/>
  <c r="X302" i="50"/>
  <c r="AE305" i="50"/>
  <c r="Y301" i="50"/>
  <c r="AK301" i="50" s="1"/>
  <c r="AD306" i="50"/>
  <c r="Y304" i="50"/>
  <c r="AD301" i="50"/>
  <c r="AF303" i="50"/>
  <c r="X303" i="50"/>
  <c r="AD303" i="50"/>
  <c r="Z301" i="50"/>
  <c r="AD300" i="50"/>
  <c r="W300" i="50"/>
  <c r="AD305" i="50"/>
  <c r="X306" i="50"/>
  <c r="AF301" i="50"/>
  <c r="X300" i="50"/>
  <c r="AJ300" i="50" s="1"/>
  <c r="Z303" i="50"/>
  <c r="Z305" i="50"/>
  <c r="Z304" i="50"/>
  <c r="AF304" i="50"/>
  <c r="W301" i="50"/>
  <c r="W302" i="50"/>
  <c r="AF306" i="50"/>
  <c r="AC303" i="50"/>
  <c r="W305" i="50"/>
  <c r="AI305" i="50" s="1"/>
  <c r="AC300" i="50"/>
  <c r="AE304" i="50"/>
  <c r="Y303" i="50"/>
  <c r="W303" i="50"/>
  <c r="AF305" i="50"/>
  <c r="AE303" i="50"/>
  <c r="AC301" i="50"/>
  <c r="X304" i="50"/>
  <c r="W304" i="50"/>
  <c r="AF300" i="50"/>
  <c r="AC306" i="50"/>
  <c r="AC304" i="50"/>
  <c r="Z300" i="50"/>
  <c r="AC302" i="50"/>
  <c r="Z306" i="50"/>
  <c r="AL306" i="50" s="1"/>
  <c r="AE300" i="50"/>
  <c r="AD304" i="50"/>
  <c r="X301" i="50"/>
  <c r="AJ301" i="50" s="1"/>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AL294" i="50" s="1"/>
  <c r="W297" i="50"/>
  <c r="X294" i="50"/>
  <c r="Y297" i="50"/>
  <c r="AD292" i="50"/>
  <c r="AC291" i="50"/>
  <c r="X295" i="50"/>
  <c r="AD299" i="50"/>
  <c r="W291" i="50"/>
  <c r="AD296" i="50"/>
  <c r="X299" i="50"/>
  <c r="X292" i="50"/>
  <c r="AC294" i="50"/>
  <c r="AI294" i="50" s="1"/>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BL66" i="42"/>
  <c r="AV67" i="42"/>
  <c r="BL67" i="42" s="1"/>
  <c r="AV78" i="42"/>
  <c r="BL78" i="42" s="1"/>
  <c r="AV74" i="42"/>
  <c r="BL74" i="42" s="1"/>
  <c r="AV75" i="42"/>
  <c r="BL75" i="42" s="1"/>
  <c r="AV68" i="42"/>
  <c r="BL68" i="42" s="1"/>
  <c r="AV79" i="42"/>
  <c r="BL79" i="42" s="1"/>
  <c r="AV70" i="42"/>
  <c r="BL70" i="42" s="1"/>
  <c r="AD67" i="42"/>
  <c r="X73" i="42"/>
  <c r="AD68" i="42"/>
  <c r="X72" i="42"/>
  <c r="AD79" i="42"/>
  <c r="AG77" i="42"/>
  <c r="AG76" i="42"/>
  <c r="AH76" i="42"/>
  <c r="AD78" i="42"/>
  <c r="AE76" i="42"/>
  <c r="AD71" i="42"/>
  <c r="X67" i="42"/>
  <c r="X77" i="42"/>
  <c r="AD73" i="42"/>
  <c r="AF77" i="42"/>
  <c r="AE77" i="42"/>
  <c r="AD76" i="42"/>
  <c r="AD72" i="42"/>
  <c r="X71" i="42"/>
  <c r="AJ71" i="42" s="1"/>
  <c r="AD70" i="42"/>
  <c r="X69" i="42"/>
  <c r="X70" i="42"/>
  <c r="AF76" i="42"/>
  <c r="AE79" i="42"/>
  <c r="AH79" i="42"/>
  <c r="AD75" i="42"/>
  <c r="AD77" i="42"/>
  <c r="X76" i="42"/>
  <c r="AD74" i="42"/>
  <c r="AH74" i="42"/>
  <c r="X79" i="42"/>
  <c r="X75" i="42"/>
  <c r="X78" i="42"/>
  <c r="AJ78" i="42" s="1"/>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AL74" i="42" s="1"/>
  <c r="Z76" i="42"/>
  <c r="AA77" i="42"/>
  <c r="AM77" i="42" s="1"/>
  <c r="AA76" i="42"/>
  <c r="AM76" i="42" s="1"/>
  <c r="Z77" i="42"/>
  <c r="AL77" i="42" s="1"/>
  <c r="AB77" i="42"/>
  <c r="Y76" i="42"/>
  <c r="AK76" i="42" s="1"/>
  <c r="AQ76" i="42" s="1"/>
  <c r="Z73" i="42"/>
  <c r="AB67" i="42"/>
  <c r="Y74" i="42"/>
  <c r="AK74" i="42" s="1"/>
  <c r="AQ74" i="42" s="1"/>
  <c r="AA78" i="42"/>
  <c r="AB71" i="42"/>
  <c r="Y68" i="42"/>
  <c r="Z71" i="42"/>
  <c r="Y72" i="42"/>
  <c r="AA68" i="42"/>
  <c r="AA69" i="42"/>
  <c r="AB75" i="42"/>
  <c r="Y79" i="42"/>
  <c r="AK67" i="42"/>
  <c r="AQ67" i="42" s="1"/>
  <c r="Z70" i="42"/>
  <c r="AA67" i="42"/>
  <c r="Z75" i="42"/>
  <c r="Z69" i="42"/>
  <c r="AL69" i="42" s="1"/>
  <c r="AA70" i="42"/>
  <c r="Y69" i="42"/>
  <c r="Y75" i="42"/>
  <c r="AB79" i="42"/>
  <c r="AB68" i="42"/>
  <c r="AB70" i="42"/>
  <c r="AB78" i="42"/>
  <c r="Z67" i="42"/>
  <c r="AL67" i="42" s="1"/>
  <c r="Y71" i="42"/>
  <c r="AK71" i="42" s="1"/>
  <c r="AQ71" i="42" s="1"/>
  <c r="AB69" i="42"/>
  <c r="Z78" i="42"/>
  <c r="Z72" i="42"/>
  <c r="AA79" i="42"/>
  <c r="AB73" i="42"/>
  <c r="AN73" i="42" s="1"/>
  <c r="BJ73" i="42" s="1"/>
  <c r="AA75" i="42"/>
  <c r="AM75" i="42" s="1"/>
  <c r="AB72" i="42"/>
  <c r="Y78" i="42"/>
  <c r="AK78" i="42" s="1"/>
  <c r="AQ78" i="42" s="1"/>
  <c r="Z79" i="42"/>
  <c r="AA74" i="42"/>
  <c r="AA71" i="42"/>
  <c r="Z68" i="42"/>
  <c r="AA73" i="42"/>
  <c r="Y73" i="42"/>
  <c r="Y70" i="42"/>
  <c r="AA72" i="42"/>
  <c r="AM72" i="42" s="1"/>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AK281" i="50" s="1"/>
  <c r="Y276" i="50"/>
  <c r="AD279" i="50"/>
  <c r="AC278" i="50"/>
  <c r="V274" i="50"/>
  <c r="V281" i="50"/>
  <c r="Y290" i="50"/>
  <c r="AF285" i="50"/>
  <c r="Z275" i="50"/>
  <c r="X287" i="50"/>
  <c r="Y275" i="50"/>
  <c r="AF284" i="50"/>
  <c r="X285" i="50"/>
  <c r="AD287" i="50"/>
  <c r="AJ287" i="50" s="1"/>
  <c r="AD276" i="50"/>
  <c r="AF279" i="50"/>
  <c r="Z287" i="50"/>
  <c r="AE277" i="50"/>
  <c r="V286" i="50"/>
  <c r="AB283" i="50"/>
  <c r="AC275" i="50"/>
  <c r="AE278" i="50"/>
  <c r="V290" i="50"/>
  <c r="X274" i="50"/>
  <c r="W275" i="50"/>
  <c r="AI275" i="50" s="1"/>
  <c r="AB286" i="50"/>
  <c r="AD277" i="50"/>
  <c r="AB285" i="50"/>
  <c r="Z286" i="50"/>
  <c r="AB274" i="50"/>
  <c r="X286" i="50"/>
  <c r="V284" i="50"/>
  <c r="X279" i="50"/>
  <c r="Z278" i="50"/>
  <c r="W286" i="50"/>
  <c r="AI286" i="50" s="1"/>
  <c r="AE290" i="50"/>
  <c r="AD280" i="50"/>
  <c r="AJ280" i="50" s="1"/>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AJ275" i="50" s="1"/>
  <c r="Z283" i="50"/>
  <c r="W278" i="50"/>
  <c r="Y286" i="50"/>
  <c r="AB276" i="50"/>
  <c r="AC280" i="50"/>
  <c r="AD288" i="50"/>
  <c r="AC285" i="50"/>
  <c r="Y283" i="50"/>
  <c r="X282" i="50"/>
  <c r="W276" i="50"/>
  <c r="AC288" i="50"/>
  <c r="AD285" i="50"/>
  <c r="X283" i="50"/>
  <c r="Z282" i="50"/>
  <c r="AL282" i="50" s="1"/>
  <c r="AB279" i="50"/>
  <c r="AC283" i="50"/>
  <c r="AE274" i="50"/>
  <c r="AE286" i="50"/>
  <c r="W280" i="50"/>
  <c r="AF288" i="50"/>
  <c r="W277" i="50"/>
  <c r="AE285" i="50"/>
  <c r="AE280" i="50"/>
  <c r="Z288" i="50"/>
  <c r="Y279" i="50"/>
  <c r="AD281" i="50"/>
  <c r="AE284" i="50"/>
  <c r="AF274" i="50"/>
  <c r="W288" i="50"/>
  <c r="AD284" i="50"/>
  <c r="V287" i="50"/>
  <c r="AC282" i="50"/>
  <c r="V276" i="50"/>
  <c r="AD283" i="50"/>
  <c r="Y282" i="50"/>
  <c r="AK282" i="50" s="1"/>
  <c r="AC290" i="50"/>
  <c r="AE276" i="50"/>
  <c r="AF276" i="50"/>
  <c r="V277" i="50"/>
  <c r="AH277" i="50" s="1"/>
  <c r="AN277" i="50" s="1"/>
  <c r="V283" i="50"/>
  <c r="AH283" i="50" s="1"/>
  <c r="AN283" i="50" s="1"/>
  <c r="AF278" i="50"/>
  <c r="Y284" i="50"/>
  <c r="AC279" i="50"/>
  <c r="Y288" i="50"/>
  <c r="AK288" i="50" s="1"/>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AK266" i="50" s="1"/>
  <c r="V266" i="50"/>
  <c r="AE264" i="50"/>
  <c r="Z264" i="50"/>
  <c r="W264" i="50"/>
  <c r="V255" i="50"/>
  <c r="AE255" i="50"/>
  <c r="V262" i="50"/>
  <c r="W262" i="50"/>
  <c r="AB257" i="50"/>
  <c r="W257" i="50"/>
  <c r="AF257" i="50"/>
  <c r="AE273" i="50"/>
  <c r="AB273" i="50"/>
  <c r="AC253" i="50"/>
  <c r="AF253" i="50"/>
  <c r="V256" i="50"/>
  <c r="Y256" i="50"/>
  <c r="AD256" i="50"/>
  <c r="V263" i="50"/>
  <c r="Y263" i="50"/>
  <c r="AK263" i="50" s="1"/>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AI263" i="50" s="1"/>
  <c r="Z251" i="50"/>
  <c r="AE251" i="50"/>
  <c r="AB251" i="50"/>
  <c r="V269" i="50"/>
  <c r="AB269" i="50"/>
  <c r="AF269" i="50"/>
  <c r="AF272" i="50"/>
  <c r="V272" i="50"/>
  <c r="W260" i="50"/>
  <c r="AI260" i="50" s="1"/>
  <c r="Y260" i="50"/>
  <c r="AD260" i="50"/>
  <c r="V252" i="50"/>
  <c r="W252" i="50"/>
  <c r="W261" i="50"/>
  <c r="AI261" i="50" s="1"/>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H264" i="50" s="1"/>
  <c r="AN264" i="50" s="1"/>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AI267" i="50" s="1"/>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AJ220" i="50" s="1"/>
  <c r="W220" i="50"/>
  <c r="AB248" i="50"/>
  <c r="Y248" i="50"/>
  <c r="Z221" i="50"/>
  <c r="W221" i="50"/>
  <c r="AC221" i="50"/>
  <c r="Y225" i="50"/>
  <c r="W225" i="50"/>
  <c r="Z241" i="50"/>
  <c r="AL241" i="50" s="1"/>
  <c r="V241" i="50"/>
  <c r="AE241" i="50"/>
  <c r="AC249" i="50"/>
  <c r="W249" i="50"/>
  <c r="W218" i="50"/>
  <c r="Y218" i="50"/>
  <c r="AK218" i="50" s="1"/>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AL245" i="50" s="1"/>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AI250" i="50" s="1"/>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L218" i="50" s="1"/>
  <c r="AC218" i="50"/>
  <c r="X223" i="50"/>
  <c r="V223" i="50"/>
  <c r="AH223" i="50" s="1"/>
  <c r="AN223" i="50" s="1"/>
  <c r="AC223" i="50"/>
  <c r="AB239" i="50"/>
  <c r="AF239" i="50"/>
  <c r="V243" i="50"/>
  <c r="AB243" i="50"/>
  <c r="AC243" i="50"/>
  <c r="AE222" i="50"/>
  <c r="W222" i="50"/>
  <c r="X226" i="50"/>
  <c r="AB226" i="50"/>
  <c r="Z226" i="50"/>
  <c r="AL226" i="50" s="1"/>
  <c r="V246" i="50"/>
  <c r="AE246" i="50"/>
  <c r="W235" i="50"/>
  <c r="X240" i="50"/>
  <c r="AJ240" i="50" s="1"/>
  <c r="AE250" i="50"/>
  <c r="AE237" i="50"/>
  <c r="AB224" i="50"/>
  <c r="Z244" i="50"/>
  <c r="AB225" i="50"/>
  <c r="W238" i="50"/>
  <c r="V227" i="50"/>
  <c r="V224" i="50"/>
  <c r="AF240" i="50"/>
  <c r="Z237" i="50"/>
  <c r="Y235" i="50"/>
  <c r="Y240" i="50"/>
  <c r="AK240" i="50" s="1"/>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AL232" i="50" s="1"/>
  <c r="X232" i="50"/>
  <c r="AB230" i="50"/>
  <c r="Z230" i="50"/>
  <c r="AB236" i="50"/>
  <c r="X236" i="50"/>
  <c r="Z229" i="50"/>
  <c r="AL229" i="50" s="1"/>
  <c r="AC229" i="50"/>
  <c r="Y229" i="50"/>
  <c r="AF235" i="50"/>
  <c r="Z231" i="50"/>
  <c r="Z228" i="50"/>
  <c r="AD234" i="50"/>
  <c r="X233" i="50"/>
  <c r="AB232" i="50"/>
  <c r="AF230" i="50"/>
  <c r="V236" i="50"/>
  <c r="AH236" i="50" s="1"/>
  <c r="AN236" i="50" s="1"/>
  <c r="AC227" i="50"/>
  <c r="AI227" i="50" s="1"/>
  <c r="Z235" i="50"/>
  <c r="Y231" i="50"/>
  <c r="AF231" i="50"/>
  <c r="AB228" i="50"/>
  <c r="AD228" i="50"/>
  <c r="Y234" i="50"/>
  <c r="AC234" i="50"/>
  <c r="AB234" i="50"/>
  <c r="AD233" i="50"/>
  <c r="AE233" i="50"/>
  <c r="Y233" i="50"/>
  <c r="W232" i="50"/>
  <c r="V232" i="50"/>
  <c r="AH232" i="50" s="1"/>
  <c r="AN232" i="50" s="1"/>
  <c r="AC232" i="50"/>
  <c r="AC230" i="50"/>
  <c r="W230" i="50"/>
  <c r="W236" i="50"/>
  <c r="AC236" i="50"/>
  <c r="AE236" i="50"/>
  <c r="X229" i="50"/>
  <c r="AB229" i="50"/>
  <c r="AE231" i="50"/>
  <c r="AC231" i="50"/>
  <c r="W228" i="50"/>
  <c r="AC233" i="50"/>
  <c r="Y232" i="50"/>
  <c r="AK232" i="50" s="1"/>
  <c r="Y230" i="50"/>
  <c r="AK230" i="50" s="1"/>
  <c r="AD236" i="50"/>
  <c r="V229" i="50"/>
  <c r="AH229" i="50" s="1"/>
  <c r="AN229" i="50" s="1"/>
  <c r="AW160" i="50"/>
  <c r="AW162" i="50"/>
  <c r="AW163" i="50"/>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AU121" i="50"/>
  <c r="BA121" i="50" s="1"/>
  <c r="AU126" i="50"/>
  <c r="AU131" i="50"/>
  <c r="AX171" i="50"/>
  <c r="AX169" i="50"/>
  <c r="BD169" i="50" s="1"/>
  <c r="AX200" i="50"/>
  <c r="AX181" i="50"/>
  <c r="BD181" i="50" s="1"/>
  <c r="AX182" i="50"/>
  <c r="AT97" i="50"/>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AX164" i="50"/>
  <c r="AX158" i="50"/>
  <c r="AT80" i="50"/>
  <c r="AT96" i="50"/>
  <c r="AT93" i="50"/>
  <c r="AT87" i="50"/>
  <c r="AT91" i="50"/>
  <c r="AZ91" i="50" s="1"/>
  <c r="AT245" i="50"/>
  <c r="AT261" i="50"/>
  <c r="AT246" i="50"/>
  <c r="AT262" i="50"/>
  <c r="AT251" i="50"/>
  <c r="AT267" i="50"/>
  <c r="AT252" i="50"/>
  <c r="AT268" i="50"/>
  <c r="AU100" i="50"/>
  <c r="AU99" i="50"/>
  <c r="AU109" i="50"/>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AW131" i="50"/>
  <c r="AV107" i="50"/>
  <c r="AV102" i="50"/>
  <c r="AV108" i="50"/>
  <c r="AV106" i="50"/>
  <c r="AV105" i="50"/>
  <c r="AV287" i="50"/>
  <c r="AV288" i="50"/>
  <c r="AV274" i="50"/>
  <c r="AV286" i="50"/>
  <c r="AU250" i="50"/>
  <c r="AU248" i="50"/>
  <c r="AU80" i="50"/>
  <c r="AX139" i="50"/>
  <c r="BD139" i="50" s="1"/>
  <c r="AX140" i="50"/>
  <c r="AX145" i="50"/>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63"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L166" i="50" s="1"/>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AL199" i="50" s="1"/>
  <c r="X191" i="50"/>
  <c r="AJ191" i="50" s="1"/>
  <c r="AP191" i="50" s="1"/>
  <c r="AE191" i="50"/>
  <c r="AC190" i="50"/>
  <c r="AD189" i="50"/>
  <c r="Z171" i="50"/>
  <c r="AE166" i="50"/>
  <c r="W190" i="50"/>
  <c r="AD196" i="50"/>
  <c r="Z189" i="50"/>
  <c r="Y161" i="50"/>
  <c r="Y165" i="50"/>
  <c r="AK165" i="50" s="1"/>
  <c r="AQ165" i="50" s="1"/>
  <c r="Z183" i="50"/>
  <c r="Z174" i="50"/>
  <c r="Z196" i="50"/>
  <c r="Z179" i="50"/>
  <c r="Z159" i="50"/>
  <c r="AF179" i="50"/>
  <c r="AE189" i="50"/>
  <c r="W196" i="50"/>
  <c r="AI196" i="50" s="1"/>
  <c r="AE190" i="50"/>
  <c r="Z197" i="50"/>
  <c r="Y198" i="50"/>
  <c r="AK198" i="50" s="1"/>
  <c r="AF183" i="50"/>
  <c r="AF197" i="50"/>
  <c r="AC189" i="50"/>
  <c r="W197" i="50"/>
  <c r="Z190" i="50"/>
  <c r="Z164" i="50"/>
  <c r="Z185" i="50"/>
  <c r="AE160" i="50"/>
  <c r="AF180" i="50"/>
  <c r="X196" i="50"/>
  <c r="Z170" i="50"/>
  <c r="Z180" i="50"/>
  <c r="Z193" i="50"/>
  <c r="AF159" i="50"/>
  <c r="AF185" i="50"/>
  <c r="AL185" i="50" s="1"/>
  <c r="AR185" i="50" s="1"/>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AK194" i="50" s="1"/>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AK150" i="50" s="1"/>
  <c r="Z146" i="50"/>
  <c r="AF149" i="50"/>
  <c r="Z153" i="50"/>
  <c r="Z150" i="50"/>
  <c r="Z144" i="50"/>
  <c r="Z149" i="50"/>
  <c r="Z155" i="50"/>
  <c r="Y144" i="50"/>
  <c r="Z154" i="50"/>
  <c r="AE149" i="50"/>
  <c r="AD144" i="50"/>
  <c r="AD149" i="50"/>
  <c r="X150" i="50"/>
  <c r="AF155" i="50"/>
  <c r="AE144" i="50"/>
  <c r="Y154" i="50"/>
  <c r="AK154" i="50" s="1"/>
  <c r="AQ154" i="50" s="1"/>
  <c r="Y153" i="50"/>
  <c r="X147" i="50"/>
  <c r="Y147" i="50"/>
  <c r="AK147" i="50" s="1"/>
  <c r="AF154" i="50"/>
  <c r="AF144" i="50"/>
  <c r="AD148" i="50"/>
  <c r="AD147" i="50"/>
  <c r="AE156" i="50"/>
  <c r="AF156" i="50"/>
  <c r="Y146" i="50"/>
  <c r="AF150" i="50"/>
  <c r="Y156" i="50"/>
  <c r="AK156" i="50" s="1"/>
  <c r="AQ156" i="50" s="1"/>
  <c r="Z156" i="50"/>
  <c r="AL156" i="50" s="1"/>
  <c r="Y158" i="50"/>
  <c r="Y149" i="50"/>
  <c r="X144" i="50"/>
  <c r="AE158" i="50"/>
  <c r="AD146" i="50"/>
  <c r="AJ146" i="50" s="1"/>
  <c r="AP146" i="50" s="1"/>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J140" i="50" s="1"/>
  <c r="AP140" i="50" s="1"/>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AJ108" i="50" s="1"/>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I108" i="50" s="1"/>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AH93" i="50" s="1"/>
  <c r="AN93" i="50" s="1"/>
  <c r="V89" i="50"/>
  <c r="V92" i="50"/>
  <c r="AH92" i="50" s="1"/>
  <c r="AN92" i="50" s="1"/>
  <c r="V94" i="50"/>
  <c r="AH94" i="50" s="1"/>
  <c r="AN94" i="50" s="1"/>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D157" i="50"/>
  <c r="BD145" i="50"/>
  <c r="BB154" i="50"/>
  <c r="BB158" i="50"/>
  <c r="BB155" i="50"/>
  <c r="BB145" i="50"/>
  <c r="BB152" i="50"/>
  <c r="BB156" i="50"/>
  <c r="BB157" i="50"/>
  <c r="BB153" i="50"/>
  <c r="BB151" i="50"/>
  <c r="BC145" i="50"/>
  <c r="AZ117" i="50"/>
  <c r="AZ115" i="50"/>
  <c r="AZ128" i="50"/>
  <c r="AZ127" i="50"/>
  <c r="AZ129" i="50"/>
  <c r="AZ97" i="50"/>
  <c r="AZ116" i="50"/>
  <c r="AZ130" i="50"/>
  <c r="BA109" i="50"/>
  <c r="BA137" i="50"/>
  <c r="BA136" i="50"/>
  <c r="BA135" i="50"/>
  <c r="BA11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I96" i="50" s="1"/>
  <c r="AE94" i="50"/>
  <c r="Z94" i="50"/>
  <c r="AD94" i="50"/>
  <c r="W94" i="50"/>
  <c r="AF92" i="50"/>
  <c r="AE92" i="50"/>
  <c r="W88" i="50"/>
  <c r="AC88" i="50"/>
  <c r="AC86" i="50"/>
  <c r="V86" i="50"/>
  <c r="AD86" i="50"/>
  <c r="V84" i="50"/>
  <c r="Y84" i="50"/>
  <c r="AD84" i="50"/>
  <c r="AB82" i="50"/>
  <c r="X82" i="50"/>
  <c r="Z82" i="50"/>
  <c r="AL82" i="50" s="1"/>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AI132" i="50" s="1"/>
  <c r="AO132" i="50" s="1"/>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AI65" i="50" s="1"/>
  <c r="X65" i="50"/>
  <c r="AJ65" i="50" s="1"/>
  <c r="V131" i="50"/>
  <c r="AC131" i="50"/>
  <c r="X131" i="50"/>
  <c r="AJ131" i="50" s="1"/>
  <c r="BC115" i="50"/>
  <c r="AL78" i="42" l="1"/>
  <c r="AK75" i="42"/>
  <c r="AQ75" i="42" s="1"/>
  <c r="AM78" i="42"/>
  <c r="AR76" i="42"/>
  <c r="AS76" i="42" s="1"/>
  <c r="AT76" i="42" s="1"/>
  <c r="BB76" i="42" s="1"/>
  <c r="BR76" i="42" s="1"/>
  <c r="BZ76" i="42" s="1"/>
  <c r="AN69" i="42"/>
  <c r="BJ69" i="42" s="1"/>
  <c r="AR74" i="42"/>
  <c r="AL76" i="42"/>
  <c r="BH76" i="42" s="1"/>
  <c r="AK70" i="42"/>
  <c r="AQ70" i="42" s="1"/>
  <c r="AJ295" i="50"/>
  <c r="AM74" i="42"/>
  <c r="BI74" i="42" s="1"/>
  <c r="AK77" i="42"/>
  <c r="AQ77" i="42" s="1"/>
  <c r="AR77" i="42" s="1"/>
  <c r="AJ72" i="42"/>
  <c r="AX72" i="42" s="1"/>
  <c r="AK295" i="50"/>
  <c r="AM73" i="42"/>
  <c r="BI73" i="42" s="1"/>
  <c r="AN75" i="42"/>
  <c r="BJ75" i="42" s="1"/>
  <c r="AL71" i="42"/>
  <c r="AR71" i="42" s="1"/>
  <c r="AZ71" i="42" s="1"/>
  <c r="AN76" i="42"/>
  <c r="BJ76" i="42" s="1"/>
  <c r="AL296" i="50"/>
  <c r="AJ274" i="50"/>
  <c r="AI226" i="50"/>
  <c r="AK273" i="50"/>
  <c r="AI255" i="50"/>
  <c r="AL258" i="50"/>
  <c r="AL262" i="50"/>
  <c r="AH275" i="50"/>
  <c r="AN275" i="50" s="1"/>
  <c r="AK73" i="42"/>
  <c r="AQ73" i="42" s="1"/>
  <c r="AN78" i="42"/>
  <c r="BJ78" i="42" s="1"/>
  <c r="AK72" i="42"/>
  <c r="AQ72" i="42" s="1"/>
  <c r="AI292" i="50"/>
  <c r="AK79" i="42"/>
  <c r="BG79" i="42" s="1"/>
  <c r="AK292" i="50"/>
  <c r="AL300" i="50"/>
  <c r="AL303" i="50"/>
  <c r="AL79" i="42"/>
  <c r="BH79" i="42" s="1"/>
  <c r="AK225" i="50"/>
  <c r="AK262" i="50"/>
  <c r="AJ259" i="50"/>
  <c r="AL298" i="50"/>
  <c r="AJ306" i="50"/>
  <c r="AI222" i="50"/>
  <c r="AI245" i="50"/>
  <c r="AI244" i="50"/>
  <c r="AJ296" i="50"/>
  <c r="AJ291" i="50"/>
  <c r="AJ293" i="50"/>
  <c r="AI293" i="50"/>
  <c r="AI303" i="50"/>
  <c r="AO303" i="50" s="1"/>
  <c r="AJ302" i="50"/>
  <c r="AK302" i="50"/>
  <c r="AR67" i="42"/>
  <c r="AS77" i="42"/>
  <c r="AS74" i="42"/>
  <c r="AR78" i="42"/>
  <c r="AM68" i="42"/>
  <c r="BI68" i="42" s="1"/>
  <c r="AJ68" i="42"/>
  <c r="AX68" i="42" s="1"/>
  <c r="B510" i="40"/>
  <c r="B228" i="65"/>
  <c r="AL304" i="50"/>
  <c r="AI295" i="50"/>
  <c r="AO295" i="50" s="1"/>
  <c r="AP295" i="50" s="1"/>
  <c r="AQ295" i="50" s="1"/>
  <c r="AL70" i="42"/>
  <c r="AI291" i="50"/>
  <c r="AJ305" i="50"/>
  <c r="AK305" i="50"/>
  <c r="AJ69" i="42"/>
  <c r="BF69" i="42" s="1"/>
  <c r="AK297" i="50"/>
  <c r="AL295" i="50"/>
  <c r="AI304" i="50"/>
  <c r="AI302" i="50"/>
  <c r="AL305" i="50"/>
  <c r="AL301" i="50"/>
  <c r="AI306" i="50"/>
  <c r="M99" i="66"/>
  <c r="AK283" i="50"/>
  <c r="AJ292" i="50"/>
  <c r="AJ304" i="50"/>
  <c r="BA303" i="50"/>
  <c r="AO305"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O294" i="50"/>
  <c r="AO291" i="50"/>
  <c r="AL291" i="50"/>
  <c r="AK299" i="50"/>
  <c r="AJ298" i="50"/>
  <c r="AK294" i="50"/>
  <c r="AO293" i="50"/>
  <c r="AP293" i="50" s="1"/>
  <c r="AK298" i="50"/>
  <c r="AK293" i="50"/>
  <c r="AO292" i="50"/>
  <c r="AI296" i="50"/>
  <c r="AL235" i="50"/>
  <c r="AL259" i="50"/>
  <c r="AH258" i="50"/>
  <c r="AN258" i="50" s="1"/>
  <c r="M100" i="66" s="1"/>
  <c r="AK261" i="50"/>
  <c r="AH260" i="50"/>
  <c r="AN260" i="50" s="1"/>
  <c r="AO260" i="50" s="1"/>
  <c r="AH257" i="50"/>
  <c r="AN257" i="50" s="1"/>
  <c r="AK255" i="50"/>
  <c r="AK264" i="50"/>
  <c r="AH263" i="50"/>
  <c r="AN263" i="50" s="1"/>
  <c r="AO263" i="50" s="1"/>
  <c r="AI283" i="50"/>
  <c r="AO283" i="50" s="1"/>
  <c r="BA283" i="50" s="1"/>
  <c r="AK287" i="50"/>
  <c r="AI281" i="50"/>
  <c r="AK290" i="50"/>
  <c r="AL292" i="50"/>
  <c r="AK291" i="50"/>
  <c r="AI299" i="50"/>
  <c r="AL255" i="50"/>
  <c r="AI251" i="50"/>
  <c r="AI257" i="50"/>
  <c r="AJ290" i="50"/>
  <c r="AK296" i="50"/>
  <c r="AI298" i="50"/>
  <c r="AI297" i="50"/>
  <c r="AL293" i="50"/>
  <c r="BI75" i="42"/>
  <c r="BH78" i="42"/>
  <c r="AY75" i="42"/>
  <c r="BI78" i="42"/>
  <c r="BG76" i="42"/>
  <c r="BI77" i="42"/>
  <c r="BF72" i="42"/>
  <c r="AJ73" i="42"/>
  <c r="AN70" i="42"/>
  <c r="AK69" i="42"/>
  <c r="AQ69" i="42" s="1"/>
  <c r="AR69" i="42" s="1"/>
  <c r="AM67" i="42"/>
  <c r="BG74" i="42"/>
  <c r="AN77" i="42"/>
  <c r="BJ77" i="42" s="1"/>
  <c r="AX78" i="42"/>
  <c r="BF78" i="42"/>
  <c r="AX69" i="42"/>
  <c r="BI72" i="42"/>
  <c r="AL68" i="42"/>
  <c r="BG78" i="42"/>
  <c r="AM79" i="42"/>
  <c r="BG71" i="42"/>
  <c r="AN68" i="42"/>
  <c r="BJ68" i="42" s="1"/>
  <c r="AM70" i="42"/>
  <c r="AM69" i="42"/>
  <c r="AK68" i="42"/>
  <c r="AQ68" i="42" s="1"/>
  <c r="AN67" i="42"/>
  <c r="BJ67" i="42" s="1"/>
  <c r="BH77" i="42"/>
  <c r="BH74" i="42"/>
  <c r="AL75" i="42"/>
  <c r="AR75" i="42" s="1"/>
  <c r="AS75" i="42" s="1"/>
  <c r="AT75" i="42" s="1"/>
  <c r="AJ75" i="42"/>
  <c r="AJ76" i="42"/>
  <c r="AJ70" i="42"/>
  <c r="AJ67" i="42"/>
  <c r="BG70" i="42"/>
  <c r="AM71" i="42"/>
  <c r="AN72" i="42"/>
  <c r="BJ72" i="42" s="1"/>
  <c r="AL72" i="42"/>
  <c r="BH67" i="42"/>
  <c r="AN79" i="42"/>
  <c r="BJ79" i="42" s="1"/>
  <c r="BH69" i="42"/>
  <c r="BG67" i="42"/>
  <c r="AN71" i="42"/>
  <c r="BI76" i="42"/>
  <c r="AN74" i="42"/>
  <c r="BJ74" i="42" s="1"/>
  <c r="AL73" i="42"/>
  <c r="AR73" i="42" s="1"/>
  <c r="AS73" i="42" s="1"/>
  <c r="AT73" i="42" s="1"/>
  <c r="AJ74" i="42"/>
  <c r="AJ79" i="42"/>
  <c r="AP79" i="42" s="1"/>
  <c r="AJ77" i="42"/>
  <c r="AX71" i="42"/>
  <c r="BF71" i="42"/>
  <c r="J315" i="50"/>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O232" i="50" s="1"/>
  <c r="AI229" i="50"/>
  <c r="AH240" i="50"/>
  <c r="AN240" i="50" s="1"/>
  <c r="AK267" i="50"/>
  <c r="AI288" i="50"/>
  <c r="AK286" i="50"/>
  <c r="AH286" i="50"/>
  <c r="AH281" i="50"/>
  <c r="AN281" i="50" s="1"/>
  <c r="M101" i="66" s="1"/>
  <c r="AR156" i="50"/>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Z223"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O275" i="50"/>
  <c r="AP275" i="50" s="1"/>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R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R199" i="50" s="1"/>
  <c r="AK162" i="50"/>
  <c r="AQ162" i="50" s="1"/>
  <c r="AL189" i="50"/>
  <c r="AL200" i="50"/>
  <c r="AR200" i="50" s="1"/>
  <c r="AH187" i="50"/>
  <c r="AN187" i="50" s="1"/>
  <c r="AL179" i="50"/>
  <c r="AR179" i="50" s="1"/>
  <c r="AI190" i="50"/>
  <c r="AO190" i="50" s="1"/>
  <c r="AL172" i="50"/>
  <c r="AR172" i="50" s="1"/>
  <c r="AI189" i="50"/>
  <c r="AL171" i="50"/>
  <c r="AR171" i="50" s="1"/>
  <c r="AK159" i="50"/>
  <c r="AQ159" i="50" s="1"/>
  <c r="AR159" i="50" s="1"/>
  <c r="AL168" i="50"/>
  <c r="AL191" i="50"/>
  <c r="AI188" i="50"/>
  <c r="AK189" i="50"/>
  <c r="AK161" i="50"/>
  <c r="AQ161" i="50" s="1"/>
  <c r="AL192" i="50"/>
  <c r="AL178" i="50"/>
  <c r="AR178" i="50" s="1"/>
  <c r="AL186" i="50"/>
  <c r="AR186" i="50" s="1"/>
  <c r="AK167" i="50"/>
  <c r="AQ167" i="50" s="1"/>
  <c r="AR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R154" i="50" s="1"/>
  <c r="AH96" i="50"/>
  <c r="AN96" i="50" s="1"/>
  <c r="AO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Q146" i="50" s="1"/>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Q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O108" i="50" s="1"/>
  <c r="AP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O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O65" i="50" s="1"/>
  <c r="AP65" i="50" s="1"/>
  <c r="AL65" i="50"/>
  <c r="AH69" i="50"/>
  <c r="AN69" i="50" s="1"/>
  <c r="AO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O93" i="50" s="1"/>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O92" i="50" s="1"/>
  <c r="AH76" i="50"/>
  <c r="AN76" i="50" s="1"/>
  <c r="AH66" i="50"/>
  <c r="AN66" i="50" s="1"/>
  <c r="AL119" i="50"/>
  <c r="AL110" i="50"/>
  <c r="AJ68" i="50"/>
  <c r="AK108" i="50"/>
  <c r="AL62" i="50"/>
  <c r="AH84" i="50"/>
  <c r="AN84" i="50" s="1"/>
  <c r="AO84" i="50" s="1"/>
  <c r="AI94" i="50"/>
  <c r="AO94" i="50" s="1"/>
  <c r="AP94" i="50" s="1"/>
  <c r="AI126" i="50"/>
  <c r="AO126" i="50" s="1"/>
  <c r="AJ128" i="50"/>
  <c r="AH71" i="50"/>
  <c r="AN71" i="50" s="1"/>
  <c r="AK80" i="50"/>
  <c r="AK98" i="50"/>
  <c r="AL116" i="50"/>
  <c r="AL92" i="50"/>
  <c r="AL98" i="50"/>
  <c r="AK79" i="50"/>
  <c r="AL83" i="50"/>
  <c r="AI91" i="50"/>
  <c r="AK113" i="50"/>
  <c r="AK135" i="50"/>
  <c r="AJ93" i="50"/>
  <c r="AR72" i="42" l="1"/>
  <c r="AS72" i="42" s="1"/>
  <c r="AT72" i="42" s="1"/>
  <c r="AR68" i="42"/>
  <c r="AS68" i="42" s="1"/>
  <c r="AT68" i="42" s="1"/>
  <c r="BF68" i="42"/>
  <c r="BG72" i="42"/>
  <c r="BH71" i="42"/>
  <c r="BG75" i="42"/>
  <c r="AR70" i="42"/>
  <c r="AS70" i="42" s="1"/>
  <c r="AT70" i="42" s="1"/>
  <c r="BB70" i="42" s="1"/>
  <c r="AS78" i="42"/>
  <c r="AT78" i="42" s="1"/>
  <c r="BB78" i="42" s="1"/>
  <c r="BR78" i="42" s="1"/>
  <c r="BZ78" i="42" s="1"/>
  <c r="AY73" i="42"/>
  <c r="BG73" i="42"/>
  <c r="BG77" i="42"/>
  <c r="AP294" i="50"/>
  <c r="AQ294" i="50" s="1"/>
  <c r="AR294" i="50" s="1"/>
  <c r="BD294" i="50" s="1"/>
  <c r="AR295" i="50"/>
  <c r="BD295" i="50" s="1"/>
  <c r="AP291" i="50"/>
  <c r="BB291" i="50" s="1"/>
  <c r="AP305" i="50"/>
  <c r="AQ305" i="50" s="1"/>
  <c r="AR305" i="50" s="1"/>
  <c r="BD305" i="50" s="1"/>
  <c r="BP71" i="42"/>
  <c r="AQ79" i="42"/>
  <c r="AR79" i="42" s="1"/>
  <c r="AZ79" i="42" s="1"/>
  <c r="BP79" i="42" s="1"/>
  <c r="AP232" i="50"/>
  <c r="AQ232" i="50" s="1"/>
  <c r="AR232" i="50" s="1"/>
  <c r="BD232" i="50" s="1"/>
  <c r="O104" i="66"/>
  <c r="BH70" i="42"/>
  <c r="AZ70" i="42"/>
  <c r="AT74" i="42"/>
  <c r="BB74" i="42" s="1"/>
  <c r="BR74" i="42" s="1"/>
  <c r="BZ74" i="42" s="1"/>
  <c r="AQ63" i="42"/>
  <c r="AR63" i="42" s="1"/>
  <c r="AS63" i="42" s="1"/>
  <c r="AT63" i="42" s="1"/>
  <c r="BF64" i="42"/>
  <c r="AP64" i="42"/>
  <c r="AQ64" i="42" s="1"/>
  <c r="AR64" i="42" s="1"/>
  <c r="AS64" i="42" s="1"/>
  <c r="AT64" i="42" s="1"/>
  <c r="AS69" i="42"/>
  <c r="AT69" i="42" s="1"/>
  <c r="AT77" i="42"/>
  <c r="BF61" i="42"/>
  <c r="AP61" i="42"/>
  <c r="AQ61" i="42" s="1"/>
  <c r="AR61" i="42" s="1"/>
  <c r="AS61" i="42" s="1"/>
  <c r="AT61" i="42" s="1"/>
  <c r="AQ65" i="42"/>
  <c r="AR65" i="42" s="1"/>
  <c r="AS65" i="42" s="1"/>
  <c r="AT65" i="42" s="1"/>
  <c r="AS71" i="42"/>
  <c r="AT71" i="42" s="1"/>
  <c r="AS67" i="42"/>
  <c r="AT67" i="42" s="1"/>
  <c r="AP62" i="42"/>
  <c r="AQ62" i="42" s="1"/>
  <c r="AR62" i="42" s="1"/>
  <c r="AS62" i="42" s="1"/>
  <c r="AT62" i="42" s="1"/>
  <c r="B511" i="40"/>
  <c r="B229" i="65"/>
  <c r="BC295" i="50"/>
  <c r="BO73" i="42"/>
  <c r="BB77" i="42"/>
  <c r="BR77" i="42" s="1"/>
  <c r="BZ77" i="42" s="1"/>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O227" i="50"/>
  <c r="BA227" i="50" s="1"/>
  <c r="AN227" i="50"/>
  <c r="AN224" i="50"/>
  <c r="AZ224" i="50" s="1"/>
  <c r="AN267" i="50"/>
  <c r="AO267" i="50" s="1"/>
  <c r="AN246" i="50"/>
  <c r="AZ246" i="50" s="1"/>
  <c r="AY78" i="42"/>
  <c r="BO78" i="42" s="1"/>
  <c r="AZ76" i="42"/>
  <c r="BP76" i="42" s="1"/>
  <c r="BN72" i="42"/>
  <c r="AP303" i="50"/>
  <c r="AQ303" i="50" s="1"/>
  <c r="AR303" i="50" s="1"/>
  <c r="BD303" i="50" s="1"/>
  <c r="AO304" i="50"/>
  <c r="AP304" i="50" s="1"/>
  <c r="AQ304" i="50" s="1"/>
  <c r="AR304" i="50" s="1"/>
  <c r="BD304" i="50" s="1"/>
  <c r="AN245" i="50"/>
  <c r="AO245" i="50" s="1"/>
  <c r="AQ293" i="50"/>
  <c r="AR293" i="50" s="1"/>
  <c r="BD293" i="50" s="1"/>
  <c r="AO300" i="50"/>
  <c r="AP300" i="50" s="1"/>
  <c r="AO301" i="50"/>
  <c r="AP301" i="50" s="1"/>
  <c r="BB294" i="50"/>
  <c r="BA294" i="50"/>
  <c r="BA295" i="50"/>
  <c r="AZ258" i="50"/>
  <c r="AO281" i="50"/>
  <c r="N101" i="66" s="1"/>
  <c r="AO257" i="50"/>
  <c r="BA257" i="50" s="1"/>
  <c r="AZ229" i="50"/>
  <c r="BA292" i="50"/>
  <c r="BA293" i="50"/>
  <c r="AQ291" i="50"/>
  <c r="AR291" i="50" s="1"/>
  <c r="BD291" i="50" s="1"/>
  <c r="AO298" i="50"/>
  <c r="AO296" i="50"/>
  <c r="AP296" i="50" s="1"/>
  <c r="BB293" i="50"/>
  <c r="BB295" i="50"/>
  <c r="BC294" i="50"/>
  <c r="BA291" i="50"/>
  <c r="AO297" i="50"/>
  <c r="AP297" i="50" s="1"/>
  <c r="AQ297" i="50" s="1"/>
  <c r="AO299" i="50"/>
  <c r="AP299" i="50" s="1"/>
  <c r="BF74" i="42"/>
  <c r="AX74" i="42"/>
  <c r="AY67" i="42"/>
  <c r="BO67" i="42" s="1"/>
  <c r="BH72" i="42"/>
  <c r="BF67" i="42"/>
  <c r="AX67" i="42"/>
  <c r="BH75" i="42"/>
  <c r="BI70" i="42"/>
  <c r="BJ70" i="42"/>
  <c r="BA77" i="42"/>
  <c r="BQ77" i="42" s="1"/>
  <c r="BO75" i="42"/>
  <c r="BN71" i="42"/>
  <c r="BH73" i="42"/>
  <c r="BJ71" i="42"/>
  <c r="BF70" i="42"/>
  <c r="AX70" i="42"/>
  <c r="BI79" i="42"/>
  <c r="BH68" i="42"/>
  <c r="BN69" i="42"/>
  <c r="BN68" i="42"/>
  <c r="AY77" i="42"/>
  <c r="AY76" i="42"/>
  <c r="BO76" i="42" s="1"/>
  <c r="BF77" i="42"/>
  <c r="AX77" i="42"/>
  <c r="AZ67" i="42"/>
  <c r="BP67" i="42" s="1"/>
  <c r="BI71" i="42"/>
  <c r="AX76" i="42"/>
  <c r="BF76" i="42"/>
  <c r="BG68" i="42"/>
  <c r="BB71" i="42"/>
  <c r="BI67" i="42"/>
  <c r="BF79" i="42"/>
  <c r="AX79" i="42"/>
  <c r="BA76" i="42"/>
  <c r="BQ76" i="42" s="1"/>
  <c r="AY70" i="42"/>
  <c r="BO70" i="42" s="1"/>
  <c r="BF75" i="42"/>
  <c r="AX75" i="42"/>
  <c r="AZ77" i="42"/>
  <c r="BP77" i="42" s="1"/>
  <c r="BI69" i="42"/>
  <c r="AY71" i="42"/>
  <c r="BO71" i="42" s="1"/>
  <c r="BN78" i="42"/>
  <c r="AY74" i="42"/>
  <c r="BO74" i="42" s="1"/>
  <c r="BG69" i="42"/>
  <c r="AX73" i="42"/>
  <c r="BF73" i="42"/>
  <c r="AY72" i="42"/>
  <c r="AZ78" i="42"/>
  <c r="BP78" i="42" s="1"/>
  <c r="BA74" i="42"/>
  <c r="BQ74" i="42" s="1"/>
  <c r="AO89" i="50"/>
  <c r="AP89" i="50" s="1"/>
  <c r="AQ89" i="50" s="1"/>
  <c r="AR89" i="50" s="1"/>
  <c r="AQ275" i="50"/>
  <c r="AR275" i="50" s="1"/>
  <c r="BD275" i="50" s="1"/>
  <c r="AO277" i="50"/>
  <c r="AP277" i="50" s="1"/>
  <c r="BB277" i="50" s="1"/>
  <c r="BC232" i="50"/>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BA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BB232" i="50"/>
  <c r="AQ142" i="50"/>
  <c r="AR142" i="50" s="1"/>
  <c r="AO188" i="50"/>
  <c r="AP188" i="50" s="1"/>
  <c r="AQ188" i="50" s="1"/>
  <c r="AR188" i="50" s="1"/>
  <c r="AO75" i="50"/>
  <c r="AP75" i="50" s="1"/>
  <c r="AQ75" i="50" s="1"/>
  <c r="AR75" i="50" s="1"/>
  <c r="AP62" i="50"/>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P93" i="50"/>
  <c r="AQ93" i="50" s="1"/>
  <c r="AR93" i="50" s="1"/>
  <c r="BD93" i="50" s="1"/>
  <c r="AQ94" i="50"/>
  <c r="AR94"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Z227" i="50"/>
  <c r="AP263" i="50"/>
  <c r="AQ263" i="50" s="1"/>
  <c r="AR263" i="50" s="1"/>
  <c r="BD263" i="50" s="1"/>
  <c r="AO76" i="50"/>
  <c r="AP76" i="50" s="1"/>
  <c r="AQ76" i="50" s="1"/>
  <c r="AR76" i="50" s="1"/>
  <c r="AO83" i="50"/>
  <c r="AP83" i="50" s="1"/>
  <c r="AQ83" i="50" s="1"/>
  <c r="AR83" i="50" s="1"/>
  <c r="AQ125" i="50"/>
  <c r="AR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P92" i="50"/>
  <c r="AQ92" i="50" s="1"/>
  <c r="AQ124" i="50"/>
  <c r="AR124" i="50" s="1"/>
  <c r="AQ65" i="50"/>
  <c r="AR65" i="50" s="1"/>
  <c r="AQ132" i="50"/>
  <c r="AR132" i="50" s="1"/>
  <c r="BD132" i="50" s="1"/>
  <c r="AR146" i="50"/>
  <c r="AQ149" i="50"/>
  <c r="AR149" i="50" s="1"/>
  <c r="AR162" i="50"/>
  <c r="AO189" i="50"/>
  <c r="AP189" i="50" s="1"/>
  <c r="AQ189" i="50" s="1"/>
  <c r="AR189" i="50" s="1"/>
  <c r="AO259" i="50"/>
  <c r="AP259" i="50" s="1"/>
  <c r="AQ259" i="50" s="1"/>
  <c r="AR259" i="50" s="1"/>
  <c r="BD259" i="50" s="1"/>
  <c r="AZ277" i="50"/>
  <c r="AO273" i="50"/>
  <c r="AP273" i="50" s="1"/>
  <c r="AZ267" i="50"/>
  <c r="AZ268" i="50"/>
  <c r="AZ269" i="50"/>
  <c r="AP260" i="50"/>
  <c r="AQ260" i="50" s="1"/>
  <c r="AR260" i="50" s="1"/>
  <c r="BD260" i="50" s="1"/>
  <c r="AR150"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BA105" i="50"/>
  <c r="AR164" i="50"/>
  <c r="AO106" i="50"/>
  <c r="AP106" i="50" s="1"/>
  <c r="AQ106" i="50" s="1"/>
  <c r="AR106" i="50" s="1"/>
  <c r="BD106" i="50" s="1"/>
  <c r="AP129" i="50"/>
  <c r="AQ129" i="50" s="1"/>
  <c r="AR129" i="50" s="1"/>
  <c r="BA260" i="50"/>
  <c r="AO244" i="50"/>
  <c r="AO228" i="50"/>
  <c r="AO279" i="50"/>
  <c r="AP266" i="50"/>
  <c r="AQ266" i="50" s="1"/>
  <c r="AO253" i="50"/>
  <c r="AP253" i="50" s="1"/>
  <c r="AO248" i="50"/>
  <c r="AP248" i="50" s="1"/>
  <c r="AQ248" i="50" s="1"/>
  <c r="AR248" i="50" s="1"/>
  <c r="BD248" i="50" s="1"/>
  <c r="AO249" i="50"/>
  <c r="AP249" i="50" s="1"/>
  <c r="AQ249" i="50" s="1"/>
  <c r="AO225" i="50"/>
  <c r="AO224" i="50"/>
  <c r="AP224" i="50" s="1"/>
  <c r="AZ284" i="50"/>
  <c r="AO251" i="50"/>
  <c r="AO252" i="50"/>
  <c r="AP252" i="50" s="1"/>
  <c r="AQ252" i="50" s="1"/>
  <c r="AR252" i="50" s="1"/>
  <c r="BD252" i="50" s="1"/>
  <c r="AZ260" i="50"/>
  <c r="AO265" i="50"/>
  <c r="AP265" i="50" s="1"/>
  <c r="AO239" i="50"/>
  <c r="AP239" i="50" s="1"/>
  <c r="AQ239" i="50" s="1"/>
  <c r="AR239" i="50" s="1"/>
  <c r="BD239" i="50" s="1"/>
  <c r="AO229" i="50"/>
  <c r="N99"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Q108" i="50"/>
  <c r="AR108"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Z286" i="50"/>
  <c r="AO261" i="50"/>
  <c r="AZ273" i="50"/>
  <c r="BB275" i="50"/>
  <c r="AZ283" i="50"/>
  <c r="AO262" i="50"/>
  <c r="BA263" i="50"/>
  <c r="AZ265" i="50"/>
  <c r="AO238" i="50"/>
  <c r="AO243" i="50"/>
  <c r="AP243" i="50" s="1"/>
  <c r="AQ243" i="50" s="1"/>
  <c r="AR243" i="50" s="1"/>
  <c r="BD243" i="50" s="1"/>
  <c r="AP126" i="50"/>
  <c r="AQ126" i="50" s="1"/>
  <c r="AR126" i="50" s="1"/>
  <c r="BD126" i="50" s="1"/>
  <c r="AP69" i="50"/>
  <c r="AQ69" i="50" s="1"/>
  <c r="AR69"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87" i="50"/>
  <c r="AP287" i="50" s="1"/>
  <c r="AO235" i="50"/>
  <c r="AZ245" i="50"/>
  <c r="BC220" i="50"/>
  <c r="BA281" i="50"/>
  <c r="AP283" i="50"/>
  <c r="AQ283" i="50" s="1"/>
  <c r="AZ263" i="50"/>
  <c r="AP257" i="50"/>
  <c r="AQ257" i="50" s="1"/>
  <c r="AR257" i="50" s="1"/>
  <c r="BD257" i="50" s="1"/>
  <c r="AO258" i="50"/>
  <c r="N100" i="66" s="1"/>
  <c r="AO223" i="50"/>
  <c r="AZ124" i="50"/>
  <c r="BD193" i="50"/>
  <c r="BC164" i="50"/>
  <c r="BD174" i="50"/>
  <c r="BC166" i="50"/>
  <c r="BD180" i="50"/>
  <c r="BD166" i="50"/>
  <c r="BD182" i="50"/>
  <c r="BC191" i="50"/>
  <c r="BD170" i="50"/>
  <c r="BD185" i="50"/>
  <c r="BB191" i="50"/>
  <c r="BD165" i="50"/>
  <c r="BC192" i="50"/>
  <c r="BC160" i="50"/>
  <c r="AZ196" i="50"/>
  <c r="BD199" i="50"/>
  <c r="BD167" i="50"/>
  <c r="AZ194" i="50"/>
  <c r="BA123" i="50"/>
  <c r="BD159" i="50"/>
  <c r="AZ195" i="50"/>
  <c r="BB143" i="50"/>
  <c r="AZ98" i="50"/>
  <c r="BA197" i="50"/>
  <c r="BC165" i="50"/>
  <c r="BA196" i="50"/>
  <c r="BA194" i="50"/>
  <c r="AZ102" i="50"/>
  <c r="AZ101" i="50"/>
  <c r="AZ94" i="50"/>
  <c r="AZ93" i="50"/>
  <c r="AZ105" i="50"/>
  <c r="AZ92" i="50"/>
  <c r="AZ113" i="50"/>
  <c r="BD129" i="50"/>
  <c r="BA129" i="50"/>
  <c r="BB146" i="50"/>
  <c r="BB140" i="50"/>
  <c r="BD154" i="50"/>
  <c r="BC154" i="50"/>
  <c r="BB149" i="50"/>
  <c r="BB141" i="50"/>
  <c r="BC153" i="50"/>
  <c r="AZ106" i="50"/>
  <c r="AZ89" i="50"/>
  <c r="BD156" i="50"/>
  <c r="BC156" i="50"/>
  <c r="BA119" i="50"/>
  <c r="BA122" i="50"/>
  <c r="BC116" i="50"/>
  <c r="BA116" i="50"/>
  <c r="BF62" i="42"/>
  <c r="BF63" i="42"/>
  <c r="AZ125" i="50"/>
  <c r="BA62" i="50"/>
  <c r="AZ87" i="50"/>
  <c r="BD115" i="50"/>
  <c r="BA127" i="50"/>
  <c r="AZ78" i="50"/>
  <c r="BA89" i="50"/>
  <c r="BD97" i="50"/>
  <c r="AZ70" i="50"/>
  <c r="BC109" i="50"/>
  <c r="BB127" i="50"/>
  <c r="BF65" i="42"/>
  <c r="AX65" i="42"/>
  <c r="AX63" i="42"/>
  <c r="BG61" i="42"/>
  <c r="BG62" i="42"/>
  <c r="BG64" i="42"/>
  <c r="AZ64" i="50"/>
  <c r="AZ62" i="50"/>
  <c r="AZ72" i="50"/>
  <c r="BB135" i="50"/>
  <c r="AZ63" i="50"/>
  <c r="AZ81" i="50"/>
  <c r="BD85" i="50"/>
  <c r="BD125" i="50"/>
  <c r="BD133" i="50"/>
  <c r="BD109" i="50"/>
  <c r="AZ77" i="50"/>
  <c r="AZ133" i="50"/>
  <c r="AZ126" i="50"/>
  <c r="F48" i="25"/>
  <c r="L40" i="25"/>
  <c r="M41" i="25"/>
  <c r="N42" i="25"/>
  <c r="O43" i="25"/>
  <c r="P44" i="25"/>
  <c r="Q45" i="25"/>
  <c r="K39" i="25"/>
  <c r="BO72" i="42" l="1"/>
  <c r="BA78" i="42"/>
  <c r="BQ78" i="42" s="1"/>
  <c r="BO77" i="42"/>
  <c r="BC305" i="50"/>
  <c r="BB305" i="50"/>
  <c r="BA276" i="50"/>
  <c r="BA220" i="50"/>
  <c r="AP281" i="50"/>
  <c r="AQ281" i="50" s="1"/>
  <c r="AP227" i="50"/>
  <c r="AQ227" i="50" s="1"/>
  <c r="AR227" i="50" s="1"/>
  <c r="BD227" i="50" s="1"/>
  <c r="BA267" i="50"/>
  <c r="AP267" i="50"/>
  <c r="AQ267" i="50" s="1"/>
  <c r="AR267" i="50" s="1"/>
  <c r="BD267" i="50" s="1"/>
  <c r="BB220" i="50"/>
  <c r="BC293" i="50"/>
  <c r="AY79" i="42"/>
  <c r="BO79" i="42" s="1"/>
  <c r="BC292" i="50"/>
  <c r="BB292" i="50"/>
  <c r="AY61" i="42"/>
  <c r="AX64" i="42"/>
  <c r="BN64" i="42" s="1"/>
  <c r="BP70" i="42"/>
  <c r="AS79" i="42"/>
  <c r="AT79" i="42" s="1"/>
  <c r="BB79" i="42" s="1"/>
  <c r="BR79" i="42" s="1"/>
  <c r="BZ79" i="42" s="1"/>
  <c r="AP236" i="50"/>
  <c r="AQ236" i="50" s="1"/>
  <c r="AR236" i="50" s="1"/>
  <c r="BD236" i="50" s="1"/>
  <c r="AO222" i="50"/>
  <c r="AO246" i="50"/>
  <c r="AP246" i="50" s="1"/>
  <c r="AQ246" i="50" s="1"/>
  <c r="BB278" i="50"/>
  <c r="BB260" i="50"/>
  <c r="BB303" i="50"/>
  <c r="AX62" i="42"/>
  <c r="BN62" i="42" s="1"/>
  <c r="BV62" i="42" s="1"/>
  <c r="BA71" i="42"/>
  <c r="BQ71" i="42" s="1"/>
  <c r="BR71" i="42"/>
  <c r="BZ71" i="42" s="1"/>
  <c r="BN74" i="42"/>
  <c r="B512" i="40"/>
  <c r="B230" i="65"/>
  <c r="BC303" i="50"/>
  <c r="BR70" i="42"/>
  <c r="BZ70" i="42" s="1"/>
  <c r="AZ72" i="42"/>
  <c r="AP245" i="50"/>
  <c r="BA245" i="50"/>
  <c r="BA268" i="50"/>
  <c r="AP268" i="50"/>
  <c r="AQ268" i="50" s="1"/>
  <c r="BC268" i="50" s="1"/>
  <c r="BA286" i="50"/>
  <c r="AP286" i="50"/>
  <c r="AQ286" i="50" s="1"/>
  <c r="AR286" i="50" s="1"/>
  <c r="BD286" i="50" s="1"/>
  <c r="AZ73" i="42"/>
  <c r="BP73" i="42" s="1"/>
  <c r="BP72" i="42"/>
  <c r="BA300" i="50"/>
  <c r="BA302" i="50"/>
  <c r="BA301" i="50"/>
  <c r="AQ300" i="50"/>
  <c r="BB300" i="50"/>
  <c r="BC304" i="50"/>
  <c r="AQ302" i="50"/>
  <c r="BB302" i="50"/>
  <c r="BA306" i="50"/>
  <c r="BB236" i="50"/>
  <c r="BN75" i="42"/>
  <c r="BN79" i="42"/>
  <c r="BX79" i="42" s="1"/>
  <c r="BN76" i="42"/>
  <c r="BN77" i="42"/>
  <c r="BN67" i="42"/>
  <c r="AP298" i="50"/>
  <c r="N102" i="66"/>
  <c r="P104" i="66" s="1"/>
  <c r="AQ301" i="50"/>
  <c r="BB301" i="50"/>
  <c r="BA304" i="50"/>
  <c r="AQ306" i="50"/>
  <c r="BB306" i="50"/>
  <c r="BB72" i="42"/>
  <c r="BR72" i="42" s="1"/>
  <c r="BZ72" i="42" s="1"/>
  <c r="BA72" i="42"/>
  <c r="BQ72" i="42" s="1"/>
  <c r="BA70" i="42"/>
  <c r="BQ70" i="42" s="1"/>
  <c r="BB304" i="50"/>
  <c r="BC267" i="50"/>
  <c r="BA252" i="50"/>
  <c r="AP288" i="50"/>
  <c r="AQ288" i="50" s="1"/>
  <c r="BC288" i="50" s="1"/>
  <c r="BB276" i="50"/>
  <c r="BA298" i="50"/>
  <c r="BC291" i="50"/>
  <c r="BA277" i="50"/>
  <c r="BA297" i="50"/>
  <c r="BA256" i="50"/>
  <c r="AQ299" i="50"/>
  <c r="BB299" i="50"/>
  <c r="AQ296" i="50"/>
  <c r="BB296" i="50"/>
  <c r="AR297" i="50"/>
  <c r="BD297" i="50" s="1"/>
  <c r="BC297" i="50"/>
  <c r="AQ277" i="50"/>
  <c r="AR277" i="50" s="1"/>
  <c r="BD277" i="50" s="1"/>
  <c r="BC275" i="50"/>
  <c r="BA299" i="50"/>
  <c r="BA296" i="50"/>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BB240" i="50"/>
  <c r="BA64" i="50"/>
  <c r="BC118" i="50"/>
  <c r="AQ269" i="50"/>
  <c r="AR269" i="50" s="1"/>
  <c r="BD269" i="50" s="1"/>
  <c r="BA269" i="50"/>
  <c r="AR278" i="50"/>
  <c r="BD278" i="50" s="1"/>
  <c r="BB237" i="50"/>
  <c r="BB267" i="50"/>
  <c r="BC137" i="50"/>
  <c r="BB197" i="50"/>
  <c r="BC197" i="50"/>
  <c r="BA195" i="50"/>
  <c r="BA102" i="50"/>
  <c r="BC240" i="50"/>
  <c r="BB281"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A248" i="50"/>
  <c r="BB283" i="50"/>
  <c r="AZ262" i="50"/>
  <c r="BA224" i="50"/>
  <c r="AZ250" i="50"/>
  <c r="BA273" i="50"/>
  <c r="AZ225" i="50"/>
  <c r="AZ253" i="50"/>
  <c r="AZ230" i="50"/>
  <c r="AZ290" i="50"/>
  <c r="AZ270" i="50"/>
  <c r="BA265" i="50"/>
  <c r="AR281" i="50"/>
  <c r="BD281" i="50" s="1"/>
  <c r="BC281" i="50"/>
  <c r="BA70" i="50"/>
  <c r="AZ233" i="50"/>
  <c r="BC248" i="50"/>
  <c r="BC119" i="50"/>
  <c r="BA104" i="50"/>
  <c r="AZ218" i="50"/>
  <c r="BA270" i="50"/>
  <c r="BB241" i="50"/>
  <c r="BC252" i="50"/>
  <c r="BB248" i="50"/>
  <c r="BB252" i="50"/>
  <c r="AZ285" i="50"/>
  <c r="AP235" i="50"/>
  <c r="BA235" i="50"/>
  <c r="BB234" i="50"/>
  <c r="AP229" i="50"/>
  <c r="BA229" i="50"/>
  <c r="AP251" i="50"/>
  <c r="BA251" i="50"/>
  <c r="AP244" i="50"/>
  <c r="BA244" i="50"/>
  <c r="AR254" i="50"/>
  <c r="BD254" i="50" s="1"/>
  <c r="BC254" i="50"/>
  <c r="AR234" i="50"/>
  <c r="BD234" i="50" s="1"/>
  <c r="BC234" i="50"/>
  <c r="AR272" i="50"/>
  <c r="BD272" i="50" s="1"/>
  <c r="BC272" i="50"/>
  <c r="AP258" i="50"/>
  <c r="BA258" i="50"/>
  <c r="AR283" i="50"/>
  <c r="BD283" i="50" s="1"/>
  <c r="BC283" i="50"/>
  <c r="AR218" i="50"/>
  <c r="BD218" i="50" s="1"/>
  <c r="BC218" i="50"/>
  <c r="AZ254" i="50"/>
  <c r="BA234" i="50"/>
  <c r="AZ238" i="50"/>
  <c r="AP262" i="50"/>
  <c r="BA262" i="50"/>
  <c r="AO284" i="50"/>
  <c r="AZ231" i="50"/>
  <c r="BC227" i="50"/>
  <c r="AP250" i="50"/>
  <c r="BA250" i="50"/>
  <c r="AZ272" i="50"/>
  <c r="BB246" i="50"/>
  <c r="AZ251" i="50"/>
  <c r="AP225" i="50"/>
  <c r="BA225" i="50"/>
  <c r="AR266" i="50"/>
  <c r="BD266" i="50" s="1"/>
  <c r="BC266" i="50"/>
  <c r="AZ228" i="50"/>
  <c r="AZ282" i="50"/>
  <c r="AP255" i="50"/>
  <c r="BA255" i="50"/>
  <c r="BA282" i="50"/>
  <c r="BA237" i="50"/>
  <c r="BA28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AQ287" i="50"/>
  <c r="BB287" i="50"/>
  <c r="BB272" i="50"/>
  <c r="AZ234" i="50"/>
  <c r="BB257" i="50"/>
  <c r="AQ264" i="50"/>
  <c r="BB264" i="50"/>
  <c r="AZ239" i="50"/>
  <c r="BB265" i="50"/>
  <c r="AQ265" i="50"/>
  <c r="BA254" i="50"/>
  <c r="AQ224" i="50"/>
  <c r="BB224" i="50"/>
  <c r="AR249" i="50"/>
  <c r="BD249" i="50" s="1"/>
  <c r="BC249" i="50"/>
  <c r="BC257"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O61" i="42"/>
  <c r="BW61"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BC236" i="50" l="1"/>
  <c r="BB286" i="50"/>
  <c r="K315" i="50"/>
  <c r="BB227" i="50"/>
  <c r="BC277" i="50"/>
  <c r="BA79" i="42"/>
  <c r="BQ79" i="42" s="1"/>
  <c r="AR288" i="50"/>
  <c r="BD288" i="50" s="1"/>
  <c r="BA246" i="50"/>
  <c r="BA222" i="50"/>
  <c r="AP222" i="50"/>
  <c r="BB288" i="50"/>
  <c r="BB268" i="50"/>
  <c r="BC286" i="50"/>
  <c r="B513" i="40"/>
  <c r="B231" i="65"/>
  <c r="AR306" i="50"/>
  <c r="BD306" i="50" s="1"/>
  <c r="BC306" i="50"/>
  <c r="AQ298" i="50"/>
  <c r="BB298" i="50"/>
  <c r="L315"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BB229" i="50"/>
  <c r="AQ280" i="50"/>
  <c r="BB280" i="50"/>
  <c r="AQ285" i="50"/>
  <c r="BB285" i="50"/>
  <c r="AQ226" i="50"/>
  <c r="BB226" i="50"/>
  <c r="AR253" i="50"/>
  <c r="BD253" i="50" s="1"/>
  <c r="BC253" i="50"/>
  <c r="AR265" i="50"/>
  <c r="BD265" i="50" s="1"/>
  <c r="BC265" i="50"/>
  <c r="AR287" i="50"/>
  <c r="BD287" i="50" s="1"/>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K314" i="50" s="1"/>
  <c r="AQ258" i="50"/>
  <c r="BB258" i="50"/>
  <c r="AQ244" i="50"/>
  <c r="BB244" i="50"/>
  <c r="AQ235" i="50"/>
  <c r="BB235" i="50"/>
  <c r="BA90" i="50"/>
  <c r="BB90" i="50"/>
  <c r="BA61" i="42"/>
  <c r="BQ61" i="42" s="1"/>
  <c r="AY64" i="42"/>
  <c r="BO64" i="42" s="1"/>
  <c r="BW64" i="42" s="1"/>
  <c r="BC102" i="50"/>
  <c r="BA64" i="42"/>
  <c r="BQ64" i="42" s="1"/>
  <c r="K208" i="50"/>
  <c r="K325" i="50" s="1"/>
  <c r="J207" i="50"/>
  <c r="K206" i="50"/>
  <c r="K207" i="50"/>
  <c r="J313"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J314" i="50"/>
  <c r="K313"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BC134" i="50"/>
  <c r="BB68" i="50"/>
  <c r="BB65" i="50"/>
  <c r="BD124" i="50"/>
  <c r="BC124" i="50"/>
  <c r="BD74" i="50"/>
  <c r="BC74" i="50"/>
  <c r="AV60" i="42"/>
  <c r="BY64" i="42" l="1"/>
  <c r="BY61" i="42"/>
  <c r="AQ222" i="50"/>
  <c r="BB222" i="50"/>
  <c r="L325" i="50"/>
  <c r="B514" i="40"/>
  <c r="B232" i="65"/>
  <c r="AR298" i="50"/>
  <c r="BD298" i="50" s="1"/>
  <c r="BC298" i="50"/>
  <c r="M315" i="50" s="1"/>
  <c r="AR245" i="50"/>
  <c r="BD245" i="50" s="1"/>
  <c r="BC245" i="50"/>
  <c r="BB67" i="42"/>
  <c r="BR67" i="42" s="1"/>
  <c r="BZ67" i="42" s="1"/>
  <c r="N315" i="50"/>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BC244" i="50"/>
  <c r="AQ284" i="50"/>
  <c r="BB284" i="50"/>
  <c r="L314" i="50" s="1"/>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M325" i="50" s="1"/>
  <c r="BD187" i="50"/>
  <c r="BC187" i="50"/>
  <c r="L206" i="50"/>
  <c r="BD108" i="50"/>
  <c r="BC108" i="50"/>
  <c r="BD110" i="50"/>
  <c r="BC110" i="50"/>
  <c r="BD107" i="50"/>
  <c r="BC107" i="50"/>
  <c r="BD111" i="50"/>
  <c r="BC111" i="50"/>
  <c r="J324" i="50"/>
  <c r="L313" i="50"/>
  <c r="BC64" i="50"/>
  <c r="BB65" i="42"/>
  <c r="BR65" i="42" s="1"/>
  <c r="BZ65" i="42" s="1"/>
  <c r="BA65" i="42"/>
  <c r="BQ65" i="42" s="1"/>
  <c r="BY65" i="42" s="1"/>
  <c r="BD65" i="50"/>
  <c r="BC65" i="50"/>
  <c r="BD82" i="50"/>
  <c r="BC82" i="50"/>
  <c r="BD86" i="50"/>
  <c r="BC86" i="50"/>
  <c r="BD68" i="50"/>
  <c r="BC68" i="50"/>
  <c r="BD69" i="50"/>
  <c r="BC69" i="50"/>
  <c r="BD79" i="50"/>
  <c r="BC79" i="50"/>
  <c r="BL60" i="42"/>
  <c r="AR222" i="50" l="1"/>
  <c r="BD222" i="50" s="1"/>
  <c r="BC222" i="50"/>
  <c r="B515" i="40"/>
  <c r="B233" i="65"/>
  <c r="N325" i="50"/>
  <c r="AR284" i="50"/>
  <c r="BD284" i="50" s="1"/>
  <c r="BC284" i="50"/>
  <c r="M207" i="50"/>
  <c r="N207" i="50"/>
  <c r="M206" i="50"/>
  <c r="N206" i="50"/>
  <c r="N313" i="50"/>
  <c r="M313" i="50"/>
  <c r="M314" i="50"/>
  <c r="N314" i="50"/>
  <c r="BD64" i="50"/>
  <c r="F177" i="24"/>
  <c r="F72" i="36" s="1"/>
  <c r="F176" i="24"/>
  <c r="F71" i="36" s="1"/>
  <c r="F70" i="36"/>
  <c r="F174" i="24"/>
  <c r="F69" i="36" s="1"/>
  <c r="F106" i="24"/>
  <c r="F27" i="34" s="1"/>
  <c r="L37" i="65"/>
  <c r="K36" i="65"/>
  <c r="J35" i="65"/>
  <c r="I34" i="65"/>
  <c r="B516" i="40" l="1"/>
  <c r="B234" i="65"/>
  <c r="H31" i="37"/>
  <c r="J24" i="32"/>
  <c r="L35" i="37"/>
  <c r="L26" i="32"/>
  <c r="I32" i="37"/>
  <c r="I23" i="32"/>
  <c r="K25" i="32"/>
  <c r="M36" i="37"/>
  <c r="M27" i="32"/>
  <c r="J18" i="68"/>
  <c r="J57" i="68" s="1"/>
  <c r="J33" i="37"/>
  <c r="K19" i="68"/>
  <c r="K57" i="68" s="1"/>
  <c r="K34" i="37"/>
  <c r="N36" i="50"/>
  <c r="N34" i="42"/>
  <c r="Q44" i="25"/>
  <c r="I29" i="42"/>
  <c r="I31" i="50"/>
  <c r="L39" i="25"/>
  <c r="J30" i="42"/>
  <c r="J32" i="50"/>
  <c r="M40" i="25"/>
  <c r="F77" i="36"/>
  <c r="F76" i="36"/>
  <c r="L32" i="42"/>
  <c r="L34" i="50"/>
  <c r="O42" i="25"/>
  <c r="K33" i="50"/>
  <c r="K31" i="42"/>
  <c r="N41" i="25"/>
  <c r="M33" i="42"/>
  <c r="M35" i="50"/>
  <c r="P43" i="25"/>
  <c r="P87" i="25" s="1"/>
  <c r="B517" i="40" l="1"/>
  <c r="B235" i="65"/>
  <c r="L48" i="32"/>
  <c r="L36" i="65"/>
  <c r="L20" i="68"/>
  <c r="K35" i="65"/>
  <c r="K274" i="65" s="1"/>
  <c r="J34" i="65"/>
  <c r="L31" i="42"/>
  <c r="M32" i="42"/>
  <c r="O41" i="25"/>
  <c r="L33" i="50"/>
  <c r="P42" i="25"/>
  <c r="P144" i="25" s="1"/>
  <c r="M34" i="50"/>
  <c r="I31" i="37"/>
  <c r="J32" i="37"/>
  <c r="J830" i="37" s="1"/>
  <c r="J23" i="32"/>
  <c r="L24" i="32"/>
  <c r="L34" i="37"/>
  <c r="L25" i="32"/>
  <c r="K33" i="37"/>
  <c r="K24" i="32"/>
  <c r="M35" i="37"/>
  <c r="M26" i="32"/>
  <c r="M34" i="37"/>
  <c r="M25" i="32"/>
  <c r="BE60" i="42"/>
  <c r="K32" i="50"/>
  <c r="K30" i="42"/>
  <c r="N40" i="25"/>
  <c r="N35" i="50"/>
  <c r="N33" i="42"/>
  <c r="Q43" i="25"/>
  <c r="J29" i="42"/>
  <c r="J31" i="50"/>
  <c r="M39" i="25"/>
  <c r="P41" i="25"/>
  <c r="N32" i="42"/>
  <c r="N34" i="50"/>
  <c r="Q42" i="25"/>
  <c r="E641" i="40"/>
  <c r="G553" i="40"/>
  <c r="G557" i="40" s="1"/>
  <c r="H553" i="40"/>
  <c r="H558" i="40" s="1"/>
  <c r="I553" i="40"/>
  <c r="I559" i="40" s="1"/>
  <c r="J553" i="40"/>
  <c r="J560" i="40" s="1"/>
  <c r="K553" i="40"/>
  <c r="K561" i="40" s="1"/>
  <c r="L553" i="40"/>
  <c r="L562" i="40" s="1"/>
  <c r="M553" i="40"/>
  <c r="M563" i="40" s="1"/>
  <c r="N553" i="40"/>
  <c r="N564" i="40" s="1"/>
  <c r="O553" i="40"/>
  <c r="O565" i="40" s="1"/>
  <c r="P553" i="40"/>
  <c r="P566" i="40" s="1"/>
  <c r="Q553" i="40"/>
  <c r="Q567" i="40" s="1"/>
  <c r="R553" i="40"/>
  <c r="R568" i="40" s="1"/>
  <c r="S553" i="40"/>
  <c r="S569" i="40" s="1"/>
  <c r="T553" i="40"/>
  <c r="T570" i="40" s="1"/>
  <c r="U553" i="40"/>
  <c r="U571" i="40" s="1"/>
  <c r="V553" i="40"/>
  <c r="V572" i="40" s="1"/>
  <c r="W553" i="40"/>
  <c r="W573" i="40" s="1"/>
  <c r="X553" i="40"/>
  <c r="X574" i="40" s="1"/>
  <c r="Y553" i="40"/>
  <c r="Y575" i="40" s="1"/>
  <c r="Z553" i="40"/>
  <c r="Z576" i="40" s="1"/>
  <c r="AA553" i="40"/>
  <c r="AA577" i="40" s="1"/>
  <c r="AB553" i="40"/>
  <c r="AB578" i="40" s="1"/>
  <c r="AC553" i="40"/>
  <c r="AC579" i="40" s="1"/>
  <c r="AD553" i="40"/>
  <c r="AD580" i="40" s="1"/>
  <c r="AE553" i="40"/>
  <c r="AE581" i="40" s="1"/>
  <c r="AF553" i="40"/>
  <c r="AF582" i="40" s="1"/>
  <c r="AG553" i="40"/>
  <c r="AG583" i="40" s="1"/>
  <c r="AH553" i="40"/>
  <c r="AH584" i="40" s="1"/>
  <c r="AI553" i="40"/>
  <c r="AI585" i="40" s="1"/>
  <c r="AJ553" i="40"/>
  <c r="AJ586" i="40" s="1"/>
  <c r="AK553" i="40"/>
  <c r="AK587" i="40" s="1"/>
  <c r="AL553" i="40"/>
  <c r="AL588" i="40" s="1"/>
  <c r="AM553" i="40"/>
  <c r="AM589" i="40" s="1"/>
  <c r="AN553" i="40"/>
  <c r="AN590" i="40" s="1"/>
  <c r="AO553" i="40"/>
  <c r="AO591" i="40" s="1"/>
  <c r="AP553" i="40"/>
  <c r="AP592" i="40" s="1"/>
  <c r="AQ553" i="40"/>
  <c r="AQ593" i="40" s="1"/>
  <c r="AR553" i="40"/>
  <c r="AR594" i="40" s="1"/>
  <c r="AS553" i="40"/>
  <c r="AS595" i="40" s="1"/>
  <c r="AT553" i="40"/>
  <c r="AT596" i="40" s="1"/>
  <c r="AU553" i="40"/>
  <c r="AU597" i="40" s="1"/>
  <c r="AV553" i="40"/>
  <c r="AV598" i="40" s="1"/>
  <c r="AW553" i="40"/>
  <c r="AW599" i="40" s="1"/>
  <c r="AX553" i="40"/>
  <c r="AX600" i="40" s="1"/>
  <c r="AY553" i="40"/>
  <c r="AY601" i="40" s="1"/>
  <c r="AZ553" i="40"/>
  <c r="AZ602" i="40" s="1"/>
  <c r="BA553" i="40"/>
  <c r="BA603" i="40" s="1"/>
  <c r="BB553" i="40"/>
  <c r="BB604" i="40" s="1"/>
  <c r="BC553" i="40"/>
  <c r="BC605" i="40" s="1"/>
  <c r="BE553" i="40"/>
  <c r="BE607" i="40" s="1"/>
  <c r="BF553" i="40"/>
  <c r="BF608" i="40" s="1"/>
  <c r="BG553" i="40"/>
  <c r="BG609" i="40" s="1"/>
  <c r="BH553" i="40"/>
  <c r="BH610" i="40" s="1"/>
  <c r="BI553" i="40"/>
  <c r="BI611" i="40" s="1"/>
  <c r="BJ553" i="40"/>
  <c r="BJ612" i="40" s="1"/>
  <c r="BL553" i="40"/>
  <c r="BL614" i="40" s="1"/>
  <c r="BM553" i="40"/>
  <c r="BM615" i="40" s="1"/>
  <c r="BN553" i="40"/>
  <c r="BN616" i="40" s="1"/>
  <c r="BO553" i="40"/>
  <c r="BO617" i="40" s="1"/>
  <c r="BP553" i="40"/>
  <c r="BP618" i="40" s="1"/>
  <c r="BQ553" i="40"/>
  <c r="BQ619" i="40" s="1"/>
  <c r="BR553" i="40"/>
  <c r="BS553" i="40"/>
  <c r="BT553" i="40"/>
  <c r="BU553" i="40"/>
  <c r="BV553" i="40"/>
  <c r="BW553" i="40"/>
  <c r="BX553" i="40"/>
  <c r="BY553" i="40"/>
  <c r="BZ553" i="40"/>
  <c r="CA553" i="40"/>
  <c r="CB553" i="40"/>
  <c r="F553" i="40"/>
  <c r="F556" i="40" s="1"/>
  <c r="E553" i="40"/>
  <c r="BK553" i="40"/>
  <c r="BK613" i="40" s="1"/>
  <c r="BD553" i="40"/>
  <c r="BD606" i="40" s="1"/>
  <c r="B518" i="40" l="1"/>
  <c r="B236" i="65"/>
  <c r="BY66" i="42"/>
  <c r="BY73" i="42"/>
  <c r="BY78" i="42"/>
  <c r="BY79" i="42"/>
  <c r="BY67" i="42"/>
  <c r="BY71" i="42"/>
  <c r="BY75" i="42"/>
  <c r="BY74" i="42"/>
  <c r="BY70" i="42"/>
  <c r="BY76" i="42"/>
  <c r="BY72" i="42"/>
  <c r="BY77" i="42"/>
  <c r="BY68" i="42"/>
  <c r="BY69" i="42"/>
  <c r="L41" i="32"/>
  <c r="P99" i="25"/>
  <c r="L42" i="32" s="1"/>
  <c r="P82" i="25"/>
  <c r="L39" i="32" s="1"/>
  <c r="P89" i="25"/>
  <c r="P93" i="25" s="1"/>
  <c r="P75" i="25"/>
  <c r="P106" i="25"/>
  <c r="L45" i="32" s="1"/>
  <c r="L35" i="65"/>
  <c r="L19" i="68"/>
  <c r="L34" i="65"/>
  <c r="L18" i="68"/>
  <c r="K34" i="65"/>
  <c r="K18" i="68"/>
  <c r="M31" i="42"/>
  <c r="M33" i="50"/>
  <c r="BX61" i="42"/>
  <c r="BX63" i="42"/>
  <c r="BX62" i="42"/>
  <c r="BX64" i="42"/>
  <c r="BX65" i="42"/>
  <c r="AZ123" i="50"/>
  <c r="L33" i="37"/>
  <c r="L830" i="37" s="1"/>
  <c r="M33" i="37"/>
  <c r="M24" i="32"/>
  <c r="K32" i="37"/>
  <c r="K23" i="32"/>
  <c r="J31" i="37"/>
  <c r="K324" i="50"/>
  <c r="K31" i="50"/>
  <c r="K29" i="42"/>
  <c r="N39" i="25"/>
  <c r="N31" i="42"/>
  <c r="N33" i="50"/>
  <c r="Q41" i="25"/>
  <c r="AW60" i="42"/>
  <c r="L32" i="50"/>
  <c r="L30" i="42"/>
  <c r="O40" i="25"/>
  <c r="CB630" i="40"/>
  <c r="BX626" i="40"/>
  <c r="BY626" i="40" s="1"/>
  <c r="BT622" i="40"/>
  <c r="BU622" i="40" s="1"/>
  <c r="CA629" i="40"/>
  <c r="CB629" i="40" s="1"/>
  <c r="BW625" i="40"/>
  <c r="BX625" i="40" s="1"/>
  <c r="BS621" i="40"/>
  <c r="BT621" i="40" s="1"/>
  <c r="BV624" i="40"/>
  <c r="BW624" i="40" s="1"/>
  <c r="BZ628" i="40"/>
  <c r="CA628" i="40" s="1"/>
  <c r="BR620" i="40"/>
  <c r="BS620" i="40" s="1"/>
  <c r="BT620" i="40" s="1"/>
  <c r="BU620" i="40" s="1"/>
  <c r="BV620" i="40" s="1"/>
  <c r="BW620" i="40" s="1"/>
  <c r="BX620" i="40" s="1"/>
  <c r="BY620" i="40" s="1"/>
  <c r="BZ620" i="40" s="1"/>
  <c r="CA620" i="40" s="1"/>
  <c r="BY627" i="40"/>
  <c r="BZ627" i="40" s="1"/>
  <c r="BU623" i="40"/>
  <c r="BV623" i="40" s="1"/>
  <c r="I558" i="40"/>
  <c r="J558" i="40" s="1"/>
  <c r="K558" i="40" s="1"/>
  <c r="L558" i="40" s="1"/>
  <c r="M558" i="40" s="1"/>
  <c r="N558" i="40" s="1"/>
  <c r="O558" i="40" s="1"/>
  <c r="P558" i="40" s="1"/>
  <c r="Q558" i="40" s="1"/>
  <c r="R558" i="40" s="1"/>
  <c r="S558" i="40" s="1"/>
  <c r="T558" i="40" s="1"/>
  <c r="U558" i="40" s="1"/>
  <c r="V558" i="40" s="1"/>
  <c r="W558" i="40" s="1"/>
  <c r="X558" i="40" s="1"/>
  <c r="Y558" i="40" s="1"/>
  <c r="Z558" i="40" s="1"/>
  <c r="AA558" i="40" s="1"/>
  <c r="AB558" i="40" s="1"/>
  <c r="AC558" i="40" s="1"/>
  <c r="AD558" i="40" s="1"/>
  <c r="AE558" i="40" s="1"/>
  <c r="AF558" i="40" s="1"/>
  <c r="AG558" i="40" s="1"/>
  <c r="AH558" i="40" s="1"/>
  <c r="AI558" i="40" s="1"/>
  <c r="AJ558" i="40" s="1"/>
  <c r="AK558" i="40" s="1"/>
  <c r="AL558" i="40" s="1"/>
  <c r="AM558" i="40" s="1"/>
  <c r="AN558" i="40" s="1"/>
  <c r="AO558" i="40" s="1"/>
  <c r="AP558" i="40" s="1"/>
  <c r="AQ558" i="40" s="1"/>
  <c r="AR558" i="40" s="1"/>
  <c r="AS558" i="40" s="1"/>
  <c r="AT558" i="40" s="1"/>
  <c r="AU558" i="40" s="1"/>
  <c r="AV558" i="40" s="1"/>
  <c r="AW558" i="40" s="1"/>
  <c r="AX558" i="40" s="1"/>
  <c r="AY558" i="40" s="1"/>
  <c r="AZ558" i="40" s="1"/>
  <c r="BA558" i="40" s="1"/>
  <c r="BB558" i="40" s="1"/>
  <c r="BC558" i="40" s="1"/>
  <c r="BD558" i="40" s="1"/>
  <c r="BE558" i="40" s="1"/>
  <c r="BF558" i="40" s="1"/>
  <c r="BG558" i="40" s="1"/>
  <c r="BH558" i="40" s="1"/>
  <c r="BI558" i="40" s="1"/>
  <c r="BJ558" i="40" s="1"/>
  <c r="BK558" i="40" s="1"/>
  <c r="BL558" i="40" s="1"/>
  <c r="BM558" i="40" s="1"/>
  <c r="BN558" i="40" s="1"/>
  <c r="BO558" i="40" s="1"/>
  <c r="BP558" i="40" s="1"/>
  <c r="BQ558" i="40" s="1"/>
  <c r="BR558" i="40" s="1"/>
  <c r="BS558" i="40" s="1"/>
  <c r="BT558" i="40" s="1"/>
  <c r="BU558" i="40" s="1"/>
  <c r="BV558" i="40" s="1"/>
  <c r="BW558" i="40" s="1"/>
  <c r="BX558" i="40" s="1"/>
  <c r="BY558" i="40" s="1"/>
  <c r="BZ558" i="40" s="1"/>
  <c r="CA558" i="40" s="1"/>
  <c r="CB558" i="40" s="1"/>
  <c r="AO590" i="40"/>
  <c r="AP590" i="40" s="1"/>
  <c r="AQ590" i="40" s="1"/>
  <c r="AR590" i="40" s="1"/>
  <c r="AS590" i="40" s="1"/>
  <c r="AT590" i="40" s="1"/>
  <c r="AU590" i="40" s="1"/>
  <c r="AV590" i="40" s="1"/>
  <c r="AW590" i="40" s="1"/>
  <c r="AX590" i="40" s="1"/>
  <c r="AY590" i="40" s="1"/>
  <c r="AZ590" i="40" s="1"/>
  <c r="BA590" i="40" s="1"/>
  <c r="BB590" i="40" s="1"/>
  <c r="BC590" i="40" s="1"/>
  <c r="BD590" i="40" s="1"/>
  <c r="BE590" i="40" s="1"/>
  <c r="BF590" i="40" s="1"/>
  <c r="BG590" i="40" s="1"/>
  <c r="BH590" i="40" s="1"/>
  <c r="BI590" i="40" s="1"/>
  <c r="BJ590" i="40" s="1"/>
  <c r="BK590" i="40" s="1"/>
  <c r="BL590" i="40" s="1"/>
  <c r="BM590" i="40" s="1"/>
  <c r="BN590" i="40" s="1"/>
  <c r="BO590" i="40" s="1"/>
  <c r="BP590" i="40" s="1"/>
  <c r="BQ590" i="40" s="1"/>
  <c r="BR590" i="40" s="1"/>
  <c r="BS590" i="40" s="1"/>
  <c r="BT590" i="40" s="1"/>
  <c r="BU590" i="40" s="1"/>
  <c r="BV590" i="40" s="1"/>
  <c r="BW590" i="40" s="1"/>
  <c r="BX590" i="40" s="1"/>
  <c r="BY590" i="40" s="1"/>
  <c r="BZ590" i="40" s="1"/>
  <c r="CA590" i="40" s="1"/>
  <c r="U570" i="40"/>
  <c r="V570" i="40" s="1"/>
  <c r="W570" i="40" s="1"/>
  <c r="X570" i="40" s="1"/>
  <c r="Y570" i="40" s="1"/>
  <c r="Z570" i="40" s="1"/>
  <c r="AA570" i="40" s="1"/>
  <c r="AB570" i="40" s="1"/>
  <c r="AC570" i="40" s="1"/>
  <c r="AD570" i="40" s="1"/>
  <c r="AE570" i="40" s="1"/>
  <c r="AF570" i="40" s="1"/>
  <c r="AG570" i="40" s="1"/>
  <c r="AH570" i="40" s="1"/>
  <c r="AI570" i="40" s="1"/>
  <c r="AJ570" i="40" s="1"/>
  <c r="AK570" i="40" s="1"/>
  <c r="AL570" i="40" s="1"/>
  <c r="AM570" i="40" s="1"/>
  <c r="AN570" i="40" s="1"/>
  <c r="AO570" i="40" s="1"/>
  <c r="AP570" i="40" s="1"/>
  <c r="AQ570" i="40" s="1"/>
  <c r="AR570" i="40" s="1"/>
  <c r="AS570" i="40" s="1"/>
  <c r="AT570" i="40" s="1"/>
  <c r="AU570" i="40" s="1"/>
  <c r="AV570" i="40" s="1"/>
  <c r="AW570" i="40" s="1"/>
  <c r="AX570" i="40" s="1"/>
  <c r="AY570" i="40" s="1"/>
  <c r="AZ570" i="40" s="1"/>
  <c r="BA570" i="40" s="1"/>
  <c r="BB570" i="40" s="1"/>
  <c r="BC570" i="40" s="1"/>
  <c r="BD570" i="40" s="1"/>
  <c r="BE570" i="40" s="1"/>
  <c r="BF570" i="40" s="1"/>
  <c r="BG570" i="40" s="1"/>
  <c r="BH570" i="40" s="1"/>
  <c r="BI570" i="40" s="1"/>
  <c r="BJ570" i="40" s="1"/>
  <c r="BK570" i="40" s="1"/>
  <c r="BL570" i="40" s="1"/>
  <c r="BM570" i="40" s="1"/>
  <c r="BN570" i="40" s="1"/>
  <c r="BO570" i="40" s="1"/>
  <c r="BP570" i="40" s="1"/>
  <c r="BQ570" i="40" s="1"/>
  <c r="BR570" i="40" s="1"/>
  <c r="BS570" i="40" s="1"/>
  <c r="BT570" i="40" s="1"/>
  <c r="BU570" i="40" s="1"/>
  <c r="BV570" i="40" s="1"/>
  <c r="BW570" i="40" s="1"/>
  <c r="BX570" i="40" s="1"/>
  <c r="BY570" i="40" s="1"/>
  <c r="BZ570" i="40" s="1"/>
  <c r="CA570" i="40" s="1"/>
  <c r="BE606" i="40"/>
  <c r="BF606" i="40" s="1"/>
  <c r="BG606" i="40" s="1"/>
  <c r="BH606" i="40" s="1"/>
  <c r="BI606" i="40" s="1"/>
  <c r="BJ606" i="40" s="1"/>
  <c r="BK606" i="40" s="1"/>
  <c r="BL606" i="40" s="1"/>
  <c r="BM606" i="40" s="1"/>
  <c r="BN606" i="40" s="1"/>
  <c r="BO606" i="40" s="1"/>
  <c r="BP606" i="40" s="1"/>
  <c r="BQ606" i="40" s="1"/>
  <c r="BR606" i="40" s="1"/>
  <c r="BS606" i="40" s="1"/>
  <c r="BT606" i="40" s="1"/>
  <c r="BU606" i="40" s="1"/>
  <c r="BV606" i="40" s="1"/>
  <c r="BW606" i="40" s="1"/>
  <c r="BX606" i="40" s="1"/>
  <c r="BY606" i="40" s="1"/>
  <c r="BZ606" i="40" s="1"/>
  <c r="CA606" i="40" s="1"/>
  <c r="AK586" i="40"/>
  <c r="AL586" i="40" s="1"/>
  <c r="AM586" i="40" s="1"/>
  <c r="AN586" i="40" s="1"/>
  <c r="AO586" i="40" s="1"/>
  <c r="AP586" i="40" s="1"/>
  <c r="AQ586" i="40" s="1"/>
  <c r="AR586" i="40" s="1"/>
  <c r="AS586" i="40" s="1"/>
  <c r="AT586" i="40" s="1"/>
  <c r="AU586" i="40" s="1"/>
  <c r="AV586" i="40" s="1"/>
  <c r="AW586" i="40" s="1"/>
  <c r="AX586" i="40" s="1"/>
  <c r="AY586" i="40" s="1"/>
  <c r="AZ586" i="40" s="1"/>
  <c r="BA586" i="40" s="1"/>
  <c r="BB586" i="40" s="1"/>
  <c r="BC586" i="40" s="1"/>
  <c r="BD586" i="40" s="1"/>
  <c r="BE586" i="40" s="1"/>
  <c r="BF586" i="40" s="1"/>
  <c r="BG586" i="40" s="1"/>
  <c r="BH586" i="40" s="1"/>
  <c r="BI586" i="40" s="1"/>
  <c r="BJ586" i="40" s="1"/>
  <c r="BK586" i="40" s="1"/>
  <c r="BL586" i="40" s="1"/>
  <c r="BM586" i="40" s="1"/>
  <c r="BN586" i="40" s="1"/>
  <c r="BO586" i="40" s="1"/>
  <c r="BP586" i="40" s="1"/>
  <c r="BQ586" i="40" s="1"/>
  <c r="BR586" i="40" s="1"/>
  <c r="BS586" i="40" s="1"/>
  <c r="BT586" i="40" s="1"/>
  <c r="BU586" i="40" s="1"/>
  <c r="BV586" i="40" s="1"/>
  <c r="BW586" i="40" s="1"/>
  <c r="BX586" i="40" s="1"/>
  <c r="BY586" i="40" s="1"/>
  <c r="BZ586" i="40" s="1"/>
  <c r="CA586" i="40" s="1"/>
  <c r="BQ618" i="40"/>
  <c r="BR618" i="40" s="1"/>
  <c r="BS618" i="40" s="1"/>
  <c r="BT618" i="40" s="1"/>
  <c r="BU618" i="40" s="1"/>
  <c r="BV618" i="40" s="1"/>
  <c r="BW618" i="40" s="1"/>
  <c r="BX618" i="40" s="1"/>
  <c r="BY618" i="40" s="1"/>
  <c r="BZ618" i="40" s="1"/>
  <c r="CA618" i="40" s="1"/>
  <c r="Q566" i="40"/>
  <c r="R566" i="40" s="1"/>
  <c r="S566" i="40" s="1"/>
  <c r="T566" i="40" s="1"/>
  <c r="U566" i="40" s="1"/>
  <c r="V566" i="40" s="1"/>
  <c r="W566" i="40" s="1"/>
  <c r="X566" i="40" s="1"/>
  <c r="Y566" i="40" s="1"/>
  <c r="Z566" i="40" s="1"/>
  <c r="AA566" i="40" s="1"/>
  <c r="AB566" i="40" s="1"/>
  <c r="AC566" i="40" s="1"/>
  <c r="AD566" i="40" s="1"/>
  <c r="AE566" i="40" s="1"/>
  <c r="AF566" i="40" s="1"/>
  <c r="AG566" i="40" s="1"/>
  <c r="AH566" i="40" s="1"/>
  <c r="AI566" i="40" s="1"/>
  <c r="AJ566" i="40" s="1"/>
  <c r="AK566" i="40" s="1"/>
  <c r="AL566" i="40" s="1"/>
  <c r="AM566" i="40" s="1"/>
  <c r="AN566" i="40" s="1"/>
  <c r="AO566" i="40" s="1"/>
  <c r="AP566" i="40" s="1"/>
  <c r="AQ566" i="40" s="1"/>
  <c r="AR566" i="40" s="1"/>
  <c r="AS566" i="40" s="1"/>
  <c r="AT566" i="40" s="1"/>
  <c r="AU566" i="40" s="1"/>
  <c r="AV566" i="40" s="1"/>
  <c r="AW566" i="40" s="1"/>
  <c r="AX566" i="40" s="1"/>
  <c r="AY566" i="40" s="1"/>
  <c r="AZ566" i="40" s="1"/>
  <c r="BA566" i="40" s="1"/>
  <c r="BB566" i="40" s="1"/>
  <c r="BC566" i="40" s="1"/>
  <c r="BD566" i="40" s="1"/>
  <c r="BE566" i="40" s="1"/>
  <c r="BF566" i="40" s="1"/>
  <c r="BG566" i="40" s="1"/>
  <c r="BH566" i="40" s="1"/>
  <c r="BI566" i="40" s="1"/>
  <c r="BJ566" i="40" s="1"/>
  <c r="BK566" i="40" s="1"/>
  <c r="BL566" i="40" s="1"/>
  <c r="BM566" i="40" s="1"/>
  <c r="BN566" i="40" s="1"/>
  <c r="BO566" i="40" s="1"/>
  <c r="BP566" i="40" s="1"/>
  <c r="BQ566" i="40" s="1"/>
  <c r="BR566" i="40" s="1"/>
  <c r="BS566" i="40" s="1"/>
  <c r="BT566" i="40" s="1"/>
  <c r="BU566" i="40" s="1"/>
  <c r="BV566" i="40" s="1"/>
  <c r="BW566" i="40" s="1"/>
  <c r="BX566" i="40" s="1"/>
  <c r="BY566" i="40" s="1"/>
  <c r="BZ566" i="40" s="1"/>
  <c r="CA566" i="40" s="1"/>
  <c r="CB566" i="40" s="1"/>
  <c r="AG582" i="40"/>
  <c r="AH582" i="40" s="1"/>
  <c r="AI582" i="40" s="1"/>
  <c r="AJ582" i="40" s="1"/>
  <c r="AK582" i="40" s="1"/>
  <c r="AL582" i="40" s="1"/>
  <c r="AM582" i="40" s="1"/>
  <c r="AN582" i="40" s="1"/>
  <c r="AO582" i="40" s="1"/>
  <c r="AP582" i="40" s="1"/>
  <c r="AQ582" i="40" s="1"/>
  <c r="AR582" i="40" s="1"/>
  <c r="AS582" i="40" s="1"/>
  <c r="AT582" i="40" s="1"/>
  <c r="AU582" i="40" s="1"/>
  <c r="AV582" i="40" s="1"/>
  <c r="AW582" i="40" s="1"/>
  <c r="AX582" i="40" s="1"/>
  <c r="AY582" i="40" s="1"/>
  <c r="AZ582" i="40" s="1"/>
  <c r="BA582" i="40" s="1"/>
  <c r="BB582" i="40" s="1"/>
  <c r="BC582" i="40" s="1"/>
  <c r="BD582" i="40" s="1"/>
  <c r="BE582" i="40" s="1"/>
  <c r="BF582" i="40" s="1"/>
  <c r="BG582" i="40" s="1"/>
  <c r="BH582" i="40" s="1"/>
  <c r="BI582" i="40" s="1"/>
  <c r="BJ582" i="40" s="1"/>
  <c r="BK582" i="40" s="1"/>
  <c r="BL582" i="40" s="1"/>
  <c r="BM582" i="40" s="1"/>
  <c r="BN582" i="40" s="1"/>
  <c r="BO582" i="40" s="1"/>
  <c r="BP582" i="40" s="1"/>
  <c r="BQ582" i="40" s="1"/>
  <c r="BR582" i="40" s="1"/>
  <c r="BS582" i="40" s="1"/>
  <c r="BT582" i="40" s="1"/>
  <c r="BU582" i="40" s="1"/>
  <c r="BV582" i="40" s="1"/>
  <c r="BW582" i="40" s="1"/>
  <c r="BX582" i="40" s="1"/>
  <c r="BY582" i="40" s="1"/>
  <c r="BZ582" i="40" s="1"/>
  <c r="CA582" i="40" s="1"/>
  <c r="AW598" i="40"/>
  <c r="AX598" i="40" s="1"/>
  <c r="AY598" i="40" s="1"/>
  <c r="AZ598" i="40" s="1"/>
  <c r="BA598" i="40" s="1"/>
  <c r="BB598" i="40" s="1"/>
  <c r="BC598" i="40" s="1"/>
  <c r="BD598" i="40" s="1"/>
  <c r="BE598" i="40" s="1"/>
  <c r="BF598" i="40" s="1"/>
  <c r="BG598" i="40" s="1"/>
  <c r="BH598" i="40" s="1"/>
  <c r="BI598" i="40" s="1"/>
  <c r="BJ598" i="40" s="1"/>
  <c r="BK598" i="40" s="1"/>
  <c r="BL598" i="40" s="1"/>
  <c r="BM598" i="40" s="1"/>
  <c r="BN598" i="40" s="1"/>
  <c r="BO598" i="40" s="1"/>
  <c r="BP598" i="40" s="1"/>
  <c r="BQ598" i="40" s="1"/>
  <c r="BR598" i="40" s="1"/>
  <c r="BS598" i="40" s="1"/>
  <c r="BT598" i="40" s="1"/>
  <c r="BU598" i="40" s="1"/>
  <c r="BV598" i="40" s="1"/>
  <c r="BW598" i="40" s="1"/>
  <c r="BX598" i="40" s="1"/>
  <c r="BY598" i="40" s="1"/>
  <c r="BZ598" i="40" s="1"/>
  <c r="CA598" i="40" s="1"/>
  <c r="BM614" i="40"/>
  <c r="BN614" i="40" s="1"/>
  <c r="BO614" i="40" s="1"/>
  <c r="BP614" i="40" s="1"/>
  <c r="BQ614" i="40" s="1"/>
  <c r="BR614" i="40" s="1"/>
  <c r="BS614" i="40" s="1"/>
  <c r="BT614" i="40" s="1"/>
  <c r="BU614" i="40" s="1"/>
  <c r="BV614" i="40" s="1"/>
  <c r="BW614" i="40" s="1"/>
  <c r="BX614" i="40" s="1"/>
  <c r="BY614" i="40" s="1"/>
  <c r="BZ614" i="40" s="1"/>
  <c r="CA614" i="40" s="1"/>
  <c r="Y574" i="40"/>
  <c r="Z574" i="40" s="1"/>
  <c r="AA574" i="40" s="1"/>
  <c r="AB574" i="40" s="1"/>
  <c r="AC574" i="40" s="1"/>
  <c r="AD574" i="40" s="1"/>
  <c r="AE574" i="40" s="1"/>
  <c r="AF574" i="40" s="1"/>
  <c r="AG574" i="40" s="1"/>
  <c r="AH574" i="40" s="1"/>
  <c r="AI574" i="40" s="1"/>
  <c r="AJ574" i="40" s="1"/>
  <c r="AK574" i="40" s="1"/>
  <c r="AL574" i="40" s="1"/>
  <c r="AM574" i="40" s="1"/>
  <c r="AN574" i="40" s="1"/>
  <c r="AO574" i="40" s="1"/>
  <c r="AP574" i="40" s="1"/>
  <c r="AQ574" i="40" s="1"/>
  <c r="AR574" i="40" s="1"/>
  <c r="AS574" i="40" s="1"/>
  <c r="AT574" i="40" s="1"/>
  <c r="AU574" i="40" s="1"/>
  <c r="AV574" i="40" s="1"/>
  <c r="AW574" i="40" s="1"/>
  <c r="AX574" i="40" s="1"/>
  <c r="AY574" i="40" s="1"/>
  <c r="AZ574" i="40" s="1"/>
  <c r="BA574" i="40" s="1"/>
  <c r="BB574" i="40" s="1"/>
  <c r="BC574" i="40" s="1"/>
  <c r="BD574" i="40" s="1"/>
  <c r="BE574" i="40" s="1"/>
  <c r="BF574" i="40" s="1"/>
  <c r="BG574" i="40" s="1"/>
  <c r="BH574" i="40" s="1"/>
  <c r="BI574" i="40" s="1"/>
  <c r="BJ574" i="40" s="1"/>
  <c r="BK574" i="40" s="1"/>
  <c r="BL574" i="40" s="1"/>
  <c r="BM574" i="40" s="1"/>
  <c r="BN574" i="40" s="1"/>
  <c r="BO574" i="40" s="1"/>
  <c r="BP574" i="40" s="1"/>
  <c r="BQ574" i="40" s="1"/>
  <c r="BR574" i="40" s="1"/>
  <c r="BS574" i="40" s="1"/>
  <c r="BT574" i="40" s="1"/>
  <c r="BU574" i="40" s="1"/>
  <c r="BV574" i="40" s="1"/>
  <c r="BW574" i="40" s="1"/>
  <c r="BX574" i="40" s="1"/>
  <c r="BY574" i="40" s="1"/>
  <c r="BZ574" i="40" s="1"/>
  <c r="CA574" i="40" s="1"/>
  <c r="BJ611" i="40"/>
  <c r="BK611" i="40" s="1"/>
  <c r="BL611" i="40" s="1"/>
  <c r="BM611" i="40" s="1"/>
  <c r="BN611" i="40" s="1"/>
  <c r="BO611" i="40" s="1"/>
  <c r="BP611" i="40" s="1"/>
  <c r="BQ611" i="40" s="1"/>
  <c r="BR611" i="40" s="1"/>
  <c r="BS611" i="40" s="1"/>
  <c r="BT611" i="40" s="1"/>
  <c r="BU611" i="40" s="1"/>
  <c r="BV611" i="40" s="1"/>
  <c r="BW611" i="40" s="1"/>
  <c r="BX611" i="40" s="1"/>
  <c r="BY611" i="40" s="1"/>
  <c r="BZ611" i="40" s="1"/>
  <c r="CA611" i="40" s="1"/>
  <c r="BA602" i="40"/>
  <c r="BB602" i="40" s="1"/>
  <c r="BC602" i="40" s="1"/>
  <c r="BD602" i="40" s="1"/>
  <c r="BE602" i="40" s="1"/>
  <c r="BF602" i="40" s="1"/>
  <c r="BG602" i="40" s="1"/>
  <c r="BH602" i="40" s="1"/>
  <c r="BI602" i="40" s="1"/>
  <c r="BJ602" i="40" s="1"/>
  <c r="BK602" i="40" s="1"/>
  <c r="BL602" i="40" s="1"/>
  <c r="BM602" i="40" s="1"/>
  <c r="BN602" i="40" s="1"/>
  <c r="BO602" i="40" s="1"/>
  <c r="BP602" i="40" s="1"/>
  <c r="BQ602" i="40" s="1"/>
  <c r="BR602" i="40" s="1"/>
  <c r="BS602" i="40" s="1"/>
  <c r="BT602" i="40" s="1"/>
  <c r="BU602" i="40" s="1"/>
  <c r="BV602" i="40" s="1"/>
  <c r="BW602" i="40" s="1"/>
  <c r="BX602" i="40" s="1"/>
  <c r="BY602" i="40" s="1"/>
  <c r="BZ602" i="40" s="1"/>
  <c r="CA602" i="40" s="1"/>
  <c r="M562" i="40"/>
  <c r="N562" i="40" s="1"/>
  <c r="O562" i="40" s="1"/>
  <c r="P562" i="40" s="1"/>
  <c r="Q562" i="40" s="1"/>
  <c r="R562" i="40" s="1"/>
  <c r="S562" i="40" s="1"/>
  <c r="T562" i="40" s="1"/>
  <c r="U562" i="40" s="1"/>
  <c r="V562" i="40" s="1"/>
  <c r="W562" i="40" s="1"/>
  <c r="X562" i="40" s="1"/>
  <c r="Y562" i="40" s="1"/>
  <c r="Z562" i="40" s="1"/>
  <c r="AA562" i="40" s="1"/>
  <c r="AB562" i="40" s="1"/>
  <c r="AC562" i="40" s="1"/>
  <c r="AD562" i="40" s="1"/>
  <c r="AE562" i="40" s="1"/>
  <c r="AF562" i="40" s="1"/>
  <c r="AG562" i="40" s="1"/>
  <c r="AH562" i="40" s="1"/>
  <c r="AI562" i="40" s="1"/>
  <c r="AJ562" i="40" s="1"/>
  <c r="AK562" i="40" s="1"/>
  <c r="AL562" i="40" s="1"/>
  <c r="AM562" i="40" s="1"/>
  <c r="AN562" i="40" s="1"/>
  <c r="AO562" i="40" s="1"/>
  <c r="AP562" i="40" s="1"/>
  <c r="AQ562" i="40" s="1"/>
  <c r="AR562" i="40" s="1"/>
  <c r="AS562" i="40" s="1"/>
  <c r="AT562" i="40" s="1"/>
  <c r="AU562" i="40" s="1"/>
  <c r="AV562" i="40" s="1"/>
  <c r="AW562" i="40" s="1"/>
  <c r="AX562" i="40" s="1"/>
  <c r="AY562" i="40" s="1"/>
  <c r="AZ562" i="40" s="1"/>
  <c r="BA562" i="40" s="1"/>
  <c r="BB562" i="40" s="1"/>
  <c r="BC562" i="40" s="1"/>
  <c r="BD562" i="40" s="1"/>
  <c r="BE562" i="40" s="1"/>
  <c r="BF562" i="40" s="1"/>
  <c r="BG562" i="40" s="1"/>
  <c r="BH562" i="40" s="1"/>
  <c r="BI562" i="40" s="1"/>
  <c r="BJ562" i="40" s="1"/>
  <c r="BK562" i="40" s="1"/>
  <c r="BL562" i="40" s="1"/>
  <c r="BM562" i="40" s="1"/>
  <c r="BN562" i="40" s="1"/>
  <c r="BO562" i="40" s="1"/>
  <c r="BP562" i="40" s="1"/>
  <c r="BQ562" i="40" s="1"/>
  <c r="BR562" i="40" s="1"/>
  <c r="BS562" i="40" s="1"/>
  <c r="BT562" i="40" s="1"/>
  <c r="BU562" i="40" s="1"/>
  <c r="BV562" i="40" s="1"/>
  <c r="BW562" i="40" s="1"/>
  <c r="BX562" i="40" s="1"/>
  <c r="BY562" i="40" s="1"/>
  <c r="BZ562" i="40" s="1"/>
  <c r="CA562" i="40" s="1"/>
  <c r="CB562" i="40" s="1"/>
  <c r="AC578" i="40"/>
  <c r="AD578" i="40" s="1"/>
  <c r="AE578" i="40" s="1"/>
  <c r="AF578" i="40" s="1"/>
  <c r="AG578" i="40" s="1"/>
  <c r="AH578" i="40" s="1"/>
  <c r="AI578" i="40" s="1"/>
  <c r="AJ578" i="40" s="1"/>
  <c r="AK578" i="40" s="1"/>
  <c r="AL578" i="40" s="1"/>
  <c r="AM578" i="40" s="1"/>
  <c r="AN578" i="40" s="1"/>
  <c r="AO578" i="40" s="1"/>
  <c r="AP578" i="40" s="1"/>
  <c r="AQ578" i="40" s="1"/>
  <c r="AR578" i="40" s="1"/>
  <c r="AS578" i="40" s="1"/>
  <c r="AT578" i="40" s="1"/>
  <c r="AU578" i="40" s="1"/>
  <c r="AV578" i="40" s="1"/>
  <c r="AW578" i="40" s="1"/>
  <c r="AX578" i="40" s="1"/>
  <c r="AY578" i="40" s="1"/>
  <c r="AZ578" i="40" s="1"/>
  <c r="BA578" i="40" s="1"/>
  <c r="BB578" i="40" s="1"/>
  <c r="BC578" i="40" s="1"/>
  <c r="BD578" i="40" s="1"/>
  <c r="BE578" i="40" s="1"/>
  <c r="BF578" i="40" s="1"/>
  <c r="BG578" i="40" s="1"/>
  <c r="BH578" i="40" s="1"/>
  <c r="BI578" i="40" s="1"/>
  <c r="BJ578" i="40" s="1"/>
  <c r="BK578" i="40" s="1"/>
  <c r="BL578" i="40" s="1"/>
  <c r="BM578" i="40" s="1"/>
  <c r="BN578" i="40" s="1"/>
  <c r="BO578" i="40" s="1"/>
  <c r="BP578" i="40" s="1"/>
  <c r="BQ578" i="40" s="1"/>
  <c r="BR578" i="40" s="1"/>
  <c r="BS578" i="40" s="1"/>
  <c r="BT578" i="40" s="1"/>
  <c r="BU578" i="40" s="1"/>
  <c r="BV578" i="40" s="1"/>
  <c r="BW578" i="40" s="1"/>
  <c r="BX578" i="40" s="1"/>
  <c r="BY578" i="40" s="1"/>
  <c r="BZ578" i="40" s="1"/>
  <c r="CA578" i="40" s="1"/>
  <c r="AS594" i="40"/>
  <c r="AT594" i="40" s="1"/>
  <c r="AU594" i="40" s="1"/>
  <c r="AV594" i="40" s="1"/>
  <c r="AW594" i="40" s="1"/>
  <c r="AX594" i="40" s="1"/>
  <c r="AY594" i="40" s="1"/>
  <c r="AZ594" i="40" s="1"/>
  <c r="BA594" i="40" s="1"/>
  <c r="BB594" i="40" s="1"/>
  <c r="BC594" i="40" s="1"/>
  <c r="BD594" i="40" s="1"/>
  <c r="BE594" i="40" s="1"/>
  <c r="BF594" i="40" s="1"/>
  <c r="BG594" i="40" s="1"/>
  <c r="BH594" i="40" s="1"/>
  <c r="BI594" i="40" s="1"/>
  <c r="BJ594" i="40" s="1"/>
  <c r="BK594" i="40" s="1"/>
  <c r="BL594" i="40" s="1"/>
  <c r="BM594" i="40" s="1"/>
  <c r="BN594" i="40" s="1"/>
  <c r="BO594" i="40" s="1"/>
  <c r="BP594" i="40" s="1"/>
  <c r="BQ594" i="40" s="1"/>
  <c r="BR594" i="40" s="1"/>
  <c r="BS594" i="40" s="1"/>
  <c r="BT594" i="40" s="1"/>
  <c r="BU594" i="40" s="1"/>
  <c r="BV594" i="40" s="1"/>
  <c r="BW594" i="40" s="1"/>
  <c r="BX594" i="40" s="1"/>
  <c r="BY594" i="40" s="1"/>
  <c r="BZ594" i="40" s="1"/>
  <c r="CA594" i="40" s="1"/>
  <c r="CB594" i="40" s="1"/>
  <c r="BI610" i="40"/>
  <c r="BJ610" i="40" s="1"/>
  <c r="BK610" i="40" s="1"/>
  <c r="BL610" i="40" s="1"/>
  <c r="BM610" i="40" s="1"/>
  <c r="BN610" i="40" s="1"/>
  <c r="BO610" i="40" s="1"/>
  <c r="BP610" i="40" s="1"/>
  <c r="BQ610" i="40" s="1"/>
  <c r="BR610" i="40" s="1"/>
  <c r="BS610" i="40" s="1"/>
  <c r="BT610" i="40" s="1"/>
  <c r="BU610" i="40" s="1"/>
  <c r="BV610" i="40" s="1"/>
  <c r="BW610" i="40" s="1"/>
  <c r="BX610" i="40" s="1"/>
  <c r="BY610" i="40" s="1"/>
  <c r="BZ610" i="40" s="1"/>
  <c r="CA610" i="40" s="1"/>
  <c r="H557" i="40"/>
  <c r="I557" i="40" s="1"/>
  <c r="J557" i="40" s="1"/>
  <c r="K557" i="40" s="1"/>
  <c r="L557" i="40" s="1"/>
  <c r="M557" i="40" s="1"/>
  <c r="N557" i="40" s="1"/>
  <c r="O557" i="40" s="1"/>
  <c r="P557" i="40" s="1"/>
  <c r="Q557" i="40" s="1"/>
  <c r="R557" i="40" s="1"/>
  <c r="S557" i="40" s="1"/>
  <c r="T557" i="40" s="1"/>
  <c r="U557" i="40" s="1"/>
  <c r="V557" i="40" s="1"/>
  <c r="W557" i="40" s="1"/>
  <c r="X557" i="40" s="1"/>
  <c r="Y557" i="40" s="1"/>
  <c r="Z557" i="40" s="1"/>
  <c r="AA557" i="40" s="1"/>
  <c r="AB557" i="40" s="1"/>
  <c r="AC557" i="40" s="1"/>
  <c r="AD557" i="40" s="1"/>
  <c r="AE557" i="40" s="1"/>
  <c r="AF557" i="40" s="1"/>
  <c r="AG557" i="40" s="1"/>
  <c r="AH557" i="40" s="1"/>
  <c r="AI557" i="40" s="1"/>
  <c r="AJ557" i="40" s="1"/>
  <c r="AK557" i="40" s="1"/>
  <c r="AL557" i="40" s="1"/>
  <c r="AM557" i="40" s="1"/>
  <c r="AN557" i="40" s="1"/>
  <c r="AO557" i="40" s="1"/>
  <c r="AP557" i="40" s="1"/>
  <c r="AQ557" i="40" s="1"/>
  <c r="AR557" i="40" s="1"/>
  <c r="AS557" i="40" s="1"/>
  <c r="AT557" i="40" s="1"/>
  <c r="AU557" i="40" s="1"/>
  <c r="AV557" i="40" s="1"/>
  <c r="AW557" i="40" s="1"/>
  <c r="AX557" i="40" s="1"/>
  <c r="AY557" i="40" s="1"/>
  <c r="AZ557" i="40" s="1"/>
  <c r="BA557" i="40" s="1"/>
  <c r="BB557" i="40" s="1"/>
  <c r="BC557" i="40" s="1"/>
  <c r="BD557" i="40" s="1"/>
  <c r="BE557" i="40" s="1"/>
  <c r="BF557" i="40" s="1"/>
  <c r="BG557" i="40" s="1"/>
  <c r="BH557" i="40" s="1"/>
  <c r="BI557" i="40" s="1"/>
  <c r="BJ557" i="40" s="1"/>
  <c r="BK557" i="40" s="1"/>
  <c r="BL557" i="40" s="1"/>
  <c r="BM557" i="40" s="1"/>
  <c r="BN557" i="40" s="1"/>
  <c r="BO557" i="40" s="1"/>
  <c r="BP557" i="40" s="1"/>
  <c r="BQ557" i="40" s="1"/>
  <c r="BR557" i="40" s="1"/>
  <c r="BS557" i="40" s="1"/>
  <c r="BT557" i="40" s="1"/>
  <c r="BU557" i="40" s="1"/>
  <c r="BV557" i="40" s="1"/>
  <c r="BW557" i="40" s="1"/>
  <c r="BX557" i="40" s="1"/>
  <c r="BY557" i="40" s="1"/>
  <c r="BZ557" i="40" s="1"/>
  <c r="CA557" i="40" s="1"/>
  <c r="CB557" i="40" s="1"/>
  <c r="L561" i="40"/>
  <c r="M561" i="40" s="1"/>
  <c r="N561" i="40" s="1"/>
  <c r="O561" i="40" s="1"/>
  <c r="P561" i="40" s="1"/>
  <c r="Q561" i="40" s="1"/>
  <c r="R561" i="40" s="1"/>
  <c r="S561" i="40" s="1"/>
  <c r="T561" i="40" s="1"/>
  <c r="U561" i="40" s="1"/>
  <c r="V561" i="40" s="1"/>
  <c r="W561" i="40" s="1"/>
  <c r="X561" i="40" s="1"/>
  <c r="Y561" i="40" s="1"/>
  <c r="Z561" i="40" s="1"/>
  <c r="AA561" i="40" s="1"/>
  <c r="AB561" i="40" s="1"/>
  <c r="AC561" i="40" s="1"/>
  <c r="AD561" i="40" s="1"/>
  <c r="AE561" i="40" s="1"/>
  <c r="AF561" i="40" s="1"/>
  <c r="AG561" i="40" s="1"/>
  <c r="AH561" i="40" s="1"/>
  <c r="AI561" i="40" s="1"/>
  <c r="AJ561" i="40" s="1"/>
  <c r="AK561" i="40" s="1"/>
  <c r="AL561" i="40" s="1"/>
  <c r="AM561" i="40" s="1"/>
  <c r="AN561" i="40" s="1"/>
  <c r="AO561" i="40" s="1"/>
  <c r="AP561" i="40" s="1"/>
  <c r="AQ561" i="40" s="1"/>
  <c r="AR561" i="40" s="1"/>
  <c r="AS561" i="40" s="1"/>
  <c r="AT561" i="40" s="1"/>
  <c r="AU561" i="40" s="1"/>
  <c r="AV561" i="40" s="1"/>
  <c r="AW561" i="40" s="1"/>
  <c r="AX561" i="40" s="1"/>
  <c r="AY561" i="40" s="1"/>
  <c r="AZ561" i="40" s="1"/>
  <c r="BA561" i="40" s="1"/>
  <c r="BB561" i="40" s="1"/>
  <c r="BC561" i="40" s="1"/>
  <c r="BD561" i="40" s="1"/>
  <c r="BE561" i="40" s="1"/>
  <c r="BF561" i="40" s="1"/>
  <c r="BG561" i="40" s="1"/>
  <c r="BH561" i="40" s="1"/>
  <c r="BI561" i="40" s="1"/>
  <c r="BJ561" i="40" s="1"/>
  <c r="BK561" i="40" s="1"/>
  <c r="BL561" i="40" s="1"/>
  <c r="BM561" i="40" s="1"/>
  <c r="BN561" i="40" s="1"/>
  <c r="BO561" i="40" s="1"/>
  <c r="BP561" i="40" s="1"/>
  <c r="BQ561" i="40" s="1"/>
  <c r="BR561" i="40" s="1"/>
  <c r="BS561" i="40" s="1"/>
  <c r="BT561" i="40" s="1"/>
  <c r="BU561" i="40" s="1"/>
  <c r="BV561" i="40" s="1"/>
  <c r="BW561" i="40" s="1"/>
  <c r="BX561" i="40" s="1"/>
  <c r="BY561" i="40" s="1"/>
  <c r="BZ561" i="40" s="1"/>
  <c r="CA561" i="40" s="1"/>
  <c r="CB561" i="40" s="1"/>
  <c r="P565" i="40"/>
  <c r="Q565" i="40" s="1"/>
  <c r="R565" i="40" s="1"/>
  <c r="S565" i="40" s="1"/>
  <c r="T565" i="40" s="1"/>
  <c r="U565" i="40" s="1"/>
  <c r="V565" i="40" s="1"/>
  <c r="W565" i="40" s="1"/>
  <c r="X565" i="40" s="1"/>
  <c r="Y565" i="40" s="1"/>
  <c r="Z565" i="40" s="1"/>
  <c r="AA565" i="40" s="1"/>
  <c r="AB565" i="40" s="1"/>
  <c r="AC565" i="40" s="1"/>
  <c r="AD565" i="40" s="1"/>
  <c r="AE565" i="40" s="1"/>
  <c r="AF565" i="40" s="1"/>
  <c r="AG565" i="40" s="1"/>
  <c r="AH565" i="40" s="1"/>
  <c r="AI565" i="40" s="1"/>
  <c r="AJ565" i="40" s="1"/>
  <c r="AK565" i="40" s="1"/>
  <c r="AL565" i="40" s="1"/>
  <c r="AM565" i="40" s="1"/>
  <c r="AN565" i="40" s="1"/>
  <c r="AO565" i="40" s="1"/>
  <c r="AP565" i="40" s="1"/>
  <c r="AQ565" i="40" s="1"/>
  <c r="AR565" i="40" s="1"/>
  <c r="AS565" i="40" s="1"/>
  <c r="AT565" i="40" s="1"/>
  <c r="AU565" i="40" s="1"/>
  <c r="AV565" i="40" s="1"/>
  <c r="AW565" i="40" s="1"/>
  <c r="AX565" i="40" s="1"/>
  <c r="AY565" i="40" s="1"/>
  <c r="AZ565" i="40" s="1"/>
  <c r="BA565" i="40" s="1"/>
  <c r="BB565" i="40" s="1"/>
  <c r="BC565" i="40" s="1"/>
  <c r="BD565" i="40" s="1"/>
  <c r="BE565" i="40" s="1"/>
  <c r="BF565" i="40" s="1"/>
  <c r="BG565" i="40" s="1"/>
  <c r="BH565" i="40" s="1"/>
  <c r="BI565" i="40" s="1"/>
  <c r="BJ565" i="40" s="1"/>
  <c r="BK565" i="40" s="1"/>
  <c r="BL565" i="40" s="1"/>
  <c r="BM565" i="40" s="1"/>
  <c r="BN565" i="40" s="1"/>
  <c r="BO565" i="40" s="1"/>
  <c r="BP565" i="40" s="1"/>
  <c r="BQ565" i="40" s="1"/>
  <c r="BR565" i="40" s="1"/>
  <c r="BS565" i="40" s="1"/>
  <c r="BT565" i="40" s="1"/>
  <c r="BU565" i="40" s="1"/>
  <c r="BV565" i="40" s="1"/>
  <c r="BW565" i="40" s="1"/>
  <c r="BX565" i="40" s="1"/>
  <c r="BY565" i="40" s="1"/>
  <c r="BZ565" i="40" s="1"/>
  <c r="CA565" i="40" s="1"/>
  <c r="T569" i="40"/>
  <c r="U569" i="40" s="1"/>
  <c r="V569" i="40" s="1"/>
  <c r="W569" i="40" s="1"/>
  <c r="X569" i="40" s="1"/>
  <c r="Y569" i="40" s="1"/>
  <c r="Z569" i="40" s="1"/>
  <c r="AA569" i="40" s="1"/>
  <c r="AB569" i="40" s="1"/>
  <c r="AC569" i="40" s="1"/>
  <c r="AD569" i="40" s="1"/>
  <c r="AE569" i="40" s="1"/>
  <c r="AF569" i="40" s="1"/>
  <c r="AG569" i="40" s="1"/>
  <c r="AH569" i="40" s="1"/>
  <c r="AI569" i="40" s="1"/>
  <c r="AJ569" i="40" s="1"/>
  <c r="AK569" i="40" s="1"/>
  <c r="AL569" i="40" s="1"/>
  <c r="AM569" i="40" s="1"/>
  <c r="AN569" i="40" s="1"/>
  <c r="AO569" i="40" s="1"/>
  <c r="AP569" i="40" s="1"/>
  <c r="AQ569" i="40" s="1"/>
  <c r="AR569" i="40" s="1"/>
  <c r="AS569" i="40" s="1"/>
  <c r="AT569" i="40" s="1"/>
  <c r="AU569" i="40" s="1"/>
  <c r="AV569" i="40" s="1"/>
  <c r="AW569" i="40" s="1"/>
  <c r="AX569" i="40" s="1"/>
  <c r="AY569" i="40" s="1"/>
  <c r="AZ569" i="40" s="1"/>
  <c r="BA569" i="40" s="1"/>
  <c r="BB569" i="40" s="1"/>
  <c r="BC569" i="40" s="1"/>
  <c r="BD569" i="40" s="1"/>
  <c r="BE569" i="40" s="1"/>
  <c r="BF569" i="40" s="1"/>
  <c r="BG569" i="40" s="1"/>
  <c r="BH569" i="40" s="1"/>
  <c r="BI569" i="40" s="1"/>
  <c r="BJ569" i="40" s="1"/>
  <c r="BK569" i="40" s="1"/>
  <c r="BL569" i="40" s="1"/>
  <c r="BM569" i="40" s="1"/>
  <c r="BN569" i="40" s="1"/>
  <c r="BO569" i="40" s="1"/>
  <c r="BP569" i="40" s="1"/>
  <c r="BQ569" i="40" s="1"/>
  <c r="BR569" i="40" s="1"/>
  <c r="BS569" i="40" s="1"/>
  <c r="BT569" i="40" s="1"/>
  <c r="BU569" i="40" s="1"/>
  <c r="BV569" i="40" s="1"/>
  <c r="BW569" i="40" s="1"/>
  <c r="BX569" i="40" s="1"/>
  <c r="BY569" i="40" s="1"/>
  <c r="BZ569" i="40" s="1"/>
  <c r="CA569" i="40" s="1"/>
  <c r="X573" i="40"/>
  <c r="Y573" i="40" s="1"/>
  <c r="Z573" i="40" s="1"/>
  <c r="AA573" i="40" s="1"/>
  <c r="AB573" i="40" s="1"/>
  <c r="AC573" i="40" s="1"/>
  <c r="AD573" i="40" s="1"/>
  <c r="AE573" i="40" s="1"/>
  <c r="AF573" i="40" s="1"/>
  <c r="AG573" i="40" s="1"/>
  <c r="AH573" i="40" s="1"/>
  <c r="AI573" i="40" s="1"/>
  <c r="AJ573" i="40" s="1"/>
  <c r="AK573" i="40" s="1"/>
  <c r="AL573" i="40" s="1"/>
  <c r="AM573" i="40" s="1"/>
  <c r="AN573" i="40" s="1"/>
  <c r="AO573" i="40" s="1"/>
  <c r="AP573" i="40" s="1"/>
  <c r="AQ573" i="40" s="1"/>
  <c r="AR573" i="40" s="1"/>
  <c r="AS573" i="40" s="1"/>
  <c r="AT573" i="40" s="1"/>
  <c r="AU573" i="40" s="1"/>
  <c r="AV573" i="40" s="1"/>
  <c r="AW573" i="40" s="1"/>
  <c r="AX573" i="40" s="1"/>
  <c r="AY573" i="40" s="1"/>
  <c r="AZ573" i="40" s="1"/>
  <c r="BA573" i="40" s="1"/>
  <c r="BB573" i="40" s="1"/>
  <c r="BC573" i="40" s="1"/>
  <c r="BD573" i="40" s="1"/>
  <c r="BE573" i="40" s="1"/>
  <c r="BF573" i="40" s="1"/>
  <c r="BG573" i="40" s="1"/>
  <c r="BH573" i="40" s="1"/>
  <c r="BI573" i="40" s="1"/>
  <c r="BJ573" i="40" s="1"/>
  <c r="BK573" i="40" s="1"/>
  <c r="BL573" i="40" s="1"/>
  <c r="BM573" i="40" s="1"/>
  <c r="BN573" i="40" s="1"/>
  <c r="BO573" i="40" s="1"/>
  <c r="BP573" i="40" s="1"/>
  <c r="BQ573" i="40" s="1"/>
  <c r="BR573" i="40" s="1"/>
  <c r="BS573" i="40" s="1"/>
  <c r="BT573" i="40" s="1"/>
  <c r="BU573" i="40" s="1"/>
  <c r="BV573" i="40" s="1"/>
  <c r="BW573" i="40" s="1"/>
  <c r="BX573" i="40" s="1"/>
  <c r="BY573" i="40" s="1"/>
  <c r="BZ573" i="40" s="1"/>
  <c r="CA573" i="40" s="1"/>
  <c r="AB577" i="40"/>
  <c r="AC577" i="40" s="1"/>
  <c r="AD577" i="40" s="1"/>
  <c r="AE577" i="40" s="1"/>
  <c r="AF577" i="40" s="1"/>
  <c r="AG577" i="40" s="1"/>
  <c r="AH577" i="40" s="1"/>
  <c r="AI577" i="40" s="1"/>
  <c r="AJ577" i="40" s="1"/>
  <c r="AK577" i="40" s="1"/>
  <c r="AL577" i="40" s="1"/>
  <c r="AM577" i="40" s="1"/>
  <c r="AN577" i="40" s="1"/>
  <c r="AO577" i="40" s="1"/>
  <c r="AP577" i="40" s="1"/>
  <c r="AQ577" i="40" s="1"/>
  <c r="AR577" i="40" s="1"/>
  <c r="AS577" i="40" s="1"/>
  <c r="AT577" i="40" s="1"/>
  <c r="AU577" i="40" s="1"/>
  <c r="AV577" i="40" s="1"/>
  <c r="AW577" i="40" s="1"/>
  <c r="AX577" i="40" s="1"/>
  <c r="AY577" i="40" s="1"/>
  <c r="AZ577" i="40" s="1"/>
  <c r="BA577" i="40" s="1"/>
  <c r="BB577" i="40" s="1"/>
  <c r="BC577" i="40" s="1"/>
  <c r="BD577" i="40" s="1"/>
  <c r="BE577" i="40" s="1"/>
  <c r="BF577" i="40" s="1"/>
  <c r="BG577" i="40" s="1"/>
  <c r="BH577" i="40" s="1"/>
  <c r="BI577" i="40" s="1"/>
  <c r="BJ577" i="40" s="1"/>
  <c r="BK577" i="40" s="1"/>
  <c r="BL577" i="40" s="1"/>
  <c r="BM577" i="40" s="1"/>
  <c r="BN577" i="40" s="1"/>
  <c r="BO577" i="40" s="1"/>
  <c r="BP577" i="40" s="1"/>
  <c r="BQ577" i="40" s="1"/>
  <c r="BR577" i="40" s="1"/>
  <c r="BS577" i="40" s="1"/>
  <c r="BT577" i="40" s="1"/>
  <c r="BU577" i="40" s="1"/>
  <c r="BV577" i="40" s="1"/>
  <c r="BW577" i="40" s="1"/>
  <c r="BX577" i="40" s="1"/>
  <c r="BY577" i="40" s="1"/>
  <c r="BZ577" i="40" s="1"/>
  <c r="CA577" i="40" s="1"/>
  <c r="AF581" i="40"/>
  <c r="AG581" i="40" s="1"/>
  <c r="AH581" i="40" s="1"/>
  <c r="AI581" i="40" s="1"/>
  <c r="AJ581" i="40" s="1"/>
  <c r="AK581" i="40" s="1"/>
  <c r="AL581" i="40" s="1"/>
  <c r="AM581" i="40" s="1"/>
  <c r="AN581" i="40" s="1"/>
  <c r="AO581" i="40" s="1"/>
  <c r="AP581" i="40" s="1"/>
  <c r="AQ581" i="40" s="1"/>
  <c r="AR581" i="40" s="1"/>
  <c r="AS581" i="40" s="1"/>
  <c r="AT581" i="40" s="1"/>
  <c r="AU581" i="40" s="1"/>
  <c r="AV581" i="40" s="1"/>
  <c r="AW581" i="40" s="1"/>
  <c r="AX581" i="40" s="1"/>
  <c r="AY581" i="40" s="1"/>
  <c r="AZ581" i="40" s="1"/>
  <c r="BA581" i="40" s="1"/>
  <c r="BB581" i="40" s="1"/>
  <c r="BC581" i="40" s="1"/>
  <c r="BD581" i="40" s="1"/>
  <c r="BE581" i="40" s="1"/>
  <c r="BF581" i="40" s="1"/>
  <c r="BG581" i="40" s="1"/>
  <c r="BH581" i="40" s="1"/>
  <c r="BI581" i="40" s="1"/>
  <c r="BJ581" i="40" s="1"/>
  <c r="BK581" i="40" s="1"/>
  <c r="BL581" i="40" s="1"/>
  <c r="BM581" i="40" s="1"/>
  <c r="BN581" i="40" s="1"/>
  <c r="BO581" i="40" s="1"/>
  <c r="BP581" i="40" s="1"/>
  <c r="BQ581" i="40" s="1"/>
  <c r="BR581" i="40" s="1"/>
  <c r="BS581" i="40" s="1"/>
  <c r="BT581" i="40" s="1"/>
  <c r="BU581" i="40" s="1"/>
  <c r="BV581" i="40" s="1"/>
  <c r="BW581" i="40" s="1"/>
  <c r="BX581" i="40" s="1"/>
  <c r="BY581" i="40" s="1"/>
  <c r="BZ581" i="40" s="1"/>
  <c r="CA581" i="40" s="1"/>
  <c r="AJ585" i="40"/>
  <c r="AK585" i="40" s="1"/>
  <c r="AL585" i="40" s="1"/>
  <c r="AM585" i="40" s="1"/>
  <c r="AN585" i="40" s="1"/>
  <c r="AO585" i="40" s="1"/>
  <c r="AP585" i="40" s="1"/>
  <c r="AQ585" i="40" s="1"/>
  <c r="AR585" i="40" s="1"/>
  <c r="AS585" i="40" s="1"/>
  <c r="AT585" i="40" s="1"/>
  <c r="AU585" i="40" s="1"/>
  <c r="AV585" i="40" s="1"/>
  <c r="AW585" i="40" s="1"/>
  <c r="AX585" i="40" s="1"/>
  <c r="AY585" i="40" s="1"/>
  <c r="AZ585" i="40" s="1"/>
  <c r="BA585" i="40" s="1"/>
  <c r="BB585" i="40" s="1"/>
  <c r="BC585" i="40" s="1"/>
  <c r="BD585" i="40" s="1"/>
  <c r="BE585" i="40" s="1"/>
  <c r="BF585" i="40" s="1"/>
  <c r="BG585" i="40" s="1"/>
  <c r="BH585" i="40" s="1"/>
  <c r="BI585" i="40" s="1"/>
  <c r="BJ585" i="40" s="1"/>
  <c r="BK585" i="40" s="1"/>
  <c r="BL585" i="40" s="1"/>
  <c r="BM585" i="40" s="1"/>
  <c r="BN585" i="40" s="1"/>
  <c r="BO585" i="40" s="1"/>
  <c r="BP585" i="40" s="1"/>
  <c r="BQ585" i="40" s="1"/>
  <c r="BR585" i="40" s="1"/>
  <c r="BS585" i="40" s="1"/>
  <c r="BT585" i="40" s="1"/>
  <c r="BU585" i="40" s="1"/>
  <c r="BV585" i="40" s="1"/>
  <c r="BW585" i="40" s="1"/>
  <c r="BX585" i="40" s="1"/>
  <c r="BY585" i="40" s="1"/>
  <c r="BZ585" i="40" s="1"/>
  <c r="CA585" i="40" s="1"/>
  <c r="AN589" i="40"/>
  <c r="AO589" i="40" s="1"/>
  <c r="AP589" i="40" s="1"/>
  <c r="AQ589" i="40" s="1"/>
  <c r="AR589" i="40" s="1"/>
  <c r="AS589" i="40" s="1"/>
  <c r="AT589" i="40" s="1"/>
  <c r="AU589" i="40" s="1"/>
  <c r="AV589" i="40" s="1"/>
  <c r="AW589" i="40" s="1"/>
  <c r="AX589" i="40" s="1"/>
  <c r="AY589" i="40" s="1"/>
  <c r="AZ589" i="40" s="1"/>
  <c r="BA589" i="40" s="1"/>
  <c r="BB589" i="40" s="1"/>
  <c r="BC589" i="40" s="1"/>
  <c r="BD589" i="40" s="1"/>
  <c r="BE589" i="40" s="1"/>
  <c r="BF589" i="40" s="1"/>
  <c r="BG589" i="40" s="1"/>
  <c r="BH589" i="40" s="1"/>
  <c r="BI589" i="40" s="1"/>
  <c r="BJ589" i="40" s="1"/>
  <c r="BK589" i="40" s="1"/>
  <c r="BL589" i="40" s="1"/>
  <c r="BM589" i="40" s="1"/>
  <c r="BN589" i="40" s="1"/>
  <c r="BO589" i="40" s="1"/>
  <c r="BP589" i="40" s="1"/>
  <c r="BQ589" i="40" s="1"/>
  <c r="BR589" i="40" s="1"/>
  <c r="BS589" i="40" s="1"/>
  <c r="BT589" i="40" s="1"/>
  <c r="BU589" i="40" s="1"/>
  <c r="BV589" i="40" s="1"/>
  <c r="BW589" i="40" s="1"/>
  <c r="BX589" i="40" s="1"/>
  <c r="BY589" i="40" s="1"/>
  <c r="BZ589" i="40" s="1"/>
  <c r="CA589" i="40" s="1"/>
  <c r="AR593" i="40"/>
  <c r="AS593" i="40" s="1"/>
  <c r="AT593" i="40" s="1"/>
  <c r="AU593" i="40" s="1"/>
  <c r="AV593" i="40" s="1"/>
  <c r="AW593" i="40" s="1"/>
  <c r="AX593" i="40" s="1"/>
  <c r="AY593" i="40" s="1"/>
  <c r="AZ593" i="40" s="1"/>
  <c r="BA593" i="40" s="1"/>
  <c r="BB593" i="40" s="1"/>
  <c r="BC593" i="40" s="1"/>
  <c r="BD593" i="40" s="1"/>
  <c r="BE593" i="40" s="1"/>
  <c r="BF593" i="40" s="1"/>
  <c r="BG593" i="40" s="1"/>
  <c r="BH593" i="40" s="1"/>
  <c r="BI593" i="40" s="1"/>
  <c r="BJ593" i="40" s="1"/>
  <c r="BK593" i="40" s="1"/>
  <c r="BL593" i="40" s="1"/>
  <c r="BM593" i="40" s="1"/>
  <c r="BN593" i="40" s="1"/>
  <c r="BO593" i="40" s="1"/>
  <c r="BP593" i="40" s="1"/>
  <c r="BQ593" i="40" s="1"/>
  <c r="BR593" i="40" s="1"/>
  <c r="BS593" i="40" s="1"/>
  <c r="BT593" i="40" s="1"/>
  <c r="BU593" i="40" s="1"/>
  <c r="BV593" i="40" s="1"/>
  <c r="BW593" i="40" s="1"/>
  <c r="BX593" i="40" s="1"/>
  <c r="BY593" i="40" s="1"/>
  <c r="BZ593" i="40" s="1"/>
  <c r="CA593" i="40" s="1"/>
  <c r="AV597" i="40"/>
  <c r="AW597" i="40" s="1"/>
  <c r="AX597" i="40" s="1"/>
  <c r="AY597" i="40" s="1"/>
  <c r="AZ597" i="40" s="1"/>
  <c r="BA597" i="40" s="1"/>
  <c r="BB597" i="40" s="1"/>
  <c r="BC597" i="40" s="1"/>
  <c r="BD597" i="40" s="1"/>
  <c r="BE597" i="40" s="1"/>
  <c r="BF597" i="40" s="1"/>
  <c r="BG597" i="40" s="1"/>
  <c r="BH597" i="40" s="1"/>
  <c r="BI597" i="40" s="1"/>
  <c r="BJ597" i="40" s="1"/>
  <c r="BK597" i="40" s="1"/>
  <c r="BL597" i="40" s="1"/>
  <c r="BM597" i="40" s="1"/>
  <c r="BN597" i="40" s="1"/>
  <c r="BO597" i="40" s="1"/>
  <c r="BP597" i="40" s="1"/>
  <c r="BQ597" i="40" s="1"/>
  <c r="BR597" i="40" s="1"/>
  <c r="BS597" i="40" s="1"/>
  <c r="BT597" i="40" s="1"/>
  <c r="BU597" i="40" s="1"/>
  <c r="BV597" i="40" s="1"/>
  <c r="BW597" i="40" s="1"/>
  <c r="BX597" i="40" s="1"/>
  <c r="BY597" i="40" s="1"/>
  <c r="BZ597" i="40" s="1"/>
  <c r="CA597" i="40" s="1"/>
  <c r="AZ601" i="40"/>
  <c r="BA601" i="40" s="1"/>
  <c r="BB601" i="40" s="1"/>
  <c r="BC601" i="40" s="1"/>
  <c r="BD601" i="40" s="1"/>
  <c r="BE601" i="40" s="1"/>
  <c r="BF601" i="40" s="1"/>
  <c r="BG601" i="40" s="1"/>
  <c r="BH601" i="40" s="1"/>
  <c r="BI601" i="40" s="1"/>
  <c r="BJ601" i="40" s="1"/>
  <c r="BK601" i="40" s="1"/>
  <c r="BL601" i="40" s="1"/>
  <c r="BM601" i="40" s="1"/>
  <c r="BN601" i="40" s="1"/>
  <c r="BO601" i="40" s="1"/>
  <c r="BP601" i="40" s="1"/>
  <c r="BQ601" i="40" s="1"/>
  <c r="BR601" i="40" s="1"/>
  <c r="BS601" i="40" s="1"/>
  <c r="BT601" i="40" s="1"/>
  <c r="BU601" i="40" s="1"/>
  <c r="BV601" i="40" s="1"/>
  <c r="BW601" i="40" s="1"/>
  <c r="BX601" i="40" s="1"/>
  <c r="BY601" i="40" s="1"/>
  <c r="BZ601" i="40" s="1"/>
  <c r="CA601" i="40" s="1"/>
  <c r="CB601" i="40" s="1"/>
  <c r="BD605" i="40"/>
  <c r="BE605" i="40" s="1"/>
  <c r="BF605" i="40" s="1"/>
  <c r="BG605" i="40" s="1"/>
  <c r="BH605" i="40" s="1"/>
  <c r="BI605" i="40" s="1"/>
  <c r="BJ605" i="40" s="1"/>
  <c r="BK605" i="40" s="1"/>
  <c r="BL605" i="40" s="1"/>
  <c r="BM605" i="40" s="1"/>
  <c r="BN605" i="40" s="1"/>
  <c r="BO605" i="40" s="1"/>
  <c r="BP605" i="40" s="1"/>
  <c r="BQ605" i="40" s="1"/>
  <c r="BR605" i="40" s="1"/>
  <c r="BS605" i="40" s="1"/>
  <c r="BT605" i="40" s="1"/>
  <c r="BU605" i="40" s="1"/>
  <c r="BV605" i="40" s="1"/>
  <c r="BW605" i="40" s="1"/>
  <c r="BX605" i="40" s="1"/>
  <c r="BY605" i="40" s="1"/>
  <c r="BZ605" i="40" s="1"/>
  <c r="CA605" i="40" s="1"/>
  <c r="BH609" i="40"/>
  <c r="BI609" i="40" s="1"/>
  <c r="BJ609" i="40" s="1"/>
  <c r="BK609" i="40" s="1"/>
  <c r="BL609" i="40" s="1"/>
  <c r="BM609" i="40" s="1"/>
  <c r="BN609" i="40" s="1"/>
  <c r="BO609" i="40" s="1"/>
  <c r="BP609" i="40" s="1"/>
  <c r="BQ609" i="40" s="1"/>
  <c r="BR609" i="40" s="1"/>
  <c r="BS609" i="40" s="1"/>
  <c r="BT609" i="40" s="1"/>
  <c r="BU609" i="40" s="1"/>
  <c r="BV609" i="40" s="1"/>
  <c r="BW609" i="40" s="1"/>
  <c r="BX609" i="40" s="1"/>
  <c r="BY609" i="40" s="1"/>
  <c r="BZ609" i="40" s="1"/>
  <c r="CA609" i="40" s="1"/>
  <c r="BL613" i="40"/>
  <c r="BM613" i="40" s="1"/>
  <c r="BN613" i="40" s="1"/>
  <c r="BO613" i="40" s="1"/>
  <c r="BP613" i="40" s="1"/>
  <c r="BQ613" i="40" s="1"/>
  <c r="BR613" i="40" s="1"/>
  <c r="BS613" i="40" s="1"/>
  <c r="BT613" i="40" s="1"/>
  <c r="BU613" i="40" s="1"/>
  <c r="BV613" i="40" s="1"/>
  <c r="BW613" i="40" s="1"/>
  <c r="BX613" i="40" s="1"/>
  <c r="BY613" i="40" s="1"/>
  <c r="BZ613" i="40" s="1"/>
  <c r="CA613" i="40" s="1"/>
  <c r="BP617" i="40"/>
  <c r="BQ617" i="40" s="1"/>
  <c r="BR617" i="40" s="1"/>
  <c r="BS617" i="40" s="1"/>
  <c r="BT617" i="40" s="1"/>
  <c r="BU617" i="40" s="1"/>
  <c r="BV617" i="40" s="1"/>
  <c r="BW617" i="40" s="1"/>
  <c r="BX617" i="40" s="1"/>
  <c r="BY617" i="40" s="1"/>
  <c r="BZ617" i="40" s="1"/>
  <c r="CA617" i="40" s="1"/>
  <c r="CB617" i="40" s="1"/>
  <c r="J559" i="40"/>
  <c r="K559" i="40" s="1"/>
  <c r="L559" i="40" s="1"/>
  <c r="M559" i="40" s="1"/>
  <c r="N559" i="40" s="1"/>
  <c r="O559" i="40" s="1"/>
  <c r="P559" i="40" s="1"/>
  <c r="Q559" i="40" s="1"/>
  <c r="R559" i="40" s="1"/>
  <c r="S559" i="40" s="1"/>
  <c r="T559" i="40" s="1"/>
  <c r="U559" i="40" s="1"/>
  <c r="V559" i="40" s="1"/>
  <c r="W559" i="40" s="1"/>
  <c r="X559" i="40" s="1"/>
  <c r="Y559" i="40" s="1"/>
  <c r="Z559" i="40" s="1"/>
  <c r="AA559" i="40" s="1"/>
  <c r="AB559" i="40" s="1"/>
  <c r="AC559" i="40" s="1"/>
  <c r="AD559" i="40" s="1"/>
  <c r="AE559" i="40" s="1"/>
  <c r="AF559" i="40" s="1"/>
  <c r="AG559" i="40" s="1"/>
  <c r="AH559" i="40" s="1"/>
  <c r="AI559" i="40" s="1"/>
  <c r="AJ559" i="40" s="1"/>
  <c r="AK559" i="40" s="1"/>
  <c r="AL559" i="40" s="1"/>
  <c r="AM559" i="40" s="1"/>
  <c r="AN559" i="40" s="1"/>
  <c r="AO559" i="40" s="1"/>
  <c r="AP559" i="40" s="1"/>
  <c r="AQ559" i="40" s="1"/>
  <c r="AR559" i="40" s="1"/>
  <c r="AS559" i="40" s="1"/>
  <c r="AT559" i="40" s="1"/>
  <c r="AU559" i="40" s="1"/>
  <c r="AV559" i="40" s="1"/>
  <c r="AW559" i="40" s="1"/>
  <c r="AX559" i="40" s="1"/>
  <c r="AY559" i="40" s="1"/>
  <c r="AZ559" i="40" s="1"/>
  <c r="BA559" i="40" s="1"/>
  <c r="BB559" i="40" s="1"/>
  <c r="BC559" i="40" s="1"/>
  <c r="BD559" i="40" s="1"/>
  <c r="BE559" i="40" s="1"/>
  <c r="BF559" i="40" s="1"/>
  <c r="BG559" i="40" s="1"/>
  <c r="BH559" i="40" s="1"/>
  <c r="BI559" i="40" s="1"/>
  <c r="BJ559" i="40" s="1"/>
  <c r="BK559" i="40" s="1"/>
  <c r="BL559" i="40" s="1"/>
  <c r="BM559" i="40" s="1"/>
  <c r="BN559" i="40" s="1"/>
  <c r="BO559" i="40" s="1"/>
  <c r="BP559" i="40" s="1"/>
  <c r="BQ559" i="40" s="1"/>
  <c r="BR559" i="40" s="1"/>
  <c r="BS559" i="40" s="1"/>
  <c r="BT559" i="40" s="1"/>
  <c r="BU559" i="40" s="1"/>
  <c r="BV559" i="40" s="1"/>
  <c r="BW559" i="40" s="1"/>
  <c r="BX559" i="40" s="1"/>
  <c r="BY559" i="40" s="1"/>
  <c r="BZ559" i="40" s="1"/>
  <c r="CA559" i="40" s="1"/>
  <c r="CB559" i="40" s="1"/>
  <c r="Z575" i="40"/>
  <c r="AA575" i="40" s="1"/>
  <c r="AB575" i="40" s="1"/>
  <c r="AC575" i="40" s="1"/>
  <c r="AD575" i="40" s="1"/>
  <c r="AE575" i="40" s="1"/>
  <c r="AF575" i="40" s="1"/>
  <c r="AG575" i="40" s="1"/>
  <c r="AH575" i="40" s="1"/>
  <c r="AI575" i="40" s="1"/>
  <c r="AJ575" i="40" s="1"/>
  <c r="AK575" i="40" s="1"/>
  <c r="AL575" i="40" s="1"/>
  <c r="AM575" i="40" s="1"/>
  <c r="AN575" i="40" s="1"/>
  <c r="AO575" i="40" s="1"/>
  <c r="AP575" i="40" s="1"/>
  <c r="AQ575" i="40" s="1"/>
  <c r="AR575" i="40" s="1"/>
  <c r="AS575" i="40" s="1"/>
  <c r="AT575" i="40" s="1"/>
  <c r="AU575" i="40" s="1"/>
  <c r="AV575" i="40" s="1"/>
  <c r="AW575" i="40" s="1"/>
  <c r="AX575" i="40" s="1"/>
  <c r="AY575" i="40" s="1"/>
  <c r="AZ575" i="40" s="1"/>
  <c r="BA575" i="40" s="1"/>
  <c r="BB575" i="40" s="1"/>
  <c r="BC575" i="40" s="1"/>
  <c r="BD575" i="40" s="1"/>
  <c r="BE575" i="40" s="1"/>
  <c r="BF575" i="40" s="1"/>
  <c r="BG575" i="40" s="1"/>
  <c r="BH575" i="40" s="1"/>
  <c r="BI575" i="40" s="1"/>
  <c r="BJ575" i="40" s="1"/>
  <c r="BK575" i="40" s="1"/>
  <c r="BL575" i="40" s="1"/>
  <c r="BM575" i="40" s="1"/>
  <c r="BN575" i="40" s="1"/>
  <c r="BO575" i="40" s="1"/>
  <c r="BP575" i="40" s="1"/>
  <c r="BQ575" i="40" s="1"/>
  <c r="BR575" i="40" s="1"/>
  <c r="BS575" i="40" s="1"/>
  <c r="BT575" i="40" s="1"/>
  <c r="BU575" i="40" s="1"/>
  <c r="BV575" i="40" s="1"/>
  <c r="BW575" i="40" s="1"/>
  <c r="BX575" i="40" s="1"/>
  <c r="BY575" i="40" s="1"/>
  <c r="BZ575" i="40" s="1"/>
  <c r="CA575" i="40" s="1"/>
  <c r="AP591" i="40"/>
  <c r="AQ591" i="40" s="1"/>
  <c r="AR591" i="40" s="1"/>
  <c r="AS591" i="40" s="1"/>
  <c r="AT591" i="40" s="1"/>
  <c r="AU591" i="40" s="1"/>
  <c r="AV591" i="40" s="1"/>
  <c r="AW591" i="40" s="1"/>
  <c r="AX591" i="40" s="1"/>
  <c r="AY591" i="40" s="1"/>
  <c r="AZ591" i="40" s="1"/>
  <c r="BA591" i="40" s="1"/>
  <c r="BB591" i="40" s="1"/>
  <c r="BC591" i="40" s="1"/>
  <c r="BD591" i="40" s="1"/>
  <c r="BE591" i="40" s="1"/>
  <c r="BF591" i="40" s="1"/>
  <c r="BG591" i="40" s="1"/>
  <c r="BH591" i="40" s="1"/>
  <c r="BI591" i="40" s="1"/>
  <c r="BJ591" i="40" s="1"/>
  <c r="BK591" i="40" s="1"/>
  <c r="BL591" i="40" s="1"/>
  <c r="BM591" i="40" s="1"/>
  <c r="BN591" i="40" s="1"/>
  <c r="BO591" i="40" s="1"/>
  <c r="BP591" i="40" s="1"/>
  <c r="BQ591" i="40" s="1"/>
  <c r="BR591" i="40" s="1"/>
  <c r="BS591" i="40" s="1"/>
  <c r="BT591" i="40" s="1"/>
  <c r="BU591" i="40" s="1"/>
  <c r="BV591" i="40" s="1"/>
  <c r="BW591" i="40" s="1"/>
  <c r="BX591" i="40" s="1"/>
  <c r="BY591" i="40" s="1"/>
  <c r="BZ591" i="40" s="1"/>
  <c r="CA591" i="40" s="1"/>
  <c r="CB591" i="40" s="1"/>
  <c r="BF607" i="40"/>
  <c r="BG607" i="40" s="1"/>
  <c r="BH607" i="40" s="1"/>
  <c r="BI607" i="40" s="1"/>
  <c r="BJ607" i="40" s="1"/>
  <c r="BK607" i="40" s="1"/>
  <c r="BL607" i="40" s="1"/>
  <c r="BM607" i="40" s="1"/>
  <c r="BN607" i="40" s="1"/>
  <c r="BO607" i="40" s="1"/>
  <c r="BP607" i="40" s="1"/>
  <c r="BQ607" i="40" s="1"/>
  <c r="BR607" i="40" s="1"/>
  <c r="BS607" i="40" s="1"/>
  <c r="BT607" i="40" s="1"/>
  <c r="BU607" i="40" s="1"/>
  <c r="BV607" i="40" s="1"/>
  <c r="BW607" i="40" s="1"/>
  <c r="BX607" i="40" s="1"/>
  <c r="BY607" i="40" s="1"/>
  <c r="BZ607" i="40" s="1"/>
  <c r="CA607" i="40" s="1"/>
  <c r="N563" i="40"/>
  <c r="O563" i="40" s="1"/>
  <c r="P563" i="40" s="1"/>
  <c r="Q563" i="40" s="1"/>
  <c r="R563" i="40" s="1"/>
  <c r="S563" i="40" s="1"/>
  <c r="T563" i="40" s="1"/>
  <c r="U563" i="40" s="1"/>
  <c r="V563" i="40" s="1"/>
  <c r="W563" i="40" s="1"/>
  <c r="X563" i="40" s="1"/>
  <c r="Y563" i="40" s="1"/>
  <c r="Z563" i="40" s="1"/>
  <c r="AA563" i="40" s="1"/>
  <c r="AB563" i="40" s="1"/>
  <c r="AC563" i="40" s="1"/>
  <c r="AD563" i="40" s="1"/>
  <c r="AE563" i="40" s="1"/>
  <c r="AF563" i="40" s="1"/>
  <c r="AG563" i="40" s="1"/>
  <c r="AH563" i="40" s="1"/>
  <c r="AI563" i="40" s="1"/>
  <c r="AJ563" i="40" s="1"/>
  <c r="AK563" i="40" s="1"/>
  <c r="AL563" i="40" s="1"/>
  <c r="AM563" i="40" s="1"/>
  <c r="AN563" i="40" s="1"/>
  <c r="AO563" i="40" s="1"/>
  <c r="AP563" i="40" s="1"/>
  <c r="AQ563" i="40" s="1"/>
  <c r="AR563" i="40" s="1"/>
  <c r="AS563" i="40" s="1"/>
  <c r="AT563" i="40" s="1"/>
  <c r="AU563" i="40" s="1"/>
  <c r="AV563" i="40" s="1"/>
  <c r="AW563" i="40" s="1"/>
  <c r="AX563" i="40" s="1"/>
  <c r="AY563" i="40" s="1"/>
  <c r="AZ563" i="40" s="1"/>
  <c r="BA563" i="40" s="1"/>
  <c r="BB563" i="40" s="1"/>
  <c r="BC563" i="40" s="1"/>
  <c r="BD563" i="40" s="1"/>
  <c r="BE563" i="40" s="1"/>
  <c r="BF563" i="40" s="1"/>
  <c r="BG563" i="40" s="1"/>
  <c r="BH563" i="40" s="1"/>
  <c r="BI563" i="40" s="1"/>
  <c r="BJ563" i="40" s="1"/>
  <c r="BK563" i="40" s="1"/>
  <c r="BL563" i="40" s="1"/>
  <c r="BM563" i="40" s="1"/>
  <c r="BN563" i="40" s="1"/>
  <c r="BO563" i="40" s="1"/>
  <c r="BP563" i="40" s="1"/>
  <c r="BQ563" i="40" s="1"/>
  <c r="BR563" i="40" s="1"/>
  <c r="BS563" i="40" s="1"/>
  <c r="BT563" i="40" s="1"/>
  <c r="BU563" i="40" s="1"/>
  <c r="BV563" i="40" s="1"/>
  <c r="BW563" i="40" s="1"/>
  <c r="BX563" i="40" s="1"/>
  <c r="BY563" i="40" s="1"/>
  <c r="BZ563" i="40" s="1"/>
  <c r="CA563" i="40" s="1"/>
  <c r="CB563" i="40" s="1"/>
  <c r="AD579" i="40"/>
  <c r="AE579" i="40" s="1"/>
  <c r="AF579" i="40" s="1"/>
  <c r="AG579" i="40" s="1"/>
  <c r="AH579" i="40" s="1"/>
  <c r="AI579" i="40" s="1"/>
  <c r="AJ579" i="40" s="1"/>
  <c r="AK579" i="40" s="1"/>
  <c r="AL579" i="40" s="1"/>
  <c r="AM579" i="40" s="1"/>
  <c r="AN579" i="40" s="1"/>
  <c r="AO579" i="40" s="1"/>
  <c r="AP579" i="40" s="1"/>
  <c r="AQ579" i="40" s="1"/>
  <c r="AR579" i="40" s="1"/>
  <c r="AS579" i="40" s="1"/>
  <c r="AT579" i="40" s="1"/>
  <c r="AU579" i="40" s="1"/>
  <c r="AV579" i="40" s="1"/>
  <c r="AW579" i="40" s="1"/>
  <c r="AX579" i="40" s="1"/>
  <c r="AY579" i="40" s="1"/>
  <c r="AZ579" i="40" s="1"/>
  <c r="BA579" i="40" s="1"/>
  <c r="BB579" i="40" s="1"/>
  <c r="BC579" i="40" s="1"/>
  <c r="BD579" i="40" s="1"/>
  <c r="BE579" i="40" s="1"/>
  <c r="BF579" i="40" s="1"/>
  <c r="BG579" i="40" s="1"/>
  <c r="BH579" i="40" s="1"/>
  <c r="BI579" i="40" s="1"/>
  <c r="BJ579" i="40" s="1"/>
  <c r="BK579" i="40" s="1"/>
  <c r="BL579" i="40" s="1"/>
  <c r="BM579" i="40" s="1"/>
  <c r="BN579" i="40" s="1"/>
  <c r="BO579" i="40" s="1"/>
  <c r="BP579" i="40" s="1"/>
  <c r="BQ579" i="40" s="1"/>
  <c r="BR579" i="40" s="1"/>
  <c r="BS579" i="40" s="1"/>
  <c r="BT579" i="40" s="1"/>
  <c r="BU579" i="40" s="1"/>
  <c r="BV579" i="40" s="1"/>
  <c r="BW579" i="40" s="1"/>
  <c r="BX579" i="40" s="1"/>
  <c r="BY579" i="40" s="1"/>
  <c r="BZ579" i="40" s="1"/>
  <c r="CA579" i="40" s="1"/>
  <c r="AT595" i="40"/>
  <c r="AU595" i="40" s="1"/>
  <c r="AV595" i="40" s="1"/>
  <c r="AW595" i="40" s="1"/>
  <c r="AX595" i="40" s="1"/>
  <c r="AY595" i="40" s="1"/>
  <c r="AZ595" i="40" s="1"/>
  <c r="BA595" i="40" s="1"/>
  <c r="BB595" i="40" s="1"/>
  <c r="BC595" i="40" s="1"/>
  <c r="BD595" i="40" s="1"/>
  <c r="BE595" i="40" s="1"/>
  <c r="BF595" i="40" s="1"/>
  <c r="BG595" i="40" s="1"/>
  <c r="BH595" i="40" s="1"/>
  <c r="BI595" i="40" s="1"/>
  <c r="BJ595" i="40" s="1"/>
  <c r="BK595" i="40" s="1"/>
  <c r="BL595" i="40" s="1"/>
  <c r="BM595" i="40" s="1"/>
  <c r="BN595" i="40" s="1"/>
  <c r="BO595" i="40" s="1"/>
  <c r="BP595" i="40" s="1"/>
  <c r="BQ595" i="40" s="1"/>
  <c r="BR595" i="40" s="1"/>
  <c r="BS595" i="40" s="1"/>
  <c r="BT595" i="40" s="1"/>
  <c r="BU595" i="40" s="1"/>
  <c r="BV595" i="40" s="1"/>
  <c r="BW595" i="40" s="1"/>
  <c r="BX595" i="40" s="1"/>
  <c r="BY595" i="40" s="1"/>
  <c r="BZ595" i="40" s="1"/>
  <c r="CA595" i="40" s="1"/>
  <c r="R567" i="40"/>
  <c r="S567" i="40" s="1"/>
  <c r="T567" i="40" s="1"/>
  <c r="U567" i="40" s="1"/>
  <c r="V567" i="40" s="1"/>
  <c r="W567" i="40" s="1"/>
  <c r="X567" i="40" s="1"/>
  <c r="Y567" i="40" s="1"/>
  <c r="Z567" i="40" s="1"/>
  <c r="AA567" i="40" s="1"/>
  <c r="AB567" i="40" s="1"/>
  <c r="AC567" i="40" s="1"/>
  <c r="AD567" i="40" s="1"/>
  <c r="AE567" i="40" s="1"/>
  <c r="AF567" i="40" s="1"/>
  <c r="AG567" i="40" s="1"/>
  <c r="AH567" i="40" s="1"/>
  <c r="AI567" i="40" s="1"/>
  <c r="AJ567" i="40" s="1"/>
  <c r="AK567" i="40" s="1"/>
  <c r="AL567" i="40" s="1"/>
  <c r="AM567" i="40" s="1"/>
  <c r="AN567" i="40" s="1"/>
  <c r="AO567" i="40" s="1"/>
  <c r="AP567" i="40" s="1"/>
  <c r="AQ567" i="40" s="1"/>
  <c r="AR567" i="40" s="1"/>
  <c r="AS567" i="40" s="1"/>
  <c r="AT567" i="40" s="1"/>
  <c r="AU567" i="40" s="1"/>
  <c r="AV567" i="40" s="1"/>
  <c r="AW567" i="40" s="1"/>
  <c r="AX567" i="40" s="1"/>
  <c r="AY567" i="40" s="1"/>
  <c r="AZ567" i="40" s="1"/>
  <c r="BA567" i="40" s="1"/>
  <c r="BB567" i="40" s="1"/>
  <c r="BC567" i="40" s="1"/>
  <c r="BD567" i="40" s="1"/>
  <c r="BE567" i="40" s="1"/>
  <c r="BF567" i="40" s="1"/>
  <c r="BG567" i="40" s="1"/>
  <c r="BH567" i="40" s="1"/>
  <c r="BI567" i="40" s="1"/>
  <c r="BJ567" i="40" s="1"/>
  <c r="BK567" i="40" s="1"/>
  <c r="BL567" i="40" s="1"/>
  <c r="BM567" i="40" s="1"/>
  <c r="BN567" i="40" s="1"/>
  <c r="BO567" i="40" s="1"/>
  <c r="BP567" i="40" s="1"/>
  <c r="BQ567" i="40" s="1"/>
  <c r="BR567" i="40" s="1"/>
  <c r="BS567" i="40" s="1"/>
  <c r="BT567" i="40" s="1"/>
  <c r="BU567" i="40" s="1"/>
  <c r="BV567" i="40" s="1"/>
  <c r="BW567" i="40" s="1"/>
  <c r="BX567" i="40" s="1"/>
  <c r="BY567" i="40" s="1"/>
  <c r="BZ567" i="40" s="1"/>
  <c r="CA567" i="40" s="1"/>
  <c r="AH583" i="40"/>
  <c r="AI583" i="40" s="1"/>
  <c r="AJ583" i="40" s="1"/>
  <c r="AK583" i="40" s="1"/>
  <c r="AL583" i="40" s="1"/>
  <c r="AM583" i="40" s="1"/>
  <c r="AN583" i="40" s="1"/>
  <c r="AO583" i="40" s="1"/>
  <c r="AP583" i="40" s="1"/>
  <c r="AQ583" i="40" s="1"/>
  <c r="AR583" i="40" s="1"/>
  <c r="AS583" i="40" s="1"/>
  <c r="AT583" i="40" s="1"/>
  <c r="AU583" i="40" s="1"/>
  <c r="AV583" i="40" s="1"/>
  <c r="AW583" i="40" s="1"/>
  <c r="AX583" i="40" s="1"/>
  <c r="AY583" i="40" s="1"/>
  <c r="AZ583" i="40" s="1"/>
  <c r="BA583" i="40" s="1"/>
  <c r="BB583" i="40" s="1"/>
  <c r="BC583" i="40" s="1"/>
  <c r="BD583" i="40" s="1"/>
  <c r="BE583" i="40" s="1"/>
  <c r="BF583" i="40" s="1"/>
  <c r="BG583" i="40" s="1"/>
  <c r="BH583" i="40" s="1"/>
  <c r="BI583" i="40" s="1"/>
  <c r="BJ583" i="40" s="1"/>
  <c r="BK583" i="40" s="1"/>
  <c r="BL583" i="40" s="1"/>
  <c r="BM583" i="40" s="1"/>
  <c r="BN583" i="40" s="1"/>
  <c r="BO583" i="40" s="1"/>
  <c r="BP583" i="40" s="1"/>
  <c r="BQ583" i="40" s="1"/>
  <c r="BR583" i="40" s="1"/>
  <c r="BS583" i="40" s="1"/>
  <c r="BT583" i="40" s="1"/>
  <c r="BU583" i="40" s="1"/>
  <c r="BV583" i="40" s="1"/>
  <c r="BW583" i="40" s="1"/>
  <c r="BX583" i="40" s="1"/>
  <c r="BY583" i="40" s="1"/>
  <c r="BZ583" i="40" s="1"/>
  <c r="CA583" i="40" s="1"/>
  <c r="AX599" i="40"/>
  <c r="AY599" i="40" s="1"/>
  <c r="AZ599" i="40" s="1"/>
  <c r="BA599" i="40" s="1"/>
  <c r="BB599" i="40" s="1"/>
  <c r="BC599" i="40" s="1"/>
  <c r="BD599" i="40" s="1"/>
  <c r="BE599" i="40" s="1"/>
  <c r="BF599" i="40" s="1"/>
  <c r="BG599" i="40" s="1"/>
  <c r="BH599" i="40" s="1"/>
  <c r="BI599" i="40" s="1"/>
  <c r="BJ599" i="40" s="1"/>
  <c r="BK599" i="40" s="1"/>
  <c r="BL599" i="40" s="1"/>
  <c r="BM599" i="40" s="1"/>
  <c r="BN599" i="40" s="1"/>
  <c r="BO599" i="40" s="1"/>
  <c r="BP599" i="40" s="1"/>
  <c r="BQ599" i="40" s="1"/>
  <c r="BR599" i="40" s="1"/>
  <c r="BS599" i="40" s="1"/>
  <c r="BT599" i="40" s="1"/>
  <c r="BU599" i="40" s="1"/>
  <c r="BV599" i="40" s="1"/>
  <c r="BW599" i="40" s="1"/>
  <c r="BX599" i="40" s="1"/>
  <c r="BY599" i="40" s="1"/>
  <c r="BZ599" i="40" s="1"/>
  <c r="CA599" i="40" s="1"/>
  <c r="G556" i="40"/>
  <c r="H556" i="40" s="1"/>
  <c r="I556" i="40" s="1"/>
  <c r="J556" i="40" s="1"/>
  <c r="K556" i="40" s="1"/>
  <c r="L556" i="40" s="1"/>
  <c r="M556" i="40" s="1"/>
  <c r="N556" i="40" s="1"/>
  <c r="O556" i="40" s="1"/>
  <c r="P556" i="40" s="1"/>
  <c r="Q556" i="40" s="1"/>
  <c r="R556" i="40" s="1"/>
  <c r="S556" i="40" s="1"/>
  <c r="T556" i="40" s="1"/>
  <c r="U556" i="40" s="1"/>
  <c r="V556" i="40" s="1"/>
  <c r="W556" i="40" s="1"/>
  <c r="X556" i="40" s="1"/>
  <c r="Y556" i="40" s="1"/>
  <c r="Z556" i="40" s="1"/>
  <c r="AA556" i="40" s="1"/>
  <c r="AB556" i="40" s="1"/>
  <c r="AC556" i="40" s="1"/>
  <c r="AD556" i="40" s="1"/>
  <c r="AE556" i="40" s="1"/>
  <c r="AF556" i="40" s="1"/>
  <c r="AG556" i="40" s="1"/>
  <c r="AH556" i="40" s="1"/>
  <c r="AI556" i="40" s="1"/>
  <c r="AJ556" i="40" s="1"/>
  <c r="AK556" i="40" s="1"/>
  <c r="AL556" i="40" s="1"/>
  <c r="AM556" i="40" s="1"/>
  <c r="AN556" i="40" s="1"/>
  <c r="AO556" i="40" s="1"/>
  <c r="AP556" i="40" s="1"/>
  <c r="AQ556" i="40" s="1"/>
  <c r="AR556" i="40" s="1"/>
  <c r="AS556" i="40" s="1"/>
  <c r="AT556" i="40" s="1"/>
  <c r="AU556" i="40" s="1"/>
  <c r="AV556" i="40" s="1"/>
  <c r="AW556" i="40" s="1"/>
  <c r="AX556" i="40" s="1"/>
  <c r="AY556" i="40" s="1"/>
  <c r="AZ556" i="40" s="1"/>
  <c r="BA556" i="40" s="1"/>
  <c r="BB556" i="40" s="1"/>
  <c r="BC556" i="40" s="1"/>
  <c r="BD556" i="40" s="1"/>
  <c r="BE556" i="40" s="1"/>
  <c r="BF556" i="40" s="1"/>
  <c r="BG556" i="40" s="1"/>
  <c r="BH556" i="40" s="1"/>
  <c r="BI556" i="40" s="1"/>
  <c r="BJ556" i="40" s="1"/>
  <c r="BK556" i="40" s="1"/>
  <c r="BL556" i="40" s="1"/>
  <c r="BM556" i="40" s="1"/>
  <c r="BN556" i="40" s="1"/>
  <c r="BO556" i="40" s="1"/>
  <c r="BP556" i="40" s="1"/>
  <c r="BQ556" i="40" s="1"/>
  <c r="BR556" i="40" s="1"/>
  <c r="BS556" i="40" s="1"/>
  <c r="BT556" i="40" s="1"/>
  <c r="BU556" i="40" s="1"/>
  <c r="BV556" i="40" s="1"/>
  <c r="BW556" i="40" s="1"/>
  <c r="BX556" i="40" s="1"/>
  <c r="BY556" i="40" s="1"/>
  <c r="BZ556" i="40" s="1"/>
  <c r="CA556" i="40" s="1"/>
  <c r="CB556" i="40" s="1"/>
  <c r="K560" i="40"/>
  <c r="L560" i="40" s="1"/>
  <c r="M560" i="40" s="1"/>
  <c r="N560" i="40" s="1"/>
  <c r="O560" i="40" s="1"/>
  <c r="P560" i="40" s="1"/>
  <c r="Q560" i="40" s="1"/>
  <c r="R560" i="40" s="1"/>
  <c r="S560" i="40" s="1"/>
  <c r="T560" i="40" s="1"/>
  <c r="U560" i="40" s="1"/>
  <c r="V560" i="40" s="1"/>
  <c r="W560" i="40" s="1"/>
  <c r="X560" i="40" s="1"/>
  <c r="Y560" i="40" s="1"/>
  <c r="Z560" i="40" s="1"/>
  <c r="AA560" i="40" s="1"/>
  <c r="AB560" i="40" s="1"/>
  <c r="AC560" i="40" s="1"/>
  <c r="AD560" i="40" s="1"/>
  <c r="AE560" i="40" s="1"/>
  <c r="AF560" i="40" s="1"/>
  <c r="AG560" i="40" s="1"/>
  <c r="AH560" i="40" s="1"/>
  <c r="AI560" i="40" s="1"/>
  <c r="AJ560" i="40" s="1"/>
  <c r="AK560" i="40" s="1"/>
  <c r="AL560" i="40" s="1"/>
  <c r="AM560" i="40" s="1"/>
  <c r="AN560" i="40" s="1"/>
  <c r="AO560" i="40" s="1"/>
  <c r="AP560" i="40" s="1"/>
  <c r="AQ560" i="40" s="1"/>
  <c r="AR560" i="40" s="1"/>
  <c r="AS560" i="40" s="1"/>
  <c r="AT560" i="40" s="1"/>
  <c r="AU560" i="40" s="1"/>
  <c r="AV560" i="40" s="1"/>
  <c r="AW560" i="40" s="1"/>
  <c r="AX560" i="40" s="1"/>
  <c r="AY560" i="40" s="1"/>
  <c r="AZ560" i="40" s="1"/>
  <c r="BA560" i="40" s="1"/>
  <c r="BB560" i="40" s="1"/>
  <c r="BC560" i="40" s="1"/>
  <c r="BD560" i="40" s="1"/>
  <c r="BE560" i="40" s="1"/>
  <c r="BF560" i="40" s="1"/>
  <c r="BG560" i="40" s="1"/>
  <c r="BH560" i="40" s="1"/>
  <c r="BI560" i="40" s="1"/>
  <c r="BJ560" i="40" s="1"/>
  <c r="BK560" i="40" s="1"/>
  <c r="BL560" i="40" s="1"/>
  <c r="BM560" i="40" s="1"/>
  <c r="BN560" i="40" s="1"/>
  <c r="BO560" i="40" s="1"/>
  <c r="BP560" i="40" s="1"/>
  <c r="BQ560" i="40" s="1"/>
  <c r="BR560" i="40" s="1"/>
  <c r="BS560" i="40" s="1"/>
  <c r="BT560" i="40" s="1"/>
  <c r="BU560" i="40" s="1"/>
  <c r="BV560" i="40" s="1"/>
  <c r="BW560" i="40" s="1"/>
  <c r="BX560" i="40" s="1"/>
  <c r="BY560" i="40" s="1"/>
  <c r="BZ560" i="40" s="1"/>
  <c r="CA560" i="40" s="1"/>
  <c r="CB560" i="40" s="1"/>
  <c r="O564" i="40"/>
  <c r="P564" i="40" s="1"/>
  <c r="Q564" i="40" s="1"/>
  <c r="R564" i="40" s="1"/>
  <c r="S564" i="40" s="1"/>
  <c r="T564" i="40" s="1"/>
  <c r="U564" i="40" s="1"/>
  <c r="V564" i="40" s="1"/>
  <c r="W564" i="40" s="1"/>
  <c r="X564" i="40" s="1"/>
  <c r="Y564" i="40" s="1"/>
  <c r="Z564" i="40" s="1"/>
  <c r="AA564" i="40" s="1"/>
  <c r="AB564" i="40" s="1"/>
  <c r="AC564" i="40" s="1"/>
  <c r="AD564" i="40" s="1"/>
  <c r="AE564" i="40" s="1"/>
  <c r="AF564" i="40" s="1"/>
  <c r="AG564" i="40" s="1"/>
  <c r="AH564" i="40" s="1"/>
  <c r="AI564" i="40" s="1"/>
  <c r="AJ564" i="40" s="1"/>
  <c r="AK564" i="40" s="1"/>
  <c r="AL564" i="40" s="1"/>
  <c r="AM564" i="40" s="1"/>
  <c r="AN564" i="40" s="1"/>
  <c r="AO564" i="40" s="1"/>
  <c r="AP564" i="40" s="1"/>
  <c r="AQ564" i="40" s="1"/>
  <c r="AR564" i="40" s="1"/>
  <c r="AS564" i="40" s="1"/>
  <c r="AT564" i="40" s="1"/>
  <c r="AU564" i="40" s="1"/>
  <c r="AV564" i="40" s="1"/>
  <c r="AW564" i="40" s="1"/>
  <c r="AX564" i="40" s="1"/>
  <c r="AY564" i="40" s="1"/>
  <c r="AZ564" i="40" s="1"/>
  <c r="BA564" i="40" s="1"/>
  <c r="BB564" i="40" s="1"/>
  <c r="BC564" i="40" s="1"/>
  <c r="BD564" i="40" s="1"/>
  <c r="BE564" i="40" s="1"/>
  <c r="BF564" i="40" s="1"/>
  <c r="BG564" i="40" s="1"/>
  <c r="BH564" i="40" s="1"/>
  <c r="BI564" i="40" s="1"/>
  <c r="BJ564" i="40" s="1"/>
  <c r="BK564" i="40" s="1"/>
  <c r="BL564" i="40" s="1"/>
  <c r="BM564" i="40" s="1"/>
  <c r="BN564" i="40" s="1"/>
  <c r="BO564" i="40" s="1"/>
  <c r="BP564" i="40" s="1"/>
  <c r="BQ564" i="40" s="1"/>
  <c r="BR564" i="40" s="1"/>
  <c r="BS564" i="40" s="1"/>
  <c r="BT564" i="40" s="1"/>
  <c r="BU564" i="40" s="1"/>
  <c r="BV564" i="40" s="1"/>
  <c r="BW564" i="40" s="1"/>
  <c r="BX564" i="40" s="1"/>
  <c r="BY564" i="40" s="1"/>
  <c r="BZ564" i="40" s="1"/>
  <c r="CA564" i="40" s="1"/>
  <c r="CB564" i="40" s="1"/>
  <c r="S568" i="40"/>
  <c r="T568" i="40" s="1"/>
  <c r="U568" i="40" s="1"/>
  <c r="V568" i="40" s="1"/>
  <c r="W568" i="40" s="1"/>
  <c r="X568" i="40" s="1"/>
  <c r="Y568" i="40" s="1"/>
  <c r="Z568" i="40" s="1"/>
  <c r="AA568" i="40" s="1"/>
  <c r="AB568" i="40" s="1"/>
  <c r="AC568" i="40" s="1"/>
  <c r="AD568" i="40" s="1"/>
  <c r="AE568" i="40" s="1"/>
  <c r="AF568" i="40" s="1"/>
  <c r="AG568" i="40" s="1"/>
  <c r="AH568" i="40" s="1"/>
  <c r="AI568" i="40" s="1"/>
  <c r="AJ568" i="40" s="1"/>
  <c r="AK568" i="40" s="1"/>
  <c r="AL568" i="40" s="1"/>
  <c r="AM568" i="40" s="1"/>
  <c r="AN568" i="40" s="1"/>
  <c r="AO568" i="40" s="1"/>
  <c r="AP568" i="40" s="1"/>
  <c r="AQ568" i="40" s="1"/>
  <c r="AR568" i="40" s="1"/>
  <c r="AS568" i="40" s="1"/>
  <c r="AT568" i="40" s="1"/>
  <c r="AU568" i="40" s="1"/>
  <c r="AV568" i="40" s="1"/>
  <c r="AW568" i="40" s="1"/>
  <c r="AX568" i="40" s="1"/>
  <c r="AY568" i="40" s="1"/>
  <c r="AZ568" i="40" s="1"/>
  <c r="BA568" i="40" s="1"/>
  <c r="BB568" i="40" s="1"/>
  <c r="BC568" i="40" s="1"/>
  <c r="BD568" i="40" s="1"/>
  <c r="BE568" i="40" s="1"/>
  <c r="BF568" i="40" s="1"/>
  <c r="BG568" i="40" s="1"/>
  <c r="BH568" i="40" s="1"/>
  <c r="BI568" i="40" s="1"/>
  <c r="BJ568" i="40" s="1"/>
  <c r="BK568" i="40" s="1"/>
  <c r="BL568" i="40" s="1"/>
  <c r="BM568" i="40" s="1"/>
  <c r="BN568" i="40" s="1"/>
  <c r="BO568" i="40" s="1"/>
  <c r="BP568" i="40" s="1"/>
  <c r="BQ568" i="40" s="1"/>
  <c r="BR568" i="40" s="1"/>
  <c r="BS568" i="40" s="1"/>
  <c r="BT568" i="40" s="1"/>
  <c r="BU568" i="40" s="1"/>
  <c r="BV568" i="40" s="1"/>
  <c r="BW568" i="40" s="1"/>
  <c r="BX568" i="40" s="1"/>
  <c r="BY568" i="40" s="1"/>
  <c r="BZ568" i="40" s="1"/>
  <c r="CA568" i="40" s="1"/>
  <c r="W572" i="40"/>
  <c r="X572" i="40" s="1"/>
  <c r="Y572" i="40" s="1"/>
  <c r="Z572" i="40" s="1"/>
  <c r="AA572" i="40" s="1"/>
  <c r="AB572" i="40" s="1"/>
  <c r="AC572" i="40" s="1"/>
  <c r="AD572" i="40" s="1"/>
  <c r="AE572" i="40" s="1"/>
  <c r="AF572" i="40" s="1"/>
  <c r="AG572" i="40" s="1"/>
  <c r="AH572" i="40" s="1"/>
  <c r="AI572" i="40" s="1"/>
  <c r="AJ572" i="40" s="1"/>
  <c r="AK572" i="40" s="1"/>
  <c r="AL572" i="40" s="1"/>
  <c r="AM572" i="40" s="1"/>
  <c r="AN572" i="40" s="1"/>
  <c r="AO572" i="40" s="1"/>
  <c r="AP572" i="40" s="1"/>
  <c r="AQ572" i="40" s="1"/>
  <c r="AR572" i="40" s="1"/>
  <c r="AS572" i="40" s="1"/>
  <c r="AT572" i="40" s="1"/>
  <c r="AU572" i="40" s="1"/>
  <c r="AV572" i="40" s="1"/>
  <c r="AW572" i="40" s="1"/>
  <c r="AX572" i="40" s="1"/>
  <c r="AY572" i="40" s="1"/>
  <c r="AZ572" i="40" s="1"/>
  <c r="BA572" i="40" s="1"/>
  <c r="BB572" i="40" s="1"/>
  <c r="BC572" i="40" s="1"/>
  <c r="BD572" i="40" s="1"/>
  <c r="BE572" i="40" s="1"/>
  <c r="BF572" i="40" s="1"/>
  <c r="BG572" i="40" s="1"/>
  <c r="BH572" i="40" s="1"/>
  <c r="BI572" i="40" s="1"/>
  <c r="BJ572" i="40" s="1"/>
  <c r="BK572" i="40" s="1"/>
  <c r="BL572" i="40" s="1"/>
  <c r="BM572" i="40" s="1"/>
  <c r="BN572" i="40" s="1"/>
  <c r="BO572" i="40" s="1"/>
  <c r="BP572" i="40" s="1"/>
  <c r="BQ572" i="40" s="1"/>
  <c r="BR572" i="40" s="1"/>
  <c r="BS572" i="40" s="1"/>
  <c r="BT572" i="40" s="1"/>
  <c r="BU572" i="40" s="1"/>
  <c r="BV572" i="40" s="1"/>
  <c r="BW572" i="40" s="1"/>
  <c r="BX572" i="40" s="1"/>
  <c r="BY572" i="40" s="1"/>
  <c r="BZ572" i="40" s="1"/>
  <c r="CA572" i="40" s="1"/>
  <c r="CB572" i="40" s="1"/>
  <c r="AA576" i="40"/>
  <c r="AB576" i="40" s="1"/>
  <c r="AC576" i="40" s="1"/>
  <c r="AD576" i="40" s="1"/>
  <c r="AE576" i="40" s="1"/>
  <c r="AF576" i="40" s="1"/>
  <c r="AG576" i="40" s="1"/>
  <c r="AH576" i="40" s="1"/>
  <c r="AI576" i="40" s="1"/>
  <c r="AJ576" i="40" s="1"/>
  <c r="AK576" i="40" s="1"/>
  <c r="AL576" i="40" s="1"/>
  <c r="AM576" i="40" s="1"/>
  <c r="AN576" i="40" s="1"/>
  <c r="AO576" i="40" s="1"/>
  <c r="AP576" i="40" s="1"/>
  <c r="AQ576" i="40" s="1"/>
  <c r="AR576" i="40" s="1"/>
  <c r="AS576" i="40" s="1"/>
  <c r="AT576" i="40" s="1"/>
  <c r="AU576" i="40" s="1"/>
  <c r="AV576" i="40" s="1"/>
  <c r="AW576" i="40" s="1"/>
  <c r="AX576" i="40" s="1"/>
  <c r="AY576" i="40" s="1"/>
  <c r="AZ576" i="40" s="1"/>
  <c r="BA576" i="40" s="1"/>
  <c r="BB576" i="40" s="1"/>
  <c r="BC576" i="40" s="1"/>
  <c r="BD576" i="40" s="1"/>
  <c r="BE576" i="40" s="1"/>
  <c r="BF576" i="40" s="1"/>
  <c r="BG576" i="40" s="1"/>
  <c r="BH576" i="40" s="1"/>
  <c r="BI576" i="40" s="1"/>
  <c r="BJ576" i="40" s="1"/>
  <c r="BK576" i="40" s="1"/>
  <c r="BL576" i="40" s="1"/>
  <c r="BM576" i="40" s="1"/>
  <c r="BN576" i="40" s="1"/>
  <c r="BO576" i="40" s="1"/>
  <c r="BP576" i="40" s="1"/>
  <c r="BQ576" i="40" s="1"/>
  <c r="BR576" i="40" s="1"/>
  <c r="BS576" i="40" s="1"/>
  <c r="BT576" i="40" s="1"/>
  <c r="BU576" i="40" s="1"/>
  <c r="BV576" i="40" s="1"/>
  <c r="BW576" i="40" s="1"/>
  <c r="BX576" i="40" s="1"/>
  <c r="BY576" i="40" s="1"/>
  <c r="BZ576" i="40" s="1"/>
  <c r="CA576" i="40" s="1"/>
  <c r="AE580" i="40"/>
  <c r="AF580" i="40" s="1"/>
  <c r="AG580" i="40" s="1"/>
  <c r="AH580" i="40" s="1"/>
  <c r="AI580" i="40" s="1"/>
  <c r="AJ580" i="40" s="1"/>
  <c r="AK580" i="40" s="1"/>
  <c r="AL580" i="40" s="1"/>
  <c r="AM580" i="40" s="1"/>
  <c r="AN580" i="40" s="1"/>
  <c r="AO580" i="40" s="1"/>
  <c r="AP580" i="40" s="1"/>
  <c r="AQ580" i="40" s="1"/>
  <c r="AR580" i="40" s="1"/>
  <c r="AS580" i="40" s="1"/>
  <c r="AT580" i="40" s="1"/>
  <c r="AU580" i="40" s="1"/>
  <c r="AV580" i="40" s="1"/>
  <c r="AW580" i="40" s="1"/>
  <c r="AX580" i="40" s="1"/>
  <c r="AY580" i="40" s="1"/>
  <c r="AZ580" i="40" s="1"/>
  <c r="BA580" i="40" s="1"/>
  <c r="BB580" i="40" s="1"/>
  <c r="BC580" i="40" s="1"/>
  <c r="BD580" i="40" s="1"/>
  <c r="BE580" i="40" s="1"/>
  <c r="BF580" i="40" s="1"/>
  <c r="BG580" i="40" s="1"/>
  <c r="BH580" i="40" s="1"/>
  <c r="BI580" i="40" s="1"/>
  <c r="BJ580" i="40" s="1"/>
  <c r="BK580" i="40" s="1"/>
  <c r="BL580" i="40" s="1"/>
  <c r="BM580" i="40" s="1"/>
  <c r="BN580" i="40" s="1"/>
  <c r="BO580" i="40" s="1"/>
  <c r="BP580" i="40" s="1"/>
  <c r="BQ580" i="40" s="1"/>
  <c r="BR580" i="40" s="1"/>
  <c r="BS580" i="40" s="1"/>
  <c r="BT580" i="40" s="1"/>
  <c r="BU580" i="40" s="1"/>
  <c r="BV580" i="40" s="1"/>
  <c r="BW580" i="40" s="1"/>
  <c r="BX580" i="40" s="1"/>
  <c r="BY580" i="40" s="1"/>
  <c r="BZ580" i="40" s="1"/>
  <c r="CA580" i="40" s="1"/>
  <c r="D748" i="40" s="1"/>
  <c r="AI584" i="40"/>
  <c r="AJ584" i="40" s="1"/>
  <c r="AK584" i="40" s="1"/>
  <c r="AL584" i="40" s="1"/>
  <c r="AM584" i="40" s="1"/>
  <c r="AN584" i="40" s="1"/>
  <c r="AO584" i="40" s="1"/>
  <c r="AP584" i="40" s="1"/>
  <c r="AQ584" i="40" s="1"/>
  <c r="AR584" i="40" s="1"/>
  <c r="AS584" i="40" s="1"/>
  <c r="AT584" i="40" s="1"/>
  <c r="AU584" i="40" s="1"/>
  <c r="AV584" i="40" s="1"/>
  <c r="AW584" i="40" s="1"/>
  <c r="AX584" i="40" s="1"/>
  <c r="AY584" i="40" s="1"/>
  <c r="AZ584" i="40" s="1"/>
  <c r="BA584" i="40" s="1"/>
  <c r="BB584" i="40" s="1"/>
  <c r="BC584" i="40" s="1"/>
  <c r="BD584" i="40" s="1"/>
  <c r="BE584" i="40" s="1"/>
  <c r="BF584" i="40" s="1"/>
  <c r="BG584" i="40" s="1"/>
  <c r="BH584" i="40" s="1"/>
  <c r="BI584" i="40" s="1"/>
  <c r="BJ584" i="40" s="1"/>
  <c r="BK584" i="40" s="1"/>
  <c r="BL584" i="40" s="1"/>
  <c r="BM584" i="40" s="1"/>
  <c r="BN584" i="40" s="1"/>
  <c r="BO584" i="40" s="1"/>
  <c r="BP584" i="40" s="1"/>
  <c r="BQ584" i="40" s="1"/>
  <c r="BR584" i="40" s="1"/>
  <c r="BS584" i="40" s="1"/>
  <c r="BT584" i="40" s="1"/>
  <c r="BU584" i="40" s="1"/>
  <c r="BV584" i="40" s="1"/>
  <c r="BW584" i="40" s="1"/>
  <c r="BX584" i="40" s="1"/>
  <c r="BY584" i="40" s="1"/>
  <c r="BZ584" i="40" s="1"/>
  <c r="CA584" i="40" s="1"/>
  <c r="AM588" i="40"/>
  <c r="AN588" i="40" s="1"/>
  <c r="AO588" i="40" s="1"/>
  <c r="AP588" i="40" s="1"/>
  <c r="AQ588" i="40" s="1"/>
  <c r="AR588" i="40" s="1"/>
  <c r="AS588" i="40" s="1"/>
  <c r="AT588" i="40" s="1"/>
  <c r="AU588" i="40" s="1"/>
  <c r="AV588" i="40" s="1"/>
  <c r="AW588" i="40" s="1"/>
  <c r="AX588" i="40" s="1"/>
  <c r="AY588" i="40" s="1"/>
  <c r="AZ588" i="40" s="1"/>
  <c r="BA588" i="40" s="1"/>
  <c r="BB588" i="40" s="1"/>
  <c r="BC588" i="40" s="1"/>
  <c r="BD588" i="40" s="1"/>
  <c r="BE588" i="40" s="1"/>
  <c r="BF588" i="40" s="1"/>
  <c r="BG588" i="40" s="1"/>
  <c r="BH588" i="40" s="1"/>
  <c r="BI588" i="40" s="1"/>
  <c r="BJ588" i="40" s="1"/>
  <c r="BK588" i="40" s="1"/>
  <c r="BL588" i="40" s="1"/>
  <c r="BM588" i="40" s="1"/>
  <c r="BN588" i="40" s="1"/>
  <c r="BO588" i="40" s="1"/>
  <c r="BP588" i="40" s="1"/>
  <c r="BQ588" i="40" s="1"/>
  <c r="BR588" i="40" s="1"/>
  <c r="BS588" i="40" s="1"/>
  <c r="BT588" i="40" s="1"/>
  <c r="BU588" i="40" s="1"/>
  <c r="BV588" i="40" s="1"/>
  <c r="BW588" i="40" s="1"/>
  <c r="BX588" i="40" s="1"/>
  <c r="BY588" i="40" s="1"/>
  <c r="BZ588" i="40" s="1"/>
  <c r="CA588" i="40" s="1"/>
  <c r="AQ592" i="40"/>
  <c r="AR592" i="40" s="1"/>
  <c r="AS592" i="40" s="1"/>
  <c r="AT592" i="40" s="1"/>
  <c r="AU592" i="40" s="1"/>
  <c r="AV592" i="40" s="1"/>
  <c r="AW592" i="40" s="1"/>
  <c r="AX592" i="40" s="1"/>
  <c r="AY592" i="40" s="1"/>
  <c r="AZ592" i="40" s="1"/>
  <c r="BA592" i="40" s="1"/>
  <c r="BB592" i="40" s="1"/>
  <c r="BC592" i="40" s="1"/>
  <c r="BD592" i="40" s="1"/>
  <c r="BE592" i="40" s="1"/>
  <c r="BF592" i="40" s="1"/>
  <c r="BG592" i="40" s="1"/>
  <c r="BH592" i="40" s="1"/>
  <c r="BI592" i="40" s="1"/>
  <c r="BJ592" i="40" s="1"/>
  <c r="BK592" i="40" s="1"/>
  <c r="BL592" i="40" s="1"/>
  <c r="BM592" i="40" s="1"/>
  <c r="BN592" i="40" s="1"/>
  <c r="BO592" i="40" s="1"/>
  <c r="BP592" i="40" s="1"/>
  <c r="BQ592" i="40" s="1"/>
  <c r="BR592" i="40" s="1"/>
  <c r="BS592" i="40" s="1"/>
  <c r="BT592" i="40" s="1"/>
  <c r="BU592" i="40" s="1"/>
  <c r="BV592" i="40" s="1"/>
  <c r="BW592" i="40" s="1"/>
  <c r="BX592" i="40" s="1"/>
  <c r="BY592" i="40" s="1"/>
  <c r="BZ592" i="40" s="1"/>
  <c r="CA592" i="40" s="1"/>
  <c r="AU596" i="40"/>
  <c r="AV596" i="40" s="1"/>
  <c r="AW596" i="40" s="1"/>
  <c r="AX596" i="40" s="1"/>
  <c r="AY596" i="40" s="1"/>
  <c r="AZ596" i="40" s="1"/>
  <c r="BA596" i="40" s="1"/>
  <c r="BB596" i="40" s="1"/>
  <c r="BC596" i="40" s="1"/>
  <c r="BD596" i="40" s="1"/>
  <c r="BE596" i="40" s="1"/>
  <c r="BF596" i="40" s="1"/>
  <c r="BG596" i="40" s="1"/>
  <c r="BH596" i="40" s="1"/>
  <c r="BI596" i="40" s="1"/>
  <c r="BJ596" i="40" s="1"/>
  <c r="BK596" i="40" s="1"/>
  <c r="BL596" i="40" s="1"/>
  <c r="BM596" i="40" s="1"/>
  <c r="BN596" i="40" s="1"/>
  <c r="BO596" i="40" s="1"/>
  <c r="BP596" i="40" s="1"/>
  <c r="BQ596" i="40" s="1"/>
  <c r="BR596" i="40" s="1"/>
  <c r="BS596" i="40" s="1"/>
  <c r="BT596" i="40" s="1"/>
  <c r="BU596" i="40" s="1"/>
  <c r="BV596" i="40" s="1"/>
  <c r="BW596" i="40" s="1"/>
  <c r="BX596" i="40" s="1"/>
  <c r="BY596" i="40" s="1"/>
  <c r="BZ596" i="40" s="1"/>
  <c r="CA596" i="40" s="1"/>
  <c r="AY600" i="40"/>
  <c r="AZ600" i="40" s="1"/>
  <c r="BA600" i="40" s="1"/>
  <c r="BB600" i="40" s="1"/>
  <c r="BC600" i="40" s="1"/>
  <c r="BD600" i="40" s="1"/>
  <c r="BE600" i="40" s="1"/>
  <c r="BF600" i="40" s="1"/>
  <c r="BG600" i="40" s="1"/>
  <c r="BH600" i="40" s="1"/>
  <c r="BI600" i="40" s="1"/>
  <c r="BJ600" i="40" s="1"/>
  <c r="BK600" i="40" s="1"/>
  <c r="BL600" i="40" s="1"/>
  <c r="BM600" i="40" s="1"/>
  <c r="BN600" i="40" s="1"/>
  <c r="BO600" i="40" s="1"/>
  <c r="BP600" i="40" s="1"/>
  <c r="BQ600" i="40" s="1"/>
  <c r="BR600" i="40" s="1"/>
  <c r="BS600" i="40" s="1"/>
  <c r="BT600" i="40" s="1"/>
  <c r="BU600" i="40" s="1"/>
  <c r="BV600" i="40" s="1"/>
  <c r="BW600" i="40" s="1"/>
  <c r="BX600" i="40" s="1"/>
  <c r="BY600" i="40" s="1"/>
  <c r="BZ600" i="40" s="1"/>
  <c r="CA600" i="40" s="1"/>
  <c r="CB600" i="40" s="1"/>
  <c r="BC604" i="40"/>
  <c r="BD604" i="40" s="1"/>
  <c r="BE604" i="40" s="1"/>
  <c r="BF604" i="40" s="1"/>
  <c r="BG604" i="40" s="1"/>
  <c r="BH604" i="40" s="1"/>
  <c r="BI604" i="40" s="1"/>
  <c r="BJ604" i="40" s="1"/>
  <c r="BK604" i="40" s="1"/>
  <c r="BL604" i="40" s="1"/>
  <c r="BM604" i="40" s="1"/>
  <c r="BN604" i="40" s="1"/>
  <c r="BO604" i="40" s="1"/>
  <c r="BP604" i="40" s="1"/>
  <c r="BQ604" i="40" s="1"/>
  <c r="BR604" i="40" s="1"/>
  <c r="BS604" i="40" s="1"/>
  <c r="BT604" i="40" s="1"/>
  <c r="BU604" i="40" s="1"/>
  <c r="BV604" i="40" s="1"/>
  <c r="BW604" i="40" s="1"/>
  <c r="BX604" i="40" s="1"/>
  <c r="BY604" i="40" s="1"/>
  <c r="BZ604" i="40" s="1"/>
  <c r="CA604" i="40" s="1"/>
  <c r="BG608" i="40"/>
  <c r="BH608" i="40" s="1"/>
  <c r="BI608" i="40" s="1"/>
  <c r="BJ608" i="40" s="1"/>
  <c r="BK608" i="40" s="1"/>
  <c r="BL608" i="40" s="1"/>
  <c r="BM608" i="40" s="1"/>
  <c r="BN608" i="40" s="1"/>
  <c r="BO608" i="40" s="1"/>
  <c r="BP608" i="40" s="1"/>
  <c r="BQ608" i="40" s="1"/>
  <c r="BR608" i="40" s="1"/>
  <c r="BS608" i="40" s="1"/>
  <c r="BT608" i="40" s="1"/>
  <c r="BU608" i="40" s="1"/>
  <c r="BV608" i="40" s="1"/>
  <c r="BW608" i="40" s="1"/>
  <c r="BX608" i="40" s="1"/>
  <c r="BY608" i="40" s="1"/>
  <c r="BZ608" i="40" s="1"/>
  <c r="CA608" i="40" s="1"/>
  <c r="BK612" i="40"/>
  <c r="BL612" i="40" s="1"/>
  <c r="BM612" i="40" s="1"/>
  <c r="BN612" i="40" s="1"/>
  <c r="BO612" i="40" s="1"/>
  <c r="BP612" i="40" s="1"/>
  <c r="BQ612" i="40" s="1"/>
  <c r="BR612" i="40" s="1"/>
  <c r="BS612" i="40" s="1"/>
  <c r="BT612" i="40" s="1"/>
  <c r="BU612" i="40" s="1"/>
  <c r="BV612" i="40" s="1"/>
  <c r="BW612" i="40" s="1"/>
  <c r="BX612" i="40" s="1"/>
  <c r="BY612" i="40" s="1"/>
  <c r="BZ612" i="40" s="1"/>
  <c r="CA612" i="40" s="1"/>
  <c r="BO616" i="40"/>
  <c r="BP616" i="40" s="1"/>
  <c r="BQ616" i="40" s="1"/>
  <c r="BR616" i="40" s="1"/>
  <c r="BS616" i="40" s="1"/>
  <c r="BT616" i="40" s="1"/>
  <c r="BU616" i="40" s="1"/>
  <c r="BV616" i="40" s="1"/>
  <c r="BW616" i="40" s="1"/>
  <c r="BX616" i="40" s="1"/>
  <c r="BY616" i="40" s="1"/>
  <c r="BZ616" i="40" s="1"/>
  <c r="CA616" i="40" s="1"/>
  <c r="V571" i="40"/>
  <c r="W571" i="40" s="1"/>
  <c r="X571" i="40" s="1"/>
  <c r="Y571" i="40" s="1"/>
  <c r="Z571" i="40" s="1"/>
  <c r="AA571" i="40" s="1"/>
  <c r="AB571" i="40" s="1"/>
  <c r="AC571" i="40" s="1"/>
  <c r="AD571" i="40" s="1"/>
  <c r="AE571" i="40" s="1"/>
  <c r="AF571" i="40" s="1"/>
  <c r="AG571" i="40" s="1"/>
  <c r="AH571" i="40" s="1"/>
  <c r="AI571" i="40" s="1"/>
  <c r="AJ571" i="40" s="1"/>
  <c r="AK571" i="40" s="1"/>
  <c r="AL571" i="40" s="1"/>
  <c r="AM571" i="40" s="1"/>
  <c r="AN571" i="40" s="1"/>
  <c r="AO571" i="40" s="1"/>
  <c r="AP571" i="40" s="1"/>
  <c r="AQ571" i="40" s="1"/>
  <c r="AR571" i="40" s="1"/>
  <c r="AS571" i="40" s="1"/>
  <c r="AT571" i="40" s="1"/>
  <c r="AU571" i="40" s="1"/>
  <c r="AV571" i="40" s="1"/>
  <c r="AW571" i="40" s="1"/>
  <c r="AX571" i="40" s="1"/>
  <c r="AY571" i="40" s="1"/>
  <c r="AZ571" i="40" s="1"/>
  <c r="BA571" i="40" s="1"/>
  <c r="BB571" i="40" s="1"/>
  <c r="BC571" i="40" s="1"/>
  <c r="BD571" i="40" s="1"/>
  <c r="BE571" i="40" s="1"/>
  <c r="BF571" i="40" s="1"/>
  <c r="BG571" i="40" s="1"/>
  <c r="BH571" i="40" s="1"/>
  <c r="BI571" i="40" s="1"/>
  <c r="BJ571" i="40" s="1"/>
  <c r="BK571" i="40" s="1"/>
  <c r="BL571" i="40" s="1"/>
  <c r="BM571" i="40" s="1"/>
  <c r="BN571" i="40" s="1"/>
  <c r="BO571" i="40" s="1"/>
  <c r="BP571" i="40" s="1"/>
  <c r="BQ571" i="40" s="1"/>
  <c r="BR571" i="40" s="1"/>
  <c r="BS571" i="40" s="1"/>
  <c r="BT571" i="40" s="1"/>
  <c r="BU571" i="40" s="1"/>
  <c r="BV571" i="40" s="1"/>
  <c r="BW571" i="40" s="1"/>
  <c r="BX571" i="40" s="1"/>
  <c r="BY571" i="40" s="1"/>
  <c r="BZ571" i="40" s="1"/>
  <c r="CA571" i="40" s="1"/>
  <c r="AL587" i="40"/>
  <c r="AM587" i="40" s="1"/>
  <c r="AN587" i="40" s="1"/>
  <c r="AO587" i="40" s="1"/>
  <c r="AP587" i="40" s="1"/>
  <c r="AQ587" i="40" s="1"/>
  <c r="AR587" i="40" s="1"/>
  <c r="AS587" i="40" s="1"/>
  <c r="AT587" i="40" s="1"/>
  <c r="AU587" i="40" s="1"/>
  <c r="AV587" i="40" s="1"/>
  <c r="AW587" i="40" s="1"/>
  <c r="AX587" i="40" s="1"/>
  <c r="AY587" i="40" s="1"/>
  <c r="AZ587" i="40" s="1"/>
  <c r="BA587" i="40" s="1"/>
  <c r="BB587" i="40" s="1"/>
  <c r="BC587" i="40" s="1"/>
  <c r="BD587" i="40" s="1"/>
  <c r="BE587" i="40" s="1"/>
  <c r="BF587" i="40" s="1"/>
  <c r="BG587" i="40" s="1"/>
  <c r="BH587" i="40" s="1"/>
  <c r="BI587" i="40" s="1"/>
  <c r="BJ587" i="40" s="1"/>
  <c r="BK587" i="40" s="1"/>
  <c r="BL587" i="40" s="1"/>
  <c r="BM587" i="40" s="1"/>
  <c r="BN587" i="40" s="1"/>
  <c r="BO587" i="40" s="1"/>
  <c r="BP587" i="40" s="1"/>
  <c r="BQ587" i="40" s="1"/>
  <c r="BR587" i="40" s="1"/>
  <c r="BS587" i="40" s="1"/>
  <c r="BT587" i="40" s="1"/>
  <c r="BU587" i="40" s="1"/>
  <c r="BV587" i="40" s="1"/>
  <c r="BW587" i="40" s="1"/>
  <c r="BX587" i="40" s="1"/>
  <c r="BY587" i="40" s="1"/>
  <c r="BZ587" i="40" s="1"/>
  <c r="CA587" i="40" s="1"/>
  <c r="BB603" i="40"/>
  <c r="BC603" i="40" s="1"/>
  <c r="BD603" i="40" s="1"/>
  <c r="BE603" i="40" s="1"/>
  <c r="BF603" i="40" s="1"/>
  <c r="BG603" i="40" s="1"/>
  <c r="BH603" i="40" s="1"/>
  <c r="BI603" i="40" s="1"/>
  <c r="BJ603" i="40" s="1"/>
  <c r="BK603" i="40" s="1"/>
  <c r="BL603" i="40" s="1"/>
  <c r="BM603" i="40" s="1"/>
  <c r="BN603" i="40" s="1"/>
  <c r="BO603" i="40" s="1"/>
  <c r="BP603" i="40" s="1"/>
  <c r="BQ603" i="40" s="1"/>
  <c r="BR603" i="40" s="1"/>
  <c r="BS603" i="40" s="1"/>
  <c r="BT603" i="40" s="1"/>
  <c r="BU603" i="40" s="1"/>
  <c r="BV603" i="40" s="1"/>
  <c r="BW603" i="40" s="1"/>
  <c r="BX603" i="40" s="1"/>
  <c r="BY603" i="40" s="1"/>
  <c r="BZ603" i="40" s="1"/>
  <c r="CA603" i="40" s="1"/>
  <c r="BN615" i="40"/>
  <c r="BO615" i="40" s="1"/>
  <c r="BP615" i="40" s="1"/>
  <c r="BQ615" i="40" s="1"/>
  <c r="BR615" i="40" s="1"/>
  <c r="BS615" i="40" s="1"/>
  <c r="BT615" i="40" s="1"/>
  <c r="BU615" i="40" s="1"/>
  <c r="BV615" i="40" s="1"/>
  <c r="BW615" i="40" s="1"/>
  <c r="BX615" i="40" s="1"/>
  <c r="BY615" i="40" s="1"/>
  <c r="BZ615" i="40" s="1"/>
  <c r="CA615" i="40" s="1"/>
  <c r="BR619" i="40"/>
  <c r="BS619" i="40" s="1"/>
  <c r="BT619" i="40" s="1"/>
  <c r="BU619" i="40" s="1"/>
  <c r="BV619" i="40" s="1"/>
  <c r="BW619" i="40" s="1"/>
  <c r="BX619" i="40" s="1"/>
  <c r="BY619" i="40" s="1"/>
  <c r="BZ619" i="40" s="1"/>
  <c r="CA619" i="40" s="1"/>
  <c r="CB619" i="40" s="1"/>
  <c r="B519" i="40" l="1"/>
  <c r="B237" i="65"/>
  <c r="L51" i="32"/>
  <c r="CB565" i="40"/>
  <c r="D641" i="40"/>
  <c r="P90" i="25"/>
  <c r="Q12" i="59" s="1"/>
  <c r="L44" i="32"/>
  <c r="AJ61" i="50"/>
  <c r="AH217" i="50"/>
  <c r="J323" i="50"/>
  <c r="L32" i="37"/>
  <c r="L23" i="32"/>
  <c r="K31" i="37"/>
  <c r="L324" i="50"/>
  <c r="AL60" i="42"/>
  <c r="D754" i="40"/>
  <c r="D814" i="40"/>
  <c r="D753" i="40"/>
  <c r="AI61" i="50"/>
  <c r="AK61" i="50"/>
  <c r="AL61" i="50"/>
  <c r="BM60" i="42"/>
  <c r="AL217" i="50"/>
  <c r="AK217" i="50"/>
  <c r="AM60" i="42"/>
  <c r="AN60" i="42"/>
  <c r="AJ60" i="42"/>
  <c r="AP60" i="42" s="1"/>
  <c r="M130" i="25" s="1"/>
  <c r="AK60" i="42"/>
  <c r="BG60" i="42" s="1"/>
  <c r="M30" i="42"/>
  <c r="M32" i="50"/>
  <c r="P40" i="25"/>
  <c r="AI217" i="50"/>
  <c r="AJ217" i="50"/>
  <c r="L29" i="42"/>
  <c r="L31" i="50"/>
  <c r="O39" i="25"/>
  <c r="D749" i="40"/>
  <c r="CB574" i="40"/>
  <c r="D745" i="40"/>
  <c r="CB608" i="40"/>
  <c r="D701" i="40"/>
  <c r="D734" i="40"/>
  <c r="D733" i="40"/>
  <c r="D720" i="40"/>
  <c r="D735" i="40"/>
  <c r="CB592" i="40"/>
  <c r="D695" i="40"/>
  <c r="CB607" i="40"/>
  <c r="D744" i="40"/>
  <c r="CB605" i="40"/>
  <c r="D762" i="40" s="1"/>
  <c r="D729" i="40"/>
  <c r="D700" i="40"/>
  <c r="D730" i="40"/>
  <c r="CB573" i="40"/>
  <c r="D646" i="40"/>
  <c r="CB570" i="40"/>
  <c r="D645" i="40"/>
  <c r="CB604" i="40"/>
  <c r="D727" i="40"/>
  <c r="D728" i="40"/>
  <c r="CB569" i="40"/>
  <c r="D644" i="40"/>
  <c r="CB610" i="40"/>
  <c r="D722" i="40"/>
  <c r="CB614" i="40"/>
  <c r="D825" i="40" s="1"/>
  <c r="D678" i="40"/>
  <c r="D704" i="40"/>
  <c r="CB590" i="40"/>
  <c r="D854" i="40" s="1"/>
  <c r="D666" i="40"/>
  <c r="CB620" i="40"/>
  <c r="D738" i="40"/>
  <c r="D716" i="40"/>
  <c r="D739" i="40"/>
  <c r="CB603" i="40"/>
  <c r="D761" i="40" s="1"/>
  <c r="D743" i="40"/>
  <c r="CB616" i="40"/>
  <c r="D891" i="40" s="1"/>
  <c r="D705" i="40"/>
  <c r="CB584" i="40"/>
  <c r="D661" i="40"/>
  <c r="D690" i="40"/>
  <c r="CB568" i="40"/>
  <c r="D643" i="40"/>
  <c r="CB599" i="40"/>
  <c r="D671" i="40"/>
  <c r="CB579" i="40"/>
  <c r="D747" i="40"/>
  <c r="D686" i="40"/>
  <c r="D653" i="40"/>
  <c r="D652" i="40"/>
  <c r="CB575" i="40"/>
  <c r="D746" i="40"/>
  <c r="D682" i="40"/>
  <c r="D647" i="40"/>
  <c r="CB613" i="40"/>
  <c r="D719" i="40"/>
  <c r="D677" i="40"/>
  <c r="D703" i="40"/>
  <c r="D714" i="40"/>
  <c r="CB597" i="40"/>
  <c r="D669" i="40"/>
  <c r="D698" i="40"/>
  <c r="CB581" i="40"/>
  <c r="D688" i="40"/>
  <c r="D723" i="40"/>
  <c r="D724" i="40"/>
  <c r="D656" i="40"/>
  <c r="D655" i="40"/>
  <c r="CB611" i="40"/>
  <c r="D675" i="40"/>
  <c r="CB598" i="40"/>
  <c r="D670" i="40"/>
  <c r="CB586" i="40"/>
  <c r="D664" i="40"/>
  <c r="D692" i="40"/>
  <c r="CB571" i="40"/>
  <c r="D711" i="40"/>
  <c r="CB576" i="40"/>
  <c r="D648" i="40"/>
  <c r="D683" i="40"/>
  <c r="D649" i="40"/>
  <c r="CB567" i="40"/>
  <c r="D642" i="40"/>
  <c r="CB589" i="40"/>
  <c r="D694" i="40"/>
  <c r="CB615" i="40"/>
  <c r="D679" i="40"/>
  <c r="D715" i="40"/>
  <c r="CB588" i="40"/>
  <c r="CB595" i="40"/>
  <c r="D697" i="40"/>
  <c r="CB585" i="40"/>
  <c r="D663" i="40"/>
  <c r="D662" i="40"/>
  <c r="D691" i="40"/>
  <c r="CB602" i="40"/>
  <c r="D760" i="40" s="1"/>
  <c r="D699" i="40"/>
  <c r="D672" i="40"/>
  <c r="D713" i="40"/>
  <c r="CB618" i="40"/>
  <c r="D954" i="40" s="1"/>
  <c r="D737" i="40"/>
  <c r="D736" i="40"/>
  <c r="D706" i="40"/>
  <c r="CB587" i="40"/>
  <c r="D726" i="40"/>
  <c r="D742" i="40"/>
  <c r="D665" i="40"/>
  <c r="D693" i="40"/>
  <c r="D725" i="40"/>
  <c r="CB612" i="40"/>
  <c r="D702" i="40"/>
  <c r="D676" i="40"/>
  <c r="CB596" i="40"/>
  <c r="CB580" i="40"/>
  <c r="D804" i="40" s="1"/>
  <c r="D654" i="40"/>
  <c r="D687" i="40"/>
  <c r="CB583" i="40"/>
  <c r="D660" i="40"/>
  <c r="D659" i="40"/>
  <c r="CB609" i="40"/>
  <c r="D721" i="40"/>
  <c r="CB593" i="40"/>
  <c r="D696" i="40"/>
  <c r="CB577" i="40"/>
  <c r="D710" i="40"/>
  <c r="D684" i="40"/>
  <c r="D650" i="40"/>
  <c r="CB578" i="40"/>
  <c r="D685" i="40"/>
  <c r="D651" i="40"/>
  <c r="D712" i="40"/>
  <c r="CB582" i="40"/>
  <c r="D689" i="40"/>
  <c r="D658" i="40"/>
  <c r="D657" i="40"/>
  <c r="CB606" i="40"/>
  <c r="BX624" i="40"/>
  <c r="BW623" i="40"/>
  <c r="CB628" i="40"/>
  <c r="D953" i="40" s="1"/>
  <c r="CA627" i="40"/>
  <c r="D718" i="40" s="1"/>
  <c r="BY625" i="40"/>
  <c r="BU621" i="40"/>
  <c r="BV622" i="40"/>
  <c r="BZ626" i="40"/>
  <c r="CD553" i="40"/>
  <c r="CD632" i="40" s="1"/>
  <c r="CE553" i="40"/>
  <c r="CE633" i="40" s="1"/>
  <c r="CF553" i="40"/>
  <c r="CF634" i="40" s="1"/>
  <c r="CG553" i="40"/>
  <c r="CG635" i="40" s="1"/>
  <c r="CC553" i="40"/>
  <c r="K108" i="66" l="1"/>
  <c r="M110" i="66" s="1"/>
  <c r="AQ60" i="42"/>
  <c r="B520" i="40"/>
  <c r="B238" i="65"/>
  <c r="AN217" i="50"/>
  <c r="M129" i="25" s="1"/>
  <c r="M131" i="25"/>
  <c r="D943" i="40"/>
  <c r="D786" i="40"/>
  <c r="D780" i="40"/>
  <c r="D941" i="40"/>
  <c r="D948" i="40"/>
  <c r="D892" i="40"/>
  <c r="AH61" i="50"/>
  <c r="D899" i="40"/>
  <c r="M324" i="50"/>
  <c r="L31" i="37"/>
  <c r="M32" i="37"/>
  <c r="M23" i="32"/>
  <c r="BH60" i="42"/>
  <c r="D912" i="40"/>
  <c r="D910" i="40"/>
  <c r="D946" i="40"/>
  <c r="D853" i="40"/>
  <c r="D945" i="40"/>
  <c r="D940" i="40"/>
  <c r="D949" i="40"/>
  <c r="D944" i="40"/>
  <c r="D836" i="40"/>
  <c r="D819" i="40"/>
  <c r="D939" i="40"/>
  <c r="D947" i="40"/>
  <c r="D893" i="40"/>
  <c r="D942" i="40"/>
  <c r="D906" i="40"/>
  <c r="D860" i="40"/>
  <c r="D894" i="40"/>
  <c r="D907" i="40"/>
  <c r="D909" i="40"/>
  <c r="K323" i="50"/>
  <c r="D921" i="40"/>
  <c r="D794" i="40"/>
  <c r="D811" i="40"/>
  <c r="D813" i="40"/>
  <c r="D926" i="40"/>
  <c r="D829" i="40"/>
  <c r="D919" i="40"/>
  <c r="D878" i="40"/>
  <c r="D764" i="40"/>
  <c r="D850" i="40"/>
  <c r="D821" i="40"/>
  <c r="D801" i="40"/>
  <c r="D916" i="40"/>
  <c r="D890" i="40"/>
  <c r="D828" i="40"/>
  <c r="D808" i="40"/>
  <c r="D924" i="40"/>
  <c r="D932" i="40"/>
  <c r="D904" i="40"/>
  <c r="D920" i="40"/>
  <c r="D765" i="40"/>
  <c r="D879" i="40"/>
  <c r="D911" i="40"/>
  <c r="D900" i="40"/>
  <c r="D805" i="40"/>
  <c r="D797" i="40"/>
  <c r="D772" i="40"/>
  <c r="D851" i="40"/>
  <c r="D938" i="40"/>
  <c r="D827" i="40"/>
  <c r="D785" i="40"/>
  <c r="D875" i="40"/>
  <c r="D837" i="40"/>
  <c r="D792" i="40"/>
  <c r="D882" i="40"/>
  <c r="D768" i="40"/>
  <c r="D848" i="40"/>
  <c r="D793" i="40"/>
  <c r="D769" i="40"/>
  <c r="D839" i="40"/>
  <c r="D812" i="40"/>
  <c r="D763" i="40"/>
  <c r="D787" i="40"/>
  <c r="D923" i="40"/>
  <c r="D796" i="40"/>
  <c r="D849" i="40"/>
  <c r="D901" i="40"/>
  <c r="D806" i="40"/>
  <c r="D781" i="40"/>
  <c r="D855" i="40"/>
  <c r="D933" i="40"/>
  <c r="D777" i="40"/>
  <c r="D862" i="40"/>
  <c r="D824" i="40"/>
  <c r="D809" i="40"/>
  <c r="D934" i="40"/>
  <c r="D905" i="40"/>
  <c r="D880" i="40"/>
  <c r="D766" i="40"/>
  <c r="D795" i="40"/>
  <c r="D922" i="40"/>
  <c r="D767" i="40"/>
  <c r="D881" i="40"/>
  <c r="D791" i="40"/>
  <c r="D838" i="40"/>
  <c r="D810" i="40"/>
  <c r="D931" i="40"/>
  <c r="D895" i="40"/>
  <c r="D852" i="40"/>
  <c r="D925" i="40"/>
  <c r="D908" i="40"/>
  <c r="D840" i="40"/>
  <c r="D778" i="40"/>
  <c r="D776" i="40"/>
  <c r="D902" i="40"/>
  <c r="D903" i="40"/>
  <c r="D917" i="40"/>
  <c r="D807" i="40"/>
  <c r="D877" i="40"/>
  <c r="D918" i="40"/>
  <c r="BF60" i="42"/>
  <c r="M29" i="42"/>
  <c r="M31" i="50"/>
  <c r="P39" i="25"/>
  <c r="N32" i="50"/>
  <c r="N30" i="42"/>
  <c r="Q40" i="25"/>
  <c r="CA626" i="40"/>
  <c r="BV621" i="40"/>
  <c r="CB627" i="40"/>
  <c r="D800" i="40" s="1"/>
  <c r="BX623" i="40"/>
  <c r="BW622" i="40"/>
  <c r="BZ625" i="40"/>
  <c r="BY624" i="40"/>
  <c r="CF633" i="40"/>
  <c r="CG633" i="40" s="1"/>
  <c r="CE632" i="40"/>
  <c r="CF632" i="40" s="1"/>
  <c r="CG632" i="40" s="1"/>
  <c r="CG634" i="40"/>
  <c r="CC631" i="40"/>
  <c r="CD631" i="40" s="1"/>
  <c r="CE631" i="40" s="1"/>
  <c r="CF631" i="40" s="1"/>
  <c r="CG631" i="40" s="1"/>
  <c r="CC630" i="40"/>
  <c r="CD630" i="40" s="1"/>
  <c r="CE630" i="40" s="1"/>
  <c r="CF630" i="40" s="1"/>
  <c r="CG630" i="40" s="1"/>
  <c r="CC576" i="40"/>
  <c r="D991" i="40" s="1"/>
  <c r="CC588" i="40"/>
  <c r="CC591" i="40"/>
  <c r="D1005" i="40" s="1"/>
  <c r="CC581" i="40"/>
  <c r="CC566" i="40"/>
  <c r="CD566" i="40" s="1"/>
  <c r="CE566" i="40" s="1"/>
  <c r="CF566" i="40" s="1"/>
  <c r="CG566" i="40" s="1"/>
  <c r="CC619" i="40"/>
  <c r="D985" i="40" s="1"/>
  <c r="CC584" i="40"/>
  <c r="CC575" i="40"/>
  <c r="D990" i="40" s="1"/>
  <c r="CC577" i="40"/>
  <c r="CC614" i="40"/>
  <c r="D983" i="40" s="1"/>
  <c r="CC592" i="40"/>
  <c r="D1006" i="40" s="1"/>
  <c r="CC612" i="40"/>
  <c r="CC583" i="40"/>
  <c r="D998" i="40" s="1"/>
  <c r="CC605" i="40"/>
  <c r="D1045" i="40" s="1"/>
  <c r="CC578" i="40"/>
  <c r="CC590" i="40"/>
  <c r="CC617" i="40"/>
  <c r="D1021" i="40" s="1"/>
  <c r="CC586" i="40"/>
  <c r="CC570" i="40"/>
  <c r="CC563" i="40"/>
  <c r="CD563" i="40" s="1"/>
  <c r="CE563" i="40" s="1"/>
  <c r="CF563" i="40" s="1"/>
  <c r="CG563" i="40" s="1"/>
  <c r="CC589" i="40"/>
  <c r="D1003" i="40" s="1"/>
  <c r="CC601" i="40"/>
  <c r="CC562" i="40"/>
  <c r="CD562" i="40" s="1"/>
  <c r="CE562" i="40" s="1"/>
  <c r="CF562" i="40" s="1"/>
  <c r="CG562" i="40" s="1"/>
  <c r="CC558" i="40"/>
  <c r="CD558" i="40" s="1"/>
  <c r="CE558" i="40" s="1"/>
  <c r="CF558" i="40" s="1"/>
  <c r="CG558" i="40" s="1"/>
  <c r="CC620" i="40"/>
  <c r="CC613" i="40"/>
  <c r="D1019" i="40" s="1"/>
  <c r="CC616" i="40"/>
  <c r="CD616" i="40" s="1"/>
  <c r="CC594" i="40"/>
  <c r="D1007" i="40" s="1"/>
  <c r="CC580" i="40"/>
  <c r="CC567" i="40"/>
  <c r="CD567" i="40" s="1"/>
  <c r="CE567" i="40" s="1"/>
  <c r="CF567" i="40" s="1"/>
  <c r="CG567" i="40" s="1"/>
  <c r="CC571" i="40"/>
  <c r="CD571" i="40" s="1"/>
  <c r="CE571" i="40" s="1"/>
  <c r="CF571" i="40" s="1"/>
  <c r="CG571" i="40" s="1"/>
  <c r="CC572" i="40"/>
  <c r="CD572" i="40" s="1"/>
  <c r="CE572" i="40" s="1"/>
  <c r="CF572" i="40" s="1"/>
  <c r="CG572" i="40" s="1"/>
  <c r="CC629" i="40"/>
  <c r="D1032" i="40" s="1"/>
  <c r="CC565" i="40"/>
  <c r="CC606" i="40"/>
  <c r="D1015" i="40" s="1"/>
  <c r="CC615" i="40"/>
  <c r="CC568" i="40"/>
  <c r="CD568" i="40" s="1"/>
  <c r="D1050" i="40" s="1"/>
  <c r="CC561" i="40"/>
  <c r="CC596" i="40"/>
  <c r="CC560" i="40"/>
  <c r="CD560" i="40" s="1"/>
  <c r="CE560" i="40" s="1"/>
  <c r="CF560" i="40" s="1"/>
  <c r="CG560" i="40" s="1"/>
  <c r="CC610" i="40"/>
  <c r="D1017" i="40" s="1"/>
  <c r="CC609" i="40"/>
  <c r="CD609" i="40" s="1"/>
  <c r="CC603" i="40"/>
  <c r="D1012" i="40" s="1"/>
  <c r="CC573" i="40"/>
  <c r="CD573" i="40" s="1"/>
  <c r="CE573" i="40" s="1"/>
  <c r="CF573" i="40" s="1"/>
  <c r="CG573" i="40" s="1"/>
  <c r="CC585" i="40"/>
  <c r="CC604" i="40"/>
  <c r="CC595" i="40"/>
  <c r="CD595" i="40" s="1"/>
  <c r="CC597" i="40"/>
  <c r="CC602" i="40"/>
  <c r="D1011" i="40" s="1"/>
  <c r="CC608" i="40"/>
  <c r="D1031" i="40" s="1"/>
  <c r="CC600" i="40"/>
  <c r="D1009" i="40" s="1"/>
  <c r="CC579" i="40"/>
  <c r="CC593" i="40"/>
  <c r="D1036" i="40" s="1"/>
  <c r="CC611" i="40"/>
  <c r="D981" i="40" s="1"/>
  <c r="CC628" i="40"/>
  <c r="CD628" i="40" s="1"/>
  <c r="CE628" i="40" s="1"/>
  <c r="CF628" i="40" s="1"/>
  <c r="CG628" i="40" s="1"/>
  <c r="CC564" i="40"/>
  <c r="CD564" i="40" s="1"/>
  <c r="D1048" i="40" s="1"/>
  <c r="CC557" i="40"/>
  <c r="CD557" i="40" s="1"/>
  <c r="CE557" i="40" s="1"/>
  <c r="CF557" i="40" s="1"/>
  <c r="CG557" i="40" s="1"/>
  <c r="CC618" i="40"/>
  <c r="CD618" i="40" s="1"/>
  <c r="CC607" i="40"/>
  <c r="CC569" i="40"/>
  <c r="CD569" i="40" s="1"/>
  <c r="CC582" i="40"/>
  <c r="CC556" i="40"/>
  <c r="CD556" i="40" s="1"/>
  <c r="CE556" i="40" s="1"/>
  <c r="CF556" i="40" s="1"/>
  <c r="CG556" i="40" s="1"/>
  <c r="CC599" i="40"/>
  <c r="D1008" i="40" s="1"/>
  <c r="CC587" i="40"/>
  <c r="CC559" i="40"/>
  <c r="CD559" i="40" s="1"/>
  <c r="CE559" i="40" s="1"/>
  <c r="CF559" i="40" s="1"/>
  <c r="CG559" i="40" s="1"/>
  <c r="CC598" i="40"/>
  <c r="CD598" i="40" s="1"/>
  <c r="CC574" i="40"/>
  <c r="AO217" i="50" l="1"/>
  <c r="N129" i="25" s="1"/>
  <c r="AR60" i="42"/>
  <c r="N130" i="25"/>
  <c r="N110" i="66"/>
  <c r="B521" i="40"/>
  <c r="B239" i="65"/>
  <c r="CE569" i="40"/>
  <c r="CF569" i="40" s="1"/>
  <c r="CG569" i="40" s="1"/>
  <c r="D1051" i="40"/>
  <c r="D1061" i="40"/>
  <c r="D1127" i="40"/>
  <c r="CE616" i="40"/>
  <c r="CF616" i="40" s="1"/>
  <c r="CG616" i="40" s="1"/>
  <c r="D1117" i="40"/>
  <c r="D1071" i="40"/>
  <c r="D1138" i="40"/>
  <c r="D1062" i="40"/>
  <c r="D1128" i="40"/>
  <c r="CE609" i="40"/>
  <c r="CF609" i="40" s="1"/>
  <c r="CG609" i="40" s="1"/>
  <c r="D1067" i="40"/>
  <c r="CE618" i="40"/>
  <c r="CF618" i="40" s="1"/>
  <c r="CG618" i="40" s="1"/>
  <c r="D1118" i="40"/>
  <c r="D1140" i="40"/>
  <c r="CE568" i="40"/>
  <c r="CF568" i="40" s="1"/>
  <c r="CG568" i="40" s="1"/>
  <c r="CE564" i="40"/>
  <c r="CF564" i="40" s="1"/>
  <c r="CG564" i="40" s="1"/>
  <c r="CE595" i="40"/>
  <c r="CF595" i="40" s="1"/>
  <c r="CG595" i="40" s="1"/>
  <c r="CE598" i="40"/>
  <c r="CF598" i="40" s="1"/>
  <c r="CG598" i="40" s="1"/>
  <c r="N131" i="25"/>
  <c r="AP217" i="50"/>
  <c r="O129" i="25" s="1"/>
  <c r="D975" i="40"/>
  <c r="D1047" i="40"/>
  <c r="M128" i="25"/>
  <c r="O135" i="25" s="1"/>
  <c r="D1035" i="40"/>
  <c r="D1044" i="40"/>
  <c r="D977" i="40"/>
  <c r="D1010" i="40"/>
  <c r="D972" i="40"/>
  <c r="D1001" i="40"/>
  <c r="D979" i="40"/>
  <c r="D1014" i="40"/>
  <c r="D1040" i="40"/>
  <c r="D993" i="40"/>
  <c r="D999" i="40"/>
  <c r="D1027" i="40"/>
  <c r="D970" i="40"/>
  <c r="D1043" i="40"/>
  <c r="D1025" i="40"/>
  <c r="D995" i="40"/>
  <c r="D986" i="40"/>
  <c r="D1022" i="40"/>
  <c r="D1038" i="40"/>
  <c r="D1033" i="40"/>
  <c r="D1016" i="40"/>
  <c r="D980" i="40"/>
  <c r="D1028" i="40"/>
  <c r="D978" i="40"/>
  <c r="D1013" i="40"/>
  <c r="D1042" i="40"/>
  <c r="D997" i="40"/>
  <c r="D971" i="40"/>
  <c r="D1000" i="40"/>
  <c r="D1039" i="40"/>
  <c r="D992" i="40"/>
  <c r="D973" i="40"/>
  <c r="D1034" i="40"/>
  <c r="D1002" i="40"/>
  <c r="D1030" i="40"/>
  <c r="M108" i="66" s="1"/>
  <c r="D994" i="40"/>
  <c r="D1041" i="40"/>
  <c r="D1037" i="40"/>
  <c r="D976" i="40"/>
  <c r="D984" i="40"/>
  <c r="D1020" i="40"/>
  <c r="D1004" i="40"/>
  <c r="D974" i="40"/>
  <c r="D1024" i="40"/>
  <c r="D982" i="40"/>
  <c r="D1018" i="40"/>
  <c r="D1026" i="40"/>
  <c r="D996" i="40"/>
  <c r="CD600" i="40"/>
  <c r="CD603" i="40"/>
  <c r="CD596" i="40"/>
  <c r="CD606" i="40"/>
  <c r="CD592" i="40"/>
  <c r="CD591" i="40"/>
  <c r="CE591" i="40" s="1"/>
  <c r="CF591" i="40" s="1"/>
  <c r="CG591" i="40" s="1"/>
  <c r="CD597" i="40"/>
  <c r="CD615" i="40"/>
  <c r="CD594" i="40"/>
  <c r="CE594" i="40" s="1"/>
  <c r="CF594" i="40" s="1"/>
  <c r="CG594" i="40" s="1"/>
  <c r="CD612" i="40"/>
  <c r="CD599" i="40"/>
  <c r="CD607" i="40"/>
  <c r="CD611" i="40"/>
  <c r="CD608" i="40"/>
  <c r="CD604" i="40"/>
  <c r="CE604" i="40" s="1"/>
  <c r="CF604" i="40" s="1"/>
  <c r="CG604" i="40" s="1"/>
  <c r="CD613" i="40"/>
  <c r="CD601" i="40"/>
  <c r="CE601" i="40" s="1"/>
  <c r="CF601" i="40" s="1"/>
  <c r="CG601" i="40" s="1"/>
  <c r="CD605" i="40"/>
  <c r="CD614" i="40"/>
  <c r="CD619" i="40"/>
  <c r="CD588" i="40"/>
  <c r="CD587" i="40"/>
  <c r="CD593" i="40"/>
  <c r="CD602" i="40"/>
  <c r="CD610" i="40"/>
  <c r="CE610" i="40" s="1"/>
  <c r="CF610" i="40" s="1"/>
  <c r="CG610" i="40" s="1"/>
  <c r="CD620" i="40"/>
  <c r="CD589" i="40"/>
  <c r="CD617" i="40"/>
  <c r="D1171" i="40" s="1"/>
  <c r="CD570" i="40"/>
  <c r="CE570" i="40" s="1"/>
  <c r="CF570" i="40" s="1"/>
  <c r="CG570" i="40" s="1"/>
  <c r="D959" i="40"/>
  <c r="CD561" i="40"/>
  <c r="CE561" i="40" s="1"/>
  <c r="CF561" i="40" s="1"/>
  <c r="CG561" i="40" s="1"/>
  <c r="D957" i="40"/>
  <c r="CD565" i="40"/>
  <c r="D1049" i="40" s="1"/>
  <c r="D958" i="40"/>
  <c r="CD586" i="40"/>
  <c r="CD578" i="40"/>
  <c r="D964" i="40"/>
  <c r="CD582" i="40"/>
  <c r="D968" i="40"/>
  <c r="CD585" i="40"/>
  <c r="CD580" i="40"/>
  <c r="D966" i="40"/>
  <c r="CD583" i="40"/>
  <c r="D969" i="40"/>
  <c r="CD577" i="40"/>
  <c r="D963" i="40"/>
  <c r="CD576" i="40"/>
  <c r="D962" i="40"/>
  <c r="CD574" i="40"/>
  <c r="D960" i="40"/>
  <c r="CD584" i="40"/>
  <c r="D1163" i="40" s="1"/>
  <c r="CD579" i="40"/>
  <c r="D965" i="40"/>
  <c r="CD575" i="40"/>
  <c r="D961" i="40"/>
  <c r="CD581" i="40"/>
  <c r="D967" i="40"/>
  <c r="AZ217" i="50"/>
  <c r="J312" i="50" s="1"/>
  <c r="CD590" i="40"/>
  <c r="D956" i="40"/>
  <c r="M31" i="37"/>
  <c r="N324" i="50"/>
  <c r="CD629" i="40"/>
  <c r="CE629" i="40" s="1"/>
  <c r="CF629" i="40" s="1"/>
  <c r="CG629" i="40" s="1"/>
  <c r="D955" i="40"/>
  <c r="D844" i="40"/>
  <c r="D952" i="40"/>
  <c r="D758" i="40"/>
  <c r="D755" i="40"/>
  <c r="L323" i="50"/>
  <c r="CC627" i="40"/>
  <c r="CD627" i="40" s="1"/>
  <c r="CE627" i="40" s="1"/>
  <c r="CF627" i="40" s="1"/>
  <c r="CG627" i="40" s="1"/>
  <c r="D937" i="40"/>
  <c r="BA217" i="50"/>
  <c r="K312" i="50" s="1"/>
  <c r="D757" i="40"/>
  <c r="D756" i="40"/>
  <c r="AX60" i="42"/>
  <c r="BN60" i="42" s="1"/>
  <c r="BV60" i="42" s="1"/>
  <c r="N29" i="42"/>
  <c r="N31" i="50"/>
  <c r="Q39" i="25"/>
  <c r="BI60" i="42"/>
  <c r="BZ624" i="40"/>
  <c r="BX622" i="40"/>
  <c r="BY623" i="40"/>
  <c r="BW621" i="40"/>
  <c r="CA625" i="40"/>
  <c r="CB626" i="40"/>
  <c r="J85" i="42" l="1"/>
  <c r="J84" i="42"/>
  <c r="AS60" i="42"/>
  <c r="O130" i="25"/>
  <c r="AY60" i="42"/>
  <c r="BO60" i="42" s="1"/>
  <c r="O131" i="25"/>
  <c r="B522" i="40"/>
  <c r="B240" i="65"/>
  <c r="CE584" i="40"/>
  <c r="CF584" i="40" s="1"/>
  <c r="CG584" i="40" s="1"/>
  <c r="D1106" i="40"/>
  <c r="D1168" i="40"/>
  <c r="D1164" i="40"/>
  <c r="D1084" i="40"/>
  <c r="CE583" i="40"/>
  <c r="CF583" i="40" s="1"/>
  <c r="CG583" i="40" s="1"/>
  <c r="D1060" i="40"/>
  <c r="D1083" i="40"/>
  <c r="D1105" i="40"/>
  <c r="CE586" i="40"/>
  <c r="CF586" i="40" s="1"/>
  <c r="CG586" i="40" s="1"/>
  <c r="D1085" i="40"/>
  <c r="D1154" i="40"/>
  <c r="CE593" i="40"/>
  <c r="CF593" i="40" s="1"/>
  <c r="CG593" i="40" s="1"/>
  <c r="D1088" i="40"/>
  <c r="CE575" i="40"/>
  <c r="CF575" i="40" s="1"/>
  <c r="CG575" i="40" s="1"/>
  <c r="D1075" i="40"/>
  <c r="D1052" i="40"/>
  <c r="CE582" i="40"/>
  <c r="CF582" i="40" s="1"/>
  <c r="CG582" i="40" s="1"/>
  <c r="D1167" i="40"/>
  <c r="D1082" i="40"/>
  <c r="D1059" i="40"/>
  <c r="CE587" i="40"/>
  <c r="CF587" i="40" s="1"/>
  <c r="CG587" i="40" s="1"/>
  <c r="D1126" i="40"/>
  <c r="N108" i="66" s="1"/>
  <c r="N113" i="66" s="1"/>
  <c r="D1107" i="40"/>
  <c r="CE608" i="40"/>
  <c r="CF608" i="40" s="1"/>
  <c r="CG608" i="40" s="1"/>
  <c r="D1133" i="40"/>
  <c r="D1066" i="40"/>
  <c r="D1113" i="40"/>
  <c r="CE612" i="40"/>
  <c r="CF612" i="40" s="1"/>
  <c r="CG612" i="40" s="1"/>
  <c r="D1114" i="40"/>
  <c r="D1162" i="40"/>
  <c r="D1068" i="40"/>
  <c r="CE603" i="40"/>
  <c r="CF603" i="40" s="1"/>
  <c r="CG603" i="40" s="1"/>
  <c r="D1065" i="40"/>
  <c r="D1160" i="40"/>
  <c r="D1092" i="40"/>
  <c r="CE574" i="40"/>
  <c r="CF574" i="40" s="1"/>
  <c r="CG574" i="40" s="1"/>
  <c r="D1148" i="40"/>
  <c r="CE577" i="40"/>
  <c r="CF577" i="40" s="1"/>
  <c r="CG577" i="40" s="1"/>
  <c r="D1077" i="40"/>
  <c r="D1150" i="40"/>
  <c r="D1054" i="40"/>
  <c r="D1166" i="40"/>
  <c r="D1101" i="40"/>
  <c r="D1102" i="40"/>
  <c r="D1057" i="40"/>
  <c r="D1151" i="40"/>
  <c r="D1080" i="40"/>
  <c r="CE588" i="40"/>
  <c r="CF588" i="40" s="1"/>
  <c r="CG588" i="40" s="1"/>
  <c r="D1155" i="40"/>
  <c r="D1108" i="40"/>
  <c r="CE611" i="40"/>
  <c r="CF611" i="40" s="1"/>
  <c r="CG611" i="40" s="1"/>
  <c r="D1134" i="40"/>
  <c r="CE592" i="40"/>
  <c r="CF592" i="40" s="1"/>
  <c r="CG592" i="40" s="1"/>
  <c r="D1157" i="40"/>
  <c r="D1090" i="40"/>
  <c r="D1111" i="40"/>
  <c r="D1129" i="40"/>
  <c r="CE590" i="40"/>
  <c r="CF590" i="40" s="1"/>
  <c r="CG590" i="40" s="1"/>
  <c r="D1156" i="40"/>
  <c r="D1109" i="40"/>
  <c r="D1087" i="40"/>
  <c r="CE576" i="40"/>
  <c r="CF576" i="40" s="1"/>
  <c r="CG576" i="40" s="1"/>
  <c r="D1149" i="40"/>
  <c r="D1053" i="40"/>
  <c r="D1165" i="40"/>
  <c r="D1076" i="40"/>
  <c r="CE589" i="40"/>
  <c r="CF589" i="40" s="1"/>
  <c r="CG589" i="40" s="1"/>
  <c r="D1170" i="40"/>
  <c r="D1086" i="40"/>
  <c r="CE614" i="40"/>
  <c r="CF614" i="40" s="1"/>
  <c r="CG614" i="40" s="1"/>
  <c r="D1069" i="40"/>
  <c r="D1136" i="40"/>
  <c r="D1115" i="40"/>
  <c r="CE599" i="40"/>
  <c r="CF599" i="40" s="1"/>
  <c r="CG599" i="40" s="1"/>
  <c r="D1110" i="40"/>
  <c r="D1063" i="40"/>
  <c r="CE597" i="40"/>
  <c r="CF597" i="40" s="1"/>
  <c r="CG597" i="40" s="1"/>
  <c r="D1159" i="40"/>
  <c r="CE596" i="40"/>
  <c r="CF596" i="40" s="1"/>
  <c r="CG596" i="40" s="1"/>
  <c r="D1158" i="40"/>
  <c r="D1089" i="40"/>
  <c r="CE620" i="40"/>
  <c r="CF620" i="40" s="1"/>
  <c r="CG620" i="40" s="1"/>
  <c r="D1120" i="40"/>
  <c r="D1131" i="40"/>
  <c r="D1093" i="40"/>
  <c r="CE581" i="40"/>
  <c r="CF581" i="40" s="1"/>
  <c r="CG581" i="40" s="1"/>
  <c r="D1058" i="40"/>
  <c r="D1152" i="40"/>
  <c r="D1104" i="40"/>
  <c r="D1103" i="40"/>
  <c r="D1081" i="40"/>
  <c r="CE579" i="40"/>
  <c r="CF579" i="40" s="1"/>
  <c r="CG579" i="40" s="1"/>
  <c r="D1056" i="40"/>
  <c r="D1079" i="40"/>
  <c r="CE585" i="40"/>
  <c r="CF585" i="40" s="1"/>
  <c r="CG585" i="40" s="1"/>
  <c r="D1153" i="40"/>
  <c r="D1169" i="40"/>
  <c r="CE578" i="40"/>
  <c r="CF578" i="40" s="1"/>
  <c r="CG578" i="40" s="1"/>
  <c r="D1055" i="40"/>
  <c r="D1078" i="40"/>
  <c r="CE617" i="40"/>
  <c r="CF617" i="40" s="1"/>
  <c r="CG617" i="40" s="1"/>
  <c r="D1139" i="40"/>
  <c r="D1097" i="40"/>
  <c r="D1099" i="40"/>
  <c r="D1091" i="40"/>
  <c r="D1130" i="40"/>
  <c r="D1112" i="40"/>
  <c r="D1064" i="40"/>
  <c r="CE619" i="40"/>
  <c r="CF619" i="40" s="1"/>
  <c r="CG619" i="40" s="1"/>
  <c r="D1098" i="40"/>
  <c r="D1072" i="40"/>
  <c r="D1119" i="40"/>
  <c r="D1141" i="40"/>
  <c r="CE613" i="40"/>
  <c r="CF613" i="40" s="1"/>
  <c r="CG613" i="40" s="1"/>
  <c r="D1135" i="40"/>
  <c r="D1100" i="40"/>
  <c r="D1095" i="40"/>
  <c r="CE607" i="40"/>
  <c r="CF607" i="40" s="1"/>
  <c r="CG607" i="40" s="1"/>
  <c r="D1094" i="40"/>
  <c r="CE615" i="40"/>
  <c r="CF615" i="40" s="1"/>
  <c r="CG615" i="40" s="1"/>
  <c r="D1137" i="40"/>
  <c r="D1070" i="40"/>
  <c r="D1116" i="40"/>
  <c r="D1096" i="40"/>
  <c r="D1161" i="40"/>
  <c r="D1132" i="40"/>
  <c r="CE602" i="40"/>
  <c r="CF602" i="40" s="1"/>
  <c r="CG602" i="40" s="1"/>
  <c r="CE605" i="40"/>
  <c r="CF605" i="40" s="1"/>
  <c r="CG605" i="40" s="1"/>
  <c r="CE580" i="40"/>
  <c r="CF580" i="40" s="1"/>
  <c r="CG580" i="40" s="1"/>
  <c r="CE565" i="40"/>
  <c r="CF565" i="40" s="1"/>
  <c r="CG565" i="40" s="1"/>
  <c r="CE600" i="40"/>
  <c r="CF600" i="40" s="1"/>
  <c r="CG600" i="40" s="1"/>
  <c r="CE606" i="40"/>
  <c r="CF606" i="40" s="1"/>
  <c r="CG606" i="40" s="1"/>
  <c r="BB217" i="50"/>
  <c r="L312" i="50" s="1"/>
  <c r="AQ217" i="50"/>
  <c r="P129" i="25" s="1"/>
  <c r="M112" i="66"/>
  <c r="N112" i="66"/>
  <c r="AZ61" i="50"/>
  <c r="D779" i="40"/>
  <c r="D835" i="40"/>
  <c r="D818" i="40"/>
  <c r="N128" i="25"/>
  <c r="P135" i="25" s="1"/>
  <c r="AZ122" i="50"/>
  <c r="P131" i="25"/>
  <c r="AZ60" i="42"/>
  <c r="BP60" i="42" s="1"/>
  <c r="BX60" i="42" s="1"/>
  <c r="BJ60" i="42"/>
  <c r="D732" i="40"/>
  <c r="D731" i="40"/>
  <c r="D951" i="40"/>
  <c r="D898" i="40"/>
  <c r="D858" i="40"/>
  <c r="D859" i="40"/>
  <c r="D889" i="40"/>
  <c r="D930" i="40"/>
  <c r="BW60" i="42"/>
  <c r="M323" i="50"/>
  <c r="D826" i="40"/>
  <c r="D915" i="40"/>
  <c r="D874" i="40"/>
  <c r="D740" i="40"/>
  <c r="D709" i="40"/>
  <c r="D741" i="40"/>
  <c r="BX621" i="40"/>
  <c r="CC626" i="40"/>
  <c r="CD626" i="40" s="1"/>
  <c r="BY622" i="40"/>
  <c r="CB625" i="40"/>
  <c r="BZ623" i="40"/>
  <c r="CA624" i="40"/>
  <c r="K85" i="42" l="1"/>
  <c r="K84" i="42"/>
  <c r="AT60" i="42"/>
  <c r="Q130" i="25" s="1"/>
  <c r="P130" i="25"/>
  <c r="L85" i="42"/>
  <c r="L84" i="42"/>
  <c r="B523" i="40"/>
  <c r="B241" i="65"/>
  <c r="CE626" i="40"/>
  <c r="CF626" i="40" s="1"/>
  <c r="CG626" i="40" s="1"/>
  <c r="D1125" i="40"/>
  <c r="D1147" i="40"/>
  <c r="J205" i="50"/>
  <c r="AR217" i="50"/>
  <c r="Q129" i="25" s="1"/>
  <c r="BC217" i="50"/>
  <c r="M312" i="50" s="1"/>
  <c r="O128" i="25"/>
  <c r="J208" i="50"/>
  <c r="J325" i="50" s="1"/>
  <c r="D834" i="40"/>
  <c r="D790" i="40"/>
  <c r="L47" i="32"/>
  <c r="BA61" i="50"/>
  <c r="K205" i="50" s="1"/>
  <c r="BA60" i="42"/>
  <c r="BQ60" i="42" s="1"/>
  <c r="BY60" i="42" s="1"/>
  <c r="BB61" i="50"/>
  <c r="L205" i="50" s="1"/>
  <c r="D897" i="40"/>
  <c r="D865" i="40"/>
  <c r="N323" i="50"/>
  <c r="D888" i="40"/>
  <c r="D914" i="40"/>
  <c r="D873" i="40"/>
  <c r="CA623" i="40"/>
  <c r="D674" i="40" s="1"/>
  <c r="CB624" i="40"/>
  <c r="D929" i="40" s="1"/>
  <c r="CC625" i="40"/>
  <c r="CD625" i="40" s="1"/>
  <c r="BZ622" i="40"/>
  <c r="BY621" i="40"/>
  <c r="Q131" i="25" l="1"/>
  <c r="M85" i="42"/>
  <c r="L37" i="32" s="1"/>
  <c r="M84" i="42"/>
  <c r="L36" i="32" s="1"/>
  <c r="B524" i="40"/>
  <c r="B242" i="65"/>
  <c r="CE625" i="40"/>
  <c r="CF625" i="40" s="1"/>
  <c r="CG625" i="40" s="1"/>
  <c r="D1124" i="40"/>
  <c r="J322" i="50"/>
  <c r="J330" i="50" s="1"/>
  <c r="P128" i="25"/>
  <c r="D789" i="40"/>
  <c r="D833" i="40"/>
  <c r="K322" i="50"/>
  <c r="K330" i="50" s="1"/>
  <c r="Q128" i="25"/>
  <c r="BD217" i="50"/>
  <c r="N312" i="50" s="1"/>
  <c r="L322" i="50"/>
  <c r="L330" i="50" s="1"/>
  <c r="BB60" i="42"/>
  <c r="BR60" i="42" s="1"/>
  <c r="BZ60" i="42" s="1"/>
  <c r="BC61" i="50"/>
  <c r="M205" i="50" s="1"/>
  <c r="D681" i="40"/>
  <c r="D668" i="40"/>
  <c r="D887" i="40"/>
  <c r="D950" i="40"/>
  <c r="D864" i="40"/>
  <c r="D935" i="40"/>
  <c r="D784" i="40"/>
  <c r="CA622" i="40"/>
  <c r="D759" i="40" s="1"/>
  <c r="CC624" i="40"/>
  <c r="CD624" i="40" s="1"/>
  <c r="BZ621" i="40"/>
  <c r="CB623" i="40"/>
  <c r="D817" i="40" s="1"/>
  <c r="B525" i="40" l="1"/>
  <c r="B243" i="65"/>
  <c r="CE624" i="40"/>
  <c r="CF624" i="40" s="1"/>
  <c r="CG624" i="40" s="1"/>
  <c r="D1146" i="40"/>
  <c r="D1123" i="40"/>
  <c r="D788" i="40"/>
  <c r="D883" i="40"/>
  <c r="D775" i="40"/>
  <c r="M322" i="50"/>
  <c r="M330" i="50" s="1"/>
  <c r="BD61" i="50"/>
  <c r="N205" i="50" s="1"/>
  <c r="D863" i="40"/>
  <c r="D896" i="40"/>
  <c r="D868" i="40"/>
  <c r="D928" i="40"/>
  <c r="D783" i="40"/>
  <c r="D913" i="40"/>
  <c r="D750" i="40"/>
  <c r="D717" i="40"/>
  <c r="D708" i="40"/>
  <c r="CC623" i="40"/>
  <c r="D989" i="40" s="1"/>
  <c r="CA621" i="40"/>
  <c r="D673" i="40" s="1"/>
  <c r="CB622" i="40"/>
  <c r="B526" i="40" l="1"/>
  <c r="B244" i="65"/>
  <c r="L43" i="32"/>
  <c r="D774" i="40"/>
  <c r="D831" i="40"/>
  <c r="D771" i="40"/>
  <c r="D799" i="40"/>
  <c r="D832" i="40"/>
  <c r="D936" i="40"/>
  <c r="CD623" i="40"/>
  <c r="N322" i="50"/>
  <c r="D820" i="40"/>
  <c r="D872" i="40"/>
  <c r="D751" i="40"/>
  <c r="D667" i="40"/>
  <c r="D1175" i="40" s="1"/>
  <c r="D867" i="40"/>
  <c r="D886" i="40"/>
  <c r="D885" i="40"/>
  <c r="D843" i="40"/>
  <c r="D870" i="40"/>
  <c r="D823" i="40"/>
  <c r="D752" i="40"/>
  <c r="D680" i="40"/>
  <c r="D1176" i="40" s="1"/>
  <c r="D707" i="40"/>
  <c r="CC622" i="40"/>
  <c r="D1046" i="40" s="1"/>
  <c r="CB621" i="40"/>
  <c r="D816" i="40" s="1"/>
  <c r="B527" i="40" l="1"/>
  <c r="B245" i="65"/>
  <c r="CE623" i="40"/>
  <c r="CF623" i="40" s="1"/>
  <c r="CG623" i="40" s="1"/>
  <c r="D1145" i="40"/>
  <c r="D871" i="40"/>
  <c r="D773" i="40"/>
  <c r="D802" i="40"/>
  <c r="D830" i="40"/>
  <c r="D798" i="40"/>
  <c r="D770" i="40"/>
  <c r="D803" i="40"/>
  <c r="D927" i="40"/>
  <c r="D822" i="40"/>
  <c r="K111" i="25"/>
  <c r="N114" i="25" s="1"/>
  <c r="D988" i="40"/>
  <c r="D1023" i="40"/>
  <c r="F1176" i="40" s="1"/>
  <c r="CD622" i="40"/>
  <c r="K110" i="25"/>
  <c r="D876" i="40"/>
  <c r="D847" i="40"/>
  <c r="D857" i="40"/>
  <c r="D866" i="40"/>
  <c r="D884" i="40"/>
  <c r="D842" i="40"/>
  <c r="D782" i="40"/>
  <c r="D856" i="40"/>
  <c r="D841" i="40"/>
  <c r="D869" i="40"/>
  <c r="D861" i="40"/>
  <c r="L108" i="66" s="1"/>
  <c r="D845" i="40"/>
  <c r="D846" i="40"/>
  <c r="D815" i="40"/>
  <c r="CC621" i="40"/>
  <c r="E1176" i="40" l="1"/>
  <c r="L111" i="25" s="1"/>
  <c r="B528" i="40"/>
  <c r="B246" i="65"/>
  <c r="CE622" i="40"/>
  <c r="CF622" i="40" s="1"/>
  <c r="CG622" i="40" s="1"/>
  <c r="D1074" i="40"/>
  <c r="D1122" i="40"/>
  <c r="D1144" i="40"/>
  <c r="M111" i="66"/>
  <c r="O115" i="66" s="1"/>
  <c r="O126" i="66" s="1"/>
  <c r="P113" i="25"/>
  <c r="N113" i="25"/>
  <c r="M113" i="25"/>
  <c r="O113" i="25"/>
  <c r="P114" i="25"/>
  <c r="O114" i="25"/>
  <c r="E1175" i="40"/>
  <c r="L110" i="25" s="1"/>
  <c r="M115" i="25" s="1"/>
  <c r="D987" i="40"/>
  <c r="D1029" i="40"/>
  <c r="CD621" i="40"/>
  <c r="D1142" i="40" s="1"/>
  <c r="M114" i="25"/>
  <c r="H16" i="32"/>
  <c r="F12" i="32"/>
  <c r="M122" i="25" l="1"/>
  <c r="B529" i="40"/>
  <c r="B247" i="65"/>
  <c r="N116" i="25"/>
  <c r="M116" i="25"/>
  <c r="CE621" i="40"/>
  <c r="CF621" i="40" s="1"/>
  <c r="CG621" i="40" s="1"/>
  <c r="D1073" i="40"/>
  <c r="D1143" i="40"/>
  <c r="D1121" i="40"/>
  <c r="N111" i="66"/>
  <c r="P115" i="66" s="1"/>
  <c r="P126" i="66" s="1"/>
  <c r="I32" i="32"/>
  <c r="I59" i="32" s="1"/>
  <c r="F1175" i="40"/>
  <c r="M110" i="25" s="1"/>
  <c r="M117" i="25" s="1"/>
  <c r="M111" i="25"/>
  <c r="N118" i="25" s="1"/>
  <c r="N115" i="25"/>
  <c r="O115" i="25"/>
  <c r="P115" i="25"/>
  <c r="P116" i="25"/>
  <c r="O116" i="25"/>
  <c r="J32" i="32" l="1"/>
  <c r="N122" i="25"/>
  <c r="G1176" i="40"/>
  <c r="N111" i="25" s="1"/>
  <c r="B530" i="40"/>
  <c r="B248" i="65"/>
  <c r="G1175" i="40"/>
  <c r="N110" i="25" s="1"/>
  <c r="L52" i="32"/>
  <c r="K32" i="32"/>
  <c r="K59" i="32" s="1"/>
  <c r="J59" i="32"/>
  <c r="P118" i="25"/>
  <c r="M118" i="25"/>
  <c r="O118" i="25"/>
  <c r="N117" i="25"/>
  <c r="O117" i="25"/>
  <c r="P117" i="25"/>
  <c r="O122" i="25" l="1"/>
  <c r="O120" i="25"/>
  <c r="P120" i="25"/>
  <c r="N120" i="25"/>
  <c r="B531" i="40"/>
  <c r="B249" i="65"/>
  <c r="N119" i="25"/>
  <c r="P119" i="25"/>
  <c r="O119" i="25"/>
  <c r="P122" i="25" l="1"/>
  <c r="L46" i="32" s="1"/>
  <c r="L59" i="32" s="1"/>
  <c r="B532" i="40"/>
  <c r="B250" i="65"/>
  <c r="L38" i="32"/>
  <c r="B533" i="40" l="1"/>
  <c r="B251" i="65"/>
  <c r="L31" i="34"/>
  <c r="L33" i="34" s="1"/>
  <c r="B534" i="40" l="1"/>
  <c r="B252" i="65"/>
  <c r="L34" i="34"/>
  <c r="B535" i="40" l="1"/>
  <c r="B253" i="65"/>
  <c r="L51" i="34"/>
  <c r="L38" i="34"/>
  <c r="L39" i="34" s="1"/>
  <c r="B536" i="40" l="1"/>
  <c r="B254" i="65"/>
  <c r="L44" i="34"/>
  <c r="F88" i="36" s="1"/>
  <c r="H150" i="36" s="1"/>
  <c r="L45" i="34"/>
  <c r="F89" i="36" s="1"/>
  <c r="L47" i="34"/>
  <c r="F91" i="36" s="1"/>
  <c r="L46" i="34"/>
  <c r="F90" i="36" s="1"/>
  <c r="L43" i="34"/>
  <c r="B537" i="40" l="1"/>
  <c r="B255" i="65"/>
  <c r="R161" i="36"/>
  <c r="P160" i="36"/>
  <c r="R159" i="36"/>
  <c r="R158" i="36"/>
  <c r="P157" i="36"/>
  <c r="R156" i="36"/>
  <c r="R155" i="36"/>
  <c r="P154" i="36"/>
  <c r="R153" i="36"/>
  <c r="R152" i="36"/>
  <c r="P151" i="36"/>
  <c r="R150" i="36"/>
  <c r="N150" i="36"/>
  <c r="Q161" i="36"/>
  <c r="Q159" i="36"/>
  <c r="Q158" i="36"/>
  <c r="Q156" i="36"/>
  <c r="Q155" i="36"/>
  <c r="Q153" i="36"/>
  <c r="Q152" i="36"/>
  <c r="Q150" i="36"/>
  <c r="P161" i="36"/>
  <c r="R160" i="36"/>
  <c r="P159" i="36"/>
  <c r="P158" i="36"/>
  <c r="R157" i="36"/>
  <c r="P156" i="36"/>
  <c r="P155" i="36"/>
  <c r="R154" i="36"/>
  <c r="P153" i="36"/>
  <c r="P152" i="36"/>
  <c r="R151" i="36"/>
  <c r="P150" i="36"/>
  <c r="Q160" i="36"/>
  <c r="O159" i="36"/>
  <c r="Q157" i="36"/>
  <c r="O156" i="36"/>
  <c r="Q154" i="36"/>
  <c r="O153" i="36"/>
  <c r="Q151" i="36"/>
  <c r="O150" i="36"/>
  <c r="K161" i="36"/>
  <c r="L159" i="36"/>
  <c r="K158" i="36"/>
  <c r="L156" i="36"/>
  <c r="K155" i="36"/>
  <c r="L153" i="36"/>
  <c r="K152" i="36"/>
  <c r="I150" i="36"/>
  <c r="J161" i="36"/>
  <c r="L160" i="36"/>
  <c r="K159" i="36"/>
  <c r="J158" i="36"/>
  <c r="L157" i="36"/>
  <c r="K156" i="36"/>
  <c r="J155" i="36"/>
  <c r="L154" i="36"/>
  <c r="K153" i="36"/>
  <c r="J152" i="36"/>
  <c r="L151" i="36"/>
  <c r="L150" i="36"/>
  <c r="K160" i="36"/>
  <c r="J159" i="36"/>
  <c r="K157" i="36"/>
  <c r="J156" i="36"/>
  <c r="K154" i="36"/>
  <c r="J153" i="36"/>
  <c r="K151" i="36"/>
  <c r="K150" i="36"/>
  <c r="L161" i="36"/>
  <c r="J160" i="36"/>
  <c r="I159" i="36"/>
  <c r="L158" i="36"/>
  <c r="J157" i="36"/>
  <c r="I156" i="36"/>
  <c r="L155" i="36"/>
  <c r="J154" i="36"/>
  <c r="I153" i="36"/>
  <c r="L152" i="36"/>
  <c r="J151" i="36"/>
  <c r="J150" i="36"/>
  <c r="L117" i="36"/>
  <c r="L35" i="21" s="1"/>
  <c r="J119" i="36"/>
  <c r="J37" i="21" s="1"/>
  <c r="L123" i="36"/>
  <c r="L41" i="21" s="1"/>
  <c r="L126" i="36"/>
  <c r="L44" i="21" s="1"/>
  <c r="L115" i="36"/>
  <c r="L33" i="21" s="1"/>
  <c r="K125" i="36"/>
  <c r="K43" i="21" s="1"/>
  <c r="J126" i="36"/>
  <c r="J44" i="21" s="1"/>
  <c r="K121" i="36"/>
  <c r="K39" i="21" s="1"/>
  <c r="J122" i="36"/>
  <c r="J40" i="21" s="1"/>
  <c r="J117" i="36"/>
  <c r="J35" i="21" s="1"/>
  <c r="J116" i="36"/>
  <c r="J34" i="21" s="1"/>
  <c r="H67" i="21"/>
  <c r="L122" i="36"/>
  <c r="L40" i="21" s="1"/>
  <c r="K126" i="36"/>
  <c r="K44" i="21" s="1"/>
  <c r="I190" i="36"/>
  <c r="I107" i="21" s="1"/>
  <c r="J125" i="36"/>
  <c r="J43" i="21" s="1"/>
  <c r="K118" i="36"/>
  <c r="K36" i="21" s="1"/>
  <c r="J120" i="36"/>
  <c r="J38" i="21" s="1"/>
  <c r="I118" i="36"/>
  <c r="I36" i="21" s="1"/>
  <c r="K116" i="36"/>
  <c r="K34" i="21" s="1"/>
  <c r="J118" i="36"/>
  <c r="J36" i="21" s="1"/>
  <c r="K120" i="36"/>
  <c r="K38" i="21" s="1"/>
  <c r="J121" i="36"/>
  <c r="J39" i="21" s="1"/>
  <c r="J115" i="36"/>
  <c r="J33" i="21" s="1"/>
  <c r="L119" i="36"/>
  <c r="L37" i="21" s="1"/>
  <c r="I121" i="36"/>
  <c r="I39" i="21" s="1"/>
  <c r="J124" i="36"/>
  <c r="J42" i="21" s="1"/>
  <c r="L125" i="36"/>
  <c r="L43" i="21" s="1"/>
  <c r="K119" i="36"/>
  <c r="K37" i="21" s="1"/>
  <c r="L118" i="36"/>
  <c r="L36" i="21" s="1"/>
  <c r="K124" i="36"/>
  <c r="K42" i="21" s="1"/>
  <c r="L124" i="36"/>
  <c r="L42" i="21" s="1"/>
  <c r="K117" i="36"/>
  <c r="K35" i="21" s="1"/>
  <c r="L120" i="36"/>
  <c r="L38" i="21" s="1"/>
  <c r="K122" i="36"/>
  <c r="K40" i="21" s="1"/>
  <c r="L121" i="36"/>
  <c r="L39" i="21" s="1"/>
  <c r="J123" i="36"/>
  <c r="J41" i="21" s="1"/>
  <c r="I115" i="36"/>
  <c r="I33" i="21" s="1"/>
  <c r="K115" i="36"/>
  <c r="K33" i="21" s="1"/>
  <c r="I124" i="36"/>
  <c r="I42" i="21" s="1"/>
  <c r="L116" i="36"/>
  <c r="L34" i="21" s="1"/>
  <c r="K123" i="36"/>
  <c r="K41" i="21" s="1"/>
  <c r="H115" i="36"/>
  <c r="H33" i="21" s="1"/>
  <c r="F87" i="36"/>
  <c r="L52" i="34"/>
  <c r="L54" i="34" s="1"/>
  <c r="T133" i="36"/>
  <c r="U97" i="36"/>
  <c r="U16" i="21" s="1"/>
  <c r="X97" i="36"/>
  <c r="X16" i="21" s="1"/>
  <c r="R108" i="36"/>
  <c r="R27" i="21" s="1"/>
  <c r="R106" i="36"/>
  <c r="R25" i="21" s="1"/>
  <c r="Q136" i="36"/>
  <c r="Q102" i="36"/>
  <c r="Q21" i="21" s="1"/>
  <c r="P103" i="36"/>
  <c r="P22" i="21" s="1"/>
  <c r="J184" i="36"/>
  <c r="J101" i="21" s="1"/>
  <c r="R136" i="36"/>
  <c r="O97" i="36"/>
  <c r="O16" i="21" s="1"/>
  <c r="O184" i="36"/>
  <c r="O101" i="21" s="1"/>
  <c r="O142" i="36"/>
  <c r="R103" i="36"/>
  <c r="R22" i="21" s="1"/>
  <c r="J186" i="36"/>
  <c r="J103" i="21" s="1"/>
  <c r="Q106" i="36"/>
  <c r="Q25" i="21" s="1"/>
  <c r="R101" i="36"/>
  <c r="R20" i="21" s="1"/>
  <c r="J191" i="36"/>
  <c r="J108" i="21" s="1"/>
  <c r="Q142" i="36"/>
  <c r="O103" i="36"/>
  <c r="O22" i="21" s="1"/>
  <c r="R105" i="36"/>
  <c r="R24" i="21" s="1"/>
  <c r="P142" i="36"/>
  <c r="I184" i="36"/>
  <c r="I101" i="21" s="1"/>
  <c r="J192" i="36"/>
  <c r="J109" i="21" s="1"/>
  <c r="O193" i="36"/>
  <c r="O110" i="21" s="1"/>
  <c r="Q105" i="36"/>
  <c r="Q24" i="21" s="1"/>
  <c r="P135" i="36"/>
  <c r="Q100" i="36"/>
  <c r="Q19" i="21" s="1"/>
  <c r="I193" i="36"/>
  <c r="I110" i="21" s="1"/>
  <c r="P140" i="36"/>
  <c r="O139" i="36"/>
  <c r="Q138" i="36"/>
  <c r="P106" i="36"/>
  <c r="P25" i="21" s="1"/>
  <c r="Q137" i="36"/>
  <c r="P143" i="36"/>
  <c r="Q101" i="36"/>
  <c r="Q20" i="21" s="1"/>
  <c r="Q134" i="36"/>
  <c r="P133" i="36"/>
  <c r="R98" i="36"/>
  <c r="R17" i="21" s="1"/>
  <c r="N133" i="36"/>
  <c r="Q139" i="36"/>
  <c r="O190" i="36"/>
  <c r="O107" i="21" s="1"/>
  <c r="O100" i="36"/>
  <c r="O19" i="21" s="1"/>
  <c r="J195" i="36"/>
  <c r="J112" i="21" s="1"/>
  <c r="Q108" i="36"/>
  <c r="Q27" i="21" s="1"/>
  <c r="P137" i="36"/>
  <c r="P191" i="36"/>
  <c r="P108" i="21" s="1"/>
  <c r="J188" i="36"/>
  <c r="J105" i="21" s="1"/>
  <c r="P136" i="36"/>
  <c r="J193" i="36"/>
  <c r="J110" i="21" s="1"/>
  <c r="R102" i="36"/>
  <c r="R21" i="21" s="1"/>
  <c r="H184" i="36"/>
  <c r="H101" i="21" s="1"/>
  <c r="Q133" i="36"/>
  <c r="R133" i="36"/>
  <c r="R135" i="36"/>
  <c r="R138" i="36"/>
  <c r="P195" i="36"/>
  <c r="P112" i="21" s="1"/>
  <c r="J185" i="36"/>
  <c r="J102" i="21" s="1"/>
  <c r="J187" i="36"/>
  <c r="J104" i="21" s="1"/>
  <c r="R126" i="36"/>
  <c r="R44" i="21" s="1"/>
  <c r="P120" i="36"/>
  <c r="P38" i="21" s="1"/>
  <c r="O118" i="36"/>
  <c r="O36" i="21" s="1"/>
  <c r="O115" i="36"/>
  <c r="O33" i="21" s="1"/>
  <c r="P115" i="36"/>
  <c r="P33" i="21" s="1"/>
  <c r="P118" i="36"/>
  <c r="P36" i="21" s="1"/>
  <c r="P125" i="36"/>
  <c r="P43" i="21" s="1"/>
  <c r="R120" i="36"/>
  <c r="R38" i="21" s="1"/>
  <c r="N115" i="36"/>
  <c r="N33" i="21" s="1"/>
  <c r="P122" i="36"/>
  <c r="P40" i="21" s="1"/>
  <c r="Q124" i="36"/>
  <c r="Q42" i="21" s="1"/>
  <c r="Q120" i="36"/>
  <c r="Q38" i="21" s="1"/>
  <c r="Q117" i="36"/>
  <c r="Q35" i="21" s="1"/>
  <c r="Q115" i="36"/>
  <c r="Q33" i="21" s="1"/>
  <c r="Q126" i="36"/>
  <c r="Q44" i="21" s="1"/>
  <c r="R116" i="36"/>
  <c r="R34" i="21" s="1"/>
  <c r="P126" i="36"/>
  <c r="P44" i="21" s="1"/>
  <c r="R123" i="36"/>
  <c r="R41" i="21" s="1"/>
  <c r="O124" i="36"/>
  <c r="O42" i="21" s="1"/>
  <c r="Q122" i="36"/>
  <c r="Q40" i="21" s="1"/>
  <c r="Q125" i="36"/>
  <c r="Q43" i="21" s="1"/>
  <c r="P116" i="36"/>
  <c r="P34" i="21" s="1"/>
  <c r="O121" i="36"/>
  <c r="O39" i="21" s="1"/>
  <c r="Q118" i="36"/>
  <c r="Q36" i="21" s="1"/>
  <c r="R117" i="36"/>
  <c r="R35" i="21" s="1"/>
  <c r="Q119" i="36"/>
  <c r="Q37" i="21" s="1"/>
  <c r="Q123" i="36"/>
  <c r="Q41" i="21" s="1"/>
  <c r="R124" i="36"/>
  <c r="R42" i="21" s="1"/>
  <c r="P119" i="36"/>
  <c r="P37" i="21" s="1"/>
  <c r="Q121" i="36"/>
  <c r="Q39" i="21" s="1"/>
  <c r="P123" i="36"/>
  <c r="P41" i="21" s="1"/>
  <c r="Q116" i="36"/>
  <c r="Q34" i="21" s="1"/>
  <c r="R125" i="36"/>
  <c r="R43" i="21" s="1"/>
  <c r="P124" i="36"/>
  <c r="P42" i="21" s="1"/>
  <c r="P117" i="36"/>
  <c r="P35" i="21" s="1"/>
  <c r="R119" i="36"/>
  <c r="R37" i="21" s="1"/>
  <c r="R118" i="36"/>
  <c r="R36" i="21" s="1"/>
  <c r="R115" i="36"/>
  <c r="R33" i="21" s="1"/>
  <c r="R122" i="36"/>
  <c r="R40" i="21" s="1"/>
  <c r="P121" i="36"/>
  <c r="P39" i="21" s="1"/>
  <c r="R121" i="36"/>
  <c r="R39" i="21" s="1"/>
  <c r="X104" i="36"/>
  <c r="X23" i="21" s="1"/>
  <c r="W136" i="36"/>
  <c r="U133" i="36"/>
  <c r="X144" i="36"/>
  <c r="V143" i="36"/>
  <c r="U106" i="36"/>
  <c r="U25" i="21" s="1"/>
  <c r="X98" i="36"/>
  <c r="X17" i="21" s="1"/>
  <c r="W101" i="36"/>
  <c r="W20" i="21" s="1"/>
  <c r="W139" i="36"/>
  <c r="W99" i="36"/>
  <c r="W18" i="21" s="1"/>
  <c r="V135" i="36"/>
  <c r="W143" i="36"/>
  <c r="V97" i="36"/>
  <c r="V16" i="21" s="1"/>
  <c r="W102" i="36"/>
  <c r="W21" i="21" s="1"/>
  <c r="X133" i="36"/>
  <c r="V105" i="36"/>
  <c r="V24" i="21" s="1"/>
  <c r="V144" i="36"/>
  <c r="X103" i="36"/>
  <c r="X22" i="21" s="1"/>
  <c r="V138" i="36"/>
  <c r="X105" i="36"/>
  <c r="X24" i="21" s="1"/>
  <c r="V142" i="36"/>
  <c r="W106" i="36"/>
  <c r="W25" i="21" s="1"/>
  <c r="V101" i="36"/>
  <c r="V20" i="21" s="1"/>
  <c r="X134" i="36"/>
  <c r="W138" i="36"/>
  <c r="W105" i="36"/>
  <c r="W24" i="21" s="1"/>
  <c r="V98" i="36"/>
  <c r="V17" i="21" s="1"/>
  <c r="V107" i="36"/>
  <c r="V26" i="21" s="1"/>
  <c r="X135" i="36"/>
  <c r="X137" i="36"/>
  <c r="W140" i="36"/>
  <c r="W100" i="36"/>
  <c r="W19" i="21" s="1"/>
  <c r="X99" i="36"/>
  <c r="X18" i="21" s="1"/>
  <c r="X100" i="36"/>
  <c r="X19" i="21" s="1"/>
  <c r="W144" i="36"/>
  <c r="V136" i="36"/>
  <c r="W141" i="36"/>
  <c r="U136" i="36"/>
  <c r="X142" i="36"/>
  <c r="V140" i="36"/>
  <c r="V139" i="36"/>
  <c r="X141" i="36"/>
  <c r="U142" i="36"/>
  <c r="X107" i="36"/>
  <c r="X26" i="21" s="1"/>
  <c r="X143" i="36"/>
  <c r="W135" i="36"/>
  <c r="V137" i="36"/>
  <c r="V106" i="36"/>
  <c r="V25" i="21" s="1"/>
  <c r="W108" i="36"/>
  <c r="W27" i="21" s="1"/>
  <c r="W98" i="36"/>
  <c r="W17" i="21" s="1"/>
  <c r="V141" i="36"/>
  <c r="W107" i="36"/>
  <c r="W26" i="21" s="1"/>
  <c r="W142" i="36"/>
  <c r="W133" i="36"/>
  <c r="W134" i="36"/>
  <c r="U103" i="36"/>
  <c r="U22" i="21" s="1"/>
  <c r="W137" i="36"/>
  <c r="X101" i="36"/>
  <c r="X20" i="21" s="1"/>
  <c r="V99" i="36"/>
  <c r="V18" i="21" s="1"/>
  <c r="T97" i="36"/>
  <c r="T16" i="21" s="1"/>
  <c r="U139" i="36"/>
  <c r="X136" i="36"/>
  <c r="X138" i="36"/>
  <c r="V102" i="36"/>
  <c r="V21" i="21" s="1"/>
  <c r="U100" i="36"/>
  <c r="U19" i="21" s="1"/>
  <c r="V133" i="36"/>
  <c r="X140" i="36"/>
  <c r="V100" i="36"/>
  <c r="V19" i="21" s="1"/>
  <c r="W97" i="36"/>
  <c r="W16" i="21" s="1"/>
  <c r="V103" i="36"/>
  <c r="V22" i="21" s="1"/>
  <c r="X108" i="36"/>
  <c r="X27" i="21" s="1"/>
  <c r="X102" i="36"/>
  <c r="X21" i="21" s="1"/>
  <c r="V134" i="36"/>
  <c r="X106" i="36"/>
  <c r="X25" i="21" s="1"/>
  <c r="V108" i="36"/>
  <c r="V27" i="21" s="1"/>
  <c r="X139" i="36"/>
  <c r="V104" i="36"/>
  <c r="V23" i="21" s="1"/>
  <c r="W104" i="36"/>
  <c r="W23" i="21" s="1"/>
  <c r="W103" i="36"/>
  <c r="W22" i="21" s="1"/>
  <c r="P194" i="36"/>
  <c r="P111" i="21" s="1"/>
  <c r="O187" i="36"/>
  <c r="O104" i="21" s="1"/>
  <c r="P184" i="36"/>
  <c r="P101" i="21" s="1"/>
  <c r="Q99" i="36"/>
  <c r="Q18" i="21" s="1"/>
  <c r="P105" i="36"/>
  <c r="P24" i="21" s="1"/>
  <c r="O106" i="36"/>
  <c r="O25" i="21" s="1"/>
  <c r="P188" i="36"/>
  <c r="P105" i="21" s="1"/>
  <c r="P185" i="36"/>
  <c r="P102" i="21" s="1"/>
  <c r="Q135" i="36"/>
  <c r="P101" i="36"/>
  <c r="P20" i="21" s="1"/>
  <c r="R107" i="36"/>
  <c r="R26" i="21" s="1"/>
  <c r="P99" i="36"/>
  <c r="P18" i="21" s="1"/>
  <c r="R99" i="36"/>
  <c r="R18" i="21" s="1"/>
  <c r="Q107" i="36"/>
  <c r="Q26" i="21" s="1"/>
  <c r="P107" i="36"/>
  <c r="P26" i="21" s="1"/>
  <c r="Q144" i="36"/>
  <c r="Q104" i="36"/>
  <c r="Q23" i="21" s="1"/>
  <c r="P190" i="36"/>
  <c r="P107" i="21" s="1"/>
  <c r="P193" i="36"/>
  <c r="P110" i="21" s="1"/>
  <c r="P192" i="36"/>
  <c r="P109" i="21" s="1"/>
  <c r="P102" i="36"/>
  <c r="P21" i="21" s="1"/>
  <c r="P144" i="36"/>
  <c r="P186" i="36"/>
  <c r="P103" i="21" s="1"/>
  <c r="P108" i="36"/>
  <c r="P27" i="21" s="1"/>
  <c r="P187" i="36"/>
  <c r="P104" i="21" s="1"/>
  <c r="R139" i="36"/>
  <c r="R142" i="36"/>
  <c r="R141" i="36"/>
  <c r="R140" i="36"/>
  <c r="R97" i="36"/>
  <c r="R16" i="21" s="1"/>
  <c r="Q103" i="36"/>
  <c r="Q22" i="21" s="1"/>
  <c r="P100" i="36"/>
  <c r="P19" i="21" s="1"/>
  <c r="P138" i="36"/>
  <c r="O133" i="36"/>
  <c r="Q98" i="36"/>
  <c r="Q17" i="21" s="1"/>
  <c r="Q141" i="36"/>
  <c r="O136" i="36"/>
  <c r="Q97" i="36"/>
  <c r="Q16" i="21" s="1"/>
  <c r="Q140" i="36"/>
  <c r="N184" i="36"/>
  <c r="N101" i="21" s="1"/>
  <c r="P139" i="36"/>
  <c r="R143" i="36"/>
  <c r="Q143" i="36"/>
  <c r="R144" i="36"/>
  <c r="R100" i="36"/>
  <c r="R19" i="21" s="1"/>
  <c r="P97" i="36"/>
  <c r="P16" i="21" s="1"/>
  <c r="N97" i="36"/>
  <c r="N16" i="21" s="1"/>
  <c r="R134" i="36"/>
  <c r="P134" i="36"/>
  <c r="P104" i="36"/>
  <c r="P23" i="21" s="1"/>
  <c r="P189" i="36"/>
  <c r="P106" i="21" s="1"/>
  <c r="P141" i="36"/>
  <c r="J194" i="36"/>
  <c r="J111" i="21" s="1"/>
  <c r="R104" i="36"/>
  <c r="R23" i="21" s="1"/>
  <c r="R137" i="36"/>
  <c r="P98" i="36"/>
  <c r="P17" i="21" s="1"/>
  <c r="I187" i="36"/>
  <c r="I104" i="21" s="1"/>
  <c r="J190" i="36"/>
  <c r="J107" i="21" s="1"/>
  <c r="J189" i="36"/>
  <c r="J106" i="21" s="1"/>
  <c r="I97" i="36" l="1"/>
  <c r="H167" i="36"/>
  <c r="H84" i="21" s="1"/>
  <c r="N167" i="36"/>
  <c r="N84" i="21" s="1"/>
  <c r="R60" i="21"/>
  <c r="O50" i="21"/>
  <c r="P61" i="21"/>
  <c r="V51" i="21"/>
  <c r="W54" i="21"/>
  <c r="V56" i="21"/>
  <c r="P51" i="21"/>
  <c r="P56" i="21"/>
  <c r="O53" i="21"/>
  <c r="P55" i="21"/>
  <c r="R57" i="21"/>
  <c r="Q52" i="21"/>
  <c r="X56" i="21"/>
  <c r="V57" i="21"/>
  <c r="V53" i="21"/>
  <c r="X51" i="21"/>
  <c r="W60" i="21"/>
  <c r="X61" i="21"/>
  <c r="R55" i="21"/>
  <c r="N50" i="21"/>
  <c r="Q55" i="21"/>
  <c r="I70" i="21"/>
  <c r="J74" i="21"/>
  <c r="L78" i="21"/>
  <c r="K71" i="21"/>
  <c r="K77" i="21"/>
  <c r="K70" i="21"/>
  <c r="L74" i="21"/>
  <c r="J78" i="21"/>
  <c r="K72" i="21"/>
  <c r="K78" i="21"/>
  <c r="Q71" i="21"/>
  <c r="Q77" i="21"/>
  <c r="P70" i="21"/>
  <c r="R74" i="21"/>
  <c r="P78" i="21"/>
  <c r="Q72" i="21"/>
  <c r="Q78" i="21"/>
  <c r="R69" i="21"/>
  <c r="R73" i="21"/>
  <c r="P77" i="21"/>
  <c r="R51" i="21"/>
  <c r="R58" i="21"/>
  <c r="X55" i="21"/>
  <c r="W51" i="21"/>
  <c r="V58" i="21"/>
  <c r="V54" i="21"/>
  <c r="U59" i="21"/>
  <c r="X59" i="21"/>
  <c r="W61" i="21"/>
  <c r="W57" i="21"/>
  <c r="V55" i="21"/>
  <c r="X50" i="21"/>
  <c r="V52" i="21"/>
  <c r="U50" i="21"/>
  <c r="R52" i="21"/>
  <c r="P60" i="21"/>
  <c r="O56" i="21"/>
  <c r="P52" i="21"/>
  <c r="Q59" i="21"/>
  <c r="J67" i="21"/>
  <c r="J71" i="21"/>
  <c r="L75" i="21"/>
  <c r="K67" i="21"/>
  <c r="J73" i="21"/>
  <c r="L67" i="21"/>
  <c r="L71" i="21"/>
  <c r="J75" i="21"/>
  <c r="I67" i="21"/>
  <c r="L73" i="21"/>
  <c r="O67" i="21"/>
  <c r="O73" i="21"/>
  <c r="P67" i="21"/>
  <c r="R71" i="21"/>
  <c r="P75" i="21"/>
  <c r="Q67" i="21"/>
  <c r="Q73" i="21"/>
  <c r="N67" i="21"/>
  <c r="R70" i="21"/>
  <c r="P74" i="21"/>
  <c r="R78" i="21"/>
  <c r="R61" i="21"/>
  <c r="Q58" i="21"/>
  <c r="Q61" i="21"/>
  <c r="X57" i="21"/>
  <c r="R54" i="21"/>
  <c r="Q60" i="21"/>
  <c r="Q57" i="21"/>
  <c r="R59" i="21"/>
  <c r="V50" i="21"/>
  <c r="X53" i="21"/>
  <c r="W50" i="21"/>
  <c r="W52" i="21"/>
  <c r="X58" i="21"/>
  <c r="U53" i="21"/>
  <c r="X54" i="21"/>
  <c r="W53" i="21"/>
  <c r="R50" i="21"/>
  <c r="P54" i="21"/>
  <c r="P50" i="21"/>
  <c r="Q54" i="21"/>
  <c r="P57" i="21"/>
  <c r="P59" i="21"/>
  <c r="R53" i="21"/>
  <c r="Q53" i="21"/>
  <c r="J68" i="21"/>
  <c r="L72" i="21"/>
  <c r="I76" i="21"/>
  <c r="K68" i="21"/>
  <c r="K74" i="21"/>
  <c r="L68" i="21"/>
  <c r="J72" i="21"/>
  <c r="K76" i="21"/>
  <c r="K69" i="21"/>
  <c r="K75" i="21"/>
  <c r="Q68" i="21"/>
  <c r="Q74" i="21"/>
  <c r="R68" i="21"/>
  <c r="P72" i="21"/>
  <c r="P76" i="21"/>
  <c r="Q69" i="21"/>
  <c r="Q75" i="21"/>
  <c r="R67" i="21"/>
  <c r="P71" i="21"/>
  <c r="R75" i="21"/>
  <c r="P58" i="21"/>
  <c r="R56" i="21"/>
  <c r="U56" i="21"/>
  <c r="W59" i="21"/>
  <c r="X60" i="21"/>
  <c r="W58" i="21"/>
  <c r="X52" i="21"/>
  <c r="W55" i="21"/>
  <c r="V59" i="21"/>
  <c r="V61" i="21"/>
  <c r="W56" i="21"/>
  <c r="V60" i="21"/>
  <c r="Q50" i="21"/>
  <c r="P53" i="21"/>
  <c r="Q56" i="21"/>
  <c r="Q51" i="21"/>
  <c r="O59" i="21"/>
  <c r="T50" i="21"/>
  <c r="L69" i="21"/>
  <c r="I73" i="21"/>
  <c r="J77" i="21"/>
  <c r="J70" i="21"/>
  <c r="J76" i="21"/>
  <c r="J69" i="21"/>
  <c r="K73" i="21"/>
  <c r="L77" i="21"/>
  <c r="L70" i="21"/>
  <c r="L76" i="21"/>
  <c r="O70" i="21"/>
  <c r="O76" i="21"/>
  <c r="P69" i="21"/>
  <c r="P73" i="21"/>
  <c r="R77" i="21"/>
  <c r="Q70" i="21"/>
  <c r="Q76" i="21"/>
  <c r="P68" i="21"/>
  <c r="R72" i="21"/>
  <c r="R76" i="21"/>
  <c r="B538" i="40"/>
  <c r="B256" i="65"/>
  <c r="I100" i="36"/>
  <c r="I19" i="21" s="1"/>
  <c r="L100" i="36"/>
  <c r="L19" i="21" s="1"/>
  <c r="O170" i="36"/>
  <c r="O87" i="21" s="1"/>
  <c r="J142" i="36"/>
  <c r="O176" i="36"/>
  <c r="O93" i="21" s="1"/>
  <c r="K106" i="36"/>
  <c r="K25" i="21" s="1"/>
  <c r="J103" i="36"/>
  <c r="J22" i="21" s="1"/>
  <c r="L141" i="36"/>
  <c r="L138" i="36"/>
  <c r="I106" i="36"/>
  <c r="I25" i="21" s="1"/>
  <c r="L106" i="36"/>
  <c r="L25" i="21" s="1"/>
  <c r="J98" i="36"/>
  <c r="J17" i="21" s="1"/>
  <c r="H133" i="36"/>
  <c r="O173" i="36"/>
  <c r="O90" i="21" s="1"/>
  <c r="K133" i="36"/>
  <c r="J104" i="36"/>
  <c r="J23" i="21" s="1"/>
  <c r="L102" i="36"/>
  <c r="L21" i="21" s="1"/>
  <c r="P171" i="36"/>
  <c r="P88" i="21" s="1"/>
  <c r="J102" i="36"/>
  <c r="J21" i="21" s="1"/>
  <c r="H97" i="36"/>
  <c r="H16" i="21" s="1"/>
  <c r="K139" i="36"/>
  <c r="L133" i="36"/>
  <c r="O167" i="36"/>
  <c r="O84" i="21" s="1"/>
  <c r="L142" i="36"/>
  <c r="K99" i="36"/>
  <c r="K18" i="21" s="1"/>
  <c r="J101" i="36"/>
  <c r="J20" i="21" s="1"/>
  <c r="J168" i="36"/>
  <c r="J85" i="21" s="1"/>
  <c r="K137" i="36"/>
  <c r="L103" i="36"/>
  <c r="L22" i="21" s="1"/>
  <c r="J170" i="36"/>
  <c r="J87" i="21" s="1"/>
  <c r="J143" i="36"/>
  <c r="K101" i="36"/>
  <c r="K20" i="21" s="1"/>
  <c r="J139" i="36"/>
  <c r="J108" i="36"/>
  <c r="J27" i="21" s="1"/>
  <c r="K108" i="36"/>
  <c r="K27" i="21" s="1"/>
  <c r="I173" i="36"/>
  <c r="I90" i="21" s="1"/>
  <c r="J107" i="36"/>
  <c r="J26" i="21" s="1"/>
  <c r="J97" i="36"/>
  <c r="J16" i="21" s="1"/>
  <c r="L140" i="36"/>
  <c r="L99" i="36"/>
  <c r="L18" i="21" s="1"/>
  <c r="P170" i="36"/>
  <c r="P87" i="21" s="1"/>
  <c r="J172" i="36"/>
  <c r="J89" i="21" s="1"/>
  <c r="J173" i="36"/>
  <c r="J90" i="21" s="1"/>
  <c r="P173" i="36"/>
  <c r="P90" i="21" s="1"/>
  <c r="J141" i="36"/>
  <c r="K142" i="36"/>
  <c r="K144" i="36"/>
  <c r="P167" i="36"/>
  <c r="P84" i="21" s="1"/>
  <c r="J176" i="36"/>
  <c r="J93" i="21" s="1"/>
  <c r="I16" i="21"/>
  <c r="J106" i="36"/>
  <c r="J25" i="21" s="1"/>
  <c r="K136" i="36"/>
  <c r="L144" i="36"/>
  <c r="J174" i="36"/>
  <c r="J91" i="21" s="1"/>
  <c r="K140" i="36"/>
  <c r="P177" i="36"/>
  <c r="P94" i="21" s="1"/>
  <c r="J100" i="36"/>
  <c r="J19" i="21" s="1"/>
  <c r="J138" i="36"/>
  <c r="J140" i="36"/>
  <c r="L143" i="36"/>
  <c r="I136" i="36"/>
  <c r="L97" i="36"/>
  <c r="L16" i="21" s="1"/>
  <c r="I167" i="36"/>
  <c r="I84" i="21" s="1"/>
  <c r="K104" i="36"/>
  <c r="K23" i="21" s="1"/>
  <c r="J171" i="36"/>
  <c r="J88" i="21" s="1"/>
  <c r="P174" i="36"/>
  <c r="P91" i="21" s="1"/>
  <c r="P169" i="36"/>
  <c r="P86" i="21" s="1"/>
  <c r="L101" i="36"/>
  <c r="L20" i="21" s="1"/>
  <c r="P172" i="36"/>
  <c r="P89" i="21" s="1"/>
  <c r="J144" i="36"/>
  <c r="I133" i="36"/>
  <c r="I176" i="36"/>
  <c r="I93" i="21" s="1"/>
  <c r="J105" i="36"/>
  <c r="J24" i="21" s="1"/>
  <c r="J177" i="36"/>
  <c r="J94" i="21" s="1"/>
  <c r="L107" i="36"/>
  <c r="L26" i="21" s="1"/>
  <c r="K100" i="36"/>
  <c r="K19" i="21" s="1"/>
  <c r="J99" i="36"/>
  <c r="J18" i="21" s="1"/>
  <c r="L139" i="36"/>
  <c r="L98" i="36"/>
  <c r="L17" i="21" s="1"/>
  <c r="K102" i="36"/>
  <c r="K21" i="21" s="1"/>
  <c r="J135" i="36"/>
  <c r="J178" i="36"/>
  <c r="J95" i="21" s="1"/>
  <c r="J175" i="36"/>
  <c r="J92" i="21" s="1"/>
  <c r="L137" i="36"/>
  <c r="K134" i="36"/>
  <c r="L108" i="36"/>
  <c r="L27" i="21" s="1"/>
  <c r="K143" i="36"/>
  <c r="K105" i="36"/>
  <c r="K24" i="21" s="1"/>
  <c r="J133" i="36"/>
  <c r="I170" i="36"/>
  <c r="I87" i="21" s="1"/>
  <c r="K141" i="36"/>
  <c r="I103" i="36"/>
  <c r="I22" i="21" s="1"/>
  <c r="K107" i="36"/>
  <c r="K26" i="21" s="1"/>
  <c r="K135" i="36"/>
  <c r="J167" i="36"/>
  <c r="J84" i="21" s="1"/>
  <c r="L105" i="36"/>
  <c r="L24" i="21" s="1"/>
  <c r="K138" i="36"/>
  <c r="P168" i="36"/>
  <c r="P85" i="21" s="1"/>
  <c r="I142" i="36"/>
  <c r="K98" i="36"/>
  <c r="K17" i="21" s="1"/>
  <c r="J137" i="36"/>
  <c r="L134" i="36"/>
  <c r="L136" i="36"/>
  <c r="J134" i="36"/>
  <c r="K97" i="36"/>
  <c r="K16" i="21" s="1"/>
  <c r="P176" i="36"/>
  <c r="P93" i="21" s="1"/>
  <c r="L135" i="36"/>
  <c r="P175" i="36"/>
  <c r="P92" i="21" s="1"/>
  <c r="K103" i="36"/>
  <c r="K22" i="21" s="1"/>
  <c r="J169" i="36"/>
  <c r="J86" i="21" s="1"/>
  <c r="P178" i="36"/>
  <c r="P95" i="21" s="1"/>
  <c r="L104" i="36"/>
  <c r="L23" i="21" s="1"/>
  <c r="J136" i="36"/>
  <c r="I139" i="36"/>
  <c r="K58" i="21" l="1"/>
  <c r="I56" i="21"/>
  <c r="L56" i="21"/>
  <c r="J55" i="21"/>
  <c r="K61" i="21"/>
  <c r="L57" i="21"/>
  <c r="J60" i="21"/>
  <c r="K50" i="21"/>
  <c r="L58" i="21"/>
  <c r="J59" i="21"/>
  <c r="L53" i="21"/>
  <c r="K60" i="21"/>
  <c r="K52" i="21"/>
  <c r="J61" i="21"/>
  <c r="J53" i="21"/>
  <c r="J54" i="21"/>
  <c r="K55" i="21"/>
  <c r="J50" i="21"/>
  <c r="K51" i="21"/>
  <c r="J52" i="21"/>
  <c r="I53" i="21"/>
  <c r="L61" i="21"/>
  <c r="K59" i="21"/>
  <c r="L50" i="21"/>
  <c r="I59" i="21"/>
  <c r="L51" i="21"/>
  <c r="J51" i="21"/>
  <c r="L54" i="21"/>
  <c r="L60" i="21"/>
  <c r="K53" i="21"/>
  <c r="J58" i="21"/>
  <c r="J56" i="21"/>
  <c r="K56" i="21"/>
  <c r="H50" i="21"/>
  <c r="L52" i="21"/>
  <c r="I50" i="21"/>
  <c r="J57" i="21"/>
  <c r="K57" i="21"/>
  <c r="K54" i="21"/>
  <c r="L59" i="21"/>
  <c r="L55" i="21"/>
  <c r="B539" i="40"/>
  <c r="B257" i="65"/>
  <c r="B540" i="40" l="1"/>
  <c r="B258" i="65"/>
  <c r="B541" i="40" l="1"/>
  <c r="B259" i="65"/>
  <c r="B542" i="40" l="1"/>
  <c r="B260" i="65"/>
  <c r="B543" i="40" l="1"/>
  <c r="B261" i="65"/>
  <c r="B544" i="40" l="1"/>
  <c r="B262" i="65"/>
  <c r="B545" i="40" l="1"/>
  <c r="B263" i="65"/>
  <c r="B546" i="40" l="1"/>
  <c r="B264" i="65"/>
  <c r="B266"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<sst xmlns="http://schemas.openxmlformats.org/spreadsheetml/2006/main" count="5524" uniqueCount="1170">
  <si>
    <t>Titelblad</t>
  </si>
  <si>
    <t>Over dit bestand</t>
  </si>
  <si>
    <t>Zaaknummer</t>
  </si>
  <si>
    <t>ACM/23/186082</t>
  </si>
  <si>
    <t>Titel</t>
  </si>
  <si>
    <t>Rekenmodule Tarieven GTS 2025</t>
  </si>
  <si>
    <t>Ondertitel</t>
  </si>
  <si>
    <t>-</t>
  </si>
  <si>
    <t>Hoort bij besluit(en):</t>
  </si>
  <si>
    <t>Tarievenbesluit GTS 2025</t>
  </si>
  <si>
    <t>Hoort bij onderzoek/publicatie ACM:</t>
  </si>
  <si>
    <t>n.v.t.</t>
  </si>
  <si>
    <t>Kenmerk besluit(en)</t>
  </si>
  <si>
    <t>Samenhang met andere rekenbestanden</t>
  </si>
  <si>
    <t>Overig opmerkingen</t>
  </si>
  <si>
    <t>Over de status van dit bestand</t>
  </si>
  <si>
    <t>Definitief? (j/n)</t>
  </si>
  <si>
    <t>Nee</t>
  </si>
  <si>
    <t>Publicatie? (j/n)</t>
  </si>
  <si>
    <t>Ja</t>
  </si>
  <si>
    <t>Juridisch integraal onderdeel van bovenstaande besluit(en) (j/n)?</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</si>
  <si>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</si>
  <si>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</si>
  <si>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</si>
  <si>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</si>
  <si>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</si>
  <si>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</si>
  <si>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Toelichting bij dit bestand</t>
  </si>
  <si>
    <t>Toelichting bij de werking van dit model</t>
  </si>
  <si>
    <t>Deze rekenmodule wordt gebruikt bij het vaststellen van het Tarievenbesluit GTS 2025.</t>
  </si>
  <si>
    <t>Deze rekenmodule bevat alle gegevens die nodig zijn om de tarieven voor het landelijk gastransportnet te berekenen voor het jaar 2025.</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</si>
  <si>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</si>
  <si>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</si>
  <si>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</si>
  <si>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</si>
  <si>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</si>
  <si>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</si>
  <si>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</si>
  <si>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</si>
  <si>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</si>
  <si>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</si>
  <si>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</si>
  <si>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</si>
  <si>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</si>
  <si>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</si>
  <si>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26. Toegestane inkomsten</t>
  </si>
  <si>
    <t>27. RPM</t>
  </si>
  <si>
    <t>28.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</si>
  <si>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</si>
  <si>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</si>
  <si>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</si>
  <si>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</si>
  <si>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</si>
  <si>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</si>
  <si>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</si>
  <si>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</si>
  <si>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</si>
  <si>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</si>
  <si>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</si>
  <si>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</si>
  <si>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13. Desinvesteringen</t>
  </si>
  <si>
    <t>25. Incidentele correcties</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</si>
  <si>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</si>
  <si>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</si>
  <si>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</si>
  <si>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</si>
  <si>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</si>
  <si>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</si>
  <si>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</si>
  <si>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</si>
  <si>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</si>
  <si>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</si>
  <si>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</si>
  <si>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</si>
  <si>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</si>
  <si>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</si>
  <si>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</si>
  <si>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</si>
  <si>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</si>
  <si>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</si>
  <si>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</si>
  <si>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</si>
  <si>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</si>
  <si>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</si>
  <si>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</si>
  <si>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</si>
  <si>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</si>
  <si>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</si>
  <si>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</si>
  <si>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</si>
  <si>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</si>
  <si>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</si>
  <si>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</si>
  <si>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</si>
  <si>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</si>
  <si>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</si>
  <si>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</si>
  <si>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</si>
  <si>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</si>
  <si>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</si>
  <si>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</si>
  <si>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</si>
  <si>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</si>
  <si>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</si>
  <si>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</si>
  <si>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</si>
  <si>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</si>
  <si>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</si>
  <si>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</si>
  <si>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</si>
  <si>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</si>
  <si>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</si>
  <si>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</si>
  <si>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</si>
  <si>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</si>
  <si>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</si>
  <si>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</si>
  <si>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</si>
  <si>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</si>
  <si>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</si>
  <si>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</si>
  <si>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</si>
  <si>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</si>
  <si>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</si>
  <si>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</si>
  <si>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</si>
  <si>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</si>
  <si>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</si>
  <si>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</si>
  <si>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</si>
  <si>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</si>
  <si>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</si>
  <si>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</si>
  <si>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</si>
  <si>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</si>
  <si>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</si>
  <si>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</si>
  <si>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</si>
  <si>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</si>
  <si>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</si>
  <si>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</si>
  <si>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WACC nacalculatiemodel 2022 en 2023</t>
  </si>
  <si>
    <t>Schaduwmodule TB 2022</t>
  </si>
  <si>
    <t>Schaduwmodule TB 2023</t>
  </si>
  <si>
    <t>Schaduwmodule TB 2024</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</si>
  <si>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</si>
  <si>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</si>
  <si>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</si>
  <si>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</si>
  <si>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</si>
  <si>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</si>
  <si>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t>301576_VIP BENE-L</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</si>
  <si>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</si>
  <si>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</si>
  <si>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</si>
  <si>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</si>
  <si>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</si>
  <si>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</si>
  <si>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</si>
  <si>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</si>
  <si>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</si>
  <si>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</si>
  <si>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</si>
  <si>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</si>
  <si>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</si>
  <si>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</si>
  <si>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</si>
  <si>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</si>
  <si>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</si>
  <si>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</si>
  <si>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</si>
  <si>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</si>
  <si>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</si>
  <si>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</si>
  <si>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</si>
  <si>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</si>
  <si>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</si>
  <si>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</si>
  <si>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</si>
  <si>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</si>
  <si>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</si>
  <si>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</si>
  <si>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</si>
  <si>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</si>
  <si>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</si>
  <si>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</si>
  <si>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</si>
  <si>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</si>
  <si>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</si>
  <si>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</si>
  <si>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</si>
  <si>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</si>
  <si>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</si>
  <si>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S worden de bronnen weergegeven. </t>
  </si>
  <si>
    <t>Eenheid</t>
  </si>
  <si>
    <t>Constante</t>
  </si>
  <si>
    <t>Bronverwijzing</t>
  </si>
  <si>
    <t>Opmerking</t>
  </si>
  <si>
    <t>X-factor</t>
  </si>
  <si>
    <t>%</t>
  </si>
  <si>
    <t>X-factor o.b.v. gewijzigd x-factorbesluit</t>
  </si>
  <si>
    <t>Gewijzigd x-factorbesluit 2022-2026</t>
  </si>
  <si>
    <t>Begininkomsten</t>
  </si>
  <si>
    <t xml:space="preserve">Begininkomsten </t>
  </si>
  <si>
    <t>EUR, pp jaar</t>
  </si>
  <si>
    <t>Begininkomsten o.b.v. gewijzigd x-factorbesluit</t>
  </si>
  <si>
    <t>WACC</t>
  </si>
  <si>
    <t>WACC-percentages voor berekening kapitaalkosten</t>
  </si>
  <si>
    <t>Reële WACC bestaand vermogen</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</si>
  <si>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</si>
  <si>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</si>
  <si>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</si>
  <si>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</si>
  <si>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</si>
  <si>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</si>
  <si>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Bijlage 3a bij gewijzigd methodebesluit 2022-2026</t>
  </si>
  <si>
    <t>Toevoeging operationele kosten a.g.v. wettelijk uitgezonderde investeringen</t>
  </si>
  <si>
    <t>Verwachte verandering OPEX a.g.v. uitbreiding/krimp</t>
  </si>
  <si>
    <t>CPI</t>
  </si>
  <si>
    <t>CBS, Methodebesluit 2022-2026</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</si>
  <si>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</si>
  <si>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</si>
  <si>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</si>
  <si>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</si>
  <si>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</si>
  <si>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</si>
  <si>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</si>
  <si>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</si>
  <si>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</si>
  <si>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</si>
  <si>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</si>
  <si>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</si>
  <si>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</si>
  <si>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</si>
  <si>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</si>
  <si>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</si>
  <si>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</si>
  <si>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</si>
  <si>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</si>
  <si>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</si>
  <si>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</si>
  <si>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</si>
  <si>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</si>
  <si>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</si>
  <si>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</si>
  <si>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</si>
  <si>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</si>
  <si>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</si>
  <si>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</si>
  <si>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</si>
  <si>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</si>
  <si>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</si>
  <si>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</si>
  <si>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</si>
  <si>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</si>
  <si>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</si>
  <si>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</si>
  <si>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</si>
  <si>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</si>
  <si>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</si>
  <si>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</si>
  <si>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</si>
  <si>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</si>
  <si>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</si>
  <si>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</si>
  <si>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</si>
  <si>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</si>
  <si>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</si>
  <si>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</si>
  <si>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2025</t>
  </si>
  <si>
    <t>Aantal dagen per kwartaal in het jaar 2025</t>
  </si>
  <si>
    <t>Aantal dagen en uren per jaar in het jaar 2025</t>
  </si>
  <si>
    <t>Aantal uren per dag</t>
  </si>
  <si>
    <t>Aantal dagen per jaar</t>
  </si>
  <si>
    <t>Aantal uren per jaar</t>
  </si>
  <si>
    <t>Korting afschakelbare capaciteit</t>
  </si>
  <si>
    <t>301546_VIP BENE</t>
  </si>
  <si>
    <t>Alle overige entry- en exitpunten</t>
  </si>
  <si>
    <t>Tabblad 3 - Input (des)investeringen</t>
  </si>
  <si>
    <t xml:space="preserve">Beschrijving gegevens </t>
  </si>
  <si>
    <t xml:space="preserve">Dit tabblad bevat de bijgeschatte investeringen uit het x-factorbesluit. Dit tabblad bevat ook de CPI-gegevens van 1946-2015.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</si>
  <si>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</si>
  <si>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</si>
  <si>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</si>
  <si>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</si>
  <si>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</si>
  <si>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</si>
  <si>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</si>
  <si>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</si>
  <si>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</si>
  <si>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</si>
  <si>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</si>
  <si>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</si>
  <si>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</si>
  <si>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</si>
  <si>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</si>
  <si>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</si>
  <si>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</si>
  <si>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</si>
  <si>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</si>
  <si>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</si>
  <si>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</si>
  <si>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</si>
  <si>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</si>
  <si>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</si>
  <si>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</si>
  <si>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</si>
  <si>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</si>
  <si>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</si>
  <si>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</si>
  <si>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</si>
  <si>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</si>
  <si>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</si>
  <si>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</si>
  <si>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</si>
  <si>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</si>
  <si>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</si>
  <si>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</si>
  <si>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</si>
  <si>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</si>
  <si>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</si>
  <si>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</si>
  <si>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</si>
  <si>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</si>
  <si>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</si>
  <si>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</si>
  <si>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</si>
  <si>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</si>
  <si>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</si>
  <si>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</si>
  <si>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</si>
  <si>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</si>
  <si>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</si>
  <si>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</si>
  <si>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</si>
  <si>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</si>
  <si>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</si>
  <si>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</si>
  <si>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</si>
  <si>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</si>
  <si>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</si>
  <si>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</si>
  <si>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</si>
  <si>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</si>
  <si>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</si>
  <si>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</si>
  <si>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</si>
  <si>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</si>
  <si>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</si>
  <si>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</si>
  <si>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</si>
  <si>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</si>
  <si>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</si>
  <si>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</si>
  <si>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</si>
  <si>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</si>
  <si>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</si>
  <si>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</si>
  <si>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</si>
  <si>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</si>
  <si>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</si>
  <si>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</si>
  <si>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</si>
  <si>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</si>
  <si>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</si>
  <si>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</si>
  <si>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</si>
  <si>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</si>
  <si>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</si>
  <si>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</si>
  <si>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</si>
  <si>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</si>
  <si>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</si>
  <si>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</si>
  <si>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</si>
  <si>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</si>
  <si>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</si>
  <si>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</si>
  <si>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</si>
  <si>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</si>
  <si>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</si>
  <si>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</si>
  <si>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</si>
  <si>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</si>
  <si>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</si>
  <si>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</si>
  <si>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</si>
  <si>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</si>
  <si>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</si>
  <si>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</si>
  <si>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</si>
  <si>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</si>
  <si>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</si>
  <si>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</si>
  <si>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</si>
  <si>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</si>
  <si>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</si>
  <si>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</si>
  <si>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</si>
  <si>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</si>
  <si>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</si>
  <si>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</si>
  <si>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</si>
  <si>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</si>
  <si>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</si>
  <si>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</si>
  <si>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</si>
  <si>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</si>
  <si>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</si>
  <si>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</si>
  <si>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</si>
  <si>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</si>
  <si>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</si>
  <si>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</si>
  <si>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</si>
  <si>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</si>
  <si>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</si>
  <si>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</si>
  <si>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</si>
  <si>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</si>
  <si>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</si>
  <si>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</si>
  <si>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</si>
  <si>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</si>
  <si>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</si>
  <si>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</si>
  <si>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</si>
  <si>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</si>
  <si>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</si>
  <si>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</si>
  <si>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</si>
  <si>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</si>
  <si>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</si>
  <si>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</si>
  <si>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</si>
  <si>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</si>
  <si>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</si>
  <si>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</si>
  <si>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</si>
  <si>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</si>
  <si>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</si>
  <si>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</si>
  <si>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</si>
  <si>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</si>
  <si>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</si>
  <si>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</si>
  <si>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</si>
  <si>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</si>
  <si>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Veilinggelden (conform paragraaf 8.4.2 van het methodebesluit 2022-2026)</t>
  </si>
  <si>
    <t>Saldo veilinggelden oud (excl. belastingrente)</t>
  </si>
  <si>
    <t>Tarievenmodule 2024, tabblad 19. Nacalculaties</t>
  </si>
  <si>
    <t>Na te calculeren of te investeren veilinggelden (incl. belastingrente)</t>
  </si>
  <si>
    <t xml:space="preserve">Vooruitverwijzing naar tabblad 19, in principe maakt de ACM geen gebruik van vooruitverwijzingen, maar hier moet een uitzondering gemaakt worden. </t>
  </si>
  <si>
    <t>Voorgesteld bedrag GTS veilinggelden gereserveerd</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</si>
  <si>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</si>
  <si>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</si>
  <si>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</si>
  <si>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</si>
  <si>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</si>
  <si>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</si>
  <si>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</si>
  <si>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</si>
  <si>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</si>
  <si>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</si>
  <si>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</si>
  <si>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</si>
  <si>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</si>
  <si>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Volgens methodebesluit GTS 2022-2026</t>
  </si>
  <si>
    <t>Totale inkomsten excl. tariefcorrecties</t>
  </si>
  <si>
    <t>Tarievenbesluit 2024</t>
  </si>
  <si>
    <t>WUI</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</si>
  <si>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</si>
  <si>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</si>
  <si>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</si>
  <si>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</si>
  <si>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</si>
  <si>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</si>
  <si>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</si>
  <si>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</si>
  <si>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</si>
  <si>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</si>
  <si>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</si>
  <si>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</si>
  <si>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</si>
  <si>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</si>
  <si>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</si>
  <si>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</si>
  <si>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Totale inkomsten incl. tariefcorrecties</t>
  </si>
  <si>
    <t>Wijzigingen a.g.v. gewijzigd methodebesluit GTS 2022-2026</t>
  </si>
  <si>
    <t>Schaduwmodule o.b.v. tarievenmodules 2022-2024</t>
  </si>
  <si>
    <t>Nacalculatie desinvesteren</t>
  </si>
  <si>
    <t>Gegevens 2023 worden gebruikt t.b.v. omzetregulering (conform paragraaf 8.2 van het gewijzigd methodebesluit 2022-2026)</t>
  </si>
  <si>
    <t>Incidentele correctie CPI</t>
  </si>
  <si>
    <t>Correctie CPI volgens NC TAR-overeenkomst</t>
  </si>
  <si>
    <t>Toegestane inkomsten GTS met 'oude' CPI</t>
  </si>
  <si>
    <t>Cel N81-P81: Tarievenbesluiten 2022 - 2024. Cel Q81-R81: De inkomsten voor 2025 en 2026 zijn bepaald o.b.v. 1,7% (cf. aangenomen CPI in het Methodebesluit).</t>
  </si>
  <si>
    <t>Toegestane inkomsten GTS met gecorrigeerde CPI</t>
  </si>
  <si>
    <t>Cel N82-P82: Tarievenbesluiten 2022 - 2024, waarbij een gecorrigeerde CPI is toegepast (1,7% in 2022 en 3,5% 2023), zoals overeengekomen in de NC TAR-overeenkomst. Cel Q82-R82: De inkomsten voor 2025 en 2026 zijn bepaald o.b.v. 1,7% (cf. aangenomen CPI in het Methodebesluit).</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</si>
  <si>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</si>
  <si>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</si>
  <si>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</si>
  <si>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</si>
  <si>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</si>
  <si>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</si>
  <si>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</si>
  <si>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</si>
  <si>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</si>
  <si>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</si>
  <si>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</si>
  <si>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</si>
  <si>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</si>
  <si>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</si>
  <si>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</si>
  <si>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</si>
  <si>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</si>
  <si>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</si>
  <si>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</si>
  <si>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</si>
  <si>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</si>
  <si>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</si>
  <si>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</si>
  <si>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</si>
  <si>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</si>
  <si>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</si>
  <si>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</si>
  <si>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</si>
  <si>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</si>
  <si>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</si>
  <si>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</si>
  <si>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</si>
  <si>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</si>
  <si>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</si>
  <si>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</si>
  <si>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</si>
  <si>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</si>
  <si>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</si>
  <si>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</si>
  <si>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</si>
  <si>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</si>
  <si>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</si>
  <si>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</si>
  <si>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</si>
  <si>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</si>
  <si>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</si>
  <si>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</si>
  <si>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</si>
  <si>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</si>
  <si>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</si>
  <si>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</si>
  <si>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</si>
  <si>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</si>
  <si>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</si>
  <si>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</si>
  <si>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</si>
  <si>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</si>
  <si>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</si>
  <si>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</si>
  <si>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</si>
  <si>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</si>
  <si>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</si>
  <si>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</si>
  <si>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</si>
  <si>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</si>
  <si>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</si>
  <si>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</si>
  <si>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</si>
  <si>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</si>
  <si>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</si>
  <si>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</si>
  <si>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</si>
  <si>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</si>
  <si>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</si>
  <si>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</si>
  <si>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</si>
  <si>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</si>
  <si>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</si>
  <si>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</si>
  <si>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</si>
  <si>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</si>
  <si>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</si>
  <si>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</si>
  <si>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</si>
  <si>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</si>
  <si>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</si>
  <si>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</si>
  <si>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</si>
  <si>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</si>
  <si>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</si>
  <si>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</si>
  <si>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</si>
  <si>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</si>
  <si>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</si>
  <si>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</si>
  <si>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</si>
  <si>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</si>
  <si>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</si>
  <si>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</si>
  <si>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</si>
  <si>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</si>
  <si>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</si>
  <si>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</si>
  <si>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</si>
  <si>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</si>
  <si>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</si>
  <si>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</si>
  <si>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</si>
  <si>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</si>
  <si>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</si>
  <si>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</si>
  <si>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</si>
  <si>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</si>
  <si>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</si>
  <si>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</si>
  <si>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</si>
  <si>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</si>
  <si>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</si>
  <si>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</si>
  <si>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</si>
  <si>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</si>
  <si>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</si>
  <si>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</si>
  <si>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</si>
  <si>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</si>
  <si>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</si>
  <si>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</si>
  <si>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</si>
  <si>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</si>
  <si>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</si>
  <si>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</si>
  <si>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</si>
  <si>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</si>
  <si>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</si>
  <si>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</si>
  <si>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</si>
  <si>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</si>
  <si>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</si>
  <si>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</si>
  <si>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</si>
  <si>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</si>
  <si>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</si>
  <si>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</si>
  <si>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</si>
  <si>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</si>
  <si>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</si>
  <si>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</si>
  <si>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</si>
  <si>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</si>
  <si>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</si>
  <si>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</si>
  <si>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</si>
  <si>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</si>
  <si>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</si>
  <si>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</si>
  <si>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</si>
  <si>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</si>
  <si>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</si>
  <si>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</si>
  <si>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</si>
  <si>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</si>
  <si>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</si>
  <si>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</si>
  <si>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</si>
  <si>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</si>
  <si>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</si>
  <si>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</si>
  <si>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</si>
  <si>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</si>
  <si>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</si>
  <si>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</si>
  <si>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</si>
  <si>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</si>
  <si>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</si>
  <si>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</si>
  <si>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</si>
  <si>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</si>
  <si>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</si>
  <si>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</si>
  <si>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</si>
  <si>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</si>
  <si>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</si>
  <si>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</si>
  <si>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</si>
  <si>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</si>
  <si>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</si>
  <si>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</si>
  <si>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</si>
  <si>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</si>
  <si>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</si>
  <si>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</si>
  <si>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</si>
  <si>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</si>
  <si>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</si>
  <si>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</si>
  <si>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</si>
  <si>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</si>
  <si>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</si>
  <si>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</si>
  <si>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</si>
  <si>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</si>
  <si>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</si>
  <si>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</si>
  <si>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</si>
  <si>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</si>
  <si>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</si>
  <si>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</si>
  <si>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</si>
  <si>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</si>
  <si>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</si>
  <si>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</si>
  <si>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</si>
  <si>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</si>
  <si>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</si>
  <si>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</si>
  <si>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</si>
  <si>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</si>
  <si>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</si>
  <si>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</si>
  <si>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</si>
  <si>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</si>
  <si>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</si>
  <si>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</si>
  <si>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</si>
  <si>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</si>
  <si>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</si>
  <si>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</si>
  <si>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</si>
  <si>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</si>
  <si>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</si>
  <si>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</si>
  <si>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</si>
  <si>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</si>
  <si>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</si>
  <si>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</si>
  <si>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</si>
  <si>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</si>
  <si>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</si>
  <si>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</si>
  <si>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</si>
  <si>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</si>
  <si>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</si>
  <si>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</si>
  <si>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</si>
  <si>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</si>
  <si>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</si>
  <si>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</si>
  <si>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</si>
  <si>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</si>
  <si>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</si>
  <si>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</si>
  <si>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</si>
  <si>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</si>
  <si>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</si>
  <si>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</si>
  <si>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</si>
  <si>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</si>
  <si>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</si>
  <si>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</si>
  <si>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</si>
  <si>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</si>
  <si>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</si>
  <si>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</si>
  <si>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</si>
  <si>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</si>
  <si>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</si>
  <si>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</si>
  <si>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</si>
  <si>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</si>
  <si>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</si>
  <si>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</si>
  <si>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</si>
  <si>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</si>
  <si>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</si>
  <si>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</si>
  <si>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</si>
  <si>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</si>
  <si>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</si>
  <si>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</si>
  <si>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</si>
  <si>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</si>
  <si>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</si>
  <si>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</si>
  <si>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GTS kan op dit tabblad in vormvrije wijze de noodzakelijke input opnemen voor de tariefcorrecties die zij wil voorstellen in het tabblad incidentele correcties.</t>
  </si>
  <si>
    <t>Incidentele correctie assetoverdracht - nieuwe assets Gasunie</t>
  </si>
  <si>
    <t>Investeringsjaar</t>
  </si>
  <si>
    <t>Euro</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</si>
  <si>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</si>
  <si>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</si>
  <si>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</si>
  <si>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</si>
  <si>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</si>
  <si>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</si>
  <si>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</si>
  <si>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</si>
  <si>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</si>
  <si>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</si>
  <si>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</si>
  <si>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</si>
  <si>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</si>
  <si>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</si>
  <si>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</si>
  <si>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</si>
  <si>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</si>
  <si>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</si>
  <si>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</si>
  <si>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</si>
  <si>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</si>
  <si>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</si>
  <si>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</si>
  <si>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</si>
  <si>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Invulmodule reguleringsdata GTS 2020 gecorrigeerd.xlsx</t>
  </si>
  <si>
    <t>1. Invulmodule reguleringsdata GTS 2022 (WACC aangepast door ACM, V2).xlsx</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</si>
  <si>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</si>
  <si>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</si>
  <si>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</si>
  <si>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</si>
  <si>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</si>
  <si>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</si>
  <si>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</si>
  <si>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</si>
  <si>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</si>
  <si>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</si>
  <si>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</si>
  <si>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</si>
  <si>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</si>
  <si>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</si>
  <si>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</si>
  <si>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</si>
  <si>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</si>
  <si>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</si>
  <si>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</si>
  <si>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</si>
  <si>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</si>
  <si>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</si>
  <si>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</si>
  <si>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</si>
  <si>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</si>
  <si>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</si>
  <si>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</si>
  <si>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</si>
  <si>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</si>
  <si>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</si>
  <si>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</si>
  <si>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</si>
  <si>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</si>
  <si>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</si>
  <si>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</si>
  <si>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</si>
  <si>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</si>
  <si>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</si>
  <si>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</si>
  <si>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</si>
  <si>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</si>
  <si>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</si>
  <si>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</si>
  <si>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</si>
  <si>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</si>
  <si>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</si>
  <si>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</si>
  <si>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</si>
  <si>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</si>
  <si>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</si>
  <si>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</si>
  <si>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</si>
  <si>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</si>
  <si>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</si>
  <si>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</si>
  <si>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</si>
  <si>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</si>
  <si>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</si>
  <si>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</si>
  <si>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</si>
  <si>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</si>
  <si>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</si>
  <si>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</si>
  <si>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</si>
  <si>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</si>
  <si>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</si>
  <si>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</si>
  <si>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</si>
  <si>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</si>
  <si>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</si>
  <si>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</si>
  <si>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</si>
  <si>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</si>
  <si>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</si>
  <si>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</si>
  <si>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</si>
  <si>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</si>
  <si>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</si>
  <si>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</si>
  <si>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</si>
  <si>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</si>
  <si>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</si>
  <si>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</si>
  <si>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</si>
  <si>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</si>
  <si>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</si>
  <si>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</si>
  <si>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</si>
  <si>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</si>
  <si>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</si>
  <si>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</si>
  <si>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Om deze resterende waarden te berekenen gebruiken wij de GAW-berekeningsexcel zoals gepubliceerd bij het x-factorbesluit GTS. Hierin zetten wij het oorspronkelijke investeringsbedrag en het oorspronkelijke jaar van de investering, om daar de resterende GAW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</si>
  <si>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</si>
  <si>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</si>
  <si>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</si>
  <si>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</si>
  <si>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</si>
  <si>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</si>
  <si>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</si>
  <si>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</si>
  <si>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Verrekening desinvestering</t>
  </si>
  <si>
    <t xml:space="preserve">                                                                                                                                                                                                                                                                                                                                                                                                                                                                                                                                                                                                                                                                                                                                                                                                                                                                       </t>
  </si>
  <si>
    <t>Nacalculatie tarievenbesluit 2025</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</si>
  <si>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</si>
  <si>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</si>
  <si>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</si>
  <si>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</si>
  <si>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</si>
  <si>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</si>
  <si>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</si>
  <si>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</si>
  <si>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</si>
  <si>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</si>
  <si>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</si>
  <si>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</si>
  <si>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</si>
  <si>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</si>
  <si>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</si>
  <si>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de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</si>
  <si>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</si>
  <si>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</si>
  <si>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</si>
  <si>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</si>
  <si>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</si>
  <si>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</si>
  <si>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</si>
  <si>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</si>
  <si>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</si>
  <si>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</si>
  <si>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</si>
  <si>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</si>
  <si>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</si>
  <si>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</si>
  <si>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</si>
  <si>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</si>
  <si>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</si>
  <si>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</si>
  <si>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</si>
  <si>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</si>
  <si>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</si>
  <si>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</si>
  <si>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</si>
  <si>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</si>
  <si>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piektaak</t>
  </si>
  <si>
    <t>Gerealiseerde inkoopkosten worden vanaf 2022 opgehaald uit tabblad 13. Operationele kosten</t>
  </si>
  <si>
    <t>Parameters incidentele correctie energie</t>
  </si>
  <si>
    <t>Bonus/malus</t>
  </si>
  <si>
    <t>Maximum afwijking bonus/malus</t>
  </si>
  <si>
    <t>Verdeelsleutel kosten peakshaver ten behoeve van piektaak</t>
  </si>
  <si>
    <t>Omzetregulering (conform paragraaf 8.2 van het methodebesluit 2022-2026)</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</si>
  <si>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</si>
  <si>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</si>
  <si>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</si>
  <si>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</si>
  <si>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</si>
  <si>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</si>
  <si>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</si>
  <si>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</si>
  <si>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</si>
  <si>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</si>
  <si>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</si>
  <si>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</si>
  <si>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</si>
  <si>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</si>
  <si>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</si>
  <si>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</si>
  <si>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</si>
  <si>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</si>
  <si>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</si>
  <si>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</si>
  <si>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</si>
  <si>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</si>
  <si>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</si>
  <si>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</si>
  <si>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 xml:space="preserve">Nacalculeren </t>
  </si>
  <si>
    <t>De nacalculatie in cel O122 bevat ook de kosten in cellen M115-M118 en N117-N118, omdat deze in de rekenmodule van tarievenbesluit 2023 nog niet verwerkt waren.</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</si>
  <si>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</si>
  <si>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</si>
  <si>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</si>
  <si>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</si>
  <si>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</si>
  <si>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</si>
  <si>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</si>
  <si>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van de WACC is in de tarievenmodule van 2024 niet berekend voor de desinvesteringen en de assetoverdracht. Deze nacalculatie wordt hier alsnog gedaan.</t>
  </si>
  <si>
    <t>Prognose inkoopkosten energie totaal</t>
  </si>
  <si>
    <t>Verschil tussen realisatie en prognose</t>
  </si>
  <si>
    <t>Risico GTS</t>
  </si>
  <si>
    <t>Maximum risico GTS</t>
  </si>
  <si>
    <t>Netto risico GTS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</si>
  <si>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</si>
  <si>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</si>
  <si>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</si>
  <si>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</si>
  <si>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</si>
  <si>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</si>
  <si>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</si>
  <si>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</si>
  <si>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</si>
  <si>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</si>
  <si>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</si>
  <si>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</si>
  <si>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</si>
  <si>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</si>
  <si>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</si>
  <si>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</si>
  <si>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</si>
  <si>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</si>
  <si>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</si>
  <si>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</si>
  <si>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</si>
  <si>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</si>
  <si>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</si>
  <si>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</si>
  <si>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</si>
  <si>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</si>
  <si>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</si>
  <si>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</si>
  <si>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</si>
  <si>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</si>
  <si>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</si>
  <si>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</si>
  <si>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</si>
  <si>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</si>
  <si>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</si>
  <si>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</si>
  <si>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</si>
  <si>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</si>
  <si>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Totaal overige incidentele correcties</t>
  </si>
  <si>
    <t>In 2023 wordt de vergoeding van de overdracht, de kosten van 2022 en 2023 in 1 keer verrekend. De activa werden op 31-12-2021 overgedragen dus past de ACM slechts 1 jaar aan heffingsrente toe. 
In 2025 wordt de vergoeding voor nieuwe investeringen in 2022 en 2023 in 1 keer verrekend</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</si>
  <si>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</si>
  <si>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</si>
  <si>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</si>
  <si>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</si>
  <si>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</si>
  <si>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</si>
  <si>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</si>
  <si>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Inkoop energie peakshaver</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</si>
  <si>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</si>
  <si>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</si>
  <si>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</si>
  <si>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</si>
  <si>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</si>
  <si>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</si>
  <si>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</si>
  <si>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</si>
  <si>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</si>
  <si>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</si>
  <si>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</si>
  <si>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</si>
  <si>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</si>
  <si>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</si>
  <si>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</si>
  <si>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</si>
  <si>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</si>
  <si>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</si>
  <si>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</si>
  <si>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</si>
  <si>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 xml:space="preserve">Op dit tabblad wordt de correctie op de toegestane inkomsten van GTS in de jaren 2022-2024 berekend. De toegestane inkomsten worden opnieuw berekend als gevolg van de CBb-uitspraak op 4 juli 2023. Op basis van deze uitspraak neemt de ACM een hersteld methodebesluit en hersteld x-factorbesluit. De aanpassingen werken door in de berekening van de toegestane inkomsten; het verschil tussen de toegestane inkomsten onder het oude x-factorbesluit en onder het hersteld x-factorbesluit wordt op dit tabblad berekend. Het verschil wordt verrekend in het Tarievenbesluit GTS 2025. </t>
  </si>
  <si>
    <t>Niet alle waarden die worden opgehaald op dit tabblad worden gebruikt in de berekening van de correctie. Ze worden opgehaald om inzicht te geven in het effect van verschillende correcties in het herstelmethodebesluit en x-factorbesluit op de verrekening in het Tarievenbesluit 2025.</t>
  </si>
  <si>
    <t>Correctie herstelmethodebesluit GTS 2022-2026</t>
  </si>
  <si>
    <t xml:space="preserve">Volgens methodebesluit en x-factorbesluit 2022-2026 </t>
  </si>
  <si>
    <t xml:space="preserve">Volgens herstelmethodebesluit en x-factorbesluit 2022-2026 </t>
  </si>
  <si>
    <t>Wijziging als gevolg van herberekening x-factor (door herziene waarden WACC en theta).</t>
  </si>
  <si>
    <t>Wijziging als gevolg van herziene waarden WACC en theta.</t>
  </si>
  <si>
    <t>Wijziging als gevolg van herziene waarden WACC en theta, plus aanpassing berekening bijschatten (alle geschatte investeringen worden bijgeschat, i.p.v. alleen de investeringen met een afschrijvingstermijn van &gt;10 jaar).</t>
  </si>
  <si>
    <t>Cel J49-L49: Tarievenbesluiten 2022 - 2024. Cel M49-N49: De inkomsten voor 2025 en 2026 zijn bepaald o.b.v. 1,7% (cf. aangenomen CPI in het Methodebesluit).</t>
  </si>
  <si>
    <t>Cel J50-L50: Tarievenbesluiten 2022 - 2024, waarbij een gecorrigeerde CPI is toegepast (1,7% in 2022 en 3,5% 2023), zoals overeengekomen in de NC TAR-overeenkomst. Cel M50-N50: De inkomsten voor 2025 en 2026 zijn bepaald o.b.v. 1,7% (cf. aangenomen CPI in het Methodebesluit).</t>
  </si>
  <si>
    <t>Verschil verschillende posten</t>
  </si>
  <si>
    <t>Totaal</t>
  </si>
  <si>
    <t>Verschil toegestane inkomsten onder MB en HMB</t>
  </si>
  <si>
    <t>Correctie HMB Tarievenbesluit GTS 2025</t>
  </si>
  <si>
    <t>Verschil toegestane inkomsten onder 'oude' en gocorrigeerde CPI</t>
  </si>
  <si>
    <t>Zie toelichting in cellen P49-P50.</t>
  </si>
  <si>
    <t>Correctie CPI Tarievenbesluit GTS 2025</t>
  </si>
  <si>
    <t>Tabblad 25 - Incidentele correcties</t>
  </si>
  <si>
    <t>Tabblad 26 -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</si>
  <si>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</si>
  <si>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 xml:space="preserve">X-factor </t>
  </si>
  <si>
    <t>X-factor uit gewijzigd x-factorbesluit</t>
  </si>
  <si>
    <t xml:space="preserve">Begininkomsten uit gewijzigd x-factorbesluit </t>
  </si>
  <si>
    <t xml:space="preserve">Berekening totale inkomsten excl. tariefcorrecties </t>
  </si>
  <si>
    <t>Zoals berekend voor het tariefbesluit in het betreffende jaar; 2022-2024 volgens het Methodebesluit 2022-2026, 2025 volgens het Gewijzigd Methodebesluit 2022-2026.</t>
  </si>
  <si>
    <t>Tariefcorrecties</t>
  </si>
  <si>
    <t>Incidentele correctie CPI a.g.v. NC TAR-overeenkomst</t>
  </si>
  <si>
    <t>Toegestane inkomsten</t>
  </si>
  <si>
    <t xml:space="preserve">Toegestane inkomsten </t>
  </si>
  <si>
    <t>Tabblad 27 -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</si>
  <si>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</si>
  <si>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</si>
  <si>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</si>
  <si>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</si>
  <si>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</si>
  <si>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</si>
  <si>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</si>
  <si>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</si>
  <si>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</si>
  <si>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</si>
  <si>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</si>
  <si>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</si>
  <si>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</si>
  <si>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</si>
  <si>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</si>
  <si>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</si>
  <si>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</si>
  <si>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</si>
  <si>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</si>
  <si>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28 -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</si>
  <si>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</si>
  <si>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Gekozen punt voor korting afschakelen</t>
  </si>
  <si>
    <t>Referentieprijzen na aanpassingen (onafgerond)</t>
  </si>
  <si>
    <t>EUR/kWh/uur/jaar, pp 2025</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</si>
  <si>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</si>
  <si>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</si>
  <si>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</si>
  <si>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</si>
  <si>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Entry</t>
  </si>
  <si>
    <t>Exit</t>
  </si>
  <si>
    <t>Korting voor afschakelbare capaciteit entry</t>
  </si>
  <si>
    <t>Korting voor afschakelbare capaciteit exit</t>
  </si>
  <si>
    <t>In dit tabblad worden de desinvesteringen van GTS over de jaren 2020 tot en met 2026 weergegeven.</t>
  </si>
  <si>
    <t>Tabblad  7 - Input incidentele correctie peakshaver</t>
  </si>
  <si>
    <t>Nacalculatie inkoopkosten energie inclusief heffingsrente en bonus malus</t>
  </si>
  <si>
    <t xml:space="preserve">De ACM heeft op verschillende entry- en exitpunten verschillende kortingen voor afschakelbare capaciteit vastgesteld, gebaseerd op de gerealiseerde kans op afschakelen. Op tabblad 1 in de roze gemarkeerde cel J8 in tabblad 1. Entry- en exittarieven kunt u middels een dropdownmenu selecteren voor welk punt u de tarieven wil berekenen. </t>
  </si>
  <si>
    <t>Tabblad  6 - Input incidentele correctie WQA</t>
  </si>
  <si>
    <t>Tabblad 8 - Input incidentele correctie huur assets van Gasunie</t>
  </si>
  <si>
    <t>Tabblad 9 - Input incidentele correcties</t>
  </si>
  <si>
    <t>Invulmodule reguleringsdata 2023 (v1.0) zonder spaties.xlsx</t>
  </si>
  <si>
    <t>Gekozen punt voor de tarieven van afschakelbare capaciteit</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</si>
  <si>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2025' vindt u de tarieven voor de verschillende punten naar tabblad uitgesplitst.</t>
    </r>
  </si>
  <si>
    <t>Voorlopige schatting ITC</t>
  </si>
  <si>
    <t>Voorlopige schatting door de ACM; de ITC voor 2025 wordt naar alle waarschijnlijkheid in de loop van 2024 opgelegd aan BBLC.</t>
  </si>
  <si>
    <t>Daarnaast wordt op dit tabblad de CPI-correctie zoals afgesproken via de NC TAR-overeenkomst van 16 oktober 2023 berekend. Verder wordt de incidentele correctie op basis van de voorlopige schatting van de ITC voor 2025 berekend.</t>
  </si>
  <si>
    <t>Correctie voorlopige schatting ITC</t>
  </si>
  <si>
    <t>Correctie ITC Tarievenbesluit GTS 2025</t>
  </si>
  <si>
    <t>Tabblad 24 - Correctie gewijzigd methodebesluit, CPI en ITC</t>
  </si>
  <si>
    <t>Incidentele correctie voorlopige schatting ITC</t>
  </si>
  <si>
    <t>DNB, vanaf 2025 berekening ACM o.b.v. ECB</t>
  </si>
  <si>
    <t>Vanaf 2025 gebruikt de ACM een actuelere en specifiekere schatting voor de heffingsrente, gebaseerd op de meest recent beschikbare gegevens. De DNB stelt de wettelijke rente vast door de meest recente ECB referentierente te verhogen met 2,25 %-punt en dit (naar boven) naar de de dichtstbijzijnde halve of hele procentpunt. De meest recente ECB-rente is 4,5%, waarmee we de heffingsrente dus op 4,50+2,25=6,75, afgerond 7% vaststellen.</t>
  </si>
  <si>
    <t>ACM - Invulmodule reguleringsdata 2023 (v1.0) zonder spaties.xlsx</t>
  </si>
  <si>
    <t>Voorlopige schatting ITC (Inter TSO Compensation)</t>
  </si>
  <si>
    <t>ACM/UIT/614423</t>
  </si>
  <si>
    <t>24. Correctie gew. MB, CPI en ITC</t>
  </si>
  <si>
    <t>ACM/23/187039</t>
  </si>
  <si>
    <t>Nacalculatiemodel WACC, zie bijlage bij huidige publicatie</t>
  </si>
  <si>
    <t>Incidentele correctie Gewijzigd Methodebesluit 2022-2026</t>
  </si>
  <si>
    <t>301568_VIP TTF-THE-L</t>
  </si>
  <si>
    <t>301401_OUDE STATENZIJL (ETZEL FREYA H)</t>
  </si>
  <si>
    <t>301400_OUDE STATENZIJL (ETZEL-CRYSTAL-H)</t>
  </si>
  <si>
    <t>301391_OUDE STATENZIJL (ASTORA JEMGUM)</t>
  </si>
  <si>
    <t>301453_OUDE STATENZIJL (EWE JEMGUM)</t>
  </si>
  <si>
    <t>301360_OUDE STATENZIJL (ETZEL EKB H)</t>
  </si>
  <si>
    <t>301348_BERGERMEER (TAQA-UGS)</t>
  </si>
  <si>
    <t>301345_ROTTERDAM (GATE)</t>
  </si>
  <si>
    <t>301320_ZUIDWENDING (UGS)</t>
  </si>
  <si>
    <t>301116_NORG (NAM-UGS)</t>
  </si>
  <si>
    <t>301114_GRIJPSKERK (NAM-UGS)</t>
  </si>
  <si>
    <t>300131_HILVARENBEEK (FLUXYS)</t>
  </si>
  <si>
    <t>DTE-Tarievenbesluiten@acm.nl</t>
  </si>
  <si>
    <t>Dit kortingspercentage is op het moment van nemen van het Tarievenbesluit GTS 2025 nog niet correct opgenomen in de Tarievencode Gas. De kortingspercentages zoals hier weergegeven zijn correct. Het kortingspercentage in de Tarievencode Gas wordt voor 31 december 2024 aangepast, Hierdoor komen de kortingspercentages in het Tarievenbesluit GTS 2025 en de Tarievencode Gas overeen op het moment dat de tarieven van kracht worden.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</si>
</sst>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4">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0_ ;\-#,##0\ "/>
    <numFmt numFmtId="273" formatCode="_ * #,##0.000_ ;_ * \-#,##0.000_ ;_ * &quot;-&quot;???_ ;_ @_ "/>
  </numFmts>
  <fonts count="262">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sz val="10"/>
      <color rgb="FF2D3D53"/>
      <name val="Arial"/>
      <family val="2"/>
    </font>
  </fonts>
  <fills count="1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
      <patternFill patternType="solid">
        <fgColor rgb="FFCCFFCC"/>
        <bgColor rgb="FF000000"/>
      </patternFill>
    </fill>
  </fills>
  <borders count="8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5" applyNumberFormat="0" applyAlignment="0" applyProtection="0"/>
    <xf numFmtId="0" fontId="17" fillId="18" borderId="6" applyNumberFormat="0" applyAlignment="0" applyProtection="0"/>
    <xf numFmtId="0" fontId="18" fillId="18" borderId="5" applyNumberFormat="0" applyAlignment="0" applyProtection="0"/>
    <xf numFmtId="0" fontId="19" fillId="0" borderId="7" applyNumberFormat="0" applyFill="0" applyAlignment="0" applyProtection="0"/>
    <xf numFmtId="0" fontId="13" fillId="19" borderId="8" applyNumberFormat="0" applyAlignment="0" applyProtection="0"/>
    <xf numFmtId="0" fontId="15" fillId="20" borderId="9"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97" borderId="29" applyNumberFormat="0">
      <protection locked="0"/>
    </xf>
    <xf numFmtId="0" fontId="59" fillId="55" borderId="30" applyBorder="0"/>
    <xf numFmtId="4" fontId="60" fillId="85" borderId="27"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0" fontId="40" fillId="99" borderId="2"/>
    <xf numFmtId="4" fontId="62" fillId="97" borderId="18"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6" applyNumberFormat="0" applyAlignment="0" applyProtection="0"/>
    <xf numFmtId="0" fontId="56" fillId="86" borderId="0" applyNumberFormat="0" applyBorder="0" applyAlignment="0" applyProtection="0"/>
    <xf numFmtId="0" fontId="73" fillId="52" borderId="17" applyNumberFormat="0" applyAlignment="0" applyProtection="0"/>
    <xf numFmtId="0" fontId="43" fillId="52" borderId="17" applyNumberFormat="0" applyAlignment="0" applyProtection="0"/>
    <xf numFmtId="0" fontId="45" fillId="79" borderId="19" applyNumberFormat="0" applyAlignment="0" applyProtection="0"/>
    <xf numFmtId="0" fontId="74" fillId="51" borderId="17" applyNumberFormat="0" applyAlignment="0" applyProtection="0"/>
    <xf numFmtId="0" fontId="75" fillId="0" borderId="31"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51" fillId="51" borderId="17" applyNumberFormat="0" applyAlignment="0" applyProtection="0"/>
    <xf numFmtId="168" fontId="6" fillId="0" borderId="0" applyFont="0" applyFill="0" applyBorder="0" applyAlignment="0" applyProtection="0"/>
    <xf numFmtId="0" fontId="48" fillId="0" borderId="20"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5" applyNumberFormat="0" applyFont="0" applyAlignment="0" applyProtection="0"/>
    <xf numFmtId="0" fontId="70" fillId="85" borderId="25" applyNumberFormat="0" applyFont="0" applyAlignment="0" applyProtection="0"/>
    <xf numFmtId="0" fontId="57" fillId="52" borderId="26"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31" applyNumberFormat="0" applyFill="0" applyAlignment="0" applyProtection="0"/>
    <xf numFmtId="0" fontId="64" fillId="0" borderId="0" applyNumberFormat="0" applyFill="0" applyBorder="0" applyAlignment="0" applyProtection="0"/>
    <xf numFmtId="0" fontId="79" fillId="0" borderId="21" applyNumberFormat="0" applyFill="0" applyAlignment="0" applyProtection="0"/>
    <xf numFmtId="0" fontId="80" fillId="0" borderId="22" applyNumberFormat="0" applyFill="0" applyAlignment="0" applyProtection="0"/>
    <xf numFmtId="0" fontId="81" fillId="0" borderId="23" applyNumberFormat="0" applyFill="0" applyAlignment="0" applyProtection="0"/>
    <xf numFmtId="0" fontId="81" fillId="0" borderId="0" applyNumberFormat="0" applyFill="0" applyBorder="0" applyAlignment="0" applyProtection="0"/>
    <xf numFmtId="0" fontId="82" fillId="0" borderId="20"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9" applyNumberFormat="0" applyAlignment="0" applyProtection="0"/>
    <xf numFmtId="0" fontId="6" fillId="0" borderId="0"/>
    <xf numFmtId="0" fontId="1" fillId="0" borderId="0"/>
    <xf numFmtId="4" fontId="40" fillId="88" borderId="18"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7" applyNumberFormat="0" applyAlignment="0" applyProtection="0"/>
    <xf numFmtId="0" fontId="45" fillId="79" borderId="19" applyNumberFormat="0" applyAlignment="0" applyProtection="0"/>
    <xf numFmtId="0" fontId="48" fillId="0" borderId="20" applyNumberFormat="0" applyFill="0" applyAlignment="0" applyProtection="0"/>
    <xf numFmtId="0" fontId="49" fillId="83" borderId="0" applyNumberFormat="0" applyBorder="0" applyAlignment="0" applyProtection="0"/>
    <xf numFmtId="0" fontId="51" fillId="51" borderId="17" applyNumberFormat="0" applyAlignment="0" applyProtection="0"/>
    <xf numFmtId="168" fontId="6" fillId="0" borderId="0" applyFont="0" applyFill="0" applyBorder="0" applyAlignment="0" applyProtection="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112" borderId="18"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31" applyNumberFormat="0" applyFill="0" applyAlignment="0" applyProtection="0"/>
    <xf numFmtId="0" fontId="57" fillId="52" borderId="26"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8" applyNumberFormat="0" applyProtection="0">
      <alignment horizontal="left" vertical="center" indent="1"/>
    </xf>
    <xf numFmtId="4" fontId="6" fillId="55" borderId="28"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7" applyNumberFormat="0" applyAlignment="0" applyProtection="0"/>
    <xf numFmtId="0" fontId="44" fillId="78" borderId="18" applyNumberFormat="0" applyAlignment="0" applyProtection="0"/>
    <xf numFmtId="0" fontId="86" fillId="0" borderId="0" applyNumberFormat="0" applyFill="0" applyBorder="0" applyAlignment="0" applyProtection="0">
      <alignment vertical="top"/>
      <protection locked="0"/>
    </xf>
    <xf numFmtId="0" fontId="50" fillId="76" borderId="18" applyNumberFormat="0" applyAlignment="0" applyProtection="0"/>
    <xf numFmtId="0" fontId="51" fillId="51" borderId="17"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165" fontId="6" fillId="10" borderId="38" applyBorder="0" applyProtection="0">
      <alignment horizontal="center" vertical="center"/>
    </xf>
    <xf numFmtId="9" fontId="37"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59" fillId="55" borderId="30" applyBorder="0"/>
    <xf numFmtId="4" fontId="60" fillId="85" borderId="27"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0" fontId="40" fillId="99" borderId="2"/>
    <xf numFmtId="0" fontId="40" fillId="99" borderId="2"/>
    <xf numFmtId="4" fontId="62" fillId="97" borderId="18"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31"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173" fontId="6" fillId="0" borderId="0" applyFon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89" fillId="125" borderId="0"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6"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0" fontId="6" fillId="126" borderId="26"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90" fillId="0" borderId="0"/>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6" fillId="0" borderId="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5" applyNumberFormat="0" applyAlignment="0" applyProtection="0"/>
    <xf numFmtId="169" fontId="47" fillId="0" borderId="0" applyFont="0" applyFill="0" applyBorder="0" applyAlignment="0" applyProtection="0"/>
    <xf numFmtId="0" fontId="101" fillId="0" borderId="7"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9"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3"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6"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7" applyNumberFormat="0" applyAlignment="0" applyProtection="0"/>
    <xf numFmtId="0" fontId="100" fillId="18" borderId="5"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5" fillId="70" borderId="19" applyNumberFormat="0" applyAlignment="0" applyProtection="0"/>
    <xf numFmtId="0" fontId="45" fillId="70" borderId="19" applyNumberFormat="0" applyAlignment="0" applyProtection="0"/>
    <xf numFmtId="0" fontId="45" fillId="79" borderId="19" applyNumberFormat="0" applyAlignment="0" applyProtection="0"/>
    <xf numFmtId="0" fontId="74" fillId="51" borderId="17" applyNumberFormat="0" applyAlignment="0" applyProtection="0"/>
    <xf numFmtId="0" fontId="75" fillId="0" borderId="31"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4" applyNumberFormat="0" applyFill="0" applyAlignment="0" applyProtection="0"/>
    <xf numFmtId="0" fontId="48" fillId="0" borderId="20" applyNumberFormat="0" applyFill="0" applyAlignment="0" applyProtection="0"/>
    <xf numFmtId="0" fontId="49" fillId="0" borderId="24" applyNumberFormat="0" applyFill="0" applyAlignment="0" applyProtection="0"/>
    <xf numFmtId="0" fontId="101" fillId="0" borderId="7"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40" applyNumberFormat="0" applyFill="0" applyAlignment="0" applyProtection="0"/>
    <xf numFmtId="0" fontId="106" fillId="0" borderId="40" applyNumberFormat="0" applyFill="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70" fillId="85" borderId="25" applyNumberFormat="0" applyFont="0" applyAlignment="0" applyProtection="0"/>
    <xf numFmtId="0" fontId="56" fillId="86" borderId="0" applyNumberFormat="0" applyBorder="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5" fillId="87"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0" fontId="58" fillId="111" borderId="27" applyNumberFormat="0" applyProtection="0">
      <alignment horizontal="left" vertical="top"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40" fillId="103" borderId="27" applyNumberFormat="0" applyProtection="0">
      <alignment horizontal="left" vertical="top"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40" fillId="128" borderId="27" applyNumberFormat="0" applyProtection="0">
      <alignment horizontal="left" vertical="top" indent="1"/>
    </xf>
    <xf numFmtId="0" fontId="40" fillId="47" borderId="27" applyNumberFormat="0" applyProtection="0">
      <alignment horizontal="left" vertical="top" indent="1"/>
    </xf>
    <xf numFmtId="0" fontId="40" fillId="113" borderId="29" applyNumberFormat="0">
      <protection locked="0"/>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6"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60" fillId="103" borderId="27"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5" fillId="101"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0" fillId="112" borderId="0" applyNumberFormat="0" applyProtection="0">
      <alignment horizontal="left" vertical="top"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1" fillId="98" borderId="28"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8" applyNumberFormat="0" applyAlignment="0" applyProtection="0"/>
    <xf numFmtId="0" fontId="49" fillId="0" borderId="24"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4"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5"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4" fillId="3" borderId="0" applyNumberFormat="0" applyBorder="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00" fillId="18" borderId="5"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97" fillId="19" borderId="8" applyNumberFormat="0" applyAlignment="0" applyProtection="0"/>
    <xf numFmtId="168" fontId="6" fillId="0" borderId="0" applyFont="0" applyFill="0" applyBorder="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10" applyNumberFormat="0" applyFill="0" applyAlignment="0" applyProtection="0"/>
    <xf numFmtId="0" fontId="93" fillId="0" borderId="11" applyNumberFormat="0" applyFill="0" applyAlignment="0" applyProtection="0"/>
    <xf numFmtId="0" fontId="94" fillId="0" borderId="12"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95" fillId="17" borderId="5"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103" borderId="30" applyBorder="0"/>
    <xf numFmtId="0" fontId="59" fillId="103" borderId="30" applyBorder="0"/>
    <xf numFmtId="0" fontId="59" fillId="103" borderId="30" applyBorder="0"/>
    <xf numFmtId="0" fontId="59" fillId="103" borderId="30" applyBorder="0"/>
    <xf numFmtId="0" fontId="59" fillId="103"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5" fillId="111" borderId="2"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112" borderId="0"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4">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5"/>
    <xf numFmtId="187" fontId="6" fillId="111" borderId="45"/>
    <xf numFmtId="187" fontId="6" fillId="111" borderId="45"/>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6"/>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5" applyBorder="0"/>
    <xf numFmtId="0" fontId="131" fillId="0" borderId="35" applyBorder="0"/>
    <xf numFmtId="0" fontId="131" fillId="0" borderId="35" applyBorder="0"/>
    <xf numFmtId="0" fontId="131" fillId="0" borderId="35"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8">
      <alignment horizontal="center" vertical="center"/>
    </xf>
    <xf numFmtId="0" fontId="110" fillId="0" borderId="34"/>
    <xf numFmtId="0" fontId="6" fillId="0" borderId="0"/>
    <xf numFmtId="0" fontId="110" fillId="0" borderId="16" applyBorder="0"/>
    <xf numFmtId="0" fontId="110" fillId="0" borderId="16"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59" fillId="0" borderId="49" applyNumberFormat="0" applyFill="0" applyBorder="0" applyAlignment="0" applyProtection="0"/>
    <xf numFmtId="0" fontId="59" fillId="0" borderId="49" applyNumberFormat="0" applyFill="0" applyBorder="0" applyAlignment="0" applyProtection="0"/>
    <xf numFmtId="0" fontId="132" fillId="0" borderId="49" applyNumberFormat="0" applyFill="0" applyBorder="0" applyAlignment="0" applyProtection="0"/>
    <xf numFmtId="0" fontId="132" fillId="0" borderId="49" applyNumberFormat="0" applyFill="0" applyBorder="0" applyAlignment="0" applyProtection="0"/>
    <xf numFmtId="0" fontId="40" fillId="0" borderId="49" applyNumberFormat="0" applyFill="0" applyAlignment="0" applyProtection="0"/>
    <xf numFmtId="0" fontId="133" fillId="0" borderId="50">
      <protection hidden="1"/>
    </xf>
    <xf numFmtId="0" fontId="134" fillId="52" borderId="50" applyNumberFormat="0" applyFont="0" applyBorder="0" applyAlignment="0" applyProtection="0">
      <protection hidden="1"/>
    </xf>
    <xf numFmtId="0" fontId="133" fillId="0" borderId="50">
      <protection hidden="1"/>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00" fillId="18" borderId="5" applyNumberFormat="0" applyAlignment="0" applyProtection="0"/>
    <xf numFmtId="0" fontId="44" fillId="78" borderId="18" applyNumberFormat="0" applyAlignment="0" applyProtection="0"/>
    <xf numFmtId="0" fontId="44" fillId="78" borderId="18"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5"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139" fillId="0" borderId="37" applyNumberFormat="0" applyFont="0" applyFill="0" applyAlignment="0" applyProtection="0"/>
    <xf numFmtId="0" fontId="139" fillId="0" borderId="43" applyNumberFormat="0" applyFont="0" applyFill="0" applyAlignment="0" applyProtection="0"/>
    <xf numFmtId="0" fontId="144" fillId="0" borderId="51" applyNumberFormat="0" applyFont="0" applyFill="0" applyAlignment="0" applyProtection="0">
      <alignment horizontal="centerContinuous"/>
    </xf>
    <xf numFmtId="0" fontId="139" fillId="0" borderId="37"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3" applyNumberFormat="0"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50" fillId="97"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203" fontId="151" fillId="0" borderId="33"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8" applyNumberFormat="0" applyAlignment="0" applyProtection="0"/>
    <xf numFmtId="0" fontId="45" fillId="79" borderId="19" applyNumberFormat="0" applyAlignment="0" applyProtection="0"/>
    <xf numFmtId="0" fontId="97" fillId="19" borderId="8"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5">
      <alignment horizontal="center"/>
    </xf>
    <xf numFmtId="0" fontId="155" fillId="0" borderId="35">
      <alignment horizontal="center"/>
    </xf>
    <xf numFmtId="0" fontId="155" fillId="0" borderId="35">
      <alignment horizontal="center"/>
    </xf>
    <xf numFmtId="0" fontId="155" fillId="0" borderId="35">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4">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6">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5"/>
    <xf numFmtId="221" fontId="59" fillId="0" borderId="35"/>
    <xf numFmtId="221" fontId="59" fillId="0" borderId="35"/>
    <xf numFmtId="221" fontId="59" fillId="0" borderId="35"/>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2" applyNumberFormat="0" applyFont="0" applyFill="0" applyAlignment="0" applyProtection="0"/>
    <xf numFmtId="212" fontId="166" fillId="0" borderId="0" applyFill="0" applyBorder="0" applyAlignment="0" applyProtection="0"/>
    <xf numFmtId="38" fontId="145" fillId="0" borderId="53">
      <alignment horizontal="right"/>
    </xf>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20" applyNumberFormat="0" applyFill="0" applyAlignment="0" applyProtection="0"/>
    <xf numFmtId="0" fontId="49" fillId="0" borderId="24" applyNumberFormat="0" applyFill="0" applyAlignment="0" applyProtection="0"/>
    <xf numFmtId="0" fontId="101" fillId="0" borderId="7" applyNumberFormat="0" applyFill="0" applyAlignment="0" applyProtection="0"/>
    <xf numFmtId="0" fontId="49" fillId="0" borderId="24"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4">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3">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5"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6" applyProtection="0">
      <alignment horizontal="right" wrapText="1"/>
    </xf>
    <xf numFmtId="0" fontId="52" fillId="0" borderId="21" applyNumberFormat="0" applyFill="0" applyAlignment="0" applyProtection="0"/>
    <xf numFmtId="0" fontId="106" fillId="0" borderId="4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49" fontId="188" fillId="0" borderId="0" applyProtection="0">
      <alignment wrapText="1"/>
    </xf>
    <xf numFmtId="0" fontId="53" fillId="0" borderId="22" applyNumberFormat="0" applyFill="0" applyAlignment="0" applyProtection="0"/>
    <xf numFmtId="0" fontId="107" fillId="0" borderId="41" applyNumberFormat="0" applyFill="0" applyAlignment="0" applyProtection="0"/>
    <xf numFmtId="0" fontId="93" fillId="0" borderId="11" applyNumberFormat="0" applyFill="0" applyAlignment="0" applyProtection="0"/>
    <xf numFmtId="0" fontId="93" fillId="0" borderId="11" applyNumberFormat="0" applyFill="0" applyAlignment="0" applyProtection="0"/>
    <xf numFmtId="49" fontId="189" fillId="0" borderId="57" applyProtection="0">
      <alignment horizontal="right" wrapText="1"/>
    </xf>
    <xf numFmtId="0" fontId="54" fillId="0" borderId="23" applyNumberFormat="0" applyFill="0" applyAlignment="0" applyProtection="0"/>
    <xf numFmtId="0" fontId="108" fillId="0" borderId="4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7"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195" fillId="107" borderId="5"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95" fillId="17" borderId="5"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95" fillId="17" borderId="5" applyNumberFormat="0" applyAlignment="0" applyProtection="0"/>
    <xf numFmtId="0" fontId="6" fillId="98" borderId="0"/>
    <xf numFmtId="0" fontId="51" fillId="107" borderId="17"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110" fillId="0" borderId="0"/>
    <xf numFmtId="0" fontId="167" fillId="113" borderId="58"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2" applyFill="0" applyProtection="0">
      <alignment horizontal="centerContinuous"/>
    </xf>
    <xf numFmtId="0" fontId="59" fillId="0" borderId="35" applyFill="0" applyProtection="0"/>
    <xf numFmtId="0" fontId="59" fillId="0" borderId="35" applyFill="0" applyProtection="0"/>
    <xf numFmtId="0" fontId="59" fillId="0" borderId="35" applyFill="0" applyProtection="0"/>
    <xf numFmtId="0" fontId="59" fillId="0" borderId="35" applyFill="0" applyProtection="0"/>
    <xf numFmtId="0" fontId="59" fillId="0" borderId="35" applyFill="0" applyProtection="0"/>
    <xf numFmtId="0" fontId="59" fillId="0" borderId="35"/>
    <xf numFmtId="0" fontId="59" fillId="0" borderId="35"/>
    <xf numFmtId="0" fontId="59" fillId="0" borderId="35"/>
    <xf numFmtId="0" fontId="59" fillId="0" borderId="35"/>
    <xf numFmtId="0" fontId="59" fillId="0" borderId="35"/>
    <xf numFmtId="242" fontId="196" fillId="0" borderId="35">
      <alignment horizontal="right"/>
    </xf>
    <xf numFmtId="242" fontId="196" fillId="0" borderId="35">
      <alignment horizontal="right"/>
    </xf>
    <xf numFmtId="242" fontId="196" fillId="0" borderId="35">
      <alignment horizontal="right"/>
    </xf>
    <xf numFmtId="242" fontId="196" fillId="0" borderId="35">
      <alignment horizontal="right"/>
    </xf>
    <xf numFmtId="242" fontId="196" fillId="0" borderId="35">
      <alignment horizontal="right"/>
    </xf>
    <xf numFmtId="243" fontId="196" fillId="0" borderId="35"/>
    <xf numFmtId="243" fontId="196" fillId="0" borderId="35"/>
    <xf numFmtId="243" fontId="196" fillId="0" borderId="35"/>
    <xf numFmtId="243" fontId="196" fillId="0" borderId="35"/>
    <xf numFmtId="243" fontId="196" fillId="0" borderId="35"/>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4" fontId="40" fillId="0" borderId="0" applyFill="0" applyBorder="0" applyProtection="0">
      <alignment horizontal="right"/>
    </xf>
    <xf numFmtId="242" fontId="40" fillId="0" borderId="35"/>
    <xf numFmtId="242" fontId="40" fillId="0" borderId="35"/>
    <xf numFmtId="242" fontId="40" fillId="0" borderId="35"/>
    <xf numFmtId="242" fontId="40" fillId="0" borderId="35"/>
    <xf numFmtId="242" fontId="40" fillId="0" borderId="35"/>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4">
      <protection locked="0"/>
    </xf>
    <xf numFmtId="0" fontId="36" fillId="0" borderId="0" applyFill="0" applyProtection="0">
      <alignment horizontal="centerContinuous"/>
    </xf>
    <xf numFmtId="0" fontId="8" fillId="0" borderId="0" applyFill="0" applyProtection="0">
      <alignment horizontal="centerContinuous"/>
    </xf>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0" applyFill="0" applyBorder="0" applyProtection="0"/>
    <xf numFmtId="242" fontId="40" fillId="0" borderId="59" applyFill="0" applyProtection="0"/>
    <xf numFmtId="242" fontId="40" fillId="0" borderId="60"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61" applyNumberFormat="0" applyFill="0" applyAlignment="0" applyProtection="0"/>
    <xf numFmtId="0" fontId="48" fillId="0" borderId="20"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6" fillId="89" borderId="0"/>
    <xf numFmtId="0" fontId="110" fillId="0" borderId="0"/>
    <xf numFmtId="0" fontId="202" fillId="0" borderId="50">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36" fillId="0" borderId="0"/>
    <xf numFmtId="0" fontId="111" fillId="0" borderId="0"/>
    <xf numFmtId="0" fontId="213" fillId="0" borderId="0"/>
    <xf numFmtId="0" fontId="214" fillId="0" borderId="62"/>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216" fillId="0" borderId="5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97"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40" fontId="217" fillId="101" borderId="0">
      <alignment horizontal="right"/>
    </xf>
    <xf numFmtId="0" fontId="218" fillId="101" borderId="0">
      <alignment horizontal="right"/>
    </xf>
    <xf numFmtId="0" fontId="219" fillId="101" borderId="34"/>
    <xf numFmtId="0" fontId="219" fillId="0" borderId="0" applyBorder="0">
      <alignment horizontal="centerContinuous"/>
    </xf>
    <xf numFmtId="0" fontId="220" fillId="0" borderId="0" applyBorder="0">
      <alignment horizontal="centerContinuous"/>
    </xf>
    <xf numFmtId="0" fontId="57" fillId="97" borderId="26"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5"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3">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4">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3">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50"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110" fillId="0" borderId="0">
      <alignment horizontal="center"/>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110" fillId="0" borderId="0">
      <alignment horizontal="center"/>
    </xf>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116"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0" fontId="58" fillId="111"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103"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128" borderId="27" applyNumberFormat="0" applyProtection="0">
      <alignment horizontal="left" vertical="top" indent="1"/>
    </xf>
    <xf numFmtId="0" fontId="40" fillId="113" borderId="29" applyNumberFormat="0">
      <protection locked="0"/>
    </xf>
    <xf numFmtId="0" fontId="40" fillId="97" borderId="29" applyNumberFormat="0">
      <protection locked="0"/>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60" fillId="103"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112"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0" fillId="112" borderId="0"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227" fillId="0" borderId="66"/>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6" applyProtection="0">
      <alignment horizontal="right" wrapText="1"/>
    </xf>
    <xf numFmtId="0" fontId="188" fillId="0" borderId="56"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7" applyNumberFormat="0" applyFill="0" applyAlignment="0" applyProtection="0"/>
    <xf numFmtId="250" fontId="238" fillId="0" borderId="68" applyNumberFormat="0" applyFill="0" applyAlignment="0" applyProtection="0"/>
    <xf numFmtId="250" fontId="238" fillId="0" borderId="68"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9" applyNumberFormat="0" applyFill="0" applyAlignment="0" applyProtection="0"/>
    <xf numFmtId="250" fontId="239" fillId="0" borderId="70"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4">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9" applyNumberFormat="0" applyFill="0" applyBorder="0" applyAlignment="0" applyProtection="0"/>
    <xf numFmtId="0" fontId="6" fillId="0" borderId="49" applyNumberFormat="0" applyFill="0" applyBorder="0" applyAlignment="0" applyProtection="0"/>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0" fontId="245" fillId="151" borderId="0"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71"/>
    <xf numFmtId="0" fontId="115" fillId="0" borderId="0">
      <alignment horizontal="centerContinuous"/>
      <protection locked="0"/>
    </xf>
    <xf numFmtId="0" fontId="115" fillId="0" borderId="0">
      <alignment horizontal="left"/>
    </xf>
    <xf numFmtId="0" fontId="250" fillId="150" borderId="44">
      <alignment vertical="center"/>
    </xf>
    <xf numFmtId="0" fontId="251" fillId="0" borderId="0">
      <alignment horizontal="center"/>
    </xf>
    <xf numFmtId="195" fontId="226" fillId="0" borderId="0" applyNumberFormat="0" applyFill="0" applyBorder="0" applyAlignment="0" applyProtection="0"/>
    <xf numFmtId="0" fontId="128" fillId="52" borderId="50"/>
    <xf numFmtId="0" fontId="252" fillId="0" borderId="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37" fontId="40" fillId="87" borderId="0" applyNumberFormat="0" applyBorder="0" applyAlignment="0" applyProtection="0"/>
    <xf numFmtId="37" fontId="40" fillId="0" borderId="0"/>
    <xf numFmtId="3" fontId="197" fillId="0" borderId="72"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7" applyNumberFormat="0" applyAlignment="0" applyProtection="0"/>
    <xf numFmtId="0" fontId="51" fillId="51" borderId="17"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88" fillId="111" borderId="26"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4" fontId="40" fillId="88" borderId="18" applyNumberFormat="0" applyProtection="0">
      <alignment horizontal="left" vertical="center" indent="1"/>
    </xf>
    <xf numFmtId="4" fontId="40" fillId="88" borderId="18"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2" fillId="68" borderId="0" applyNumberFormat="0" applyBorder="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4" applyNumberFormat="0" applyFill="0" applyAlignment="0" applyProtection="0"/>
    <xf numFmtId="0" fontId="49" fillId="76" borderId="0" applyNumberFormat="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2" applyNumberFormat="0" applyFill="0" applyAlignment="0" applyProtection="0"/>
    <xf numFmtId="0" fontId="67" fillId="0" borderId="0" applyNumberFormat="0" applyFill="0" applyBorder="0" applyAlignment="0" applyProtection="0"/>
    <xf numFmtId="0" fontId="1" fillId="0" borderId="0"/>
    <xf numFmtId="4" fontId="40" fillId="88" borderId="18" applyNumberFormat="0" applyProtection="0">
      <alignment horizontal="left" vertical="center" indent="1"/>
    </xf>
    <xf numFmtId="0" fontId="1" fillId="0" borderId="0"/>
    <xf numFmtId="0" fontId="1" fillId="0" borderId="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113" borderId="28" applyNumberFormat="0" applyProtection="0">
      <alignment horizontal="left" vertical="center" indent="1"/>
    </xf>
    <xf numFmtId="4" fontId="40" fillId="113"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61" fillId="129"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xf numFmtId="173" fontId="6" fillId="13" borderId="0" applyFont="0" applyFill="0" applyBorder="0" applyProtection="0"/>
  </cellStyleXfs>
  <cellXfs count="393">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4" xfId="4" applyBorder="1" applyAlignment="1">
      <alignment horizontal="left" vertical="top" wrapText="1"/>
    </xf>
    <xf numFmtId="14" fontId="6" fillId="0" borderId="2" xfId="4" applyNumberFormat="1" applyBorder="1" applyAlignment="1">
      <alignment horizontal="left" vertical="top"/>
    </xf>
    <xf numFmtId="0" fontId="6" fillId="0" borderId="14" xfId="4" applyBorder="1" applyAlignment="1">
      <alignment vertical="top" wrapText="1"/>
    </xf>
    <xf numFmtId="0" fontId="6" fillId="0" borderId="16" xfId="4" applyBorder="1">
      <alignment vertical="top"/>
    </xf>
    <xf numFmtId="0" fontId="6" fillId="0" borderId="15" xfId="4" applyBorder="1">
      <alignment vertical="top"/>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4" fontId="6" fillId="0" borderId="14" xfId="4" applyNumberFormat="1" applyBorder="1" applyAlignment="1">
      <alignment horizontal="left" vertical="top" wrapText="1"/>
    </xf>
    <xf numFmtId="0" fontId="0" fillId="0" borderId="2" xfId="0" applyBorder="1">
      <alignment vertical="top"/>
    </xf>
    <xf numFmtId="166" fontId="6" fillId="15" borderId="0" xfId="63" applyNumberFormat="1" applyFill="1">
      <alignment vertical="top"/>
    </xf>
    <xf numFmtId="49" fontId="7" fillId="21" borderId="4" xfId="6" applyBorder="1">
      <alignment vertical="top"/>
    </xf>
    <xf numFmtId="49" fontId="7" fillId="21" borderId="35" xfId="6" applyBorder="1">
      <alignment vertical="top"/>
    </xf>
    <xf numFmtId="49" fontId="7" fillId="21" borderId="35"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5" xfId="6" applyBorder="1" applyAlignment="1"/>
    <xf numFmtId="49" fontId="7" fillId="21" borderId="35" xfId="6" applyBorder="1" applyAlignment="1">
      <alignment horizontal="center"/>
    </xf>
    <xf numFmtId="49" fontId="7" fillId="21" borderId="35"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5"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43" fontId="6" fillId="0" borderId="3" xfId="12" applyFill="1" applyBorder="1" applyAlignment="1">
      <alignment vertical="top" wrapText="1"/>
    </xf>
    <xf numFmtId="14" fontId="6" fillId="0" borderId="14" xfId="4" applyNumberFormat="1" applyBorder="1" applyAlignment="1">
      <alignment horizontal="lef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3" xfId="0" applyFont="1" applyFill="1" applyBorder="1">
      <alignment vertical="top"/>
    </xf>
    <xf numFmtId="0" fontId="32" fillId="154" borderId="74" xfId="0" applyFont="1" applyFill="1" applyBorder="1">
      <alignment vertical="top"/>
    </xf>
    <xf numFmtId="0" fontId="32" fillId="154" borderId="75" xfId="0" applyFont="1" applyFill="1" applyBorder="1">
      <alignment vertical="top"/>
    </xf>
    <xf numFmtId="0" fontId="32" fillId="154" borderId="0" xfId="0" applyFont="1" applyFill="1">
      <alignment vertical="top"/>
    </xf>
    <xf numFmtId="0" fontId="32" fillId="154" borderId="76" xfId="0" applyFont="1" applyFill="1" applyBorder="1">
      <alignment vertical="top"/>
    </xf>
    <xf numFmtId="0" fontId="32" fillId="7" borderId="0" xfId="0" applyFont="1" applyFill="1" applyAlignment="1">
      <alignment horizontal="center" vertical="top"/>
    </xf>
    <xf numFmtId="0" fontId="32" fillId="154" borderId="77" xfId="0" applyFont="1" applyFill="1" applyBorder="1">
      <alignment vertical="top"/>
    </xf>
    <xf numFmtId="0" fontId="32" fillId="154" borderId="78" xfId="0" applyFont="1" applyFill="1" applyBorder="1">
      <alignment vertical="top"/>
    </xf>
    <xf numFmtId="0" fontId="32" fillId="154" borderId="79" xfId="0" applyFont="1" applyFill="1" applyBorder="1">
      <alignment vertical="top"/>
    </xf>
    <xf numFmtId="0" fontId="32" fillId="154" borderId="80"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4" xfId="6" applyBorder="1" applyAlignment="1">
      <alignment vertical="center"/>
    </xf>
    <xf numFmtId="49" fontId="7" fillId="21" borderId="0" xfId="6" applyBorder="1" applyAlignment="1">
      <alignment vertical="center"/>
    </xf>
    <xf numFmtId="49" fontId="7" fillId="21" borderId="35" xfId="6" applyBorder="1" applyAlignment="1">
      <alignment vertical="center"/>
    </xf>
    <xf numFmtId="0" fontId="6" fillId="13" borderId="0" xfId="0" applyFont="1" applyFill="1" applyAlignment="1">
      <alignment horizontal="center" vertical="top"/>
    </xf>
    <xf numFmtId="164" fontId="6" fillId="0" borderId="0" xfId="63" applyNumberFormat="1" applyFont="1" applyFill="1">
      <alignment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4" xfId="61" applyBorder="1" applyAlignment="1">
      <alignment vertical="top" wrapText="1"/>
    </xf>
    <xf numFmtId="43" fontId="6" fillId="0" borderId="2" xfId="12" applyFill="1" applyBorder="1">
      <alignment vertical="top"/>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81" xfId="6" applyBorder="1">
      <alignment vertical="top"/>
    </xf>
    <xf numFmtId="49" fontId="7" fillId="21" borderId="16" xfId="6" applyBorder="1">
      <alignment vertical="top"/>
    </xf>
    <xf numFmtId="0" fontId="7" fillId="21" borderId="35" xfId="6" applyNumberFormat="1" applyBorder="1" applyAlignment="1">
      <alignment horizontal="right" vertical="top"/>
    </xf>
    <xf numFmtId="0" fontId="7" fillId="21" borderId="35"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4" xfId="6" applyNumberFormat="1" applyBorder="1" applyAlignment="1">
      <alignment horizontal="center" vertical="top"/>
    </xf>
    <xf numFmtId="0" fontId="0" fillId="0" borderId="4" xfId="0" applyBorder="1">
      <alignment vertical="top"/>
    </xf>
    <xf numFmtId="0" fontId="7" fillId="21" borderId="35" xfId="6" applyNumberFormat="1" applyBorder="1" applyAlignment="1">
      <alignment horizontal="center" vertical="top"/>
    </xf>
    <xf numFmtId="0" fontId="0" fillId="0" borderId="35"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14" fillId="0" borderId="2" xfId="0" applyFont="1" applyBorder="1">
      <alignment vertical="top"/>
    </xf>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6" fillId="0" borderId="2" xfId="0" applyFont="1" applyBorder="1">
      <alignment vertical="top"/>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9" fontId="7" fillId="21" borderId="82"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0" fontId="258" fillId="0" borderId="0" xfId="4" applyFont="1">
      <alignment vertical="top"/>
    </xf>
    <xf numFmtId="0" fontId="7" fillId="21" borderId="4"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164" fontId="6" fillId="21" borderId="0" xfId="4" applyNumberFormat="1" applyFill="1">
      <alignment vertical="top"/>
    </xf>
    <xf numFmtId="49" fontId="259" fillId="0" borderId="2" xfId="61" applyFont="1" applyBorder="1" applyAlignment="1">
      <alignment vertical="top" wrapText="1"/>
    </xf>
    <xf numFmtId="49" fontId="7" fillId="21" borderId="4"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7" fillId="0" borderId="0" xfId="6" applyNumberFormat="1" applyFill="1" applyBorder="1" applyAlignment="1"/>
    <xf numFmtId="239" fontId="6" fillId="0" borderId="0" xfId="4" applyNumberFormat="1">
      <alignment vertical="top"/>
    </xf>
    <xf numFmtId="239" fontId="6" fillId="8" borderId="0" xfId="63" applyNumberFormat="1" applyFill="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49" fontId="7" fillId="21" borderId="82" xfId="6" applyBorder="1" applyAlignment="1"/>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5" xfId="0" applyFont="1" applyFill="1" applyBorder="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4" xfId="6" applyNumberFormat="1" applyBorder="1">
      <alignment vertical="top"/>
    </xf>
    <xf numFmtId="269" fontId="7" fillId="21" borderId="0" xfId="6" applyNumberFormat="1" applyBorder="1">
      <alignment vertical="top"/>
    </xf>
    <xf numFmtId="269" fontId="7" fillId="21" borderId="35" xfId="6" applyNumberFormat="1" applyBorder="1">
      <alignment vertical="top"/>
    </xf>
    <xf numFmtId="213" fontId="6" fillId="11" borderId="0" xfId="10" applyNumberFormat="1">
      <alignment vertical="top"/>
    </xf>
    <xf numFmtId="213" fontId="7" fillId="21" borderId="4" xfId="6" applyNumberFormat="1" applyBorder="1">
      <alignment vertical="top"/>
    </xf>
    <xf numFmtId="213" fontId="7" fillId="21" borderId="0" xfId="6" applyNumberFormat="1" applyBorder="1">
      <alignment vertical="top"/>
    </xf>
    <xf numFmtId="213" fontId="7" fillId="21" borderId="35"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4" xfId="6" applyNumberFormat="1" applyBorder="1" applyAlignment="1">
      <alignment vertical="center"/>
    </xf>
    <xf numFmtId="269" fontId="7" fillId="21" borderId="0" xfId="6" applyNumberFormat="1" applyBorder="1" applyAlignment="1">
      <alignment vertical="center"/>
    </xf>
    <xf numFmtId="269" fontId="7" fillId="21" borderId="35"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0" borderId="0" xfId="4" applyNumberFormat="1" applyAlignment="1">
      <alignment vertical="center"/>
    </xf>
    <xf numFmtId="270" fontId="7" fillId="21" borderId="4" xfId="6" applyNumberFormat="1" applyBorder="1" applyAlignment="1">
      <alignment vertical="center"/>
    </xf>
    <xf numFmtId="270" fontId="7" fillId="21" borderId="0" xfId="6" applyNumberFormat="1" applyBorder="1" applyAlignment="1">
      <alignment vertical="center"/>
    </xf>
    <xf numFmtId="270" fontId="7" fillId="21" borderId="35" xfId="6" applyNumberFormat="1" applyBorder="1" applyAlignment="1">
      <alignment vertical="center"/>
    </xf>
    <xf numFmtId="270" fontId="6" fillId="0" borderId="0" xfId="63" applyNumberFormat="1" applyFill="1" applyAlignment="1">
      <alignment vertical="center"/>
    </xf>
    <xf numFmtId="270" fontId="7" fillId="21" borderId="4" xfId="6" applyNumberFormat="1" applyBorder="1">
      <alignment vertical="top"/>
    </xf>
    <xf numFmtId="270" fontId="7" fillId="21" borderId="0" xfId="6" applyNumberFormat="1" applyBorder="1">
      <alignment vertical="top"/>
    </xf>
    <xf numFmtId="270" fontId="7" fillId="21" borderId="35" xfId="6" applyNumberFormat="1" applyBorder="1">
      <alignment vertical="top"/>
    </xf>
    <xf numFmtId="270" fontId="6" fillId="0" borderId="0" xfId="4" applyNumberFormat="1">
      <alignment vertical="top"/>
    </xf>
    <xf numFmtId="270" fontId="31" fillId="8" borderId="0" xfId="63" applyNumberFormat="1" applyFont="1" applyFill="1" applyAlignment="1">
      <alignment horizontal="right" vertical="top"/>
    </xf>
    <xf numFmtId="164" fontId="6" fillId="156" borderId="0" xfId="63" applyNumberFormat="1" applyFill="1">
      <alignment vertical="top"/>
    </xf>
    <xf numFmtId="37" fontId="6" fillId="158" borderId="0" xfId="159" applyNumberFormat="1" applyFill="1" applyAlignment="1">
      <alignment vertical="top" wrapText="1"/>
    </xf>
    <xf numFmtId="3" fontId="6" fillId="7" borderId="0" xfId="4" applyNumberFormat="1" applyFill="1">
      <alignment vertical="top"/>
    </xf>
    <xf numFmtId="265" fontId="6" fillId="13" borderId="0" xfId="4" applyNumberFormat="1" applyFill="1">
      <alignment vertical="top"/>
    </xf>
    <xf numFmtId="239" fontId="6" fillId="14" borderId="0" xfId="63" applyNumberFormat="1" applyFill="1">
      <alignment vertical="top"/>
    </xf>
    <xf numFmtId="213" fontId="6" fillId="0" borderId="0" xfId="10" applyNumberFormat="1" applyFill="1">
      <alignment vertical="top"/>
    </xf>
    <xf numFmtId="262" fontId="6" fillId="14" borderId="0" xfId="10" applyNumberFormat="1" applyFill="1">
      <alignment vertical="top"/>
    </xf>
    <xf numFmtId="164" fontId="31" fillId="0" borderId="0" xfId="63" applyNumberFormat="1" applyFont="1" applyFill="1">
      <alignment vertical="top"/>
    </xf>
    <xf numFmtId="166" fontId="6" fillId="0" borderId="0" xfId="63" applyNumberFormat="1" applyFill="1">
      <alignment vertical="top"/>
    </xf>
    <xf numFmtId="49" fontId="10" fillId="0" borderId="0" xfId="7" applyFont="1">
      <alignment vertical="top"/>
    </xf>
    <xf numFmtId="164" fontId="0" fillId="8" borderId="0" xfId="63" applyNumberFormat="1" applyFont="1" applyFill="1">
      <alignment vertical="top"/>
    </xf>
    <xf numFmtId="164" fontId="6" fillId="8" borderId="0" xfId="63" applyNumberFormat="1" applyFont="1" applyFill="1">
      <alignment vertical="top"/>
    </xf>
    <xf numFmtId="0" fontId="6" fillId="11" borderId="0" xfId="4" applyFill="1">
      <alignment vertical="top"/>
    </xf>
    <xf numFmtId="271" fontId="6" fillId="7" borderId="0" xfId="8" applyNumberFormat="1" applyFill="1">
      <alignment vertical="top"/>
    </xf>
    <xf numFmtId="49" fontId="10" fillId="0" borderId="0" xfId="61" applyFont="1" applyBorder="1" applyAlignment="1">
      <alignment vertical="top" wrapText="1"/>
    </xf>
    <xf numFmtId="0" fontId="260" fillId="0" borderId="0" xfId="0" applyFont="1">
      <alignment vertical="top"/>
    </xf>
    <xf numFmtId="49" fontId="6" fillId="0" borderId="2" xfId="61" applyFont="1" applyFill="1" applyBorder="1" applyAlignment="1">
      <alignment vertical="top" wrapText="1"/>
    </xf>
    <xf numFmtId="43" fontId="6" fillId="8" borderId="0" xfId="63" applyFill="1">
      <alignment vertical="top"/>
    </xf>
    <xf numFmtId="264" fontId="6" fillId="8" borderId="0" xfId="63" applyNumberFormat="1" applyFill="1">
      <alignment vertical="top"/>
    </xf>
    <xf numFmtId="43" fontId="12" fillId="8" borderId="0" xfId="63" applyFont="1" applyFill="1">
      <alignment vertical="top"/>
    </xf>
    <xf numFmtId="0" fontId="14" fillId="156" borderId="0" xfId="4" applyFont="1" applyFill="1">
      <alignment vertical="top"/>
    </xf>
    <xf numFmtId="164" fontId="6" fillId="156" borderId="0" xfId="4" applyNumberFormat="1" applyFill="1">
      <alignment vertical="top"/>
    </xf>
    <xf numFmtId="49" fontId="7" fillId="21" borderId="1" xfId="6" applyAlignment="1">
      <alignment horizontal="right" vertical="top"/>
    </xf>
    <xf numFmtId="3" fontId="6" fillId="11" borderId="0" xfId="4" applyNumberFormat="1" applyFill="1">
      <alignment vertical="top"/>
    </xf>
    <xf numFmtId="164" fontId="2" fillId="15" borderId="0" xfId="63" applyNumberFormat="1" applyFont="1" applyFill="1">
      <alignment vertical="top"/>
    </xf>
    <xf numFmtId="3" fontId="6" fillId="13" borderId="0" xfId="4" applyNumberFormat="1" applyFill="1">
      <alignment vertical="top"/>
    </xf>
    <xf numFmtId="3" fontId="6" fillId="8" borderId="0" xfId="4" applyNumberFormat="1" applyFill="1">
      <alignment vertical="top"/>
    </xf>
    <xf numFmtId="3" fontId="6" fillId="8" borderId="0" xfId="63" applyNumberFormat="1" applyFill="1">
      <alignment vertical="top"/>
    </xf>
    <xf numFmtId="3" fontId="6" fillId="14" borderId="0" xfId="4" applyNumberFormat="1" applyFill="1">
      <alignment vertical="top"/>
    </xf>
    <xf numFmtId="3" fontId="6" fillId="0" borderId="0" xfId="63" applyNumberFormat="1" applyFill="1">
      <alignment vertical="top"/>
    </xf>
    <xf numFmtId="3" fontId="7" fillId="21" borderId="1" xfId="6" applyNumberFormat="1">
      <alignment vertical="top"/>
    </xf>
    <xf numFmtId="3" fontId="6" fillId="13" borderId="0" xfId="63" applyNumberFormat="1" applyFill="1">
      <alignment vertical="top"/>
    </xf>
    <xf numFmtId="3" fontId="6" fillId="14" borderId="0" xfId="63" applyNumberFormat="1" applyFill="1">
      <alignment vertical="top"/>
    </xf>
    <xf numFmtId="262" fontId="6" fillId="7" borderId="0" xfId="4" applyNumberFormat="1" applyFill="1">
      <alignment vertical="top"/>
    </xf>
    <xf numFmtId="3" fontId="6" fillId="7" borderId="0" xfId="63" applyNumberFormat="1" applyFill="1">
      <alignment vertical="top"/>
    </xf>
    <xf numFmtId="3" fontId="14" fillId="0" borderId="0" xfId="63" applyNumberFormat="1" applyFont="1" applyFill="1">
      <alignment vertical="top"/>
    </xf>
    <xf numFmtId="3" fontId="14" fillId="0" borderId="0" xfId="4" applyNumberFormat="1" applyFont="1">
      <alignment vertical="top"/>
    </xf>
    <xf numFmtId="3" fontId="14" fillId="8" borderId="0" xfId="63" applyNumberFormat="1" applyFont="1" applyFill="1">
      <alignment vertical="top"/>
    </xf>
    <xf numFmtId="3" fontId="14" fillId="8" borderId="0" xfId="4" applyNumberFormat="1" applyFont="1" applyFill="1">
      <alignment vertical="top"/>
    </xf>
    <xf numFmtId="0" fontId="7" fillId="11" borderId="0" xfId="4" applyFont="1" applyFill="1">
      <alignment vertical="top"/>
    </xf>
    <xf numFmtId="3" fontId="6" fillId="7" borderId="0" xfId="63" applyNumberFormat="1" applyFont="1" applyFill="1">
      <alignment vertical="top"/>
    </xf>
    <xf numFmtId="3" fontId="6" fillId="8" borderId="0" xfId="63" applyNumberFormat="1" applyFont="1" applyFill="1">
      <alignment vertical="top"/>
    </xf>
    <xf numFmtId="272" fontId="6" fillId="14" borderId="0" xfId="4" applyNumberFormat="1" applyFill="1">
      <alignment vertical="top"/>
    </xf>
    <xf numFmtId="0" fontId="160" fillId="0" borderId="0" xfId="0" applyFont="1">
      <alignment vertical="top"/>
    </xf>
    <xf numFmtId="0" fontId="7" fillId="0" borderId="0" xfId="6" applyNumberFormat="1" applyFill="1" applyBorder="1" applyAlignment="1"/>
    <xf numFmtId="49" fontId="22" fillId="21" borderId="4" xfId="6" applyFont="1" applyBorder="1">
      <alignment vertical="top"/>
    </xf>
    <xf numFmtId="49" fontId="22" fillId="21" borderId="35" xfId="6" applyFont="1" applyBorder="1">
      <alignment vertical="top"/>
    </xf>
    <xf numFmtId="0" fontId="22" fillId="21" borderId="35" xfId="6" applyNumberFormat="1" applyFont="1" applyBorder="1">
      <alignment vertical="top"/>
    </xf>
    <xf numFmtId="0" fontId="10" fillId="154" borderId="0" xfId="4" applyFont="1" applyFill="1">
      <alignment vertical="top"/>
    </xf>
    <xf numFmtId="164" fontId="10" fillId="154" borderId="0" xfId="63" applyNumberFormat="1" applyFont="1" applyFill="1">
      <alignment vertical="top"/>
    </xf>
    <xf numFmtId="164" fontId="10" fillId="0" borderId="0" xfId="4" applyNumberFormat="1" applyFont="1">
      <alignment vertical="top"/>
    </xf>
    <xf numFmtId="1" fontId="6" fillId="8" borderId="0" xfId="4" applyNumberFormat="1" applyFill="1">
      <alignment vertical="top"/>
    </xf>
    <xf numFmtId="49" fontId="22" fillId="21" borderId="81" xfId="6" applyFont="1" applyBorder="1">
      <alignment vertical="top"/>
    </xf>
    <xf numFmtId="49" fontId="22" fillId="21" borderId="16" xfId="6" applyFont="1" applyBorder="1">
      <alignment vertical="top"/>
    </xf>
    <xf numFmtId="0" fontId="261" fillId="0" borderId="2" xfId="0" applyFont="1" applyBorder="1">
      <alignment vertical="top"/>
    </xf>
    <xf numFmtId="10" fontId="6" fillId="11" borderId="0" xfId="64" applyFill="1">
      <alignment vertical="top"/>
    </xf>
    <xf numFmtId="164" fontId="6" fillId="14" borderId="0" xfId="63" applyNumberFormat="1" applyFont="1" applyFill="1">
      <alignment vertical="top"/>
    </xf>
    <xf numFmtId="43" fontId="6" fillId="0" borderId="0" xfId="4" applyNumberFormat="1">
      <alignment vertical="top"/>
    </xf>
    <xf numFmtId="164" fontId="6" fillId="7" borderId="0" xfId="63" applyNumberFormat="1" applyFont="1" applyFill="1">
      <alignment vertical="top"/>
    </xf>
    <xf numFmtId="164" fontId="6" fillId="156" borderId="0" xfId="63" applyNumberFormat="1" applyFont="1" applyFill="1">
      <alignment vertical="top"/>
    </xf>
    <xf numFmtId="3" fontId="6" fillId="156" borderId="0" xfId="4" applyNumberFormat="1" applyFill="1">
      <alignment vertical="top"/>
    </xf>
    <xf numFmtId="0" fontId="6" fillId="0" borderId="0" xfId="4" applyFont="1">
      <alignment vertical="top"/>
    </xf>
    <xf numFmtId="164" fontId="0" fillId="0" borderId="0" xfId="0" applyNumberFormat="1">
      <alignment vertical="top"/>
    </xf>
    <xf numFmtId="0" fontId="6" fillId="0" borderId="0" xfId="4" applyFill="1">
      <alignment vertical="top"/>
    </xf>
    <xf numFmtId="10" fontId="6" fillId="7" borderId="0" xfId="4" applyNumberFormat="1" applyFont="1" applyFill="1">
      <alignment vertical="top"/>
    </xf>
    <xf numFmtId="0" fontId="14" fillId="0" borderId="0" xfId="4" applyFont="1" applyFill="1">
      <alignment vertical="top"/>
    </xf>
    <xf numFmtId="49" fontId="7" fillId="21" borderId="1" xfId="6" applyFill="1">
      <alignment vertical="top"/>
    </xf>
    <xf numFmtId="49" fontId="7" fillId="21" borderId="4" xfId="6" applyFill="1" applyBorder="1">
      <alignment vertical="top"/>
    </xf>
    <xf numFmtId="49" fontId="7" fillId="21" borderId="0" xfId="6" applyFill="1" applyBorder="1">
      <alignment vertical="top"/>
    </xf>
    <xf numFmtId="49" fontId="7" fillId="21" borderId="35" xfId="6" applyFill="1" applyBorder="1">
      <alignment vertical="top"/>
    </xf>
    <xf numFmtId="0" fontId="0" fillId="0" borderId="0" xfId="0" applyFill="1">
      <alignment vertical="top"/>
    </xf>
    <xf numFmtId="0" fontId="0" fillId="157" borderId="0" xfId="0" applyFill="1">
      <alignment vertical="top"/>
    </xf>
    <xf numFmtId="0" fontId="0" fillId="0" borderId="0" xfId="0" applyNumberFormat="1">
      <alignment vertical="top"/>
    </xf>
    <xf numFmtId="3" fontId="0" fillId="157" borderId="0" xfId="0" applyNumberFormat="1" applyFill="1">
      <alignment vertical="top"/>
    </xf>
    <xf numFmtId="164" fontId="0" fillId="157" borderId="0" xfId="63" applyNumberFormat="1" applyFont="1" applyFill="1" applyAlignment="1">
      <alignment vertical="top"/>
    </xf>
    <xf numFmtId="164" fontId="0" fillId="157" borderId="0" xfId="50037" applyNumberFormat="1" applyFont="1" applyFill="1" applyAlignment="1">
      <alignment vertical="top"/>
    </xf>
    <xf numFmtId="0" fontId="7" fillId="11" borderId="0" xfId="4" applyFont="1" applyFill="1" applyAlignment="1">
      <alignment vertical="top" wrapText="1"/>
    </xf>
    <xf numFmtId="49" fontId="7" fillId="0" borderId="0" xfId="7" applyFont="1">
      <alignment vertical="top"/>
    </xf>
    <xf numFmtId="3" fontId="6" fillId="0" borderId="0" xfId="4" applyNumberFormat="1" applyFill="1">
      <alignment vertical="top"/>
    </xf>
    <xf numFmtId="0" fontId="0" fillId="157" borderId="0" xfId="0" applyNumberFormat="1" applyFill="1">
      <alignment vertical="top"/>
    </xf>
    <xf numFmtId="0" fontId="0" fillId="0" borderId="2" xfId="0" applyFont="1" applyFill="1" applyBorder="1">
      <alignment vertical="top"/>
    </xf>
    <xf numFmtId="49" fontId="21" fillId="0" borderId="16" xfId="61" applyBorder="1" applyAlignment="1">
      <alignment vertical="top"/>
    </xf>
    <xf numFmtId="273" fontId="6" fillId="0" borderId="0" xfId="4" applyNumberFormat="1">
      <alignment vertical="top"/>
    </xf>
    <xf numFmtId="269" fontId="6" fillId="14" borderId="0" xfId="63" applyNumberFormat="1" applyFill="1" applyAlignment="1">
      <alignment vertical="top"/>
    </xf>
    <xf numFmtId="10" fontId="6" fillId="11" borderId="0" xfId="4" applyNumberFormat="1" applyFont="1" applyFill="1">
      <alignment vertical="top"/>
    </xf>
    <xf numFmtId="0" fontId="6" fillId="0" borderId="0" xfId="4" applyAlignment="1">
      <alignment horizontal="left" vertical="top" wrapText="1"/>
    </xf>
    <xf numFmtId="262" fontId="6" fillId="14" borderId="0" xfId="4" applyNumberFormat="1" applyFill="1" applyAlignment="1">
      <alignment horizontal="right" vertical="center"/>
    </xf>
    <xf numFmtId="166" fontId="6" fillId="14" borderId="0" xfId="63" applyNumberFormat="1" applyFill="1" applyAlignment="1">
      <alignment horizontal="right" vertical="center"/>
    </xf>
    <xf numFmtId="0" fontId="6" fillId="0" borderId="0" xfId="4" applyAlignment="1">
      <alignment horizontal="left" vertical="top"/>
    </xf>
    <xf numFmtId="262" fontId="6" fillId="14" borderId="0" xfId="63" applyNumberFormat="1" applyFill="1" applyAlignment="1">
      <alignment horizontal="right" vertical="center"/>
    </xf>
    <xf numFmtId="166" fontId="6" fillId="14" borderId="0" xfId="63" applyNumberFormat="1" applyFill="1" applyAlignment="1">
      <alignment vertical="center"/>
    </xf>
    <xf numFmtId="262" fontId="6" fillId="14" borderId="0" xfId="4" applyNumberFormat="1" applyFill="1" applyAlignment="1">
      <alignment vertical="center"/>
    </xf>
    <xf numFmtId="262" fontId="6" fillId="14" borderId="0" xfId="63" applyNumberFormat="1" applyFill="1" applyAlignment="1">
      <alignment vertical="center"/>
    </xf>
    <xf numFmtId="0" fontId="10" fillId="0" borderId="0" xfId="4" applyFont="1" applyAlignment="1">
      <alignment horizontal="left" vertical="top" wrapText="1"/>
    </xf>
    <xf numFmtId="14" fontId="6" fillId="0" borderId="0" xfId="4" applyNumberFormat="1" applyAlignment="1">
      <alignment horizontal="left" vertical="top" wrapText="1"/>
    </xf>
    <xf numFmtId="0" fontId="10" fillId="0" borderId="0" xfId="4" applyFont="1" applyAlignment="1">
      <alignment horizontal="left" vertical="top"/>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263" fontId="6"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35">
    <dxf>
      <fill>
        <patternFill patternType="solid">
          <fgColor indexed="64"/>
          <bgColor rgb="FF99FF99"/>
        </patternFill>
      </fill>
    </dxf>
    <dxf>
      <numFmt numFmtId="0" formatCode="General"/>
      <fill>
        <patternFill patternType="solid">
          <fgColor indexed="64"/>
          <bgColor rgb="FF99FF99"/>
        </patternFill>
      </fill>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numFmt numFmtId="3" formatCode="#,##0"/>
      <fill>
        <patternFill patternType="solid">
          <fgColor indexed="64"/>
          <bgColor rgb="FFCCCCFF"/>
        </patternFill>
      </fill>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border outline="0">
        <bottom style="thin">
          <color indexed="64"/>
        </bottom>
      </border>
    </dxf>
    <dxf>
      <numFmt numFmtId="0" formatCode="General"/>
    </dxf>
    <dxf>
      <numFmt numFmtId="0" formatCode="General"/>
    </dxf>
    <dxf>
      <font>
        <color theme="1"/>
      </font>
      <numFmt numFmtId="164" formatCode="_ * #,##0_ ;_ * \-#,##0_ ;_ * &quot;-&quot;??_ ;_ @_ "/>
      <fill>
        <patternFill patternType="none">
          <fgColor indexed="64"/>
          <bgColor indexed="65"/>
        </patternFill>
      </fill>
    </dxf>
    <dxf>
      <border outline="0">
        <bottom style="thin">
          <color indexed="64"/>
        </bottom>
      </border>
    </dxf>
    <dxf>
      <numFmt numFmtId="0" formatCode="General"/>
    </dxf>
    <dxf>
      <numFmt numFmtId="0" formatCode="General"/>
    </dxf>
    <dxf>
      <numFmt numFmtId="0" formatCode="General"/>
    </dxf>
    <dxf>
      <numFmt numFmtId="0" formatCode="General"/>
    </dxf>
    <dxf>
      <font>
        <color theme="1"/>
      </font>
      <numFmt numFmtId="164" formatCode="_ * #,##0_ ;_ * \-#,##0_ ;_ * &quot;-&quot;??_ ;_ @_ "/>
      <fill>
        <patternFill patternType="none">
          <fgColor indexed="64"/>
          <bgColor indexed="65"/>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4"/>
    </tableStyle>
  </tableStyles>
  <colors>
    <mruColors>
      <color rgb="FFFFCCFF"/>
      <color rgb="FFFFCC99"/>
      <color rgb="FFCCFFCC"/>
      <color rgb="FF99FF99"/>
      <color rgb="FFCCCCFF"/>
      <color rgb="FFCCC8D9"/>
      <color rgb="FFFFFFCC"/>
      <color rgb="FFCCFFFF"/>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styles" Target="styles.xml"/><Relationship Id="rId5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35718</xdr:colOff>
      <xdr:row>36</xdr:row>
      <xdr:rowOff>56030</xdr:rowOff>
    </xdr:from>
    <xdr:to>
      <xdr:col>11</xdr:col>
      <xdr:colOff>403411</xdr:colOff>
      <xdr:row>56</xdr:row>
      <xdr:rowOff>0</xdr:rowOff>
    </xdr:to>
    <xdr:cxnSp macro="">
      <xdr:nvCxnSpPr>
        <xdr:cNvPr id="85" name="Rechte verbindingslijn met pijl 84">
          <a:extLst>
            <a:ext uri="{FF2B5EF4-FFF2-40B4-BE49-F238E27FC236}">
              <a16:creationId xmlns:a16="http://schemas.microsoft.com/office/drawing/2014/main" id="{801F614B-DDEB-4213-B08B-FF7590F21A2E}"/>
            </a:ext>
          </a:extLst>
        </xdr:cNvPr>
        <xdr:cNvCxnSpPr/>
      </xdr:nvCxnSpPr>
      <xdr:spPr>
        <a:xfrm flipV="1">
          <a:off x="7822406" y="6390155"/>
          <a:ext cx="1260661" cy="351584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174492</xdr:colOff>
      <xdr:row>25</xdr:row>
      <xdr:rowOff>28515</xdr:rowOff>
    </xdr:from>
    <xdr:to>
      <xdr:col>5</xdr:col>
      <xdr:colOff>702469</xdr:colOff>
      <xdr:row>56</xdr:row>
      <xdr:rowOff>107156</xdr:rowOff>
    </xdr:to>
    <xdr:cxnSp macro="">
      <xdr:nvCxnSpPr>
        <xdr:cNvPr id="16" name="Rechte verbindingslijn met pijl 15">
          <a:extLst>
            <a:ext uri="{FF2B5EF4-FFF2-40B4-BE49-F238E27FC236}">
              <a16:creationId xmlns:a16="http://schemas.microsoft.com/office/drawing/2014/main" id="{41CAF7CE-30EF-4F26-AE98-556762596595}"/>
            </a:ext>
          </a:extLst>
        </xdr:cNvPr>
        <xdr:cNvCxnSpPr/>
      </xdr:nvCxnSpPr>
      <xdr:spPr>
        <a:xfrm>
          <a:off x="4186898" y="4398109"/>
          <a:ext cx="706571" cy="5615047"/>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11905</xdr:colOff>
      <xdr:row>36</xdr:row>
      <xdr:rowOff>35719</xdr:rowOff>
    </xdr:from>
    <xdr:to>
      <xdr:col>11</xdr:col>
      <xdr:colOff>607219</xdr:colOff>
      <xdr:row>60</xdr:row>
      <xdr:rowOff>122564</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98593" y="6369844"/>
          <a:ext cx="1488282" cy="437309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44</xdr:row>
      <xdr:rowOff>83344</xdr:rowOff>
    </xdr:from>
    <xdr:to>
      <xdr:col>5</xdr:col>
      <xdr:colOff>690562</xdr:colOff>
      <xdr:row>60</xdr:row>
      <xdr:rowOff>83344</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214812" y="7846219"/>
          <a:ext cx="666750" cy="28575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39" tableType="queryTable" totalsRowShown="0" headerRowCellStyle="_kop2 Bloktitel">
  <autoFilter ref="B19:H39" xr:uid="{E7DA7C93-B450-460F-971C-4E09B7976CA4}"/>
  <sortState xmlns:xlrd2="http://schemas.microsoft.com/office/spreadsheetml/2017/richdata2" ref="B20:H39">
    <sortCondition ref="D19:D39"/>
  </sortState>
  <tableColumns count="7">
    <tableColumn id="1" xr3:uid="{7EEB421B-CC9A-4CE7-BCAE-B63F69C68E8E}" uniqueName="1" name="Index" queryTableFieldId="1"/>
    <tableColumn id="2" xr3:uid="{FD41C2D7-6835-40E6-A9A5-3814881A6D19}" uniqueName="2" name="Investeringsbedrag" queryTableFieldId="2" dataDxfId="33" dataCellStyle="Komma"/>
    <tableColumn id="3" xr3:uid="{AA1173C8-5786-4999-B694-3FFC0560A270}" uniqueName="3" name="Jaar begin afschrijven" queryTableFieldId="3"/>
    <tableColumn id="4" xr3:uid="{3A7FCBED-2EAC-4409-AB04-C96A08F772E6}" uniqueName="4" name="Activacategorie" queryTableFieldId="4" dataDxfId="32"/>
    <tableColumn id="5" xr3:uid="{0821367A-ACED-4AA8-89AB-D5A1DAC1ABE7}" uniqueName="5" name="Vervanging / uitbreiding" queryTableFieldId="5" dataDxfId="31"/>
    <tableColumn id="6" xr3:uid="{13AC745B-711A-4B7A-838C-0B8B8DA04C3F}" uniqueName="6" name="Ombouwtaak" queryTableFieldId="6" dataDxfId="30"/>
    <tableColumn id="7" xr3:uid="{D6351E6A-652D-4FFE-A686-1564C909C4FE}" uniqueName="7" name="Bestandsnaam" queryTableFieldId="7" dataDxfId="29"/>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10" tableType="queryTable" totalsRowShown="0" headerRowBorderDxfId="28" headerRowCellStyle="_kop2 Bloktitel">
  <autoFilter ref="B19:G110" xr:uid="{E6DC1CB6-3DB3-4CDA-8E67-B24E47D5606F}"/>
  <tableColumns count="6">
    <tableColumn id="1" xr3:uid="{14DB8885-7602-4D19-99E4-091E101C795F}" uniqueName="1" name="Index" queryTableFieldId="1"/>
    <tableColumn id="2" xr3:uid="{E7BDA9CB-D694-4ED4-94CF-33E2A25CEFDD}" uniqueName="2" name="Investeringsbedrag" queryTableFieldId="2" dataDxfId="27" dataCellStyle="Komma"/>
    <tableColumn id="3" xr3:uid="{74C5678D-BED5-4D51-82F8-CB57C4CDE794}" uniqueName="3" name="Jaar begin afschrijven" queryTableFieldId="3"/>
    <tableColumn id="4" xr3:uid="{6C014AE5-1C7F-4839-AC66-C9602F636B39}" uniqueName="4" name="Activacategorie" queryTableFieldId="4" dataDxfId="26"/>
    <tableColumn id="5" xr3:uid="{263AD9B9-093A-4277-9A29-0FD417142C06}" uniqueName="5" name="Bestandsnaam" queryTableFieldId="5" dataDxfId="25"/>
    <tableColumn id="6" xr3:uid="{2FD7DD34-1CA4-40C4-A31A-506B085DCCE8}" uniqueName="6" name="Versie" queryTableFieldId="6"/>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550" tableType="queryTable" totalsRowShown="0" headerRowBorderDxfId="24" headerRowCellStyle="_kop2 Bloktitel">
  <autoFilter ref="B19:I550"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3" tableType="queryTable" totalsRowShown="0" headerRowBorderDxfId="15" headerRowCellStyle="_kop2 Bloktitel">
  <autoFilter ref="B19:J23"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25" tableType="queryTable" totalsRowShown="0" headerRowBorderDxfId="7" headerRowCellStyle="_kop2 Bloktitel">
  <autoFilter ref="B19:H25"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2" Type="http://schemas.openxmlformats.org/officeDocument/2006/relationships/hyperlink" Target="https://www.acm.nl/nl/publicaties/gewijzigd-methodebesluit-gts-2017-2021"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printerSettings" Target="../printerSettings/printerSettings3.bin"/><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tabSelected="1" zoomScale="80" zoomScaleNormal="80" workbookViewId="0">
      <pane ySplit="3" topLeftCell="A4" activePane="bottomLeft" state="frozen"/>
      <selection activeCell="A4" sqref="A4"/>
      <selection pane="bottomLeft"/>
    </sheetView>
  </sheetViews>
  <sheetFormatPr defaultColWidth="9.140625" defaultRowHeight="12.75"/>
  <cols>
    <col min="1" max="1" width="2.5703125" style="3" customWidth="1"/>
    <col min="2" max="2" width="39.85546875" style="3" customWidth="1"/>
    <col min="3" max="3" width="91.85546875" style="3" customWidth="1"/>
    <col min="4" max="16384" width="9.140625" style="3"/>
  </cols>
  <sheetData>
    <row r="2" spans="2:3" s="7" customFormat="1" ht="18">
      <c r="B2" s="7" t="s">
        <v>0</v>
      </c>
    </row>
    <row r="13" spans="2:3" s="8" customFormat="1">
      <c r="B13" s="8" t="s">
        <v>1</v>
      </c>
    </row>
    <row r="15" spans="2:3">
      <c r="B15" s="9" t="s">
        <v>2</v>
      </c>
      <c r="C15" s="100" t="s">
        <v>3</v>
      </c>
    </row>
    <row r="16" spans="2:3">
      <c r="B16" s="9" t="s">
        <v>4</v>
      </c>
      <c r="C16" s="9" t="s">
        <v>5</v>
      </c>
    </row>
    <row r="17" spans="2:3">
      <c r="B17" s="9" t="s">
        <v>6</v>
      </c>
      <c r="C17" s="9" t="s">
        <v>7</v>
      </c>
    </row>
    <row r="18" spans="2:3">
      <c r="B18" s="9" t="s">
        <v>8</v>
      </c>
      <c r="C18" s="9" t="s">
        <v>9</v>
      </c>
    </row>
    <row r="19" spans="2:3">
      <c r="B19" s="9" t="s">
        <v>10</v>
      </c>
      <c r="C19" s="24" t="s">
        <v>11</v>
      </c>
    </row>
    <row r="20" spans="2:3">
      <c r="B20" s="9" t="s">
        <v>12</v>
      </c>
      <c r="C20" s="374" t="s">
        <v>1151</v>
      </c>
    </row>
    <row r="21" spans="2:3">
      <c r="B21" s="9" t="s">
        <v>13</v>
      </c>
      <c r="C21" s="9" t="s">
        <v>11</v>
      </c>
    </row>
    <row r="22" spans="2:3">
      <c r="B22" s="9" t="s">
        <v>14</v>
      </c>
      <c r="C22" s="9" t="s">
        <v>7</v>
      </c>
    </row>
    <row r="25" spans="2:3" s="8" customFormat="1">
      <c r="B25" s="8" t="s">
        <v>15</v>
      </c>
    </row>
    <row r="27" spans="2:3">
      <c r="B27" s="9" t="s">
        <v>16</v>
      </c>
      <c r="C27" s="9" t="s">
        <v>19</v>
      </c>
    </row>
    <row r="28" spans="2:3">
      <c r="B28" s="9" t="s">
        <v>18</v>
      </c>
      <c r="C28" s="9" t="s">
        <v>19</v>
      </c>
    </row>
    <row r="29" spans="2:3" ht="25.5">
      <c r="B29" s="9" t="s">
        <v>20</v>
      </c>
      <c r="C29" s="162" t="s">
        <v>19</v>
      </c>
    </row>
    <row r="30" spans="2:3">
      <c r="B30" s="9" t="s">
        <v>21</v>
      </c>
      <c r="C30" s="65" t="s">
        <v>17</v>
      </c>
    </row>
    <row r="31" spans="2:3">
      <c r="B31" s="9" t="s">
        <v>22</v>
      </c>
      <c r="C31" s="65" t="s">
        <v>11</v>
      </c>
    </row>
    <row r="32" spans="2:3">
      <c r="B32" s="9" t="s">
        <v>14</v>
      </c>
      <c r="C32" s="9" t="s">
        <v>7</v>
      </c>
    </row>
    <row r="34" spans="2:4">
      <c r="B34" s="379" t="s">
        <v>23</v>
      </c>
      <c r="C34" s="379"/>
      <c r="D34" s="5"/>
    </row>
    <row r="36" spans="2:4" s="8" customFormat="1">
      <c r="B36" s="8" t="s">
        <v>24</v>
      </c>
      <c r="C36" s="8" t="s">
        <v>25</v>
      </c>
      <c r="D36" s="8" t="s">
        <v>26</v>
      </c>
    </row>
    <row r="38" spans="2:4">
      <c r="C38" s="146" t="s">
        <v>1168</v>
      </c>
    </row>
    <row r="39" spans="2:4" ht="13.5" customHeight="1">
      <c r="C39" s="146"/>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4"/>
  <sheetViews>
    <sheetView showGridLines="0" zoomScale="80" zoomScaleNormal="80" workbookViewId="0">
      <pane xSplit="4" ySplit="6" topLeftCell="E7" activePane="bottomRight" state="frozen"/>
      <selection pane="topRight"/>
      <selection pane="bottomLeft"/>
      <selection pane="bottomRight"/>
    </sheetView>
  </sheetViews>
  <sheetFormatPr defaultColWidth="9.140625" defaultRowHeight="12.75"/>
  <cols>
    <col min="1" max="1" width="2.5703125" style="212" customWidth="1"/>
    <col min="2" max="2" width="62.140625" style="3" customWidth="1"/>
    <col min="3" max="3" width="2.5703125" style="3" customWidth="1"/>
    <col min="4" max="4" width="13.5703125" style="3" customWidth="1"/>
    <col min="5" max="5" width="2.5703125" style="3" customWidth="1"/>
    <col min="6" max="6" width="19.5703125" style="3" bestFit="1" customWidth="1"/>
    <col min="7" max="7" width="2.5703125" style="3" customWidth="1"/>
    <col min="8" max="9" width="21.5703125" style="3" bestFit="1" customWidth="1"/>
    <col min="10" max="10" width="16.5703125" style="3" bestFit="1" customWidth="1"/>
    <col min="11" max="16" width="14.5703125" style="3" customWidth="1"/>
    <col min="17" max="17" width="2.5703125" style="3" customWidth="1"/>
    <col min="18" max="18" width="73.5703125" style="3" bestFit="1" customWidth="1"/>
    <col min="19" max="19" width="2.5703125" style="3" customWidth="1"/>
    <col min="20" max="20" width="13.5703125" style="3" customWidth="1"/>
    <col min="21" max="33" width="13.5703125" style="212" customWidth="1"/>
    <col min="34" max="16384" width="9.140625" style="3"/>
  </cols>
  <sheetData>
    <row r="2" spans="2:20" s="12" customFormat="1" ht="18">
      <c r="B2" s="12" t="s">
        <v>1134</v>
      </c>
    </row>
    <row r="4" spans="2:20">
      <c r="B4" s="16" t="s">
        <v>192</v>
      </c>
      <c r="C4" s="2"/>
    </row>
    <row r="5" spans="2:20" ht="71.25" customHeight="1">
      <c r="B5" s="379" t="s">
        <v>504</v>
      </c>
      <c r="C5" s="379"/>
      <c r="D5" s="379"/>
      <c r="F5" s="13"/>
    </row>
    <row r="8" spans="2:20" s="8" customFormat="1" ht="12.75" customHeight="1">
      <c r="B8" s="8" t="s">
        <v>152</v>
      </c>
    </row>
    <row r="9" spans="2:20" s="213" customFormat="1" ht="12.75" customHeight="1"/>
    <row r="10" spans="2:20" s="8" customFormat="1" ht="12.75" customHeight="1">
      <c r="B10" s="8" t="s">
        <v>505</v>
      </c>
      <c r="F10" s="8" t="s">
        <v>360</v>
      </c>
      <c r="H10" s="8" t="s">
        <v>282</v>
      </c>
      <c r="I10" s="8" t="s">
        <v>506</v>
      </c>
      <c r="J10" s="8" t="s">
        <v>501</v>
      </c>
      <c r="R10" s="8" t="s">
        <v>196</v>
      </c>
      <c r="T10" s="8" t="s">
        <v>197</v>
      </c>
    </row>
    <row r="11" spans="2:20">
      <c r="B11" s="212"/>
    </row>
    <row r="12" spans="2:20">
      <c r="B12" s="3" t="s">
        <v>507</v>
      </c>
      <c r="F12" s="214">
        <v>2011</v>
      </c>
      <c r="H12" s="215">
        <v>30</v>
      </c>
      <c r="I12" s="215">
        <v>22704728.687201399</v>
      </c>
      <c r="J12" s="216">
        <v>17376205.576952007</v>
      </c>
      <c r="R12" s="3" t="s">
        <v>508</v>
      </c>
      <c r="T12" s="3" t="s">
        <v>509</v>
      </c>
    </row>
    <row r="13" spans="2:20">
      <c r="B13" s="3" t="s">
        <v>510</v>
      </c>
      <c r="F13" s="214">
        <v>2012</v>
      </c>
      <c r="H13" s="215">
        <v>30</v>
      </c>
      <c r="I13" s="215">
        <v>1408497.2920886443</v>
      </c>
      <c r="J13" s="216">
        <v>1104502.0714844635</v>
      </c>
      <c r="L13" s="221"/>
      <c r="M13" s="221"/>
      <c r="N13" s="221"/>
      <c r="O13" s="221"/>
      <c r="P13" s="221"/>
      <c r="R13" s="13"/>
    </row>
    <row r="14" spans="2:20">
      <c r="B14" s="3" t="s">
        <v>511</v>
      </c>
      <c r="F14" s="214">
        <v>2013</v>
      </c>
      <c r="H14" s="215">
        <v>30</v>
      </c>
      <c r="I14" s="215">
        <v>337946.31023100798</v>
      </c>
      <c r="J14" s="216">
        <v>271685.95797538623</v>
      </c>
      <c r="L14" s="221"/>
      <c r="M14" s="221"/>
      <c r="N14" s="221"/>
      <c r="O14" s="221"/>
      <c r="P14" s="221"/>
      <c r="R14" s="13"/>
    </row>
    <row r="15" spans="2:20">
      <c r="B15" s="3" t="s">
        <v>512</v>
      </c>
      <c r="F15" s="214">
        <v>2014</v>
      </c>
      <c r="H15" s="215">
        <v>30</v>
      </c>
      <c r="I15" s="215">
        <v>167929.59201100032</v>
      </c>
      <c r="J15" s="216">
        <v>137435.09908722798</v>
      </c>
      <c r="L15" s="221"/>
      <c r="M15" s="221"/>
      <c r="N15" s="221"/>
      <c r="O15" s="221"/>
      <c r="P15" s="221"/>
      <c r="R15" s="13"/>
    </row>
    <row r="16" spans="2:20">
      <c r="B16" s="3" t="s">
        <v>513</v>
      </c>
      <c r="F16" s="214">
        <v>2015</v>
      </c>
      <c r="H16" s="215">
        <v>30</v>
      </c>
      <c r="I16" s="215">
        <v>2621.3116059707399</v>
      </c>
      <c r="J16" s="216">
        <v>2218.4673824688466</v>
      </c>
    </row>
    <row r="18" spans="1:20" s="8" customFormat="1" ht="12" customHeight="1">
      <c r="B18" s="8" t="s">
        <v>514</v>
      </c>
      <c r="D18" s="8" t="s">
        <v>194</v>
      </c>
      <c r="F18" s="8" t="s">
        <v>195</v>
      </c>
      <c r="H18" s="52">
        <v>2018</v>
      </c>
      <c r="I18" s="52">
        <v>2019</v>
      </c>
      <c r="J18" s="52">
        <v>2020</v>
      </c>
      <c r="K18" s="52">
        <v>2021</v>
      </c>
      <c r="L18" s="52">
        <v>2022</v>
      </c>
      <c r="M18" s="52">
        <v>2023</v>
      </c>
      <c r="N18" s="52">
        <v>2024</v>
      </c>
      <c r="O18" s="52">
        <v>2025</v>
      </c>
      <c r="P18" s="52">
        <v>2026</v>
      </c>
      <c r="R18" s="8" t="s">
        <v>196</v>
      </c>
      <c r="T18" s="8" t="s">
        <v>197</v>
      </c>
    </row>
    <row r="20" spans="1:20">
      <c r="B20" s="2" t="s">
        <v>515</v>
      </c>
    </row>
    <row r="21" spans="1:20">
      <c r="A21" s="232"/>
      <c r="B21" s="3" t="s">
        <v>516</v>
      </c>
      <c r="D21" s="3" t="s">
        <v>204</v>
      </c>
      <c r="H21" s="217"/>
      <c r="I21" s="217"/>
      <c r="K21" s="219"/>
      <c r="L21" s="295">
        <v>323752.474602776</v>
      </c>
      <c r="M21" s="172">
        <v>167602.10407855455</v>
      </c>
    </row>
    <row r="23" spans="1:20">
      <c r="B23" s="2" t="s">
        <v>517</v>
      </c>
    </row>
    <row r="24" spans="1:20">
      <c r="A24" s="232"/>
      <c r="B24" s="3" t="s">
        <v>518</v>
      </c>
      <c r="D24" s="3" t="s">
        <v>204</v>
      </c>
      <c r="H24" s="218"/>
      <c r="I24" s="218"/>
      <c r="J24" s="220"/>
      <c r="K24" s="219"/>
      <c r="L24" s="295">
        <v>3395116.47</v>
      </c>
      <c r="M24" s="172">
        <v>3474997.3600000003</v>
      </c>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0" zoomScaleNormal="80" workbookViewId="0">
      <pane xSplit="4" ySplit="10" topLeftCell="E11" activePane="bottomRight" state="frozen"/>
      <selection pane="topRight"/>
      <selection pane="bottomLeft"/>
      <selection pane="bottomRight"/>
    </sheetView>
  </sheetViews>
  <sheetFormatPr defaultColWidth="9.140625" defaultRowHeight="12.75"/>
  <cols>
    <col min="1" max="1" width="2.5703125" style="3" customWidth="1"/>
    <col min="2" max="2" width="70" style="3" bestFit="1" customWidth="1"/>
    <col min="3" max="3" width="2.5703125" style="3" customWidth="1"/>
    <col min="4" max="4" width="11.5703125" style="3" bestFit="1" customWidth="1"/>
    <col min="5" max="5" width="2.5703125" style="3" customWidth="1"/>
    <col min="6" max="6" width="52.5703125" style="3" customWidth="1"/>
    <col min="7" max="7" width="33.5703125" style="3" customWidth="1"/>
    <col min="8" max="8" width="37.140625" style="3" bestFit="1" customWidth="1"/>
    <col min="9" max="9" width="20.85546875" style="3" bestFit="1" customWidth="1"/>
    <col min="10" max="10" width="26" style="3" bestFit="1" customWidth="1"/>
    <col min="11" max="11" width="22.7109375" style="3" customWidth="1"/>
    <col min="12" max="17" width="12.42578125" style="3" bestFit="1" customWidth="1"/>
    <col min="18" max="19" width="16.42578125" style="3" bestFit="1" customWidth="1"/>
    <col min="20" max="21" width="12.42578125" style="3" bestFit="1" customWidth="1"/>
    <col min="22" max="33" width="13.5703125" style="3" customWidth="1"/>
    <col min="34" max="16384" width="9.140625" style="3"/>
  </cols>
  <sheetData>
    <row r="2" spans="1:22" s="12" customFormat="1" ht="18">
      <c r="B2" s="12" t="s">
        <v>1131</v>
      </c>
    </row>
    <row r="4" spans="1:22">
      <c r="B4" s="16" t="s">
        <v>192</v>
      </c>
      <c r="C4" s="2"/>
    </row>
    <row r="5" spans="1:22" ht="15.75" customHeight="1">
      <c r="B5" s="382" t="s">
        <v>519</v>
      </c>
      <c r="C5" s="382"/>
      <c r="D5" s="382"/>
      <c r="F5" s="13"/>
    </row>
    <row r="7" spans="1:22">
      <c r="B7" s="17" t="s">
        <v>150</v>
      </c>
    </row>
    <row r="8" spans="1:22" ht="69.75" customHeight="1">
      <c r="B8" s="379" t="s">
        <v>520</v>
      </c>
      <c r="C8" s="379"/>
      <c r="D8" s="379"/>
    </row>
    <row r="10" spans="1:22" s="8" customFormat="1" ht="12.75" customHeight="1">
      <c r="I10" s="52"/>
      <c r="J10" s="52"/>
      <c r="K10" s="52"/>
      <c r="L10" s="52"/>
      <c r="M10" s="52"/>
      <c r="N10" s="52"/>
      <c r="O10" s="52"/>
      <c r="P10" s="52"/>
      <c r="Q10" s="52"/>
    </row>
    <row r="11" spans="1:22">
      <c r="B11" s="2"/>
    </row>
    <row r="12" spans="1:22" s="39" customFormat="1" ht="12.75" customHeight="1">
      <c r="A12" s="106"/>
      <c r="B12" s="39" t="s">
        <v>486</v>
      </c>
      <c r="J12" s="196"/>
      <c r="K12" s="196"/>
      <c r="L12" s="196"/>
      <c r="M12" s="196"/>
      <c r="N12" s="196"/>
      <c r="O12" s="196"/>
      <c r="P12" s="196"/>
      <c r="Q12" s="196"/>
      <c r="R12" s="196"/>
      <c r="T12" s="39" t="s">
        <v>196</v>
      </c>
      <c r="V12" s="39" t="s">
        <v>197</v>
      </c>
    </row>
    <row r="13" spans="1:22" s="40" customFormat="1" ht="12.75" customHeight="1">
      <c r="A13" s="107"/>
      <c r="B13" s="40" t="s">
        <v>152</v>
      </c>
      <c r="D13" s="40" t="s">
        <v>194</v>
      </c>
      <c r="F13" s="40" t="s">
        <v>521</v>
      </c>
      <c r="H13" s="109">
        <v>2017</v>
      </c>
      <c r="I13" s="109">
        <v>2018</v>
      </c>
      <c r="J13" s="109">
        <v>2019</v>
      </c>
      <c r="K13" s="109">
        <v>2020</v>
      </c>
      <c r="L13" s="109">
        <v>2021</v>
      </c>
      <c r="M13" s="109">
        <v>2022</v>
      </c>
      <c r="N13" s="109">
        <v>2023</v>
      </c>
      <c r="O13" s="109">
        <v>2024</v>
      </c>
      <c r="P13" s="109">
        <v>2025</v>
      </c>
      <c r="Q13" s="109">
        <v>2026</v>
      </c>
    </row>
    <row r="15" spans="1:22" s="253" customFormat="1">
      <c r="B15" s="8" t="s">
        <v>522</v>
      </c>
      <c r="C15" s="8"/>
      <c r="D15" s="8"/>
    </row>
    <row r="17" spans="2:20">
      <c r="B17" s="3" t="s">
        <v>523</v>
      </c>
      <c r="D17" s="3" t="s">
        <v>199</v>
      </c>
      <c r="F17" s="258">
        <v>0.77</v>
      </c>
      <c r="T17" s="3" t="s">
        <v>524</v>
      </c>
    </row>
    <row r="19" spans="2:20" s="253" customFormat="1">
      <c r="B19" s="8" t="s">
        <v>525</v>
      </c>
      <c r="C19" s="8"/>
      <c r="D19" s="8"/>
    </row>
    <row r="21" spans="2:20">
      <c r="B21" s="3" t="s">
        <v>526</v>
      </c>
      <c r="D21" s="3" t="s">
        <v>204</v>
      </c>
      <c r="H21" s="10"/>
      <c r="I21" s="10"/>
      <c r="J21" s="10"/>
      <c r="K21" s="10"/>
      <c r="L21" s="10"/>
      <c r="M21" s="257">
        <v>7339829.2418518746</v>
      </c>
      <c r="N21" s="257">
        <v>6662159.7393988082</v>
      </c>
      <c r="O21" s="257">
        <v>6117183.5197096057</v>
      </c>
      <c r="P21" s="257">
        <v>5719048.4597574808</v>
      </c>
      <c r="Q21" s="257">
        <v>5428026.4892949341</v>
      </c>
      <c r="T21" s="3" t="s">
        <v>285</v>
      </c>
    </row>
    <row r="22" spans="2:20">
      <c r="B22" s="3" t="s">
        <v>527</v>
      </c>
      <c r="D22" s="3" t="s">
        <v>204</v>
      </c>
      <c r="H22" s="10"/>
      <c r="I22" s="10"/>
      <c r="J22" s="10"/>
      <c r="K22" s="10"/>
      <c r="L22" s="10"/>
      <c r="M22" s="257">
        <v>92112966.285529599</v>
      </c>
      <c r="N22" s="257">
        <v>85450806.546130821</v>
      </c>
      <c r="O22" s="257">
        <v>79333623.026421189</v>
      </c>
      <c r="P22" s="257">
        <v>73614574.566663712</v>
      </c>
      <c r="Q22" s="257">
        <v>68186548.077368766</v>
      </c>
      <c r="T22" s="3" t="s">
        <v>285</v>
      </c>
    </row>
    <row r="24" spans="2:20" s="8" customFormat="1">
      <c r="B24" s="8" t="s">
        <v>514</v>
      </c>
    </row>
    <row r="26" spans="2:20">
      <c r="B26" s="2" t="s">
        <v>528</v>
      </c>
    </row>
    <row r="27" spans="2:20">
      <c r="B27" t="s">
        <v>529</v>
      </c>
      <c r="D27" s="3" t="s">
        <v>204</v>
      </c>
      <c r="H27" s="10"/>
      <c r="I27" s="10"/>
      <c r="J27" s="257">
        <v>4311221.7573385285</v>
      </c>
      <c r="K27" s="10"/>
      <c r="L27" s="10"/>
      <c r="M27" s="10"/>
      <c r="N27" s="10"/>
      <c r="O27" s="10"/>
      <c r="P27" s="10"/>
      <c r="Q27" s="10"/>
      <c r="T27" s="3" t="s">
        <v>530</v>
      </c>
    </row>
    <row r="28" spans="2:20">
      <c r="B28" s="127" t="s">
        <v>531</v>
      </c>
      <c r="D28" s="3" t="s">
        <v>204</v>
      </c>
      <c r="H28" s="10"/>
      <c r="I28" s="10"/>
      <c r="J28" s="257">
        <v>5089135.5900731999</v>
      </c>
      <c r="K28" s="10"/>
      <c r="L28" s="10"/>
      <c r="M28" s="10"/>
      <c r="N28" s="10"/>
      <c r="O28" s="10"/>
      <c r="P28" s="10"/>
      <c r="Q28" s="10"/>
      <c r="T28" s="3" t="s">
        <v>530</v>
      </c>
    </row>
    <row r="30" spans="2:20">
      <c r="B30" s="2" t="s">
        <v>460</v>
      </c>
    </row>
    <row r="31" spans="2:20">
      <c r="B31" s="3" t="s">
        <v>460</v>
      </c>
      <c r="D31" s="3" t="s">
        <v>204</v>
      </c>
      <c r="H31" s="257">
        <v>1320509.5900000001</v>
      </c>
      <c r="I31" s="257">
        <v>1966066.3200000003</v>
      </c>
      <c r="J31" s="257">
        <v>1575548.13</v>
      </c>
      <c r="K31" s="10"/>
      <c r="L31" s="10"/>
      <c r="M31" s="10"/>
      <c r="N31" s="10"/>
      <c r="O31" s="10"/>
      <c r="P31" s="10"/>
      <c r="Q31" s="10"/>
      <c r="T31" s="3" t="s">
        <v>530</v>
      </c>
    </row>
    <row r="33" spans="2:16">
      <c r="B33" s="2"/>
    </row>
    <row r="34" spans="2:16">
      <c r="B34" s="98"/>
      <c r="C34" s="98"/>
      <c r="D34" s="98"/>
      <c r="E34" s="98"/>
      <c r="F34" s="98"/>
      <c r="G34" s="98"/>
      <c r="H34" s="197"/>
      <c r="I34" s="98"/>
      <c r="J34" s="197"/>
      <c r="K34" s="198"/>
    </row>
    <row r="35" spans="2:16">
      <c r="B35" s="98"/>
      <c r="C35" s="98"/>
      <c r="D35" s="98"/>
      <c r="E35" s="98"/>
      <c r="F35" s="98"/>
      <c r="G35" s="98"/>
      <c r="H35" s="197"/>
      <c r="I35" s="98"/>
      <c r="J35" s="197"/>
      <c r="K35" s="198"/>
    </row>
    <row r="37" spans="2:16">
      <c r="B37" s="98"/>
      <c r="C37" s="98"/>
      <c r="D37" s="98"/>
      <c r="E37" s="98"/>
      <c r="F37" s="98"/>
      <c r="G37" s="98"/>
      <c r="H37" s="197"/>
      <c r="I37" s="98"/>
      <c r="J37" s="197"/>
      <c r="K37" s="198"/>
      <c r="O37" s="97"/>
      <c r="P37" s="97"/>
    </row>
    <row r="38" spans="2:16">
      <c r="B38" s="98"/>
      <c r="C38" s="98"/>
      <c r="D38" s="98"/>
      <c r="E38" s="98"/>
      <c r="F38" s="98"/>
      <c r="G38" s="98"/>
      <c r="H38" s="197"/>
      <c r="I38" s="98"/>
      <c r="J38" s="197"/>
      <c r="K38" s="198"/>
      <c r="O38" s="97"/>
      <c r="P38" s="97"/>
    </row>
    <row r="39" spans="2:16">
      <c r="B39" s="98"/>
      <c r="C39" s="98"/>
      <c r="D39" s="98"/>
      <c r="E39" s="98"/>
      <c r="F39" s="98"/>
      <c r="G39" s="98"/>
      <c r="H39" s="197"/>
      <c r="I39" s="98"/>
      <c r="J39" s="197"/>
      <c r="K39" s="198"/>
      <c r="O39" s="97"/>
      <c r="P39" s="97"/>
    </row>
    <row r="40" spans="2:16">
      <c r="B40" s="98"/>
      <c r="C40" s="98"/>
      <c r="D40" s="98"/>
      <c r="E40" s="98"/>
      <c r="F40" s="98"/>
      <c r="G40" s="98"/>
      <c r="H40" s="197"/>
      <c r="I40" s="98"/>
      <c r="J40" s="197"/>
      <c r="K40" s="198"/>
    </row>
    <row r="41" spans="2:16">
      <c r="B41" s="98"/>
      <c r="C41" s="98"/>
      <c r="D41" s="98"/>
      <c r="E41" s="98"/>
      <c r="F41" s="98"/>
      <c r="G41" s="98"/>
      <c r="H41" s="197"/>
      <c r="I41" s="98"/>
      <c r="J41" s="197"/>
      <c r="K41" s="198"/>
    </row>
    <row r="42" spans="2:16">
      <c r="B42" s="98"/>
      <c r="C42" s="98"/>
      <c r="D42" s="98"/>
      <c r="E42" s="98"/>
      <c r="F42" s="98"/>
      <c r="G42" s="98"/>
      <c r="H42" s="197"/>
      <c r="I42" s="98"/>
      <c r="J42" s="197"/>
      <c r="K42" s="198"/>
    </row>
    <row r="43" spans="2:16">
      <c r="B43" s="98"/>
      <c r="C43" s="98"/>
      <c r="D43" s="98"/>
      <c r="E43" s="98"/>
      <c r="F43" s="98"/>
      <c r="G43" s="98"/>
      <c r="H43" s="197"/>
      <c r="I43" s="98"/>
      <c r="J43" s="197"/>
      <c r="K43" s="198"/>
    </row>
    <row r="44" spans="2:16">
      <c r="B44" s="98"/>
      <c r="C44" s="98"/>
      <c r="D44" s="98"/>
      <c r="E44" s="98"/>
      <c r="F44" s="98"/>
      <c r="G44" s="98"/>
      <c r="H44" s="197"/>
      <c r="I44" s="98"/>
      <c r="J44" s="197"/>
      <c r="K44" s="198"/>
    </row>
    <row r="45" spans="2:16">
      <c r="B45" s="98"/>
      <c r="C45" s="98"/>
      <c r="D45" s="98"/>
      <c r="E45" s="98"/>
      <c r="F45" s="98"/>
      <c r="G45" s="98"/>
      <c r="H45" s="197"/>
      <c r="I45" s="98"/>
      <c r="J45" s="197"/>
      <c r="K45" s="198"/>
    </row>
    <row r="46" spans="2:16">
      <c r="B46" s="98"/>
      <c r="C46" s="98"/>
      <c r="D46" s="98"/>
      <c r="E46" s="98"/>
      <c r="F46" s="98"/>
      <c r="G46" s="98"/>
      <c r="H46" s="197"/>
      <c r="I46" s="98"/>
      <c r="J46" s="197"/>
      <c r="K46" s="198"/>
    </row>
    <row r="47" spans="2:16">
      <c r="B47" s="98"/>
      <c r="C47" s="98"/>
      <c r="D47" s="98"/>
      <c r="E47" s="98"/>
      <c r="F47" s="98"/>
      <c r="G47" s="98"/>
      <c r="H47" s="197"/>
      <c r="I47" s="98"/>
      <c r="J47" s="197"/>
      <c r="K47" s="198"/>
    </row>
    <row r="48" spans="2:16">
      <c r="B48" s="98"/>
      <c r="C48" s="98"/>
      <c r="D48" s="98"/>
      <c r="E48" s="98"/>
      <c r="F48" s="98"/>
      <c r="G48" s="98"/>
      <c r="H48" s="197"/>
      <c r="I48" s="98"/>
      <c r="J48" s="197"/>
      <c r="K48" s="198"/>
    </row>
    <row r="49" spans="2:11">
      <c r="B49" s="98"/>
      <c r="C49" s="98"/>
      <c r="D49" s="98"/>
      <c r="E49" s="98"/>
      <c r="F49" s="98"/>
      <c r="G49" s="98"/>
      <c r="H49" s="197"/>
      <c r="I49" s="98"/>
      <c r="J49" s="197"/>
      <c r="K49" s="198"/>
    </row>
    <row r="50" spans="2:11">
      <c r="B50" s="98"/>
      <c r="C50" s="98"/>
      <c r="D50" s="98"/>
      <c r="E50" s="98"/>
      <c r="F50" s="98"/>
      <c r="G50" s="98"/>
      <c r="H50" s="197"/>
      <c r="I50" s="98"/>
      <c r="J50" s="197"/>
      <c r="K50" s="198"/>
    </row>
    <row r="51" spans="2:11">
      <c r="B51" s="98"/>
      <c r="C51" s="98"/>
      <c r="D51" s="98"/>
      <c r="E51" s="98"/>
      <c r="F51" s="98"/>
      <c r="G51" s="98"/>
      <c r="H51" s="197"/>
      <c r="I51" s="98"/>
      <c r="J51" s="197"/>
      <c r="K51" s="198"/>
    </row>
    <row r="52" spans="2:11">
      <c r="B52" s="98"/>
      <c r="C52" s="98"/>
      <c r="D52" s="98"/>
      <c r="E52" s="98"/>
      <c r="F52" s="98"/>
      <c r="G52" s="98"/>
      <c r="H52" s="197"/>
      <c r="I52" s="98"/>
      <c r="J52" s="197"/>
      <c r="K52" s="198"/>
    </row>
    <row r="53" spans="2:11">
      <c r="B53" s="98"/>
      <c r="C53" s="98"/>
      <c r="D53" s="98"/>
      <c r="E53" s="98"/>
      <c r="F53" s="98"/>
      <c r="G53" s="98"/>
      <c r="H53" s="197"/>
      <c r="I53" s="98"/>
      <c r="J53" s="197"/>
      <c r="K53" s="198"/>
    </row>
    <row r="54" spans="2:11">
      <c r="B54" s="98"/>
      <c r="C54" s="98"/>
      <c r="D54" s="98"/>
      <c r="E54" s="98"/>
      <c r="F54" s="98"/>
      <c r="G54" s="98"/>
      <c r="H54" s="197"/>
      <c r="I54" s="98"/>
      <c r="J54" s="197"/>
      <c r="K54" s="198"/>
    </row>
    <row r="55" spans="2:11">
      <c r="B55" s="98"/>
      <c r="C55" s="98"/>
      <c r="D55" s="98"/>
      <c r="E55" s="98"/>
      <c r="F55" s="98"/>
      <c r="G55" s="98"/>
      <c r="H55" s="197"/>
      <c r="I55" s="98"/>
      <c r="J55" s="197"/>
      <c r="K55" s="198"/>
    </row>
    <row r="56" spans="2:11">
      <c r="B56" s="98"/>
      <c r="C56" s="98"/>
      <c r="D56" s="98"/>
      <c r="E56" s="98"/>
      <c r="F56" s="98"/>
      <c r="G56" s="98"/>
      <c r="H56" s="197"/>
      <c r="I56" s="98"/>
      <c r="J56" s="197"/>
      <c r="K56" s="198"/>
    </row>
    <row r="57" spans="2:11">
      <c r="B57" s="98"/>
      <c r="C57" s="98"/>
      <c r="D57" s="98"/>
      <c r="E57" s="98"/>
      <c r="F57" s="98"/>
      <c r="G57" s="98"/>
      <c r="H57" s="197"/>
      <c r="I57" s="98"/>
      <c r="J57" s="197"/>
      <c r="K57" s="198"/>
    </row>
    <row r="58" spans="2:11">
      <c r="B58" s="98"/>
      <c r="C58" s="98"/>
      <c r="D58" s="98"/>
      <c r="E58" s="98"/>
      <c r="F58" s="98"/>
      <c r="G58" s="98"/>
      <c r="H58" s="197"/>
      <c r="I58" s="98"/>
      <c r="J58" s="197"/>
      <c r="K58" s="198"/>
    </row>
    <row r="59" spans="2:11">
      <c r="B59" s="98"/>
      <c r="C59" s="98"/>
      <c r="D59" s="98"/>
      <c r="E59" s="98"/>
      <c r="F59" s="98"/>
      <c r="G59" s="98"/>
      <c r="H59" s="197"/>
      <c r="I59" s="98"/>
      <c r="J59" s="197"/>
      <c r="K59" s="198"/>
    </row>
    <row r="60" spans="2:11">
      <c r="B60" s="98"/>
      <c r="C60" s="98"/>
      <c r="D60" s="98"/>
      <c r="E60" s="98"/>
      <c r="F60" s="98"/>
      <c r="G60" s="98"/>
      <c r="H60" s="197"/>
      <c r="I60" s="98"/>
      <c r="J60" s="197"/>
      <c r="K60" s="198"/>
    </row>
    <row r="61" spans="2:11">
      <c r="B61" s="98"/>
      <c r="C61" s="98"/>
      <c r="D61" s="98"/>
      <c r="E61" s="98"/>
      <c r="F61" s="98"/>
      <c r="G61" s="98"/>
      <c r="H61" s="197"/>
      <c r="I61" s="98"/>
      <c r="J61" s="197"/>
      <c r="K61" s="198"/>
    </row>
    <row r="62" spans="2:11">
      <c r="B62" s="98"/>
      <c r="C62" s="98"/>
      <c r="D62" s="98"/>
      <c r="E62" s="98"/>
      <c r="F62" s="98"/>
      <c r="G62" s="98"/>
      <c r="H62" s="197"/>
      <c r="I62" s="98"/>
      <c r="J62" s="197"/>
      <c r="K62" s="198"/>
    </row>
    <row r="63" spans="2:11">
      <c r="B63" s="98"/>
      <c r="C63" s="98"/>
      <c r="D63" s="98"/>
      <c r="E63" s="98"/>
      <c r="F63" s="98"/>
      <c r="G63" s="98"/>
      <c r="H63" s="197"/>
      <c r="I63" s="98"/>
      <c r="J63" s="197"/>
      <c r="K63" s="198"/>
    </row>
    <row r="64" spans="2:11">
      <c r="B64" s="98"/>
      <c r="C64" s="98"/>
      <c r="D64" s="98"/>
      <c r="E64" s="98"/>
      <c r="F64" s="98"/>
      <c r="G64" s="98"/>
      <c r="H64" s="197"/>
      <c r="I64" s="98"/>
      <c r="J64" s="197"/>
      <c r="K64" s="198"/>
    </row>
    <row r="65" spans="2:11">
      <c r="B65" s="98"/>
      <c r="C65" s="98"/>
      <c r="D65" s="98"/>
      <c r="E65" s="98"/>
      <c r="F65" s="98"/>
      <c r="G65" s="98"/>
      <c r="H65" s="197"/>
      <c r="I65" s="98"/>
      <c r="J65" s="197"/>
      <c r="K65" s="198"/>
    </row>
    <row r="66" spans="2:11">
      <c r="B66" s="98"/>
      <c r="C66" s="98"/>
      <c r="D66" s="98"/>
      <c r="E66" s="98"/>
      <c r="F66" s="98"/>
      <c r="G66" s="98"/>
      <c r="H66" s="197"/>
      <c r="I66" s="98"/>
      <c r="J66" s="197"/>
      <c r="K66" s="198"/>
    </row>
    <row r="67" spans="2:11">
      <c r="B67" s="98"/>
      <c r="C67" s="98"/>
      <c r="D67" s="98"/>
      <c r="E67" s="98"/>
      <c r="F67" s="98"/>
      <c r="G67" s="98"/>
      <c r="H67" s="197"/>
      <c r="I67" s="98"/>
      <c r="J67" s="197"/>
      <c r="K67" s="198"/>
    </row>
    <row r="68" spans="2:11">
      <c r="B68" s="98"/>
      <c r="C68" s="98"/>
      <c r="D68" s="98"/>
      <c r="E68" s="98"/>
      <c r="F68" s="98"/>
      <c r="G68" s="98"/>
      <c r="H68" s="197"/>
      <c r="I68" s="98"/>
      <c r="J68" s="197"/>
      <c r="K68" s="198"/>
    </row>
    <row r="69" spans="2:11">
      <c r="B69" s="98"/>
      <c r="C69" s="98"/>
      <c r="D69" s="98"/>
      <c r="E69" s="98"/>
      <c r="F69" s="98"/>
      <c r="G69" s="98"/>
      <c r="H69" s="197"/>
      <c r="I69" s="98"/>
      <c r="J69" s="197"/>
      <c r="K69" s="198"/>
    </row>
    <row r="70" spans="2:11">
      <c r="B70" s="98"/>
      <c r="C70" s="98"/>
      <c r="D70" s="98"/>
      <c r="E70" s="98"/>
      <c r="F70" s="98"/>
      <c r="G70" s="98"/>
      <c r="H70" s="197"/>
      <c r="I70" s="98"/>
      <c r="J70" s="197"/>
      <c r="K70" s="198"/>
    </row>
    <row r="71" spans="2:11">
      <c r="B71" s="98"/>
      <c r="C71" s="98"/>
      <c r="D71" s="98"/>
      <c r="E71" s="98"/>
      <c r="F71" s="98"/>
      <c r="G71" s="98"/>
      <c r="H71" s="197"/>
      <c r="I71" s="98"/>
      <c r="J71" s="197"/>
      <c r="K71" s="198"/>
    </row>
    <row r="72" spans="2:11">
      <c r="B72" s="98"/>
      <c r="C72" s="98"/>
      <c r="D72" s="98"/>
      <c r="E72" s="98"/>
      <c r="F72" s="98"/>
      <c r="G72" s="98"/>
      <c r="H72" s="197"/>
      <c r="I72" s="98"/>
      <c r="J72" s="197"/>
      <c r="K72" s="198"/>
    </row>
    <row r="73" spans="2:11">
      <c r="B73" s="98"/>
      <c r="C73" s="98"/>
      <c r="D73" s="98"/>
      <c r="E73" s="98"/>
      <c r="F73" s="98"/>
      <c r="G73" s="98"/>
      <c r="H73" s="197"/>
      <c r="I73" s="98"/>
      <c r="J73" s="197"/>
      <c r="K73" s="198"/>
    </row>
    <row r="74" spans="2:11">
      <c r="B74" s="98"/>
      <c r="C74" s="98"/>
      <c r="D74" s="98"/>
      <c r="E74" s="98"/>
      <c r="F74" s="98"/>
      <c r="G74" s="98"/>
      <c r="H74" s="197"/>
      <c r="I74" s="98"/>
      <c r="J74" s="197"/>
      <c r="K74" s="198"/>
    </row>
    <row r="75" spans="2:11">
      <c r="B75" s="98"/>
      <c r="C75" s="98"/>
      <c r="D75" s="98"/>
      <c r="E75" s="98"/>
      <c r="F75" s="98"/>
      <c r="G75" s="98"/>
      <c r="H75" s="197"/>
      <c r="I75" s="98"/>
      <c r="J75" s="197"/>
      <c r="K75" s="198"/>
    </row>
    <row r="76" spans="2:11">
      <c r="B76" s="98"/>
      <c r="C76" s="98"/>
      <c r="D76" s="98"/>
      <c r="E76" s="98"/>
      <c r="F76" s="98"/>
      <c r="G76" s="98"/>
      <c r="H76" s="197"/>
      <c r="I76" s="98"/>
      <c r="J76" s="197"/>
      <c r="K76" s="198"/>
    </row>
    <row r="77" spans="2:11">
      <c r="B77" s="98"/>
      <c r="C77" s="98"/>
      <c r="D77" s="98"/>
      <c r="E77" s="98"/>
      <c r="F77" s="98"/>
      <c r="G77" s="98"/>
      <c r="H77" s="197"/>
      <c r="I77" s="98"/>
      <c r="J77" s="197"/>
      <c r="K77" s="198"/>
    </row>
    <row r="78" spans="2:11">
      <c r="B78" s="98"/>
      <c r="C78" s="98"/>
      <c r="D78" s="98"/>
      <c r="E78" s="98"/>
      <c r="F78" s="98"/>
      <c r="G78" s="98"/>
      <c r="H78" s="197"/>
      <c r="I78" s="98"/>
      <c r="J78" s="197"/>
      <c r="K78" s="198"/>
    </row>
    <row r="79" spans="2:11">
      <c r="B79" s="98"/>
      <c r="C79" s="98"/>
      <c r="D79" s="98"/>
      <c r="E79" s="98"/>
      <c r="F79" s="98"/>
      <c r="G79" s="98"/>
      <c r="H79" s="197"/>
      <c r="I79" s="98"/>
      <c r="J79" s="197"/>
      <c r="K79" s="198"/>
    </row>
    <row r="80" spans="2:11">
      <c r="B80" s="98"/>
      <c r="C80" s="98"/>
      <c r="D80" s="98"/>
      <c r="E80" s="98"/>
      <c r="F80" s="98"/>
      <c r="G80" s="98"/>
      <c r="H80" s="197"/>
      <c r="I80" s="98"/>
      <c r="J80" s="197"/>
      <c r="K80" s="198"/>
    </row>
    <row r="81" spans="2:11">
      <c r="B81" s="98"/>
      <c r="C81" s="98"/>
      <c r="D81" s="98"/>
      <c r="E81" s="98"/>
      <c r="F81" s="98"/>
      <c r="G81" s="98"/>
      <c r="H81" s="197"/>
      <c r="I81" s="98"/>
      <c r="J81" s="197"/>
      <c r="K81" s="198"/>
    </row>
    <row r="82" spans="2:11">
      <c r="B82" s="98"/>
      <c r="C82" s="98"/>
      <c r="D82" s="98"/>
      <c r="E82" s="98"/>
      <c r="F82" s="98"/>
      <c r="G82" s="98"/>
      <c r="H82" s="197"/>
      <c r="I82" s="98"/>
      <c r="J82" s="197"/>
      <c r="K82" s="198"/>
    </row>
    <row r="83" spans="2:11">
      <c r="B83" s="98"/>
      <c r="C83" s="98"/>
      <c r="D83" s="98"/>
      <c r="E83" s="98"/>
      <c r="F83" s="98"/>
      <c r="G83" s="98"/>
      <c r="H83" s="197"/>
      <c r="I83" s="98"/>
      <c r="J83" s="197"/>
      <c r="K83" s="198"/>
    </row>
    <row r="84" spans="2:11">
      <c r="B84" s="98"/>
      <c r="C84" s="98"/>
      <c r="D84" s="98"/>
      <c r="E84" s="98"/>
      <c r="F84" s="98"/>
      <c r="G84" s="98"/>
      <c r="H84" s="197"/>
      <c r="I84" s="98"/>
      <c r="J84" s="197"/>
      <c r="K84" s="198"/>
    </row>
    <row r="85" spans="2:11">
      <c r="B85" s="98"/>
      <c r="C85" s="98"/>
      <c r="D85" s="98"/>
      <c r="E85" s="98"/>
      <c r="F85" s="98"/>
      <c r="G85" s="98"/>
      <c r="H85" s="197"/>
      <c r="I85" s="98"/>
      <c r="J85" s="197"/>
      <c r="K85" s="198"/>
    </row>
    <row r="86" spans="2:11">
      <c r="B86" s="98"/>
      <c r="C86" s="98"/>
      <c r="D86" s="98"/>
      <c r="E86" s="98"/>
      <c r="F86" s="98"/>
      <c r="G86" s="98"/>
      <c r="H86" s="197"/>
      <c r="I86" s="98"/>
      <c r="J86" s="197"/>
      <c r="K86" s="198"/>
    </row>
    <row r="87" spans="2:11">
      <c r="B87" s="98"/>
      <c r="C87" s="98"/>
      <c r="D87" s="98"/>
      <c r="E87" s="98"/>
      <c r="F87" s="98"/>
      <c r="G87" s="98"/>
      <c r="H87" s="197"/>
      <c r="I87" s="98"/>
      <c r="J87" s="197"/>
      <c r="K87" s="198"/>
    </row>
    <row r="88" spans="2:11">
      <c r="B88" s="98"/>
      <c r="C88" s="98"/>
      <c r="D88" s="98"/>
      <c r="E88" s="98"/>
      <c r="F88" s="98"/>
      <c r="G88" s="98"/>
      <c r="H88" s="197"/>
      <c r="I88" s="98"/>
      <c r="J88" s="197"/>
      <c r="K88" s="198"/>
    </row>
    <row r="89" spans="2:11">
      <c r="B89" s="98"/>
      <c r="C89" s="98"/>
      <c r="D89" s="98"/>
      <c r="E89" s="98"/>
      <c r="F89" s="98"/>
      <c r="G89" s="98"/>
      <c r="H89" s="197"/>
      <c r="I89" s="98"/>
      <c r="J89" s="197"/>
      <c r="K89" s="198"/>
    </row>
    <row r="90" spans="2:11">
      <c r="B90" s="98"/>
      <c r="C90" s="98"/>
      <c r="D90" s="98"/>
      <c r="E90" s="98"/>
      <c r="F90" s="98"/>
      <c r="G90" s="98"/>
      <c r="H90" s="197"/>
      <c r="I90" s="98"/>
      <c r="J90" s="197"/>
      <c r="K90" s="198"/>
    </row>
    <row r="91" spans="2:11">
      <c r="B91" s="98"/>
      <c r="C91" s="98"/>
      <c r="D91" s="98"/>
      <c r="E91" s="98"/>
      <c r="F91" s="98"/>
      <c r="G91" s="98"/>
      <c r="H91" s="197"/>
      <c r="I91" s="98"/>
      <c r="J91" s="197"/>
      <c r="K91" s="198"/>
    </row>
    <row r="92" spans="2:11">
      <c r="B92" s="98"/>
      <c r="C92" s="98"/>
      <c r="D92" s="98"/>
      <c r="E92" s="98"/>
      <c r="F92" s="98"/>
      <c r="G92" s="98"/>
      <c r="H92" s="197"/>
      <c r="I92" s="98"/>
      <c r="J92" s="197"/>
      <c r="K92" s="198"/>
    </row>
    <row r="93" spans="2:11">
      <c r="B93" s="98"/>
      <c r="C93" s="98"/>
      <c r="D93" s="98"/>
      <c r="E93" s="98"/>
      <c r="F93" s="98"/>
      <c r="G93" s="98"/>
      <c r="H93" s="197"/>
      <c r="I93" s="98"/>
      <c r="J93" s="197"/>
      <c r="K93" s="198"/>
    </row>
    <row r="94" spans="2:11">
      <c r="B94" s="98"/>
      <c r="C94" s="98"/>
      <c r="D94" s="98"/>
      <c r="E94" s="98"/>
      <c r="F94" s="98"/>
      <c r="G94" s="98"/>
      <c r="H94" s="197"/>
      <c r="I94" s="98"/>
      <c r="J94" s="197"/>
      <c r="K94" s="198"/>
    </row>
    <row r="95" spans="2:11">
      <c r="B95" s="98"/>
      <c r="C95" s="98"/>
      <c r="D95" s="98"/>
      <c r="E95" s="98"/>
      <c r="F95" s="98"/>
      <c r="G95" s="98"/>
      <c r="H95" s="197"/>
      <c r="I95" s="98"/>
      <c r="J95" s="197"/>
      <c r="K95" s="198"/>
    </row>
    <row r="96" spans="2:11">
      <c r="B96" s="98"/>
      <c r="C96" s="98"/>
      <c r="D96" s="98"/>
      <c r="E96" s="98"/>
      <c r="F96" s="98"/>
      <c r="G96" s="98"/>
      <c r="H96" s="197"/>
      <c r="I96" s="98"/>
      <c r="J96" s="197"/>
      <c r="K96" s="198"/>
    </row>
    <row r="97" spans="2:11">
      <c r="B97" s="98"/>
      <c r="C97" s="98"/>
      <c r="D97" s="98"/>
      <c r="E97" s="98"/>
      <c r="F97" s="98"/>
      <c r="G97" s="98"/>
      <c r="H97" s="197"/>
      <c r="I97" s="98"/>
      <c r="J97" s="197"/>
      <c r="K97" s="198"/>
    </row>
    <row r="98" spans="2:11">
      <c r="B98" s="98"/>
      <c r="C98" s="98"/>
      <c r="D98" s="98"/>
      <c r="E98" s="98"/>
      <c r="F98" s="98"/>
      <c r="G98" s="98"/>
      <c r="H98" s="197"/>
      <c r="I98" s="98"/>
      <c r="J98" s="197"/>
      <c r="K98" s="198"/>
    </row>
    <row r="99" spans="2:11">
      <c r="B99" s="98"/>
      <c r="C99" s="98"/>
      <c r="D99" s="98"/>
      <c r="E99" s="98"/>
      <c r="F99" s="98"/>
      <c r="G99" s="98"/>
      <c r="H99" s="197"/>
      <c r="I99" s="98"/>
      <c r="J99" s="197"/>
      <c r="K99" s="198"/>
    </row>
    <row r="100" spans="2:11">
      <c r="B100" s="98"/>
      <c r="C100" s="98"/>
      <c r="D100" s="98"/>
      <c r="E100" s="98"/>
      <c r="F100" s="98"/>
      <c r="G100" s="98"/>
      <c r="H100" s="197"/>
      <c r="I100" s="98"/>
      <c r="J100" s="197"/>
      <c r="K100" s="198"/>
    </row>
    <row r="101" spans="2:11">
      <c r="B101" s="98"/>
      <c r="C101" s="98"/>
      <c r="D101" s="98"/>
      <c r="E101" s="98"/>
      <c r="F101" s="98"/>
      <c r="G101" s="98"/>
      <c r="H101" s="197"/>
      <c r="I101" s="98"/>
      <c r="J101" s="197"/>
      <c r="K101" s="198"/>
    </row>
    <row r="102" spans="2:11">
      <c r="B102" s="98"/>
      <c r="C102" s="98"/>
      <c r="D102" s="98"/>
      <c r="E102" s="98"/>
      <c r="F102" s="98"/>
      <c r="G102" s="98"/>
      <c r="H102" s="197"/>
      <c r="I102" s="98"/>
      <c r="J102" s="197"/>
      <c r="K102" s="198"/>
    </row>
    <row r="103" spans="2:11">
      <c r="B103" s="98"/>
      <c r="C103" s="98"/>
      <c r="D103" s="98"/>
      <c r="E103" s="98"/>
      <c r="F103" s="98"/>
      <c r="G103" s="98"/>
      <c r="H103" s="197"/>
      <c r="I103" s="98"/>
      <c r="J103" s="197"/>
      <c r="K103" s="198"/>
    </row>
    <row r="104" spans="2:11">
      <c r="B104" s="98"/>
      <c r="C104" s="98"/>
      <c r="D104" s="98"/>
      <c r="E104" s="98"/>
      <c r="F104" s="98"/>
      <c r="G104" s="98"/>
      <c r="H104" s="197"/>
      <c r="I104" s="98"/>
      <c r="J104" s="197"/>
      <c r="K104" s="198"/>
    </row>
    <row r="105" spans="2:11">
      <c r="B105" s="98"/>
      <c r="C105" s="98"/>
      <c r="D105" s="98"/>
      <c r="E105" s="98"/>
      <c r="F105" s="98"/>
      <c r="G105" s="98"/>
      <c r="H105" s="197"/>
      <c r="I105" s="98"/>
      <c r="J105" s="197"/>
      <c r="K105" s="198"/>
    </row>
    <row r="106" spans="2:11">
      <c r="B106" s="98"/>
      <c r="C106" s="98"/>
      <c r="D106" s="98"/>
      <c r="E106" s="98"/>
      <c r="F106" s="98"/>
      <c r="G106" s="98"/>
      <c r="H106" s="197"/>
      <c r="I106" s="98"/>
      <c r="J106" s="197"/>
      <c r="K106" s="198"/>
    </row>
    <row r="107" spans="2:11">
      <c r="B107" s="98"/>
      <c r="C107" s="98"/>
      <c r="D107" s="98"/>
      <c r="E107" s="98"/>
      <c r="F107" s="98"/>
      <c r="G107" s="98"/>
      <c r="H107" s="197"/>
      <c r="I107" s="98"/>
      <c r="J107" s="197"/>
      <c r="K107" s="198"/>
    </row>
    <row r="108" spans="2:11">
      <c r="B108" s="98"/>
      <c r="C108" s="98"/>
      <c r="D108" s="98"/>
      <c r="E108" s="98"/>
      <c r="F108" s="98"/>
      <c r="G108" s="98"/>
      <c r="H108" s="197"/>
      <c r="I108" s="98"/>
      <c r="J108" s="197"/>
      <c r="K108" s="198"/>
    </row>
    <row r="109" spans="2:11">
      <c r="B109" s="98"/>
      <c r="C109" s="98"/>
      <c r="D109" s="98"/>
      <c r="E109" s="98"/>
      <c r="F109" s="98"/>
      <c r="G109" s="98"/>
      <c r="H109" s="197"/>
      <c r="I109" s="98"/>
      <c r="J109" s="197"/>
      <c r="K109" s="198"/>
    </row>
    <row r="110" spans="2:11">
      <c r="B110" s="98"/>
      <c r="C110" s="98"/>
      <c r="D110" s="98"/>
      <c r="E110" s="98"/>
      <c r="F110" s="98"/>
      <c r="G110" s="98"/>
      <c r="H110" s="197"/>
      <c r="I110" s="98"/>
      <c r="J110" s="197"/>
      <c r="K110" s="198"/>
    </row>
    <row r="111" spans="2:11">
      <c r="B111" s="98"/>
      <c r="C111" s="98"/>
      <c r="D111" s="98"/>
      <c r="E111" s="98"/>
      <c r="F111" s="98"/>
      <c r="G111" s="98"/>
      <c r="H111" s="197"/>
      <c r="I111" s="98"/>
      <c r="J111" s="197"/>
      <c r="K111" s="198"/>
    </row>
    <row r="112" spans="2:11">
      <c r="B112" s="98"/>
      <c r="C112" s="98"/>
      <c r="D112" s="98"/>
      <c r="E112" s="98"/>
      <c r="F112" s="98"/>
      <c r="G112" s="98"/>
      <c r="H112" s="197"/>
      <c r="I112" s="98"/>
      <c r="J112" s="197"/>
      <c r="K112" s="198"/>
    </row>
    <row r="113" spans="2:11">
      <c r="B113" s="98"/>
      <c r="C113" s="98"/>
      <c r="D113" s="98"/>
      <c r="E113" s="98"/>
      <c r="F113" s="98"/>
      <c r="G113" s="98"/>
      <c r="H113" s="197"/>
      <c r="I113" s="98"/>
      <c r="J113" s="197"/>
      <c r="K113" s="198"/>
    </row>
    <row r="114" spans="2:11">
      <c r="B114" s="98"/>
      <c r="C114" s="98"/>
      <c r="D114" s="98"/>
      <c r="E114" s="98"/>
      <c r="F114" s="98"/>
      <c r="G114" s="98"/>
      <c r="H114" s="197"/>
      <c r="I114" s="98"/>
      <c r="J114" s="197"/>
      <c r="K114" s="198"/>
    </row>
    <row r="115" spans="2:11">
      <c r="B115" s="98"/>
      <c r="C115" s="98"/>
      <c r="D115" s="98"/>
      <c r="E115" s="98"/>
      <c r="F115" s="98"/>
      <c r="G115" s="98"/>
      <c r="H115" s="197"/>
      <c r="I115" s="98"/>
      <c r="J115" s="197"/>
      <c r="K115" s="198"/>
    </row>
    <row r="116" spans="2:11">
      <c r="B116" s="98"/>
      <c r="C116" s="98"/>
      <c r="D116" s="98"/>
      <c r="E116" s="98"/>
      <c r="F116" s="98"/>
      <c r="G116" s="98"/>
      <c r="H116" s="197"/>
      <c r="I116" s="98"/>
      <c r="J116" s="197"/>
      <c r="K116" s="198"/>
    </row>
    <row r="117" spans="2:11">
      <c r="B117" s="98"/>
      <c r="C117" s="98"/>
      <c r="D117" s="98"/>
      <c r="E117" s="98"/>
      <c r="F117" s="98"/>
      <c r="G117" s="98"/>
      <c r="H117" s="197"/>
      <c r="I117" s="98"/>
      <c r="J117" s="197"/>
      <c r="K117" s="198"/>
    </row>
    <row r="118" spans="2:11">
      <c r="B118" s="98"/>
      <c r="C118" s="98"/>
      <c r="D118" s="98"/>
      <c r="E118" s="98"/>
      <c r="F118" s="98"/>
      <c r="G118" s="98"/>
      <c r="H118" s="197"/>
      <c r="I118" s="98"/>
      <c r="J118" s="197"/>
      <c r="K118" s="198"/>
    </row>
    <row r="119" spans="2:11">
      <c r="B119" s="98"/>
      <c r="C119" s="98"/>
      <c r="D119" s="98"/>
      <c r="E119" s="98"/>
      <c r="F119" s="98"/>
      <c r="G119" s="98"/>
      <c r="H119" s="197"/>
      <c r="I119" s="98"/>
      <c r="J119" s="197"/>
      <c r="K119" s="198"/>
    </row>
    <row r="120" spans="2:11">
      <c r="B120" s="98"/>
      <c r="C120" s="98"/>
      <c r="D120" s="98"/>
      <c r="E120" s="98"/>
      <c r="F120" s="98"/>
      <c r="G120" s="98"/>
      <c r="H120" s="197"/>
      <c r="I120" s="98"/>
      <c r="J120" s="197"/>
      <c r="K120" s="198"/>
    </row>
    <row r="121" spans="2:11">
      <c r="B121" s="98"/>
      <c r="C121" s="98"/>
      <c r="D121" s="98"/>
      <c r="E121" s="98"/>
      <c r="F121" s="98"/>
      <c r="G121" s="98"/>
      <c r="H121" s="197"/>
      <c r="I121" s="98"/>
      <c r="J121" s="197"/>
      <c r="K121" s="198"/>
    </row>
    <row r="122" spans="2:11">
      <c r="B122" s="98"/>
      <c r="C122" s="98"/>
      <c r="D122" s="98"/>
      <c r="E122" s="98"/>
      <c r="F122" s="98"/>
      <c r="G122" s="98"/>
      <c r="H122" s="197"/>
      <c r="I122" s="98"/>
      <c r="J122" s="197"/>
      <c r="K122" s="198"/>
    </row>
    <row r="123" spans="2:11">
      <c r="B123" s="98"/>
      <c r="C123" s="98"/>
      <c r="D123" s="98"/>
      <c r="E123" s="98"/>
      <c r="F123" s="98"/>
      <c r="G123" s="98"/>
      <c r="H123" s="197"/>
      <c r="I123" s="98"/>
      <c r="J123" s="197"/>
      <c r="K123" s="198"/>
    </row>
    <row r="124" spans="2:11">
      <c r="B124" s="98"/>
      <c r="C124" s="98"/>
      <c r="D124" s="98"/>
      <c r="E124" s="98"/>
      <c r="F124" s="98"/>
      <c r="G124" s="98"/>
      <c r="H124" s="197"/>
      <c r="I124" s="98"/>
      <c r="J124" s="197"/>
      <c r="K124" s="198"/>
    </row>
    <row r="125" spans="2:11">
      <c r="B125" s="98"/>
      <c r="C125" s="98"/>
      <c r="D125" s="98"/>
      <c r="E125" s="98"/>
      <c r="F125" s="98"/>
      <c r="G125" s="98"/>
      <c r="H125" s="197"/>
      <c r="I125" s="98"/>
      <c r="J125" s="197"/>
      <c r="K125" s="198"/>
    </row>
    <row r="126" spans="2:11">
      <c r="B126" s="98"/>
      <c r="C126" s="98"/>
      <c r="D126" s="98"/>
      <c r="E126" s="98"/>
      <c r="F126" s="98"/>
      <c r="G126" s="98"/>
      <c r="H126" s="197"/>
      <c r="I126" s="98"/>
      <c r="J126" s="197"/>
      <c r="K126" s="198"/>
    </row>
    <row r="127" spans="2:11">
      <c r="B127" s="98"/>
      <c r="C127" s="98"/>
      <c r="D127" s="98"/>
      <c r="E127" s="98"/>
      <c r="F127" s="98"/>
      <c r="G127" s="98"/>
      <c r="H127" s="197"/>
      <c r="I127" s="98"/>
      <c r="J127" s="197"/>
      <c r="K127" s="198"/>
    </row>
    <row r="128" spans="2:11">
      <c r="B128" s="98"/>
      <c r="C128" s="98"/>
      <c r="D128" s="98"/>
      <c r="E128" s="98"/>
      <c r="F128" s="98"/>
      <c r="G128" s="98"/>
      <c r="H128" s="197"/>
      <c r="I128" s="98"/>
      <c r="J128" s="197"/>
      <c r="K128" s="198"/>
    </row>
    <row r="129" spans="2:11">
      <c r="B129" s="98"/>
      <c r="C129" s="98"/>
      <c r="D129" s="98"/>
      <c r="E129" s="98"/>
      <c r="F129" s="98"/>
      <c r="G129" s="98"/>
      <c r="H129" s="197"/>
      <c r="I129" s="98"/>
      <c r="J129" s="197"/>
      <c r="K129" s="198"/>
    </row>
    <row r="130" spans="2:11">
      <c r="B130" s="98"/>
      <c r="C130" s="98"/>
      <c r="D130" s="98"/>
      <c r="E130" s="98"/>
      <c r="F130" s="98"/>
      <c r="G130" s="98"/>
      <c r="H130" s="197"/>
      <c r="I130" s="98"/>
      <c r="J130" s="197"/>
      <c r="K130" s="198"/>
    </row>
    <row r="131" spans="2:11">
      <c r="B131" s="98"/>
      <c r="C131" s="98"/>
      <c r="D131" s="98"/>
      <c r="E131" s="98"/>
      <c r="F131" s="98"/>
      <c r="G131" s="98"/>
      <c r="H131" s="197"/>
      <c r="I131" s="98"/>
      <c r="J131" s="197"/>
      <c r="K131" s="198"/>
    </row>
    <row r="132" spans="2:11">
      <c r="B132" s="98"/>
      <c r="C132" s="98"/>
      <c r="D132" s="98"/>
      <c r="E132" s="98"/>
      <c r="F132" s="98"/>
      <c r="G132" s="98"/>
      <c r="H132" s="197"/>
      <c r="I132" s="98"/>
      <c r="J132" s="197"/>
      <c r="K132" s="198"/>
    </row>
    <row r="133" spans="2:11">
      <c r="B133" s="98"/>
      <c r="C133" s="98"/>
      <c r="D133" s="98"/>
      <c r="E133" s="98"/>
      <c r="F133" s="98"/>
      <c r="G133" s="98"/>
      <c r="H133" s="197"/>
      <c r="I133" s="98"/>
      <c r="J133" s="197"/>
      <c r="K133" s="198"/>
    </row>
    <row r="134" spans="2:11">
      <c r="B134" s="98"/>
      <c r="C134" s="98"/>
      <c r="D134" s="98"/>
      <c r="E134" s="98"/>
      <c r="F134" s="98"/>
      <c r="G134" s="98"/>
      <c r="H134" s="197"/>
      <c r="I134" s="98"/>
      <c r="J134" s="197"/>
      <c r="K134" s="198"/>
    </row>
    <row r="135" spans="2:11">
      <c r="B135" s="98"/>
      <c r="C135" s="98"/>
      <c r="D135" s="98"/>
      <c r="E135" s="98"/>
      <c r="F135" s="98"/>
      <c r="G135" s="98"/>
      <c r="H135" s="197"/>
      <c r="I135" s="98"/>
      <c r="J135" s="197"/>
      <c r="K135" s="198"/>
    </row>
    <row r="136" spans="2:11">
      <c r="B136" s="98"/>
      <c r="C136" s="98"/>
      <c r="D136" s="98"/>
      <c r="E136" s="98"/>
      <c r="F136" s="98"/>
      <c r="G136" s="98"/>
      <c r="H136" s="197"/>
      <c r="I136" s="98"/>
      <c r="J136" s="197"/>
      <c r="K136" s="198"/>
    </row>
    <row r="137" spans="2:11">
      <c r="B137" s="98"/>
      <c r="C137" s="98"/>
      <c r="D137" s="98"/>
      <c r="E137" s="98"/>
      <c r="F137" s="98"/>
      <c r="G137" s="98"/>
      <c r="H137" s="197"/>
      <c r="I137" s="98"/>
      <c r="J137" s="197"/>
      <c r="K137" s="198"/>
    </row>
    <row r="138" spans="2:11">
      <c r="B138" s="98"/>
      <c r="C138" s="98"/>
      <c r="D138" s="98"/>
      <c r="E138" s="98"/>
      <c r="F138" s="98"/>
      <c r="G138" s="98"/>
      <c r="H138" s="197"/>
      <c r="I138" s="98"/>
      <c r="J138" s="197"/>
      <c r="K138" s="198"/>
    </row>
    <row r="139" spans="2:11">
      <c r="B139" s="98"/>
      <c r="C139" s="98"/>
      <c r="D139" s="98"/>
      <c r="E139" s="98"/>
      <c r="F139" s="98"/>
      <c r="G139" s="98"/>
      <c r="H139" s="197"/>
      <c r="I139" s="98"/>
      <c r="J139" s="197"/>
      <c r="K139" s="198"/>
    </row>
    <row r="140" spans="2:11">
      <c r="B140" s="98"/>
      <c r="C140" s="98"/>
      <c r="D140" s="98"/>
      <c r="E140" s="98"/>
      <c r="F140" s="98"/>
      <c r="G140" s="98"/>
      <c r="H140" s="197"/>
      <c r="I140" s="98"/>
      <c r="J140" s="197"/>
      <c r="K140" s="198"/>
    </row>
    <row r="141" spans="2:11">
      <c r="B141" s="98"/>
      <c r="C141" s="98"/>
      <c r="D141" s="98"/>
      <c r="E141" s="98"/>
      <c r="F141" s="98"/>
      <c r="G141" s="98"/>
      <c r="H141" s="197"/>
      <c r="I141" s="98"/>
      <c r="J141" s="197"/>
      <c r="K141" s="198"/>
    </row>
    <row r="142" spans="2:11">
      <c r="B142" s="98"/>
      <c r="C142" s="98"/>
      <c r="D142" s="98"/>
      <c r="E142" s="98"/>
      <c r="F142" s="98"/>
      <c r="G142" s="98"/>
      <c r="H142" s="197"/>
      <c r="I142" s="98"/>
      <c r="J142" s="197"/>
      <c r="K142" s="198"/>
    </row>
    <row r="143" spans="2:11">
      <c r="B143" s="98"/>
      <c r="C143" s="98"/>
      <c r="D143" s="98"/>
      <c r="E143" s="98"/>
      <c r="F143" s="98"/>
      <c r="G143" s="98"/>
      <c r="H143" s="197"/>
      <c r="I143" s="98"/>
      <c r="J143" s="197"/>
      <c r="K143" s="198"/>
    </row>
    <row r="144" spans="2:11">
      <c r="B144" s="98"/>
      <c r="C144" s="98"/>
      <c r="D144" s="98"/>
      <c r="E144" s="98"/>
      <c r="F144" s="98"/>
      <c r="G144" s="98"/>
      <c r="H144" s="197"/>
      <c r="I144" s="98"/>
      <c r="J144" s="197"/>
      <c r="K144" s="198"/>
    </row>
    <row r="145" spans="2:11">
      <c r="B145" s="98"/>
      <c r="C145" s="98"/>
      <c r="D145" s="98"/>
      <c r="E145" s="98"/>
      <c r="F145" s="98"/>
      <c r="G145" s="98"/>
      <c r="H145" s="197"/>
      <c r="I145" s="98"/>
      <c r="J145" s="197"/>
      <c r="K145" s="198"/>
    </row>
    <row r="146" spans="2:11">
      <c r="B146" s="98"/>
      <c r="C146" s="98"/>
      <c r="D146" s="98"/>
      <c r="E146" s="98"/>
      <c r="F146" s="98"/>
      <c r="G146" s="98"/>
      <c r="H146" s="197"/>
      <c r="I146" s="98"/>
      <c r="J146" s="197"/>
      <c r="K146" s="198"/>
    </row>
    <row r="147" spans="2:11">
      <c r="B147" s="98"/>
      <c r="C147" s="98"/>
      <c r="D147" s="98"/>
      <c r="E147" s="98"/>
      <c r="F147" s="98"/>
      <c r="G147" s="98"/>
      <c r="H147" s="197"/>
      <c r="I147" s="98"/>
      <c r="J147" s="197"/>
      <c r="K147" s="198"/>
    </row>
    <row r="148" spans="2:11">
      <c r="B148" s="98"/>
      <c r="C148" s="98"/>
      <c r="D148" s="98"/>
      <c r="E148" s="98"/>
      <c r="F148" s="98"/>
      <c r="G148" s="98"/>
      <c r="H148" s="197"/>
      <c r="I148" s="98"/>
      <c r="J148" s="197"/>
      <c r="K148" s="198"/>
    </row>
    <row r="149" spans="2:11">
      <c r="B149" s="98"/>
      <c r="C149" s="98"/>
      <c r="D149" s="98"/>
      <c r="E149" s="98"/>
      <c r="F149" s="98"/>
      <c r="G149" s="98"/>
      <c r="H149" s="197"/>
      <c r="I149" s="98"/>
      <c r="J149" s="197"/>
      <c r="K149" s="198"/>
    </row>
    <row r="150" spans="2:11">
      <c r="B150" s="98"/>
      <c r="C150" s="98"/>
      <c r="D150" s="98"/>
      <c r="E150" s="98"/>
      <c r="F150" s="98"/>
      <c r="G150" s="98"/>
      <c r="H150" s="197"/>
      <c r="I150" s="98"/>
      <c r="J150" s="197"/>
      <c r="K150" s="198"/>
    </row>
    <row r="151" spans="2:11">
      <c r="B151" s="98"/>
      <c r="C151" s="98"/>
      <c r="D151" s="98"/>
      <c r="E151" s="98"/>
      <c r="F151" s="98"/>
      <c r="G151" s="98"/>
      <c r="H151" s="197"/>
      <c r="I151" s="98"/>
      <c r="J151" s="197"/>
      <c r="K151" s="198"/>
    </row>
    <row r="152" spans="2:11">
      <c r="B152" s="98"/>
      <c r="C152" s="98"/>
      <c r="D152" s="98"/>
      <c r="E152" s="98"/>
      <c r="F152" s="98"/>
      <c r="G152" s="98"/>
      <c r="H152" s="197"/>
      <c r="I152" s="98"/>
      <c r="J152" s="197"/>
      <c r="K152" s="198"/>
    </row>
    <row r="153" spans="2:11">
      <c r="B153" s="98"/>
      <c r="C153" s="98"/>
      <c r="D153" s="98"/>
      <c r="E153" s="98"/>
      <c r="F153" s="98"/>
      <c r="G153" s="98"/>
      <c r="H153" s="197"/>
      <c r="I153" s="98"/>
      <c r="J153" s="197"/>
      <c r="K153" s="198"/>
    </row>
    <row r="154" spans="2:11">
      <c r="B154" s="98"/>
      <c r="C154" s="98"/>
      <c r="D154" s="98"/>
      <c r="E154" s="98"/>
      <c r="F154" s="98"/>
      <c r="G154" s="98"/>
      <c r="H154" s="197"/>
      <c r="I154" s="98"/>
      <c r="J154" s="197"/>
      <c r="K154" s="198"/>
    </row>
    <row r="155" spans="2:11">
      <c r="B155" s="98"/>
      <c r="C155" s="98"/>
      <c r="D155" s="98"/>
      <c r="E155" s="98"/>
      <c r="F155" s="98"/>
      <c r="G155" s="98"/>
      <c r="H155" s="197"/>
      <c r="I155" s="98"/>
      <c r="J155" s="197"/>
      <c r="K155" s="198"/>
    </row>
    <row r="156" spans="2:11">
      <c r="B156" s="98"/>
      <c r="C156" s="98"/>
      <c r="D156" s="98"/>
      <c r="E156" s="98"/>
      <c r="F156" s="98"/>
      <c r="G156" s="98"/>
      <c r="H156" s="197"/>
      <c r="I156" s="98"/>
      <c r="J156" s="197"/>
      <c r="K156" s="198"/>
    </row>
    <row r="157" spans="2:11">
      <c r="B157" s="98"/>
      <c r="C157" s="98"/>
      <c r="D157" s="98"/>
      <c r="E157" s="98"/>
      <c r="F157" s="98"/>
      <c r="G157" s="98"/>
      <c r="H157" s="197"/>
      <c r="I157" s="98"/>
      <c r="J157" s="197"/>
      <c r="K157" s="198"/>
    </row>
    <row r="158" spans="2:11">
      <c r="B158" s="98"/>
      <c r="C158" s="98"/>
      <c r="D158" s="98"/>
      <c r="E158" s="98"/>
      <c r="F158" s="98"/>
      <c r="G158" s="98"/>
      <c r="H158" s="197"/>
      <c r="I158" s="98"/>
      <c r="J158" s="197"/>
      <c r="K158" s="198"/>
    </row>
    <row r="159" spans="2:11">
      <c r="B159" s="98"/>
      <c r="C159" s="98"/>
      <c r="D159" s="98"/>
      <c r="E159" s="98"/>
      <c r="F159" s="98"/>
      <c r="G159" s="98"/>
      <c r="H159" s="197"/>
      <c r="I159" s="98"/>
      <c r="J159" s="197"/>
      <c r="K159" s="198"/>
    </row>
    <row r="160" spans="2:11">
      <c r="B160" s="98"/>
      <c r="C160" s="98"/>
      <c r="D160" s="98"/>
      <c r="E160" s="98"/>
      <c r="F160" s="98"/>
      <c r="G160" s="98"/>
      <c r="H160" s="197"/>
      <c r="I160" s="98"/>
      <c r="J160" s="197"/>
      <c r="K160" s="198"/>
    </row>
    <row r="161" spans="2:11">
      <c r="B161" s="98"/>
      <c r="C161" s="98"/>
      <c r="D161" s="98"/>
      <c r="E161" s="98"/>
      <c r="F161" s="98"/>
      <c r="G161" s="98"/>
      <c r="H161" s="197"/>
      <c r="I161" s="98"/>
      <c r="J161" s="197"/>
      <c r="K161" s="198"/>
    </row>
    <row r="162" spans="2:11">
      <c r="B162" s="98"/>
      <c r="C162" s="98"/>
      <c r="D162" s="98"/>
      <c r="E162" s="98"/>
      <c r="F162" s="98"/>
      <c r="G162" s="98"/>
      <c r="H162" s="197"/>
      <c r="I162" s="98"/>
      <c r="J162" s="197"/>
      <c r="K162" s="198"/>
    </row>
    <row r="163" spans="2:11">
      <c r="B163" s="98"/>
      <c r="C163" s="98"/>
      <c r="D163" s="98"/>
      <c r="E163" s="98"/>
      <c r="F163" s="98"/>
      <c r="G163" s="98"/>
      <c r="H163" s="197"/>
      <c r="I163" s="98"/>
      <c r="J163" s="197"/>
      <c r="K163" s="198"/>
    </row>
    <row r="164" spans="2:11">
      <c r="B164" s="98"/>
      <c r="C164" s="98"/>
      <c r="D164" s="98"/>
      <c r="E164" s="98"/>
      <c r="F164" s="98"/>
      <c r="G164" s="98"/>
      <c r="H164" s="197"/>
      <c r="I164" s="98"/>
      <c r="J164" s="197"/>
      <c r="K164" s="198"/>
    </row>
    <row r="165" spans="2:11">
      <c r="B165" s="98"/>
      <c r="C165" s="98"/>
      <c r="D165" s="98"/>
      <c r="E165" s="98"/>
      <c r="F165" s="98"/>
      <c r="G165" s="98"/>
      <c r="H165" s="197"/>
      <c r="I165" s="98"/>
      <c r="J165" s="197"/>
      <c r="K165" s="198"/>
    </row>
    <row r="166" spans="2:11">
      <c r="B166" s="98"/>
      <c r="C166" s="98"/>
      <c r="D166" s="98"/>
      <c r="E166" s="98"/>
      <c r="F166" s="98"/>
      <c r="G166" s="98"/>
      <c r="H166" s="197"/>
      <c r="I166" s="98"/>
      <c r="J166" s="197"/>
      <c r="K166" s="198"/>
    </row>
    <row r="167" spans="2:11">
      <c r="B167" s="98"/>
      <c r="C167" s="98"/>
      <c r="D167" s="98"/>
      <c r="E167" s="98"/>
      <c r="F167" s="98"/>
      <c r="G167" s="98"/>
      <c r="H167" s="197"/>
      <c r="I167" s="98"/>
      <c r="J167" s="197"/>
      <c r="K167" s="198"/>
    </row>
    <row r="168" spans="2:11">
      <c r="B168" s="98"/>
      <c r="C168" s="98"/>
      <c r="D168" s="98"/>
      <c r="E168" s="98"/>
      <c r="F168" s="98"/>
      <c r="G168" s="98"/>
      <c r="H168" s="197"/>
      <c r="I168" s="98"/>
      <c r="J168" s="197"/>
      <c r="K168" s="198"/>
    </row>
    <row r="169" spans="2:11">
      <c r="B169" s="98"/>
      <c r="C169" s="98"/>
      <c r="D169" s="98"/>
      <c r="E169" s="98"/>
      <c r="F169" s="98"/>
      <c r="G169" s="98"/>
      <c r="H169" s="197"/>
      <c r="I169" s="98"/>
      <c r="J169" s="197"/>
      <c r="K169" s="198"/>
    </row>
    <row r="170" spans="2:11">
      <c r="B170" s="98"/>
      <c r="C170" s="98"/>
      <c r="D170" s="98"/>
      <c r="E170" s="98"/>
      <c r="F170" s="98"/>
      <c r="G170" s="98"/>
      <c r="H170" s="197"/>
      <c r="I170" s="98"/>
      <c r="J170" s="197"/>
      <c r="K170" s="198"/>
    </row>
    <row r="171" spans="2:11">
      <c r="B171" s="98"/>
      <c r="C171" s="98"/>
      <c r="D171" s="98"/>
      <c r="E171" s="98"/>
      <c r="F171" s="98"/>
      <c r="G171" s="98"/>
      <c r="H171" s="197"/>
      <c r="I171" s="98"/>
      <c r="J171" s="197"/>
      <c r="K171" s="198"/>
    </row>
    <row r="172" spans="2:11">
      <c r="B172" s="98"/>
      <c r="C172" s="98"/>
      <c r="D172" s="98"/>
      <c r="E172" s="98"/>
      <c r="F172" s="98"/>
      <c r="G172" s="98"/>
      <c r="H172" s="197"/>
      <c r="I172" s="98"/>
      <c r="J172" s="197"/>
      <c r="K172" s="198"/>
    </row>
    <row r="173" spans="2:11">
      <c r="B173" s="98"/>
      <c r="C173" s="98"/>
      <c r="D173" s="98"/>
      <c r="E173" s="98"/>
      <c r="F173" s="98"/>
      <c r="G173" s="98"/>
      <c r="H173" s="197"/>
      <c r="I173" s="98"/>
      <c r="J173" s="197"/>
      <c r="K173" s="198"/>
    </row>
    <row r="174" spans="2:11">
      <c r="B174" s="98"/>
      <c r="C174" s="98"/>
      <c r="D174" s="98"/>
      <c r="E174" s="98"/>
      <c r="F174" s="98"/>
      <c r="G174" s="98"/>
      <c r="H174" s="197"/>
      <c r="I174" s="98"/>
      <c r="J174" s="197"/>
      <c r="K174" s="198"/>
    </row>
    <row r="175" spans="2:11">
      <c r="B175" s="98"/>
      <c r="C175" s="98"/>
      <c r="D175" s="98"/>
      <c r="E175" s="98"/>
      <c r="F175" s="98"/>
      <c r="G175" s="98"/>
      <c r="H175" s="197"/>
      <c r="I175" s="98"/>
      <c r="J175" s="197"/>
      <c r="K175" s="198"/>
    </row>
    <row r="176" spans="2:11">
      <c r="B176" s="98"/>
      <c r="C176" s="98"/>
      <c r="D176" s="98"/>
      <c r="E176" s="98"/>
      <c r="F176" s="98"/>
      <c r="G176" s="98"/>
      <c r="H176" s="197"/>
      <c r="I176" s="98"/>
      <c r="J176" s="197"/>
      <c r="K176" s="198"/>
    </row>
    <row r="177" spans="2:11">
      <c r="B177" s="98"/>
      <c r="C177" s="98"/>
      <c r="D177" s="98"/>
      <c r="E177" s="98"/>
      <c r="F177" s="98"/>
      <c r="G177" s="98"/>
      <c r="H177" s="197"/>
      <c r="I177" s="98"/>
      <c r="J177" s="197"/>
      <c r="K177" s="198"/>
    </row>
    <row r="178" spans="2:11">
      <c r="B178" s="98"/>
      <c r="C178" s="98"/>
      <c r="D178" s="98"/>
      <c r="E178" s="98"/>
      <c r="F178" s="98"/>
      <c r="G178" s="98"/>
      <c r="H178" s="197"/>
      <c r="I178" s="98"/>
      <c r="J178" s="197"/>
      <c r="K178" s="198"/>
    </row>
    <row r="179" spans="2:11">
      <c r="B179" s="98"/>
      <c r="C179" s="98"/>
      <c r="D179" s="98"/>
      <c r="E179" s="98"/>
      <c r="F179" s="98"/>
      <c r="G179" s="98"/>
      <c r="H179" s="197"/>
      <c r="I179" s="98"/>
      <c r="J179" s="197"/>
      <c r="K179" s="198"/>
    </row>
    <row r="180" spans="2:11">
      <c r="B180" s="98"/>
      <c r="C180" s="98"/>
      <c r="D180" s="98"/>
      <c r="E180" s="98"/>
      <c r="F180" s="98"/>
      <c r="G180" s="98"/>
      <c r="H180" s="197"/>
      <c r="I180" s="98"/>
      <c r="J180" s="197"/>
      <c r="K180" s="198"/>
    </row>
    <row r="181" spans="2:11">
      <c r="B181" s="98"/>
      <c r="C181" s="98"/>
      <c r="D181" s="98"/>
      <c r="E181" s="98"/>
      <c r="F181" s="98"/>
      <c r="G181" s="98"/>
      <c r="H181" s="197"/>
      <c r="I181" s="98"/>
      <c r="J181" s="197"/>
      <c r="K181" s="198"/>
    </row>
    <row r="182" spans="2:11">
      <c r="B182" s="98"/>
      <c r="C182" s="98"/>
      <c r="D182" s="98"/>
      <c r="E182" s="98"/>
      <c r="F182" s="98"/>
      <c r="G182" s="98"/>
      <c r="H182" s="197"/>
      <c r="I182" s="98"/>
      <c r="J182" s="197"/>
      <c r="K182" s="198"/>
    </row>
    <row r="183" spans="2:11">
      <c r="B183" s="98"/>
      <c r="C183" s="98"/>
      <c r="D183" s="98"/>
      <c r="E183" s="98"/>
      <c r="F183" s="98"/>
      <c r="G183" s="98"/>
      <c r="H183" s="197"/>
      <c r="I183" s="98"/>
      <c r="J183" s="197"/>
      <c r="K183" s="198"/>
    </row>
    <row r="184" spans="2:11">
      <c r="B184" s="98"/>
      <c r="C184" s="98"/>
      <c r="D184" s="98"/>
      <c r="E184" s="98"/>
      <c r="F184" s="98"/>
      <c r="G184" s="98"/>
      <c r="H184" s="197"/>
      <c r="I184" s="98"/>
      <c r="J184" s="197"/>
      <c r="K184" s="198"/>
    </row>
    <row r="185" spans="2:11">
      <c r="B185" s="98"/>
      <c r="C185" s="98"/>
      <c r="D185" s="98"/>
      <c r="E185" s="98"/>
      <c r="F185" s="98"/>
      <c r="G185" s="98"/>
      <c r="H185" s="197"/>
      <c r="I185" s="98"/>
      <c r="J185" s="197"/>
      <c r="K185" s="198"/>
    </row>
    <row r="186" spans="2:11">
      <c r="B186" s="98"/>
      <c r="C186" s="98"/>
      <c r="D186" s="98"/>
      <c r="E186" s="98"/>
      <c r="F186" s="98"/>
      <c r="G186" s="98"/>
      <c r="H186" s="197"/>
      <c r="I186" s="98"/>
      <c r="J186" s="197"/>
      <c r="K186" s="198"/>
    </row>
    <row r="187" spans="2:11">
      <c r="B187" s="98"/>
      <c r="C187" s="98"/>
      <c r="D187" s="98"/>
      <c r="E187" s="98"/>
      <c r="F187" s="98"/>
      <c r="G187" s="98"/>
      <c r="H187" s="197"/>
      <c r="I187" s="98"/>
      <c r="J187" s="197"/>
      <c r="K187" s="198"/>
    </row>
    <row r="188" spans="2:11">
      <c r="B188" s="98"/>
      <c r="C188" s="98"/>
      <c r="D188" s="98"/>
      <c r="E188" s="98"/>
      <c r="F188" s="98"/>
      <c r="G188" s="98"/>
      <c r="H188" s="197"/>
      <c r="I188" s="98"/>
      <c r="J188" s="197"/>
      <c r="K188" s="198"/>
    </row>
    <row r="189" spans="2:11">
      <c r="B189" s="98"/>
      <c r="C189" s="98"/>
      <c r="D189" s="98"/>
      <c r="E189" s="98"/>
      <c r="F189" s="98"/>
      <c r="G189" s="98"/>
      <c r="H189" s="197"/>
      <c r="I189" s="98"/>
      <c r="J189" s="197"/>
      <c r="K189" s="198"/>
    </row>
    <row r="190" spans="2:11">
      <c r="B190" s="98"/>
      <c r="C190" s="98"/>
      <c r="D190" s="98"/>
      <c r="E190" s="98"/>
      <c r="F190" s="98"/>
      <c r="G190" s="98"/>
      <c r="H190" s="197"/>
      <c r="I190" s="98"/>
      <c r="J190" s="197"/>
      <c r="K190" s="198"/>
    </row>
    <row r="191" spans="2:11">
      <c r="B191" s="98"/>
      <c r="C191" s="98"/>
      <c r="D191" s="98"/>
      <c r="E191" s="98"/>
      <c r="F191" s="98"/>
      <c r="G191" s="98"/>
      <c r="H191" s="197"/>
      <c r="I191" s="98"/>
      <c r="J191" s="197"/>
      <c r="K191" s="198"/>
    </row>
    <row r="192" spans="2:11">
      <c r="B192" s="98"/>
      <c r="C192" s="98"/>
      <c r="D192" s="98"/>
      <c r="E192" s="98"/>
      <c r="F192" s="98"/>
      <c r="G192" s="98"/>
      <c r="H192" s="197"/>
      <c r="I192" s="98"/>
      <c r="J192" s="197"/>
      <c r="K192" s="198"/>
    </row>
    <row r="193" spans="2:11">
      <c r="B193" s="98"/>
      <c r="C193" s="98"/>
      <c r="D193" s="98"/>
      <c r="E193" s="98"/>
      <c r="F193" s="98"/>
      <c r="G193" s="98"/>
      <c r="H193" s="197"/>
      <c r="I193" s="98"/>
      <c r="J193" s="197"/>
      <c r="K193" s="198"/>
    </row>
    <row r="194" spans="2:11">
      <c r="B194" s="98"/>
      <c r="C194" s="98"/>
      <c r="D194" s="98"/>
      <c r="E194" s="98"/>
      <c r="F194" s="98"/>
      <c r="G194" s="98"/>
      <c r="H194" s="197"/>
      <c r="I194" s="98"/>
      <c r="J194" s="197"/>
      <c r="K194" s="198"/>
    </row>
    <row r="195" spans="2:11">
      <c r="B195" s="98"/>
      <c r="C195" s="98"/>
      <c r="D195" s="98"/>
      <c r="E195" s="98"/>
      <c r="F195" s="98"/>
      <c r="G195" s="98"/>
      <c r="H195" s="197"/>
      <c r="I195" s="98"/>
      <c r="J195" s="197"/>
      <c r="K195" s="198"/>
    </row>
    <row r="196" spans="2:11">
      <c r="B196" s="98"/>
      <c r="C196" s="98"/>
      <c r="D196" s="98"/>
      <c r="E196" s="98"/>
      <c r="F196" s="98"/>
      <c r="G196" s="98"/>
      <c r="H196" s="197"/>
      <c r="I196" s="98"/>
      <c r="J196" s="197"/>
      <c r="K196" s="198"/>
    </row>
    <row r="197" spans="2:11">
      <c r="B197" s="98"/>
      <c r="C197" s="98"/>
      <c r="D197" s="98"/>
      <c r="E197" s="98"/>
      <c r="F197" s="98"/>
      <c r="G197" s="98"/>
      <c r="H197" s="197"/>
      <c r="I197" s="98"/>
      <c r="J197" s="197"/>
      <c r="K197" s="198"/>
    </row>
    <row r="198" spans="2:11">
      <c r="B198" s="98"/>
      <c r="C198" s="98"/>
      <c r="D198" s="98"/>
      <c r="E198" s="98"/>
      <c r="F198" s="98"/>
      <c r="G198" s="98"/>
      <c r="H198" s="197"/>
      <c r="I198" s="98"/>
      <c r="J198" s="197"/>
      <c r="K198" s="198"/>
    </row>
    <row r="199" spans="2:11">
      <c r="B199" s="98"/>
      <c r="C199" s="98"/>
      <c r="D199" s="98"/>
      <c r="E199" s="98"/>
      <c r="F199" s="98"/>
      <c r="G199" s="98"/>
      <c r="H199" s="197"/>
      <c r="I199" s="98"/>
      <c r="J199" s="197"/>
      <c r="K199" s="198"/>
    </row>
    <row r="200" spans="2:11">
      <c r="B200" s="98"/>
      <c r="C200" s="98"/>
      <c r="D200" s="98"/>
      <c r="E200" s="98"/>
      <c r="F200" s="98"/>
      <c r="G200" s="98"/>
      <c r="H200" s="197"/>
      <c r="I200" s="98"/>
      <c r="J200" s="197"/>
      <c r="K200" s="198"/>
    </row>
    <row r="201" spans="2:11">
      <c r="B201" s="98"/>
      <c r="C201" s="98"/>
      <c r="D201" s="98"/>
      <c r="E201" s="98"/>
      <c r="F201" s="98"/>
      <c r="G201" s="98"/>
      <c r="H201" s="197"/>
      <c r="I201" s="98"/>
      <c r="J201" s="197"/>
      <c r="K201" s="198"/>
    </row>
    <row r="202" spans="2:11">
      <c r="B202" s="98"/>
      <c r="C202" s="98"/>
      <c r="D202" s="98"/>
      <c r="E202" s="98"/>
      <c r="F202" s="98"/>
      <c r="G202" s="98"/>
      <c r="H202" s="197"/>
      <c r="I202" s="98"/>
      <c r="J202" s="197"/>
      <c r="K202" s="198"/>
    </row>
    <row r="203" spans="2:11">
      <c r="B203" s="98"/>
      <c r="C203" s="98"/>
      <c r="D203" s="98"/>
      <c r="E203" s="98"/>
      <c r="F203" s="98"/>
      <c r="G203" s="98"/>
      <c r="H203" s="197"/>
      <c r="I203" s="98"/>
      <c r="J203" s="197"/>
      <c r="K203" s="198"/>
    </row>
    <row r="204" spans="2:11">
      <c r="B204" s="98"/>
      <c r="C204" s="98"/>
      <c r="D204" s="98"/>
      <c r="E204" s="98"/>
      <c r="F204" s="98"/>
      <c r="G204" s="98"/>
      <c r="H204" s="197"/>
      <c r="I204" s="98"/>
      <c r="J204" s="197"/>
      <c r="K204" s="198"/>
    </row>
    <row r="205" spans="2:11">
      <c r="B205" s="98"/>
      <c r="C205" s="98"/>
      <c r="D205" s="98"/>
      <c r="E205" s="98"/>
      <c r="F205" s="98"/>
      <c r="G205" s="98"/>
      <c r="H205" s="197"/>
      <c r="I205" s="98"/>
      <c r="J205" s="197"/>
      <c r="K205" s="198"/>
    </row>
    <row r="206" spans="2:11">
      <c r="B206" s="98"/>
      <c r="C206" s="98"/>
      <c r="D206" s="98"/>
      <c r="E206" s="98"/>
      <c r="F206" s="98"/>
      <c r="G206" s="98"/>
      <c r="H206" s="197"/>
      <c r="I206" s="98"/>
      <c r="J206" s="197"/>
      <c r="K206" s="198"/>
    </row>
    <row r="207" spans="2:11">
      <c r="B207" s="98"/>
      <c r="C207" s="98"/>
      <c r="D207" s="98"/>
      <c r="E207" s="98"/>
      <c r="F207" s="98"/>
      <c r="G207" s="98"/>
      <c r="H207" s="197"/>
      <c r="I207" s="98"/>
      <c r="J207" s="197"/>
      <c r="K207" s="198"/>
    </row>
    <row r="208" spans="2:11">
      <c r="B208" s="98"/>
      <c r="C208" s="98"/>
      <c r="D208" s="98"/>
      <c r="E208" s="98"/>
      <c r="F208" s="98"/>
      <c r="G208" s="98"/>
      <c r="H208" s="197"/>
      <c r="I208" s="98"/>
      <c r="J208" s="197"/>
      <c r="K208" s="198"/>
    </row>
    <row r="209" spans="2:11">
      <c r="B209" s="98"/>
      <c r="C209" s="98"/>
      <c r="D209" s="98"/>
      <c r="E209" s="98"/>
      <c r="F209" s="98"/>
      <c r="G209" s="98"/>
      <c r="H209" s="197"/>
      <c r="I209" s="98"/>
      <c r="J209" s="197"/>
      <c r="K209" s="198"/>
    </row>
    <row r="210" spans="2:11">
      <c r="B210" s="98"/>
      <c r="C210" s="98"/>
      <c r="D210" s="98"/>
      <c r="E210" s="98"/>
      <c r="F210" s="98"/>
      <c r="G210" s="98"/>
      <c r="H210" s="197"/>
      <c r="I210" s="98"/>
      <c r="J210" s="197"/>
      <c r="K210" s="198"/>
    </row>
    <row r="211" spans="2:11">
      <c r="B211" s="98"/>
      <c r="C211" s="98"/>
      <c r="D211" s="98"/>
      <c r="E211" s="98"/>
      <c r="F211" s="98"/>
      <c r="G211" s="98"/>
      <c r="H211" s="197"/>
      <c r="I211" s="98"/>
      <c r="J211" s="197"/>
      <c r="K211" s="198"/>
    </row>
    <row r="212" spans="2:11">
      <c r="B212" s="98"/>
      <c r="C212" s="98"/>
      <c r="D212" s="98"/>
      <c r="E212" s="98"/>
      <c r="F212" s="98"/>
      <c r="G212" s="98"/>
      <c r="H212" s="197"/>
      <c r="I212" s="98"/>
      <c r="J212" s="197"/>
      <c r="K212" s="198"/>
    </row>
    <row r="213" spans="2:11">
      <c r="B213" s="98"/>
      <c r="C213" s="98"/>
      <c r="D213" s="98"/>
      <c r="E213" s="98"/>
      <c r="F213" s="98"/>
      <c r="G213" s="98"/>
      <c r="H213" s="197"/>
      <c r="I213" s="98"/>
      <c r="J213" s="197"/>
      <c r="K213" s="198"/>
    </row>
    <row r="214" spans="2:11">
      <c r="B214" s="98"/>
      <c r="C214" s="98"/>
      <c r="D214" s="98"/>
      <c r="E214" s="98"/>
      <c r="F214" s="98"/>
      <c r="G214" s="98"/>
      <c r="H214" s="197"/>
      <c r="I214" s="98"/>
      <c r="J214" s="197"/>
      <c r="K214" s="198"/>
    </row>
    <row r="215" spans="2:11">
      <c r="B215" s="98"/>
      <c r="C215" s="98"/>
      <c r="D215" s="98"/>
      <c r="E215" s="98"/>
      <c r="F215" s="98"/>
      <c r="G215" s="98"/>
      <c r="H215" s="197"/>
      <c r="I215" s="98"/>
      <c r="J215" s="197"/>
      <c r="K215" s="198"/>
    </row>
    <row r="216" spans="2:11">
      <c r="B216" s="98"/>
      <c r="C216" s="98"/>
      <c r="D216" s="98"/>
      <c r="E216" s="98"/>
      <c r="F216" s="98"/>
      <c r="G216" s="98"/>
      <c r="H216" s="197"/>
      <c r="I216" s="98"/>
      <c r="J216" s="197"/>
      <c r="K216" s="198"/>
    </row>
    <row r="217" spans="2:11">
      <c r="B217" s="98"/>
      <c r="C217" s="98"/>
      <c r="D217" s="98"/>
      <c r="E217" s="98"/>
      <c r="F217" s="98"/>
      <c r="G217" s="98"/>
      <c r="H217" s="197"/>
      <c r="I217" s="98"/>
      <c r="J217" s="197"/>
      <c r="K217" s="198"/>
    </row>
    <row r="218" spans="2:11">
      <c r="B218" s="98"/>
      <c r="C218" s="98"/>
      <c r="D218" s="98"/>
      <c r="E218" s="98"/>
      <c r="F218" s="98"/>
      <c r="G218" s="98"/>
      <c r="H218" s="197"/>
      <c r="I218" s="98"/>
      <c r="J218" s="197"/>
      <c r="K218" s="198"/>
    </row>
    <row r="219" spans="2:11">
      <c r="B219" s="98"/>
      <c r="C219" s="98"/>
      <c r="D219" s="98"/>
      <c r="E219" s="98"/>
      <c r="F219" s="98"/>
      <c r="G219" s="98"/>
      <c r="H219" s="197"/>
      <c r="I219" s="98"/>
      <c r="J219" s="197"/>
      <c r="K219" s="198"/>
    </row>
    <row r="220" spans="2:11">
      <c r="B220" s="98"/>
      <c r="C220" s="98"/>
      <c r="D220" s="98"/>
      <c r="E220" s="98"/>
      <c r="F220" s="98"/>
      <c r="G220" s="98"/>
      <c r="H220" s="197"/>
      <c r="I220" s="98"/>
      <c r="J220" s="197"/>
      <c r="K220" s="198"/>
    </row>
    <row r="221" spans="2:11">
      <c r="B221" s="98"/>
      <c r="C221" s="98"/>
      <c r="D221" s="98"/>
      <c r="E221" s="98"/>
      <c r="F221" s="98"/>
      <c r="G221" s="98"/>
      <c r="H221" s="197"/>
      <c r="I221" s="98"/>
      <c r="J221" s="197"/>
      <c r="K221" s="198"/>
    </row>
    <row r="222" spans="2:11">
      <c r="B222" s="98"/>
      <c r="C222" s="98"/>
      <c r="D222" s="98"/>
      <c r="E222" s="98"/>
      <c r="F222" s="98"/>
      <c r="G222" s="98"/>
      <c r="H222" s="197"/>
      <c r="I222" s="98"/>
      <c r="J222" s="197"/>
      <c r="K222" s="198"/>
    </row>
    <row r="223" spans="2:11">
      <c r="B223" s="98"/>
      <c r="C223" s="98"/>
      <c r="D223" s="98"/>
      <c r="E223" s="98"/>
      <c r="F223" s="98"/>
      <c r="G223" s="98"/>
      <c r="H223" s="197"/>
      <c r="I223" s="98"/>
      <c r="J223" s="197"/>
      <c r="K223" s="198"/>
    </row>
    <row r="224" spans="2:11">
      <c r="B224" s="98"/>
      <c r="C224" s="98"/>
      <c r="D224" s="98"/>
      <c r="E224" s="98"/>
      <c r="F224" s="98"/>
      <c r="G224" s="98"/>
      <c r="H224" s="197"/>
      <c r="I224" s="98"/>
      <c r="J224" s="197"/>
      <c r="K224" s="198"/>
    </row>
    <row r="225" spans="2:11">
      <c r="B225" s="98"/>
      <c r="C225" s="98"/>
      <c r="D225" s="98"/>
      <c r="E225" s="98"/>
      <c r="F225" s="98"/>
      <c r="G225" s="98"/>
      <c r="H225" s="197"/>
      <c r="I225" s="98"/>
      <c r="J225" s="197"/>
      <c r="K225" s="198"/>
    </row>
    <row r="226" spans="2:11">
      <c r="B226" s="98"/>
      <c r="C226" s="98"/>
      <c r="D226" s="98"/>
      <c r="E226" s="98"/>
      <c r="F226" s="98"/>
      <c r="G226" s="98"/>
      <c r="H226" s="197"/>
      <c r="I226" s="98"/>
      <c r="J226" s="197"/>
      <c r="K226" s="198"/>
    </row>
    <row r="227" spans="2:11">
      <c r="B227" s="98"/>
      <c r="C227" s="98"/>
      <c r="D227" s="98"/>
      <c r="E227" s="98"/>
      <c r="F227" s="98"/>
      <c r="G227" s="98"/>
      <c r="H227" s="197"/>
      <c r="I227" s="98"/>
      <c r="J227" s="197"/>
      <c r="K227" s="198"/>
    </row>
    <row r="228" spans="2:11">
      <c r="B228" s="98"/>
      <c r="C228" s="98"/>
      <c r="D228" s="98"/>
      <c r="E228" s="98"/>
      <c r="F228" s="98"/>
      <c r="G228" s="98"/>
      <c r="H228" s="197"/>
      <c r="I228" s="98"/>
      <c r="J228" s="197"/>
      <c r="K228" s="198"/>
    </row>
    <row r="229" spans="2:11">
      <c r="B229" s="98"/>
      <c r="C229" s="98"/>
      <c r="D229" s="98"/>
      <c r="E229" s="98"/>
      <c r="F229" s="98"/>
      <c r="G229" s="98"/>
      <c r="H229" s="197"/>
      <c r="I229" s="98"/>
      <c r="J229" s="197"/>
      <c r="K229" s="198"/>
    </row>
    <row r="230" spans="2:11">
      <c r="B230" s="98"/>
      <c r="C230" s="98"/>
      <c r="D230" s="98"/>
      <c r="E230" s="98"/>
      <c r="F230" s="98"/>
      <c r="G230" s="98"/>
      <c r="H230" s="197"/>
      <c r="I230" s="98"/>
      <c r="J230" s="197"/>
      <c r="K230" s="198"/>
    </row>
    <row r="231" spans="2:11">
      <c r="B231" s="98"/>
      <c r="C231" s="98"/>
      <c r="D231" s="98"/>
      <c r="E231" s="98"/>
      <c r="F231" s="98"/>
      <c r="G231" s="98"/>
      <c r="H231" s="197"/>
      <c r="I231" s="98"/>
      <c r="J231" s="197"/>
      <c r="K231" s="198"/>
    </row>
    <row r="232" spans="2:11">
      <c r="B232" s="98"/>
      <c r="C232" s="98"/>
      <c r="D232" s="98"/>
      <c r="E232" s="98"/>
      <c r="F232" s="98"/>
      <c r="G232" s="98"/>
      <c r="H232" s="197"/>
      <c r="I232" s="98"/>
      <c r="J232" s="197"/>
      <c r="K232" s="198"/>
    </row>
    <row r="233" spans="2:11">
      <c r="B233" s="98"/>
      <c r="C233" s="98"/>
      <c r="D233" s="98"/>
      <c r="E233" s="98"/>
      <c r="F233" s="98"/>
      <c r="G233" s="98"/>
      <c r="H233" s="197"/>
      <c r="I233" s="98"/>
      <c r="J233" s="197"/>
      <c r="K233" s="198"/>
    </row>
    <row r="234" spans="2:11">
      <c r="B234" s="98"/>
      <c r="C234" s="98"/>
      <c r="D234" s="98"/>
      <c r="E234" s="98"/>
      <c r="F234" s="98"/>
      <c r="G234" s="98"/>
      <c r="H234" s="197"/>
      <c r="I234" s="98"/>
      <c r="J234" s="197"/>
      <c r="K234" s="198"/>
    </row>
    <row r="235" spans="2:11">
      <c r="B235" s="98"/>
      <c r="C235" s="98"/>
      <c r="D235" s="98"/>
      <c r="E235" s="98"/>
      <c r="F235" s="98"/>
      <c r="G235" s="98"/>
      <c r="H235" s="197"/>
      <c r="I235" s="98"/>
      <c r="J235" s="197"/>
      <c r="K235" s="198"/>
    </row>
    <row r="236" spans="2:11">
      <c r="B236" s="98"/>
      <c r="C236" s="98"/>
      <c r="D236" s="98"/>
      <c r="E236" s="98"/>
      <c r="F236" s="98"/>
      <c r="G236" s="98"/>
      <c r="H236" s="197"/>
      <c r="I236" s="98"/>
      <c r="J236" s="197"/>
      <c r="K236" s="198"/>
    </row>
    <row r="237" spans="2:11">
      <c r="B237" s="98"/>
      <c r="C237" s="98"/>
      <c r="D237" s="98"/>
      <c r="E237" s="98"/>
      <c r="F237" s="98"/>
      <c r="G237" s="98"/>
      <c r="H237" s="197"/>
      <c r="I237" s="98"/>
      <c r="J237" s="197"/>
      <c r="K237" s="198"/>
    </row>
    <row r="238" spans="2:11">
      <c r="B238" s="98"/>
      <c r="C238" s="98"/>
      <c r="D238" s="98"/>
      <c r="E238" s="98"/>
      <c r="F238" s="98"/>
      <c r="G238" s="98"/>
      <c r="H238" s="197"/>
      <c r="I238" s="98"/>
      <c r="J238" s="197"/>
      <c r="K238" s="198"/>
    </row>
    <row r="239" spans="2:11">
      <c r="B239" s="98"/>
      <c r="C239" s="98"/>
      <c r="D239" s="98"/>
      <c r="E239" s="98"/>
      <c r="F239" s="98"/>
      <c r="G239" s="98"/>
      <c r="H239" s="197"/>
      <c r="I239" s="98"/>
      <c r="J239" s="197"/>
      <c r="K239" s="198"/>
    </row>
    <row r="240" spans="2:11">
      <c r="B240" s="98"/>
      <c r="C240" s="98"/>
      <c r="D240" s="98"/>
      <c r="E240" s="98"/>
      <c r="F240" s="98"/>
      <c r="G240" s="98"/>
      <c r="H240" s="197"/>
      <c r="I240" s="98"/>
      <c r="J240" s="197"/>
      <c r="K240" s="198"/>
    </row>
    <row r="241" spans="2:11">
      <c r="B241" s="98"/>
      <c r="C241" s="98"/>
      <c r="D241" s="98"/>
      <c r="E241" s="98"/>
      <c r="F241" s="98"/>
      <c r="G241" s="98"/>
      <c r="H241" s="197"/>
      <c r="I241" s="98"/>
      <c r="J241" s="197"/>
      <c r="K241" s="198"/>
    </row>
    <row r="242" spans="2:11">
      <c r="B242" s="98"/>
      <c r="C242" s="98"/>
      <c r="D242" s="98"/>
      <c r="E242" s="98"/>
      <c r="F242" s="98"/>
      <c r="G242" s="98"/>
      <c r="H242" s="197"/>
      <c r="I242" s="98"/>
      <c r="J242" s="197"/>
      <c r="K242" s="198"/>
    </row>
    <row r="243" spans="2:11">
      <c r="B243" s="98"/>
      <c r="C243" s="98"/>
      <c r="D243" s="98"/>
      <c r="E243" s="98"/>
      <c r="F243" s="98"/>
      <c r="G243" s="98"/>
      <c r="H243" s="197"/>
      <c r="I243" s="98"/>
      <c r="J243" s="197"/>
      <c r="K243" s="198"/>
    </row>
    <row r="244" spans="2:11">
      <c r="B244" s="98"/>
      <c r="C244" s="98"/>
      <c r="D244" s="98"/>
      <c r="E244" s="98"/>
      <c r="F244" s="98"/>
      <c r="G244" s="98"/>
      <c r="H244" s="197"/>
      <c r="I244" s="98"/>
      <c r="J244" s="197"/>
      <c r="K244" s="198"/>
    </row>
    <row r="245" spans="2:11">
      <c r="B245" s="98"/>
      <c r="C245" s="98"/>
      <c r="D245" s="98"/>
      <c r="E245" s="98"/>
      <c r="F245" s="98"/>
      <c r="G245" s="98"/>
      <c r="H245" s="197"/>
      <c r="I245" s="98"/>
      <c r="J245" s="197"/>
      <c r="K245" s="198"/>
    </row>
    <row r="246" spans="2:11">
      <c r="B246" s="98"/>
      <c r="C246" s="98"/>
      <c r="D246" s="98"/>
      <c r="E246" s="98"/>
      <c r="F246" s="98"/>
      <c r="G246" s="98"/>
      <c r="H246" s="197"/>
      <c r="I246" s="98"/>
      <c r="J246" s="197"/>
      <c r="K246" s="198"/>
    </row>
    <row r="247" spans="2:11">
      <c r="B247" s="98"/>
      <c r="C247" s="98"/>
      <c r="D247" s="98"/>
      <c r="E247" s="98"/>
      <c r="F247" s="98"/>
      <c r="G247" s="98"/>
      <c r="H247" s="197"/>
      <c r="I247" s="98"/>
      <c r="J247" s="197"/>
      <c r="K247" s="198"/>
    </row>
    <row r="248" spans="2:11">
      <c r="B248" s="98"/>
      <c r="C248" s="98"/>
      <c r="D248" s="98"/>
      <c r="E248" s="98"/>
      <c r="F248" s="98"/>
      <c r="G248" s="98"/>
      <c r="H248" s="197"/>
      <c r="I248" s="98"/>
      <c r="J248" s="197"/>
      <c r="K248" s="198"/>
    </row>
    <row r="249" spans="2:11">
      <c r="B249" s="98"/>
      <c r="C249" s="98"/>
      <c r="D249" s="98"/>
      <c r="E249" s="98"/>
      <c r="F249" s="98"/>
      <c r="G249" s="98"/>
      <c r="H249" s="197"/>
      <c r="I249" s="98"/>
      <c r="J249" s="197"/>
      <c r="K249" s="198"/>
    </row>
    <row r="250" spans="2:11">
      <c r="B250" s="98"/>
      <c r="C250" s="98"/>
      <c r="D250" s="98"/>
      <c r="E250" s="98"/>
      <c r="F250" s="98"/>
      <c r="G250" s="98"/>
      <c r="H250" s="197"/>
      <c r="I250" s="98"/>
      <c r="J250" s="197"/>
      <c r="K250" s="198"/>
    </row>
    <row r="251" spans="2:11">
      <c r="B251" s="98"/>
      <c r="C251" s="98"/>
      <c r="D251" s="98"/>
      <c r="E251" s="98"/>
      <c r="F251" s="98"/>
      <c r="G251" s="98"/>
      <c r="H251" s="197"/>
      <c r="I251" s="98"/>
      <c r="J251" s="197"/>
      <c r="K251" s="198"/>
    </row>
    <row r="252" spans="2:11">
      <c r="B252" s="98"/>
      <c r="C252" s="98"/>
      <c r="D252" s="98"/>
      <c r="E252" s="98"/>
      <c r="F252" s="98"/>
      <c r="G252" s="98"/>
      <c r="H252" s="197"/>
      <c r="I252" s="98"/>
      <c r="J252" s="197"/>
      <c r="K252" s="198"/>
    </row>
    <row r="253" spans="2:11">
      <c r="B253" s="98"/>
      <c r="C253" s="98"/>
      <c r="D253" s="98"/>
      <c r="E253" s="98"/>
      <c r="F253" s="98"/>
      <c r="G253" s="98"/>
      <c r="H253" s="197"/>
      <c r="I253" s="98"/>
      <c r="J253" s="197"/>
      <c r="K253" s="198"/>
    </row>
    <row r="254" spans="2:11">
      <c r="B254" s="98"/>
      <c r="C254" s="98"/>
      <c r="D254" s="98"/>
      <c r="E254" s="98"/>
      <c r="F254" s="98"/>
      <c r="G254" s="98"/>
      <c r="H254" s="197"/>
      <c r="I254" s="98"/>
      <c r="J254" s="197"/>
      <c r="K254" s="198"/>
    </row>
    <row r="255" spans="2:11">
      <c r="B255" s="98"/>
      <c r="C255" s="98"/>
      <c r="D255" s="98"/>
      <c r="E255" s="98"/>
      <c r="F255" s="98"/>
      <c r="G255" s="98"/>
      <c r="H255" s="197"/>
      <c r="I255" s="98"/>
      <c r="J255" s="197"/>
      <c r="K255" s="198"/>
    </row>
    <row r="256" spans="2:11">
      <c r="B256" s="98"/>
      <c r="C256" s="98"/>
      <c r="D256" s="98"/>
      <c r="E256" s="98"/>
      <c r="F256" s="98"/>
      <c r="G256" s="98"/>
      <c r="H256" s="197"/>
      <c r="I256" s="98"/>
      <c r="J256" s="197"/>
      <c r="K256" s="198"/>
    </row>
    <row r="257" spans="2:11">
      <c r="B257" s="98"/>
      <c r="C257" s="98"/>
      <c r="D257" s="98"/>
      <c r="E257" s="98"/>
      <c r="F257" s="98"/>
      <c r="G257" s="98"/>
      <c r="H257" s="197"/>
      <c r="I257" s="98"/>
      <c r="J257" s="197"/>
      <c r="K257" s="198"/>
    </row>
    <row r="258" spans="2:11">
      <c r="B258" s="98"/>
      <c r="C258" s="98"/>
      <c r="D258" s="98"/>
      <c r="E258" s="98"/>
      <c r="F258" s="98"/>
      <c r="G258" s="98"/>
      <c r="H258" s="197"/>
      <c r="I258" s="98"/>
      <c r="J258" s="197"/>
      <c r="K258" s="198"/>
    </row>
    <row r="259" spans="2:11">
      <c r="B259" s="98"/>
      <c r="C259" s="98"/>
      <c r="D259" s="98"/>
      <c r="E259" s="98"/>
      <c r="F259" s="98"/>
      <c r="G259" s="98"/>
      <c r="H259" s="197"/>
      <c r="I259" s="98"/>
      <c r="J259" s="197"/>
      <c r="K259" s="198"/>
    </row>
    <row r="260" spans="2:11">
      <c r="B260" s="98"/>
      <c r="C260" s="98"/>
      <c r="D260" s="98"/>
      <c r="E260" s="98"/>
      <c r="F260" s="98"/>
      <c r="G260" s="98"/>
      <c r="H260" s="197"/>
      <c r="I260" s="98"/>
      <c r="J260" s="197"/>
      <c r="K260" s="198"/>
    </row>
    <row r="261" spans="2:11">
      <c r="B261" s="98"/>
      <c r="C261" s="98"/>
      <c r="D261" s="98"/>
      <c r="E261" s="98"/>
      <c r="F261" s="98"/>
      <c r="G261" s="98"/>
      <c r="H261" s="197"/>
      <c r="I261" s="98"/>
      <c r="J261" s="197"/>
      <c r="K261" s="198"/>
    </row>
    <row r="262" spans="2:11">
      <c r="B262" s="98"/>
      <c r="C262" s="98"/>
      <c r="D262" s="98"/>
      <c r="E262" s="98"/>
      <c r="F262" s="98"/>
      <c r="G262" s="98"/>
      <c r="H262" s="197"/>
      <c r="I262" s="98"/>
      <c r="J262" s="197"/>
      <c r="K262" s="198"/>
    </row>
    <row r="263" spans="2:11">
      <c r="B263" s="98"/>
      <c r="C263" s="98"/>
      <c r="D263" s="98"/>
      <c r="E263" s="98"/>
      <c r="F263" s="98"/>
      <c r="G263" s="98"/>
      <c r="H263" s="197"/>
      <c r="I263" s="98"/>
      <c r="J263" s="197"/>
      <c r="K263" s="198"/>
    </row>
    <row r="264" spans="2:11">
      <c r="B264" s="98"/>
      <c r="C264" s="98"/>
      <c r="D264" s="98"/>
      <c r="E264" s="98"/>
      <c r="F264" s="98"/>
      <c r="G264" s="98"/>
      <c r="H264" s="197"/>
      <c r="I264" s="98"/>
      <c r="J264" s="197"/>
      <c r="K264" s="198"/>
    </row>
    <row r="265" spans="2:11">
      <c r="B265" s="98"/>
      <c r="C265" s="98"/>
      <c r="D265" s="98"/>
      <c r="E265" s="98"/>
      <c r="F265" s="98"/>
      <c r="G265" s="98"/>
      <c r="H265" s="197"/>
      <c r="I265" s="98"/>
      <c r="J265" s="197"/>
      <c r="K265" s="198"/>
    </row>
    <row r="266" spans="2:11">
      <c r="B266" s="98"/>
      <c r="C266" s="98"/>
      <c r="D266" s="98"/>
      <c r="E266" s="98"/>
      <c r="F266" s="98"/>
      <c r="G266" s="98"/>
      <c r="H266" s="197"/>
      <c r="I266" s="98"/>
      <c r="J266" s="197"/>
      <c r="K266" s="198"/>
    </row>
    <row r="267" spans="2:11">
      <c r="B267" s="98"/>
      <c r="C267" s="98"/>
      <c r="D267" s="98"/>
      <c r="E267" s="98"/>
      <c r="F267" s="98"/>
      <c r="G267" s="98"/>
      <c r="H267" s="197"/>
      <c r="I267" s="98"/>
      <c r="J267" s="197"/>
      <c r="K267" s="198"/>
    </row>
    <row r="268" spans="2:11">
      <c r="B268" s="98"/>
      <c r="C268" s="98"/>
      <c r="D268" s="98"/>
      <c r="E268" s="98"/>
      <c r="F268" s="98"/>
      <c r="G268" s="98"/>
      <c r="H268" s="197"/>
      <c r="I268" s="98"/>
      <c r="J268" s="197"/>
      <c r="K268" s="198"/>
    </row>
    <row r="269" spans="2:11">
      <c r="B269" s="98"/>
      <c r="C269" s="98"/>
      <c r="D269" s="98"/>
      <c r="E269" s="98"/>
      <c r="F269" s="98"/>
      <c r="G269" s="98"/>
      <c r="H269" s="197"/>
      <c r="I269" s="98"/>
      <c r="J269" s="197"/>
      <c r="K269" s="198"/>
    </row>
    <row r="270" spans="2:11">
      <c r="B270" s="98"/>
      <c r="C270" s="98"/>
      <c r="D270" s="98"/>
      <c r="E270" s="98"/>
      <c r="F270" s="98"/>
      <c r="G270" s="98"/>
      <c r="H270" s="197"/>
      <c r="I270" s="98"/>
      <c r="J270" s="197"/>
      <c r="K270" s="198"/>
    </row>
    <row r="271" spans="2:11">
      <c r="B271" s="98"/>
      <c r="C271" s="98"/>
      <c r="D271" s="98"/>
      <c r="E271" s="98"/>
      <c r="F271" s="98"/>
      <c r="G271" s="98"/>
      <c r="H271" s="197"/>
      <c r="I271" s="98"/>
      <c r="J271" s="197"/>
      <c r="K271" s="198"/>
    </row>
    <row r="272" spans="2:11">
      <c r="B272" s="98"/>
      <c r="C272" s="98"/>
      <c r="D272" s="98"/>
      <c r="E272" s="98"/>
      <c r="F272" s="98"/>
      <c r="G272" s="98"/>
      <c r="H272" s="197"/>
      <c r="I272" s="98"/>
      <c r="J272" s="197"/>
      <c r="K272" s="198"/>
    </row>
    <row r="273" spans="2:11">
      <c r="B273" s="98"/>
      <c r="C273" s="98"/>
      <c r="D273" s="98"/>
      <c r="E273" s="98"/>
      <c r="F273" s="98"/>
      <c r="G273" s="98"/>
      <c r="H273" s="197"/>
      <c r="I273" s="98"/>
      <c r="J273" s="197"/>
      <c r="K273" s="198"/>
    </row>
    <row r="274" spans="2:11">
      <c r="B274" s="98"/>
      <c r="C274" s="98"/>
      <c r="D274" s="98"/>
      <c r="E274" s="98"/>
      <c r="F274" s="98"/>
      <c r="G274" s="98"/>
      <c r="H274" s="197"/>
      <c r="I274" s="98"/>
      <c r="J274" s="197"/>
      <c r="K274" s="198"/>
    </row>
    <row r="275" spans="2:11">
      <c r="B275" s="98"/>
      <c r="C275" s="98"/>
      <c r="D275" s="98"/>
      <c r="E275" s="98"/>
      <c r="F275" s="98"/>
      <c r="G275" s="98"/>
      <c r="H275" s="197"/>
      <c r="I275" s="98"/>
      <c r="J275" s="197"/>
      <c r="K275" s="198"/>
    </row>
    <row r="276" spans="2:11">
      <c r="B276" s="98"/>
      <c r="C276" s="98"/>
      <c r="D276" s="98"/>
      <c r="E276" s="98"/>
      <c r="F276" s="98"/>
      <c r="G276" s="98"/>
      <c r="H276" s="197"/>
      <c r="I276" s="98"/>
      <c r="J276" s="197"/>
      <c r="K276" s="198"/>
    </row>
    <row r="277" spans="2:11">
      <c r="B277" s="98"/>
      <c r="C277" s="98"/>
      <c r="D277" s="98"/>
      <c r="E277" s="98"/>
      <c r="F277" s="98"/>
      <c r="G277" s="98"/>
      <c r="H277" s="197"/>
      <c r="I277" s="98"/>
      <c r="J277" s="197"/>
      <c r="K277" s="198"/>
    </row>
    <row r="278" spans="2:11">
      <c r="B278" s="98"/>
      <c r="C278" s="98"/>
      <c r="D278" s="98"/>
      <c r="E278" s="98"/>
      <c r="F278" s="98"/>
      <c r="G278" s="98"/>
      <c r="H278" s="197"/>
      <c r="I278" s="98"/>
      <c r="J278" s="197"/>
      <c r="K278" s="198"/>
    </row>
    <row r="279" spans="2:11">
      <c r="B279" s="98"/>
      <c r="C279" s="98"/>
      <c r="D279" s="98"/>
      <c r="E279" s="98"/>
      <c r="F279" s="98"/>
      <c r="G279" s="98"/>
      <c r="H279" s="197"/>
      <c r="I279" s="98"/>
      <c r="J279" s="197"/>
      <c r="K279" s="198"/>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280"/>
  <sheetViews>
    <sheetView showGridLines="0" zoomScale="80" zoomScaleNormal="80" workbookViewId="0"/>
  </sheetViews>
  <sheetFormatPr defaultColWidth="9.140625" defaultRowHeight="12.75"/>
  <cols>
    <col min="1" max="1" width="2.5703125" style="3" customWidth="1"/>
    <col min="2" max="2" width="62.5703125" style="3" customWidth="1"/>
    <col min="3" max="3" width="2.5703125" style="3" customWidth="1"/>
    <col min="4" max="4" width="9.85546875" style="3" customWidth="1"/>
    <col min="5" max="5" width="2.5703125" style="3" customWidth="1"/>
    <col min="6" max="6" width="34.7109375" style="3" customWidth="1"/>
    <col min="7" max="7" width="20.7109375" style="3" customWidth="1"/>
    <col min="8" max="8" width="24.42578125" style="3" customWidth="1"/>
    <col min="9" max="9" width="21.7109375" style="3" bestFit="1" customWidth="1"/>
    <col min="10" max="10" width="26" style="3" bestFit="1" customWidth="1"/>
    <col min="11" max="11" width="44.5703125" style="3" bestFit="1" customWidth="1"/>
    <col min="12" max="12" width="10.42578125" style="3" customWidth="1"/>
    <col min="13" max="13" width="7.42578125" style="3" customWidth="1"/>
    <col min="14" max="14" width="14.5703125" style="3" customWidth="1"/>
    <col min="15" max="15" width="2.5703125" style="3" customWidth="1"/>
    <col min="16" max="16" width="20.5703125" style="3" customWidth="1"/>
    <col min="17" max="17" width="2.5703125" style="3" customWidth="1"/>
    <col min="18" max="31" width="13.5703125" style="3" customWidth="1"/>
    <col min="32" max="16384" width="9.140625" style="3"/>
  </cols>
  <sheetData>
    <row r="2" spans="1:20" s="12" customFormat="1" ht="18">
      <c r="B2" s="12" t="s">
        <v>1135</v>
      </c>
    </row>
    <row r="4" spans="1:20">
      <c r="B4" s="16" t="s">
        <v>192</v>
      </c>
      <c r="C4" s="2"/>
    </row>
    <row r="5" spans="1:20" ht="15.75" customHeight="1">
      <c r="B5" s="382" t="s">
        <v>519</v>
      </c>
      <c r="C5" s="382"/>
      <c r="D5" s="382"/>
      <c r="F5" s="13"/>
    </row>
    <row r="7" spans="1:20">
      <c r="B7" s="17" t="s">
        <v>150</v>
      </c>
    </row>
    <row r="8" spans="1:20" ht="33" customHeight="1">
      <c r="B8" s="387" t="s">
        <v>781</v>
      </c>
      <c r="C8" s="387"/>
      <c r="D8" s="387"/>
    </row>
    <row r="9" spans="1:20" s="39" customFormat="1" ht="12.75" customHeight="1">
      <c r="A9" s="106"/>
      <c r="B9" s="39" t="s">
        <v>532</v>
      </c>
      <c r="H9" s="196"/>
      <c r="I9" s="196"/>
      <c r="J9" s="196"/>
      <c r="K9" s="196"/>
      <c r="L9" s="196"/>
      <c r="M9" s="196"/>
      <c r="N9" s="196"/>
      <c r="O9" s="196"/>
      <c r="P9" s="196"/>
      <c r="R9" s="39" t="s">
        <v>196</v>
      </c>
      <c r="T9" s="39" t="s">
        <v>197</v>
      </c>
    </row>
    <row r="10" spans="1:20" s="40" customFormat="1" ht="12.75" customHeight="1">
      <c r="A10" s="107"/>
      <c r="B10" s="40" t="s">
        <v>152</v>
      </c>
      <c r="D10" s="40" t="s">
        <v>194</v>
      </c>
      <c r="F10" s="40" t="s">
        <v>281</v>
      </c>
      <c r="G10" s="40" t="s">
        <v>533</v>
      </c>
      <c r="H10" s="109" t="s">
        <v>534</v>
      </c>
      <c r="I10" s="109" t="s">
        <v>535</v>
      </c>
      <c r="J10" s="109" t="s">
        <v>536</v>
      </c>
      <c r="K10" s="109" t="s">
        <v>537</v>
      </c>
      <c r="L10" s="109"/>
      <c r="M10" s="109"/>
      <c r="N10" s="109"/>
      <c r="O10" s="109"/>
      <c r="P10" s="109"/>
    </row>
    <row r="12" spans="1:20">
      <c r="B12" s="101" t="s">
        <v>538</v>
      </c>
      <c r="C12" s="98"/>
      <c r="D12" s="98"/>
      <c r="E12" s="98"/>
      <c r="F12" s="101" t="s">
        <v>293</v>
      </c>
      <c r="G12" s="101">
        <v>1971</v>
      </c>
      <c r="H12" s="352">
        <v>47083.78</v>
      </c>
      <c r="I12" s="101">
        <v>2021</v>
      </c>
      <c r="J12" s="352">
        <v>0</v>
      </c>
      <c r="K12" s="157">
        <v>38383584.379999995</v>
      </c>
      <c r="O12" s="97"/>
      <c r="P12" s="97"/>
      <c r="R12" s="3" t="s">
        <v>464</v>
      </c>
    </row>
    <row r="13" spans="1:20">
      <c r="B13" s="101" t="s">
        <v>539</v>
      </c>
      <c r="C13" s="98"/>
      <c r="D13" s="98"/>
      <c r="E13" s="98"/>
      <c r="F13" s="101" t="s">
        <v>297</v>
      </c>
      <c r="G13" s="101">
        <v>1961</v>
      </c>
      <c r="H13" s="352">
        <v>50334.43</v>
      </c>
      <c r="I13" s="101">
        <v>2021</v>
      </c>
      <c r="J13" s="352">
        <v>0</v>
      </c>
      <c r="K13" s="352"/>
      <c r="O13" s="97"/>
      <c r="P13" s="97"/>
      <c r="R13" s="3" t="s">
        <v>464</v>
      </c>
    </row>
    <row r="14" spans="1:20">
      <c r="B14" s="101" t="s">
        <v>540</v>
      </c>
      <c r="C14" s="98"/>
      <c r="D14" s="98"/>
      <c r="E14" s="98"/>
      <c r="F14" s="101" t="s">
        <v>297</v>
      </c>
      <c r="G14" s="101">
        <v>1972</v>
      </c>
      <c r="H14" s="352">
        <v>2621.49</v>
      </c>
      <c r="I14" s="101">
        <v>2021</v>
      </c>
      <c r="J14" s="352">
        <v>0</v>
      </c>
      <c r="K14" s="157"/>
      <c r="O14" s="97"/>
      <c r="P14" s="97"/>
      <c r="R14" s="3" t="s">
        <v>464</v>
      </c>
    </row>
    <row r="15" spans="1:20">
      <c r="B15" s="101" t="s">
        <v>541</v>
      </c>
      <c r="C15" s="98"/>
      <c r="D15" s="98"/>
      <c r="E15" s="98"/>
      <c r="F15" s="101" t="s">
        <v>301</v>
      </c>
      <c r="G15" s="101">
        <v>1997</v>
      </c>
      <c r="H15" s="352">
        <v>151227.48000000004</v>
      </c>
      <c r="I15" s="101">
        <v>2021</v>
      </c>
      <c r="J15" s="352">
        <v>0</v>
      </c>
      <c r="K15" s="157"/>
      <c r="R15" s="3" t="s">
        <v>464</v>
      </c>
    </row>
    <row r="16" spans="1:20">
      <c r="B16" s="101" t="s">
        <v>542</v>
      </c>
      <c r="C16" s="98"/>
      <c r="D16" s="98"/>
      <c r="E16" s="98"/>
      <c r="F16" s="101" t="s">
        <v>307</v>
      </c>
      <c r="G16" s="101">
        <v>2009</v>
      </c>
      <c r="H16" s="352">
        <v>1313895.18</v>
      </c>
      <c r="I16" s="101">
        <v>2021</v>
      </c>
      <c r="J16" s="352">
        <v>0</v>
      </c>
      <c r="K16" s="157"/>
      <c r="R16" s="3" t="s">
        <v>464</v>
      </c>
    </row>
    <row r="17" spans="2:18">
      <c r="B17" s="101" t="s">
        <v>543</v>
      </c>
      <c r="C17" s="98"/>
      <c r="D17" s="98"/>
      <c r="E17" s="98"/>
      <c r="F17" s="101" t="s">
        <v>341</v>
      </c>
      <c r="G17" s="101">
        <v>2009</v>
      </c>
      <c r="H17" s="352">
        <v>3658553.4539964925</v>
      </c>
      <c r="I17" s="101">
        <v>2021</v>
      </c>
      <c r="J17" s="352">
        <v>0</v>
      </c>
      <c r="K17" s="157">
        <v>114985168</v>
      </c>
      <c r="R17" s="3" t="s">
        <v>464</v>
      </c>
    </row>
    <row r="18" spans="2:18">
      <c r="B18" s="101" t="s">
        <v>544</v>
      </c>
      <c r="C18" s="98"/>
      <c r="D18" s="98"/>
      <c r="E18" s="98"/>
      <c r="F18" s="101" t="s">
        <v>341</v>
      </c>
      <c r="G18" s="101">
        <v>2010</v>
      </c>
      <c r="H18" s="352">
        <v>17379179.522018339</v>
      </c>
      <c r="I18" s="101">
        <v>2021</v>
      </c>
      <c r="J18" s="352">
        <v>0</v>
      </c>
      <c r="K18" s="157"/>
      <c r="R18" s="3" t="s">
        <v>464</v>
      </c>
    </row>
    <row r="19" spans="2:18">
      <c r="B19" s="101" t="s">
        <v>545</v>
      </c>
      <c r="C19" s="98"/>
      <c r="D19" s="98"/>
      <c r="E19" s="98"/>
      <c r="F19" s="101" t="s">
        <v>303</v>
      </c>
      <c r="G19" s="101">
        <v>2010</v>
      </c>
      <c r="H19" s="352">
        <v>2369604.1752097155</v>
      </c>
      <c r="I19" s="101">
        <v>2021</v>
      </c>
      <c r="J19" s="352">
        <v>0</v>
      </c>
      <c r="K19" s="157"/>
      <c r="R19" s="3" t="s">
        <v>464</v>
      </c>
    </row>
    <row r="20" spans="2:18">
      <c r="B20" s="101" t="s">
        <v>546</v>
      </c>
      <c r="C20" s="98"/>
      <c r="D20" s="98"/>
      <c r="E20" s="98"/>
      <c r="F20" s="101" t="s">
        <v>342</v>
      </c>
      <c r="G20" s="101">
        <v>2010</v>
      </c>
      <c r="H20" s="352">
        <v>137063.35897796138</v>
      </c>
      <c r="I20" s="101">
        <v>2021</v>
      </c>
      <c r="J20" s="352">
        <v>0</v>
      </c>
      <c r="K20" s="157"/>
      <c r="R20" s="3" t="s">
        <v>464</v>
      </c>
    </row>
    <row r="21" spans="2:18">
      <c r="B21" s="101" t="s">
        <v>547</v>
      </c>
      <c r="C21" s="98"/>
      <c r="D21" s="98"/>
      <c r="E21" s="98"/>
      <c r="F21" s="101" t="s">
        <v>308</v>
      </c>
      <c r="G21" s="101">
        <v>2011</v>
      </c>
      <c r="H21" s="352">
        <v>852201.48356837523</v>
      </c>
      <c r="I21" s="101">
        <v>2021</v>
      </c>
      <c r="J21" s="352">
        <v>0</v>
      </c>
      <c r="K21" s="157"/>
      <c r="R21" s="3" t="s">
        <v>464</v>
      </c>
    </row>
    <row r="22" spans="2:18">
      <c r="B22" s="101" t="s">
        <v>548</v>
      </c>
      <c r="C22" s="98"/>
      <c r="D22" s="98"/>
      <c r="E22" s="98"/>
      <c r="F22" s="101" t="s">
        <v>324</v>
      </c>
      <c r="G22" s="101">
        <v>2011</v>
      </c>
      <c r="H22" s="352">
        <v>3100554.2541983742</v>
      </c>
      <c r="I22" s="101">
        <v>2021</v>
      </c>
      <c r="J22" s="352">
        <v>2372891.9585730941</v>
      </c>
      <c r="K22" s="157">
        <v>56326732</v>
      </c>
      <c r="R22" s="3" t="s">
        <v>464</v>
      </c>
    </row>
    <row r="23" spans="2:18">
      <c r="B23" s="101" t="s">
        <v>549</v>
      </c>
      <c r="C23" s="98"/>
      <c r="D23" s="98"/>
      <c r="E23" s="98"/>
      <c r="F23" s="101" t="s">
        <v>341</v>
      </c>
      <c r="G23" s="101">
        <v>2011</v>
      </c>
      <c r="H23" s="352">
        <v>30115806.268534236</v>
      </c>
      <c r="I23" s="101">
        <v>2021</v>
      </c>
      <c r="J23" s="352">
        <v>0</v>
      </c>
      <c r="K23" s="157"/>
      <c r="R23" s="3" t="s">
        <v>464</v>
      </c>
    </row>
    <row r="24" spans="2:18">
      <c r="B24" s="101" t="s">
        <v>550</v>
      </c>
      <c r="C24" s="98"/>
      <c r="D24" s="98"/>
      <c r="E24" s="98"/>
      <c r="F24" s="101" t="s">
        <v>297</v>
      </c>
      <c r="G24" s="101">
        <v>2011</v>
      </c>
      <c r="H24" s="352">
        <v>2437521.6070272112</v>
      </c>
      <c r="I24" s="101">
        <v>2021</v>
      </c>
      <c r="J24" s="352">
        <v>1865464.9930189459</v>
      </c>
      <c r="K24" s="157"/>
      <c r="R24" s="3" t="s">
        <v>464</v>
      </c>
    </row>
    <row r="25" spans="2:18">
      <c r="B25" s="101" t="s">
        <v>551</v>
      </c>
      <c r="C25" s="98"/>
      <c r="D25" s="98"/>
      <c r="E25" s="98"/>
      <c r="F25" s="101" t="s">
        <v>303</v>
      </c>
      <c r="G25" s="101">
        <v>2011</v>
      </c>
      <c r="H25" s="352">
        <v>322323.48030063207</v>
      </c>
      <c r="I25" s="101">
        <v>2021</v>
      </c>
      <c r="J25" s="352">
        <v>0</v>
      </c>
      <c r="K25" s="157"/>
      <c r="R25" s="3" t="s">
        <v>464</v>
      </c>
    </row>
    <row r="26" spans="2:18">
      <c r="B26" s="101" t="s">
        <v>552</v>
      </c>
      <c r="C26" s="98"/>
      <c r="D26" s="98"/>
      <c r="E26" s="98"/>
      <c r="F26" s="101" t="s">
        <v>314</v>
      </c>
      <c r="G26" s="101">
        <v>2011</v>
      </c>
      <c r="H26" s="352">
        <v>4126005.7948834877</v>
      </c>
      <c r="I26" s="101">
        <v>2021</v>
      </c>
      <c r="J26" s="352">
        <v>0</v>
      </c>
      <c r="K26" s="157"/>
      <c r="R26" s="3" t="s">
        <v>464</v>
      </c>
    </row>
    <row r="27" spans="2:18">
      <c r="B27" s="101" t="s">
        <v>553</v>
      </c>
      <c r="C27" s="98"/>
      <c r="D27" s="98"/>
      <c r="E27" s="98"/>
      <c r="F27" s="101" t="s">
        <v>341</v>
      </c>
      <c r="G27" s="101">
        <v>2012</v>
      </c>
      <c r="H27" s="352">
        <v>22695798.709637098</v>
      </c>
      <c r="I27" s="101">
        <v>2021</v>
      </c>
      <c r="J27" s="352">
        <v>0</v>
      </c>
      <c r="K27" s="157"/>
      <c r="R27" s="3" t="s">
        <v>464</v>
      </c>
    </row>
    <row r="28" spans="2:18">
      <c r="B28" s="101" t="s">
        <v>554</v>
      </c>
      <c r="C28" s="98"/>
      <c r="D28" s="98"/>
      <c r="E28" s="98"/>
      <c r="F28" s="101" t="s">
        <v>341</v>
      </c>
      <c r="G28" s="101">
        <v>2013</v>
      </c>
      <c r="H28" s="352">
        <v>18719949.80436749</v>
      </c>
      <c r="I28" s="101">
        <v>2021</v>
      </c>
      <c r="J28" s="352">
        <v>0</v>
      </c>
      <c r="K28" s="157"/>
      <c r="R28" s="3" t="s">
        <v>464</v>
      </c>
    </row>
    <row r="29" spans="2:18">
      <c r="B29" s="101" t="s">
        <v>555</v>
      </c>
      <c r="C29" s="98"/>
      <c r="D29" s="98"/>
      <c r="E29" s="98"/>
      <c r="F29" s="101" t="s">
        <v>314</v>
      </c>
      <c r="G29" s="101">
        <v>2013</v>
      </c>
      <c r="H29" s="352">
        <v>14233.766853302437</v>
      </c>
      <c r="I29" s="101">
        <v>2021</v>
      </c>
      <c r="J29" s="352">
        <v>2395.0433871794298</v>
      </c>
      <c r="K29" s="157"/>
      <c r="R29" s="3" t="s">
        <v>464</v>
      </c>
    </row>
    <row r="30" spans="2:18">
      <c r="B30" s="101" t="s">
        <v>556</v>
      </c>
      <c r="C30" s="98"/>
      <c r="D30" s="98"/>
      <c r="E30" s="98"/>
      <c r="F30" s="101" t="s">
        <v>303</v>
      </c>
      <c r="G30" s="101">
        <v>2013</v>
      </c>
      <c r="H30" s="352">
        <v>717715.3058753697</v>
      </c>
      <c r="I30" s="101">
        <v>2021</v>
      </c>
      <c r="J30" s="352">
        <v>120766.29573396736</v>
      </c>
      <c r="K30" s="157"/>
      <c r="R30" s="3" t="s">
        <v>464</v>
      </c>
    </row>
    <row r="31" spans="2:18">
      <c r="B31" s="101" t="s">
        <v>557</v>
      </c>
      <c r="C31" s="98"/>
      <c r="D31" s="98"/>
      <c r="E31" s="98"/>
      <c r="F31" s="101" t="s">
        <v>341</v>
      </c>
      <c r="G31" s="101">
        <v>2014</v>
      </c>
      <c r="H31" s="352">
        <v>29278944.009914741</v>
      </c>
      <c r="I31" s="101">
        <v>2021</v>
      </c>
      <c r="J31" s="352">
        <v>0</v>
      </c>
      <c r="K31" s="157"/>
      <c r="R31" s="3" t="s">
        <v>464</v>
      </c>
    </row>
    <row r="32" spans="2:18">
      <c r="B32" s="101" t="s">
        <v>558</v>
      </c>
      <c r="C32" s="98"/>
      <c r="D32" s="98"/>
      <c r="E32" s="98"/>
      <c r="F32" s="101" t="s">
        <v>346</v>
      </c>
      <c r="G32" s="101">
        <v>2014</v>
      </c>
      <c r="H32" s="352">
        <v>149619.99545874962</v>
      </c>
      <c r="I32" s="101">
        <v>2021</v>
      </c>
      <c r="J32" s="352">
        <v>40816.786477904512</v>
      </c>
      <c r="K32" s="157"/>
      <c r="R32" s="3" t="s">
        <v>464</v>
      </c>
    </row>
    <row r="33" spans="2:18">
      <c r="B33" s="101" t="s">
        <v>559</v>
      </c>
      <c r="C33" s="98"/>
      <c r="D33" s="98"/>
      <c r="E33" s="98"/>
      <c r="F33" s="101" t="s">
        <v>342</v>
      </c>
      <c r="G33" s="101">
        <v>2014</v>
      </c>
      <c r="H33" s="352">
        <v>180341</v>
      </c>
      <c r="I33" s="101">
        <v>2021</v>
      </c>
      <c r="J33" s="352">
        <v>0</v>
      </c>
      <c r="K33" s="157"/>
      <c r="R33" s="3" t="s">
        <v>464</v>
      </c>
    </row>
    <row r="34" spans="2:18">
      <c r="B34" s="101" t="s">
        <v>560</v>
      </c>
      <c r="C34" s="98"/>
      <c r="D34" s="98"/>
      <c r="E34" s="98"/>
      <c r="F34" s="101" t="s">
        <v>341</v>
      </c>
      <c r="G34" s="101">
        <v>2015</v>
      </c>
      <c r="H34" s="352">
        <v>16219637.049707994</v>
      </c>
      <c r="I34" s="101">
        <v>2021</v>
      </c>
      <c r="J34" s="352">
        <v>0</v>
      </c>
      <c r="K34" s="157"/>
      <c r="R34" s="3" t="s">
        <v>464</v>
      </c>
    </row>
    <row r="35" spans="2:18">
      <c r="B35" s="101" t="s">
        <v>561</v>
      </c>
      <c r="C35" s="98"/>
      <c r="D35" s="98"/>
      <c r="E35" s="98"/>
      <c r="F35" s="101" t="s">
        <v>314</v>
      </c>
      <c r="G35" s="101">
        <v>2015</v>
      </c>
      <c r="H35" s="352">
        <v>9111235.8707030155</v>
      </c>
      <c r="I35" s="101">
        <v>2021</v>
      </c>
      <c r="J35" s="352">
        <v>3445348.23215965</v>
      </c>
      <c r="K35" s="157"/>
      <c r="R35" s="3" t="s">
        <v>464</v>
      </c>
    </row>
    <row r="36" spans="2:18">
      <c r="B36" s="101" t="s">
        <v>562</v>
      </c>
      <c r="C36" s="98"/>
      <c r="D36" s="98"/>
      <c r="E36" s="98"/>
      <c r="F36" s="101" t="s">
        <v>303</v>
      </c>
      <c r="G36" s="101">
        <v>2015</v>
      </c>
      <c r="H36" s="352">
        <v>1215996.3265953835</v>
      </c>
      <c r="I36" s="101">
        <v>2021</v>
      </c>
      <c r="J36" s="352">
        <v>459820.25420057232</v>
      </c>
      <c r="K36" s="157"/>
      <c r="R36" s="3" t="s">
        <v>464</v>
      </c>
    </row>
    <row r="37" spans="2:18">
      <c r="B37" s="101" t="s">
        <v>563</v>
      </c>
      <c r="C37" s="98"/>
      <c r="D37" s="98"/>
      <c r="E37" s="98"/>
      <c r="F37" s="101" t="s">
        <v>313</v>
      </c>
      <c r="G37" s="101">
        <v>2015</v>
      </c>
      <c r="H37" s="352">
        <v>7968.6502792695001</v>
      </c>
      <c r="I37" s="101">
        <v>2021</v>
      </c>
      <c r="J37" s="352">
        <v>3013.2877188110033</v>
      </c>
      <c r="K37" s="157"/>
      <c r="R37" s="3" t="s">
        <v>464</v>
      </c>
    </row>
    <row r="38" spans="2:18">
      <c r="B38" s="101" t="s">
        <v>564</v>
      </c>
      <c r="C38" s="98"/>
      <c r="D38" s="98"/>
      <c r="E38" s="98"/>
      <c r="F38" s="101" t="s">
        <v>341</v>
      </c>
      <c r="G38" s="101">
        <v>2016</v>
      </c>
      <c r="H38" s="352">
        <v>15289349.60564645</v>
      </c>
      <c r="I38" s="101">
        <v>2021</v>
      </c>
      <c r="J38" s="352">
        <v>0</v>
      </c>
      <c r="K38" s="157"/>
      <c r="R38" s="3" t="s">
        <v>464</v>
      </c>
    </row>
    <row r="39" spans="2:18">
      <c r="B39" s="101" t="s">
        <v>565</v>
      </c>
      <c r="C39" s="98"/>
      <c r="D39" s="98"/>
      <c r="E39" s="98"/>
      <c r="F39" s="101" t="s">
        <v>307</v>
      </c>
      <c r="G39" s="101">
        <v>2016</v>
      </c>
      <c r="H39" s="352">
        <v>1481397.6896878041</v>
      </c>
      <c r="I39" s="101">
        <v>2021</v>
      </c>
      <c r="J39" s="352">
        <v>714515.13830443297</v>
      </c>
      <c r="K39" s="157"/>
      <c r="R39" s="3" t="s">
        <v>464</v>
      </c>
    </row>
    <row r="40" spans="2:18">
      <c r="B40" s="101" t="s">
        <v>566</v>
      </c>
      <c r="C40" s="98"/>
      <c r="D40" s="98"/>
      <c r="E40" s="98"/>
      <c r="F40" s="101" t="s">
        <v>314</v>
      </c>
      <c r="G40" s="101">
        <v>2016</v>
      </c>
      <c r="H40" s="352">
        <v>5338260.5379699524</v>
      </c>
      <c r="I40" s="101">
        <v>2021</v>
      </c>
      <c r="J40" s="352">
        <v>2574776.5054207225</v>
      </c>
      <c r="K40" s="157"/>
      <c r="R40" s="3" t="s">
        <v>464</v>
      </c>
    </row>
    <row r="41" spans="2:18">
      <c r="B41" s="101" t="s">
        <v>567</v>
      </c>
      <c r="C41" s="98"/>
      <c r="D41" s="98"/>
      <c r="E41" s="98"/>
      <c r="F41" s="101" t="s">
        <v>341</v>
      </c>
      <c r="G41" s="101">
        <v>2017</v>
      </c>
      <c r="H41" s="352">
        <v>17348227.126304951</v>
      </c>
      <c r="I41" s="101">
        <v>2021</v>
      </c>
      <c r="J41" s="352">
        <v>1855729.3459505453</v>
      </c>
      <c r="K41" s="157"/>
      <c r="R41" s="3" t="s">
        <v>464</v>
      </c>
    </row>
    <row r="42" spans="2:18">
      <c r="B42" s="101" t="s">
        <v>568</v>
      </c>
      <c r="C42" s="98"/>
      <c r="D42" s="98"/>
      <c r="E42" s="98"/>
      <c r="F42" s="101" t="s">
        <v>293</v>
      </c>
      <c r="G42" s="101">
        <v>2012</v>
      </c>
      <c r="H42" s="352">
        <v>56189.23</v>
      </c>
      <c r="I42" s="101">
        <v>2021</v>
      </c>
      <c r="J42" s="352">
        <v>3224.0442736663617</v>
      </c>
      <c r="K42" s="157"/>
      <c r="R42" s="3" t="s">
        <v>464</v>
      </c>
    </row>
    <row r="43" spans="2:18">
      <c r="B43" s="101" t="s">
        <v>569</v>
      </c>
      <c r="C43" s="98"/>
      <c r="D43" s="98"/>
      <c r="E43" s="98"/>
      <c r="F43" s="101" t="s">
        <v>341</v>
      </c>
      <c r="G43" s="101">
        <v>2018</v>
      </c>
      <c r="H43" s="352">
        <v>20811887.293785572</v>
      </c>
      <c r="I43" s="101">
        <v>2021</v>
      </c>
      <c r="J43" s="352">
        <v>6586494.0110704908</v>
      </c>
      <c r="K43" s="157"/>
      <c r="R43" s="3" t="s">
        <v>464</v>
      </c>
    </row>
    <row r="44" spans="2:18">
      <c r="B44" s="101" t="s">
        <v>570</v>
      </c>
      <c r="C44" s="98"/>
      <c r="D44" s="98"/>
      <c r="E44" s="98"/>
      <c r="F44" s="101" t="s">
        <v>341</v>
      </c>
      <c r="G44" s="101">
        <v>2005</v>
      </c>
      <c r="H44" s="352">
        <v>3284081.86</v>
      </c>
      <c r="I44" s="101">
        <v>2021</v>
      </c>
      <c r="J44" s="352">
        <v>0</v>
      </c>
      <c r="K44" s="157"/>
      <c r="R44" s="3" t="s">
        <v>464</v>
      </c>
    </row>
    <row r="45" spans="2:18">
      <c r="B45" s="101" t="s">
        <v>571</v>
      </c>
      <c r="C45" s="98"/>
      <c r="D45" s="98"/>
      <c r="E45" s="98"/>
      <c r="F45" s="101" t="s">
        <v>314</v>
      </c>
      <c r="G45" s="101">
        <v>2005</v>
      </c>
      <c r="H45" s="352">
        <v>1438517.3199999998</v>
      </c>
      <c r="I45" s="101">
        <v>2021</v>
      </c>
      <c r="J45" s="352">
        <v>0</v>
      </c>
      <c r="K45" s="157"/>
      <c r="R45" s="3" t="s">
        <v>464</v>
      </c>
    </row>
    <row r="46" spans="2:18">
      <c r="B46" s="101" t="s">
        <v>572</v>
      </c>
      <c r="C46" s="98"/>
      <c r="D46" s="98"/>
      <c r="E46" s="98"/>
      <c r="F46" s="101" t="s">
        <v>307</v>
      </c>
      <c r="G46" s="101">
        <v>2005</v>
      </c>
      <c r="H46" s="352">
        <v>499809.02999999997</v>
      </c>
      <c r="I46" s="101">
        <v>2021</v>
      </c>
      <c r="J46" s="352">
        <v>0</v>
      </c>
      <c r="K46" s="157"/>
      <c r="R46" s="3" t="s">
        <v>464</v>
      </c>
    </row>
    <row r="47" spans="2:18">
      <c r="B47" s="101" t="s">
        <v>573</v>
      </c>
      <c r="C47" s="98"/>
      <c r="D47" s="98"/>
      <c r="E47" s="98"/>
      <c r="F47" s="101" t="s">
        <v>315</v>
      </c>
      <c r="G47" s="101">
        <v>2005</v>
      </c>
      <c r="H47" s="352">
        <v>245809.3</v>
      </c>
      <c r="I47" s="101">
        <v>2021</v>
      </c>
      <c r="J47" s="352">
        <v>0</v>
      </c>
      <c r="K47" s="157"/>
      <c r="R47" s="3" t="s">
        <v>464</v>
      </c>
    </row>
    <row r="48" spans="2:18">
      <c r="B48" s="101" t="s">
        <v>574</v>
      </c>
      <c r="C48" s="98"/>
      <c r="D48" s="98"/>
      <c r="E48" s="98"/>
      <c r="F48" s="101" t="s">
        <v>303</v>
      </c>
      <c r="G48" s="101">
        <v>2005</v>
      </c>
      <c r="H48" s="352">
        <v>58217.59</v>
      </c>
      <c r="I48" s="101">
        <v>2021</v>
      </c>
      <c r="J48" s="352">
        <v>0</v>
      </c>
      <c r="K48" s="157"/>
      <c r="R48" s="3" t="s">
        <v>464</v>
      </c>
    </row>
    <row r="49" spans="2:18">
      <c r="B49" s="101" t="s">
        <v>575</v>
      </c>
      <c r="C49" s="98"/>
      <c r="D49" s="98"/>
      <c r="E49" s="98"/>
      <c r="F49" s="101" t="s">
        <v>341</v>
      </c>
      <c r="G49" s="101">
        <v>2006</v>
      </c>
      <c r="H49" s="352">
        <v>4639319.7116944697</v>
      </c>
      <c r="I49" s="101">
        <v>2021</v>
      </c>
      <c r="J49" s="352">
        <v>0</v>
      </c>
      <c r="K49" s="157"/>
      <c r="R49" s="3" t="s">
        <v>464</v>
      </c>
    </row>
    <row r="50" spans="2:18">
      <c r="B50" s="101" t="s">
        <v>576</v>
      </c>
      <c r="C50" s="98"/>
      <c r="D50" s="98"/>
      <c r="E50" s="98"/>
      <c r="F50" s="101" t="s">
        <v>301</v>
      </c>
      <c r="G50" s="101">
        <v>2006</v>
      </c>
      <c r="H50" s="352">
        <v>68586.959999999992</v>
      </c>
      <c r="I50" s="101">
        <v>2021</v>
      </c>
      <c r="J50" s="352">
        <v>0</v>
      </c>
      <c r="K50" s="157"/>
      <c r="R50" s="3" t="s">
        <v>464</v>
      </c>
    </row>
    <row r="51" spans="2:18">
      <c r="B51" s="101" t="s">
        <v>577</v>
      </c>
      <c r="C51" s="98"/>
      <c r="D51" s="98"/>
      <c r="E51" s="98"/>
      <c r="F51" s="101" t="s">
        <v>324</v>
      </c>
      <c r="G51" s="101">
        <v>2006</v>
      </c>
      <c r="H51" s="352">
        <v>104600</v>
      </c>
      <c r="I51" s="101">
        <v>2021</v>
      </c>
      <c r="J51" s="352">
        <v>64112.024048213396</v>
      </c>
      <c r="K51" s="157"/>
      <c r="R51" s="3" t="s">
        <v>464</v>
      </c>
    </row>
    <row r="52" spans="2:18">
      <c r="B52" s="101" t="s">
        <v>578</v>
      </c>
      <c r="C52" s="98"/>
      <c r="D52" s="98"/>
      <c r="E52" s="98"/>
      <c r="F52" s="101" t="s">
        <v>302</v>
      </c>
      <c r="G52" s="101">
        <v>2006</v>
      </c>
      <c r="H52" s="352">
        <v>243251.93</v>
      </c>
      <c r="I52" s="101">
        <v>2021</v>
      </c>
      <c r="J52" s="352">
        <v>0</v>
      </c>
      <c r="K52" s="157"/>
      <c r="R52" s="3" t="s">
        <v>464</v>
      </c>
    </row>
    <row r="53" spans="2:18">
      <c r="B53" s="101" t="s">
        <v>579</v>
      </c>
      <c r="C53" s="98"/>
      <c r="D53" s="98"/>
      <c r="E53" s="98"/>
      <c r="F53" s="101" t="s">
        <v>303</v>
      </c>
      <c r="G53" s="101">
        <v>2006</v>
      </c>
      <c r="H53" s="352">
        <v>585474.13</v>
      </c>
      <c r="I53" s="101">
        <v>2021</v>
      </c>
      <c r="J53" s="352">
        <v>0</v>
      </c>
      <c r="K53" s="157"/>
      <c r="R53" s="3" t="s">
        <v>464</v>
      </c>
    </row>
    <row r="54" spans="2:18">
      <c r="B54" s="101" t="s">
        <v>580</v>
      </c>
      <c r="C54" s="98"/>
      <c r="D54" s="98"/>
      <c r="E54" s="98"/>
      <c r="F54" s="101" t="s">
        <v>301</v>
      </c>
      <c r="G54" s="101">
        <v>2007</v>
      </c>
      <c r="H54" s="352">
        <v>332079.90999999997</v>
      </c>
      <c r="I54" s="101">
        <v>2021</v>
      </c>
      <c r="J54" s="352">
        <v>0</v>
      </c>
      <c r="K54" s="157"/>
      <c r="R54" s="3" t="s">
        <v>464</v>
      </c>
    </row>
    <row r="55" spans="2:18">
      <c r="B55" s="101" t="s">
        <v>581</v>
      </c>
      <c r="C55" s="98"/>
      <c r="D55" s="98"/>
      <c r="E55" s="98"/>
      <c r="F55" s="101" t="s">
        <v>324</v>
      </c>
      <c r="G55" s="101">
        <v>2007</v>
      </c>
      <c r="H55" s="352">
        <v>163550.16999999998</v>
      </c>
      <c r="I55" s="101">
        <v>2021</v>
      </c>
      <c r="J55" s="352">
        <v>105677.9899746046</v>
      </c>
      <c r="K55" s="157"/>
      <c r="R55" s="3" t="s">
        <v>464</v>
      </c>
    </row>
    <row r="56" spans="2:18">
      <c r="B56" s="101" t="s">
        <v>582</v>
      </c>
      <c r="C56" s="98"/>
      <c r="D56" s="98"/>
      <c r="E56" s="98"/>
      <c r="F56" s="101" t="s">
        <v>341</v>
      </c>
      <c r="G56" s="101">
        <v>2007</v>
      </c>
      <c r="H56" s="352">
        <v>21517730.71653875</v>
      </c>
      <c r="I56" s="101">
        <v>2021</v>
      </c>
      <c r="J56" s="352">
        <v>0</v>
      </c>
      <c r="K56" s="157"/>
      <c r="R56" s="3" t="s">
        <v>464</v>
      </c>
    </row>
    <row r="57" spans="2:18">
      <c r="B57" s="101" t="s">
        <v>583</v>
      </c>
      <c r="C57" s="98"/>
      <c r="D57" s="98"/>
      <c r="E57" s="98"/>
      <c r="F57" s="101" t="s">
        <v>303</v>
      </c>
      <c r="G57" s="101">
        <v>2007</v>
      </c>
      <c r="H57" s="352">
        <v>611283.49</v>
      </c>
      <c r="I57" s="101">
        <v>2021</v>
      </c>
      <c r="J57" s="352">
        <v>0</v>
      </c>
      <c r="K57" s="157"/>
      <c r="R57" s="3" t="s">
        <v>464</v>
      </c>
    </row>
    <row r="58" spans="2:18">
      <c r="B58" s="101" t="s">
        <v>584</v>
      </c>
      <c r="C58" s="98"/>
      <c r="D58" s="98"/>
      <c r="E58" s="98"/>
      <c r="F58" s="101" t="s">
        <v>302</v>
      </c>
      <c r="G58" s="101">
        <v>2007</v>
      </c>
      <c r="H58" s="352">
        <v>87193.72</v>
      </c>
      <c r="I58" s="101">
        <v>2021</v>
      </c>
      <c r="J58" s="352">
        <v>0</v>
      </c>
      <c r="K58" s="157"/>
      <c r="R58" s="3" t="s">
        <v>464</v>
      </c>
    </row>
    <row r="59" spans="2:18">
      <c r="B59" s="101" t="s">
        <v>585</v>
      </c>
      <c r="C59" s="98"/>
      <c r="D59" s="98"/>
      <c r="E59" s="98"/>
      <c r="F59" s="101" t="s">
        <v>312</v>
      </c>
      <c r="G59" s="101">
        <v>2007</v>
      </c>
      <c r="H59" s="352">
        <v>25760.58</v>
      </c>
      <c r="I59" s="101">
        <v>2021</v>
      </c>
      <c r="J59" s="352">
        <v>0</v>
      </c>
      <c r="K59" s="157"/>
      <c r="R59" s="3" t="s">
        <v>464</v>
      </c>
    </row>
    <row r="60" spans="2:18">
      <c r="B60" s="101" t="s">
        <v>586</v>
      </c>
      <c r="C60" s="98"/>
      <c r="D60" s="98"/>
      <c r="E60" s="98"/>
      <c r="F60" s="101" t="s">
        <v>343</v>
      </c>
      <c r="G60" s="101">
        <v>2007</v>
      </c>
      <c r="H60" s="352">
        <v>140047.50693888956</v>
      </c>
      <c r="I60" s="101">
        <v>2021</v>
      </c>
      <c r="J60" s="352">
        <v>0</v>
      </c>
      <c r="K60" s="157"/>
      <c r="R60" s="3" t="s">
        <v>464</v>
      </c>
    </row>
    <row r="61" spans="2:18">
      <c r="B61" s="101" t="s">
        <v>587</v>
      </c>
      <c r="C61" s="98"/>
      <c r="D61" s="98"/>
      <c r="E61" s="98"/>
      <c r="F61" s="101" t="s">
        <v>341</v>
      </c>
      <c r="G61" s="101">
        <v>2008</v>
      </c>
      <c r="H61" s="352">
        <v>1405801.5634173665</v>
      </c>
      <c r="I61" s="101">
        <v>2021</v>
      </c>
      <c r="J61" s="352">
        <v>0</v>
      </c>
      <c r="K61" s="157"/>
      <c r="R61" s="3" t="s">
        <v>464</v>
      </c>
    </row>
    <row r="62" spans="2:18">
      <c r="B62" s="101" t="s">
        <v>588</v>
      </c>
      <c r="C62" s="98"/>
      <c r="D62" s="98"/>
      <c r="E62" s="98"/>
      <c r="F62" s="101" t="s">
        <v>312</v>
      </c>
      <c r="G62" s="101">
        <v>2008</v>
      </c>
      <c r="H62" s="352">
        <v>6485.6</v>
      </c>
      <c r="I62" s="101">
        <v>2021</v>
      </c>
      <c r="J62" s="352">
        <v>0</v>
      </c>
      <c r="K62" s="157"/>
      <c r="R62" s="3" t="s">
        <v>464</v>
      </c>
    </row>
    <row r="63" spans="2:18">
      <c r="B63" s="101" t="s">
        <v>589</v>
      </c>
      <c r="C63" s="98"/>
      <c r="D63" s="98"/>
      <c r="E63" s="98"/>
      <c r="F63" s="101" t="s">
        <v>291</v>
      </c>
      <c r="G63" s="101">
        <v>1956</v>
      </c>
      <c r="H63" s="352">
        <v>32433.599999999999</v>
      </c>
      <c r="I63" s="101">
        <v>2021</v>
      </c>
      <c r="J63" s="352">
        <v>275057.7098199001</v>
      </c>
      <c r="K63" s="157"/>
      <c r="R63" s="3" t="s">
        <v>464</v>
      </c>
    </row>
    <row r="64" spans="2:18">
      <c r="B64" s="101" t="s">
        <v>590</v>
      </c>
      <c r="C64" s="98"/>
      <c r="D64" s="98"/>
      <c r="E64" s="98"/>
      <c r="F64" s="101" t="s">
        <v>291</v>
      </c>
      <c r="G64" s="101">
        <v>1968</v>
      </c>
      <c r="H64" s="352">
        <v>219516.18</v>
      </c>
      <c r="I64" s="101">
        <v>2021</v>
      </c>
      <c r="J64" s="352">
        <v>1219692.8562955547</v>
      </c>
      <c r="K64" s="157"/>
      <c r="R64" s="3" t="s">
        <v>464</v>
      </c>
    </row>
    <row r="65" spans="2:18">
      <c r="B65" s="101" t="s">
        <v>591</v>
      </c>
      <c r="C65" s="98"/>
      <c r="D65" s="98"/>
      <c r="E65" s="98"/>
      <c r="F65" s="101" t="s">
        <v>291</v>
      </c>
      <c r="G65" s="101">
        <v>1972</v>
      </c>
      <c r="H65" s="352">
        <v>411128.51</v>
      </c>
      <c r="I65" s="101">
        <v>2021</v>
      </c>
      <c r="J65" s="352">
        <v>1824024.3386379536</v>
      </c>
      <c r="K65" s="157"/>
      <c r="R65" s="3" t="s">
        <v>464</v>
      </c>
    </row>
    <row r="66" spans="2:18">
      <c r="B66" s="101" t="s">
        <v>592</v>
      </c>
      <c r="C66" s="98"/>
      <c r="D66" s="98"/>
      <c r="E66" s="98"/>
      <c r="F66" s="101" t="s">
        <v>293</v>
      </c>
      <c r="G66" s="101">
        <v>1970</v>
      </c>
      <c r="H66" s="352">
        <v>65342.54</v>
      </c>
      <c r="I66" s="101">
        <v>2021</v>
      </c>
      <c r="J66" s="352">
        <v>0</v>
      </c>
      <c r="K66" s="157"/>
      <c r="R66" s="3" t="s">
        <v>464</v>
      </c>
    </row>
    <row r="67" spans="2:18">
      <c r="B67" s="101" t="s">
        <v>593</v>
      </c>
      <c r="C67" s="98"/>
      <c r="D67" s="98"/>
      <c r="E67" s="98"/>
      <c r="F67" s="101" t="s">
        <v>297</v>
      </c>
      <c r="G67" s="101">
        <v>1980</v>
      </c>
      <c r="H67" s="352">
        <v>1188787.02</v>
      </c>
      <c r="I67" s="101">
        <v>2021</v>
      </c>
      <c r="J67" s="352">
        <v>0</v>
      </c>
      <c r="K67" s="157"/>
      <c r="R67" s="3" t="s">
        <v>464</v>
      </c>
    </row>
    <row r="68" spans="2:18">
      <c r="B68" s="101" t="s">
        <v>594</v>
      </c>
      <c r="C68" s="98"/>
      <c r="D68" s="98"/>
      <c r="E68" s="98"/>
      <c r="F68" s="101" t="s">
        <v>297</v>
      </c>
      <c r="G68" s="101">
        <v>1971</v>
      </c>
      <c r="H68" s="352">
        <v>1287617.6299999999</v>
      </c>
      <c r="I68" s="101">
        <v>2021</v>
      </c>
      <c r="J68" s="352">
        <v>0</v>
      </c>
      <c r="K68" s="157"/>
      <c r="R68" s="3" t="s">
        <v>464</v>
      </c>
    </row>
    <row r="69" spans="2:18">
      <c r="B69" s="101" t="s">
        <v>595</v>
      </c>
      <c r="C69" s="98"/>
      <c r="D69" s="98"/>
      <c r="E69" s="98"/>
      <c r="F69" s="101" t="s">
        <v>297</v>
      </c>
      <c r="G69" s="101">
        <v>1986</v>
      </c>
      <c r="H69" s="352">
        <v>986052.31</v>
      </c>
      <c r="I69" s="101">
        <v>2021</v>
      </c>
      <c r="J69" s="352">
        <v>0</v>
      </c>
      <c r="K69" s="157"/>
      <c r="R69" s="3" t="s">
        <v>464</v>
      </c>
    </row>
    <row r="70" spans="2:18">
      <c r="B70" s="101" t="s">
        <v>596</v>
      </c>
      <c r="C70" s="98"/>
      <c r="D70" s="98"/>
      <c r="E70" s="98"/>
      <c r="F70" s="101" t="s">
        <v>297</v>
      </c>
      <c r="G70" s="101">
        <v>1988</v>
      </c>
      <c r="H70" s="352">
        <v>45049.48</v>
      </c>
      <c r="I70" s="101">
        <v>2021</v>
      </c>
      <c r="J70" s="352">
        <v>0</v>
      </c>
      <c r="K70" s="157"/>
      <c r="R70" s="3" t="s">
        <v>464</v>
      </c>
    </row>
    <row r="71" spans="2:18">
      <c r="B71" s="101" t="s">
        <v>597</v>
      </c>
      <c r="C71" s="98"/>
      <c r="D71" s="98"/>
      <c r="E71" s="98"/>
      <c r="F71" s="101" t="s">
        <v>291</v>
      </c>
      <c r="G71" s="101">
        <v>1969</v>
      </c>
      <c r="H71" s="352">
        <v>35732.019999999997</v>
      </c>
      <c r="I71" s="101">
        <v>2021</v>
      </c>
      <c r="J71" s="352">
        <v>192194.60406110552</v>
      </c>
      <c r="K71" s="157"/>
      <c r="R71" s="3" t="s">
        <v>464</v>
      </c>
    </row>
    <row r="72" spans="2:18">
      <c r="B72" s="101" t="s">
        <v>598</v>
      </c>
      <c r="C72" s="98"/>
      <c r="D72" s="98"/>
      <c r="E72" s="98"/>
      <c r="F72" s="101" t="s">
        <v>297</v>
      </c>
      <c r="G72" s="101">
        <v>1993</v>
      </c>
      <c r="H72" s="352">
        <v>4915025</v>
      </c>
      <c r="I72" s="101">
        <v>2021</v>
      </c>
      <c r="J72" s="352">
        <v>420683.7813984917</v>
      </c>
      <c r="K72" s="157"/>
      <c r="R72" s="3" t="s">
        <v>464</v>
      </c>
    </row>
    <row r="73" spans="2:18">
      <c r="B73" s="101" t="s">
        <v>599</v>
      </c>
      <c r="C73" s="98"/>
      <c r="D73" s="98"/>
      <c r="E73" s="98"/>
      <c r="F73" s="101" t="s">
        <v>291</v>
      </c>
      <c r="G73" s="101">
        <v>1990</v>
      </c>
      <c r="H73" s="352">
        <v>4936129.59</v>
      </c>
      <c r="I73" s="101">
        <v>2021</v>
      </c>
      <c r="J73" s="352">
        <v>9367389.4688880406</v>
      </c>
      <c r="K73" s="157"/>
      <c r="R73" s="3" t="s">
        <v>464</v>
      </c>
    </row>
    <row r="74" spans="2:18">
      <c r="B74" s="101" t="s">
        <v>600</v>
      </c>
      <c r="C74" s="98"/>
      <c r="D74" s="98"/>
      <c r="E74" s="98"/>
      <c r="F74" s="101" t="s">
        <v>302</v>
      </c>
      <c r="G74" s="101">
        <v>1994</v>
      </c>
      <c r="H74" s="352">
        <v>5646696.2199999997</v>
      </c>
      <c r="I74" s="101">
        <v>2021</v>
      </c>
      <c r="J74" s="352">
        <v>0</v>
      </c>
      <c r="K74" s="157"/>
      <c r="R74" s="3" t="s">
        <v>464</v>
      </c>
    </row>
    <row r="75" spans="2:18">
      <c r="B75" s="101" t="s">
        <v>601</v>
      </c>
      <c r="C75" s="98"/>
      <c r="D75" s="98"/>
      <c r="E75" s="98"/>
      <c r="F75" s="101" t="s">
        <v>297</v>
      </c>
      <c r="G75" s="101">
        <v>1994</v>
      </c>
      <c r="H75" s="352">
        <v>326095.09000000003</v>
      </c>
      <c r="I75" s="101">
        <v>2021</v>
      </c>
      <c r="J75" s="352">
        <v>45606.0937185246</v>
      </c>
      <c r="K75" s="157"/>
      <c r="R75" s="3" t="s">
        <v>464</v>
      </c>
    </row>
    <row r="76" spans="2:18">
      <c r="B76" s="101" t="s">
        <v>602</v>
      </c>
      <c r="C76" s="98"/>
      <c r="D76" s="98"/>
      <c r="E76" s="98"/>
      <c r="F76" s="101" t="s">
        <v>293</v>
      </c>
      <c r="G76" s="101">
        <v>1993</v>
      </c>
      <c r="H76" s="352">
        <v>174007.47</v>
      </c>
      <c r="I76" s="101">
        <v>2021</v>
      </c>
      <c r="J76" s="352">
        <v>0</v>
      </c>
      <c r="K76" s="157"/>
      <c r="R76" s="3" t="s">
        <v>464</v>
      </c>
    </row>
    <row r="77" spans="2:18">
      <c r="B77" s="101" t="s">
        <v>603</v>
      </c>
      <c r="C77" s="98"/>
      <c r="D77" s="98"/>
      <c r="E77" s="98"/>
      <c r="F77" s="101" t="s">
        <v>324</v>
      </c>
      <c r="G77" s="101">
        <v>1991</v>
      </c>
      <c r="H77" s="352">
        <v>475302.12</v>
      </c>
      <c r="I77" s="101">
        <v>2021</v>
      </c>
      <c r="J77" s="352">
        <v>0</v>
      </c>
      <c r="K77" s="157"/>
      <c r="R77" s="3" t="s">
        <v>464</v>
      </c>
    </row>
    <row r="78" spans="2:18">
      <c r="B78" s="101" t="s">
        <v>604</v>
      </c>
      <c r="C78" s="98"/>
      <c r="D78" s="98"/>
      <c r="E78" s="98"/>
      <c r="F78" s="101" t="s">
        <v>301</v>
      </c>
      <c r="G78" s="101">
        <v>1995</v>
      </c>
      <c r="H78" s="352">
        <v>365539.92999999993</v>
      </c>
      <c r="I78" s="101">
        <v>2021</v>
      </c>
      <c r="J78" s="352">
        <v>0</v>
      </c>
      <c r="K78" s="157"/>
      <c r="R78" s="3" t="s">
        <v>464</v>
      </c>
    </row>
    <row r="79" spans="2:18">
      <c r="B79" s="101" t="s">
        <v>605</v>
      </c>
      <c r="C79" s="98"/>
      <c r="D79" s="98"/>
      <c r="E79" s="98"/>
      <c r="F79" s="101" t="s">
        <v>301</v>
      </c>
      <c r="G79" s="101">
        <v>1994</v>
      </c>
      <c r="H79" s="352">
        <v>6615395.4499999993</v>
      </c>
      <c r="I79" s="101">
        <v>2021</v>
      </c>
      <c r="J79" s="352">
        <v>0</v>
      </c>
      <c r="K79" s="157"/>
      <c r="R79" s="3" t="s">
        <v>464</v>
      </c>
    </row>
    <row r="80" spans="2:18">
      <c r="B80" s="101" t="s">
        <v>606</v>
      </c>
      <c r="C80" s="98"/>
      <c r="D80" s="98"/>
      <c r="E80" s="98"/>
      <c r="F80" s="101" t="s">
        <v>324</v>
      </c>
      <c r="G80" s="101">
        <v>1998</v>
      </c>
      <c r="H80" s="352">
        <v>789493.11</v>
      </c>
      <c r="I80" s="101">
        <v>2021</v>
      </c>
      <c r="J80" s="352">
        <v>263672.8175889462</v>
      </c>
      <c r="K80" s="157"/>
      <c r="R80" s="3" t="s">
        <v>464</v>
      </c>
    </row>
    <row r="81" spans="2:18">
      <c r="B81" s="101" t="s">
        <v>607</v>
      </c>
      <c r="C81" s="98"/>
      <c r="D81" s="98"/>
      <c r="E81" s="98"/>
      <c r="F81" s="101" t="s">
        <v>324</v>
      </c>
      <c r="G81" s="101">
        <v>1995</v>
      </c>
      <c r="H81" s="352">
        <v>93310335.520000011</v>
      </c>
      <c r="I81" s="101">
        <v>2021</v>
      </c>
      <c r="J81" s="352">
        <v>17806929.596040629</v>
      </c>
      <c r="K81" s="157"/>
      <c r="R81" s="3" t="s">
        <v>464</v>
      </c>
    </row>
    <row r="82" spans="2:18">
      <c r="B82" s="101" t="s">
        <v>608</v>
      </c>
      <c r="C82" s="98"/>
      <c r="D82" s="98"/>
      <c r="E82" s="98"/>
      <c r="F82" s="101" t="s">
        <v>302</v>
      </c>
      <c r="G82" s="101">
        <v>1997</v>
      </c>
      <c r="H82" s="352">
        <v>3767.74</v>
      </c>
      <c r="I82" s="101">
        <v>2021</v>
      </c>
      <c r="J82" s="352">
        <v>0</v>
      </c>
      <c r="K82" s="157"/>
      <c r="R82" s="3" t="s">
        <v>464</v>
      </c>
    </row>
    <row r="83" spans="2:18">
      <c r="B83" s="101" t="s">
        <v>609</v>
      </c>
      <c r="C83" s="98"/>
      <c r="D83" s="98"/>
      <c r="E83" s="98"/>
      <c r="F83" s="101" t="s">
        <v>301</v>
      </c>
      <c r="G83" s="101">
        <v>2002</v>
      </c>
      <c r="H83" s="352">
        <v>257167.26</v>
      </c>
      <c r="I83" s="101">
        <v>2021</v>
      </c>
      <c r="J83" s="352">
        <v>0</v>
      </c>
      <c r="K83" s="157"/>
      <c r="R83" s="3" t="s">
        <v>464</v>
      </c>
    </row>
    <row r="84" spans="2:18">
      <c r="B84" s="101" t="s">
        <v>610</v>
      </c>
      <c r="C84" s="98"/>
      <c r="D84" s="98"/>
      <c r="E84" s="98"/>
      <c r="F84" s="101" t="s">
        <v>324</v>
      </c>
      <c r="G84" s="101">
        <v>1997</v>
      </c>
      <c r="H84" s="352">
        <v>9956.39</v>
      </c>
      <c r="I84" s="101">
        <v>2021</v>
      </c>
      <c r="J84" s="352">
        <v>2886.7927731398736</v>
      </c>
      <c r="K84" s="157"/>
      <c r="R84" s="3" t="s">
        <v>464</v>
      </c>
    </row>
    <row r="85" spans="2:18">
      <c r="B85" s="101" t="s">
        <v>611</v>
      </c>
      <c r="C85" s="98"/>
      <c r="D85" s="98"/>
      <c r="E85" s="98"/>
      <c r="F85" s="101" t="s">
        <v>302</v>
      </c>
      <c r="G85" s="101">
        <v>2002</v>
      </c>
      <c r="H85" s="352">
        <v>259859.76</v>
      </c>
      <c r="I85" s="101">
        <v>2021</v>
      </c>
      <c r="J85" s="352">
        <v>0</v>
      </c>
      <c r="K85" s="157"/>
      <c r="R85" s="3" t="s">
        <v>464</v>
      </c>
    </row>
    <row r="86" spans="2:18">
      <c r="B86" s="101" t="s">
        <v>612</v>
      </c>
      <c r="C86" s="98"/>
      <c r="D86" s="98"/>
      <c r="E86" s="98"/>
      <c r="F86" s="101" t="s">
        <v>341</v>
      </c>
      <c r="G86" s="101">
        <v>1998</v>
      </c>
      <c r="H86" s="352">
        <v>194674.43</v>
      </c>
      <c r="I86" s="101">
        <v>2021</v>
      </c>
      <c r="J86" s="352">
        <v>0</v>
      </c>
      <c r="K86" s="157"/>
      <c r="R86" s="3" t="s">
        <v>464</v>
      </c>
    </row>
    <row r="87" spans="2:18">
      <c r="B87" s="101" t="s">
        <v>613</v>
      </c>
      <c r="C87" s="98"/>
      <c r="D87" s="98"/>
      <c r="E87" s="98"/>
      <c r="F87" s="101" t="s">
        <v>312</v>
      </c>
      <c r="G87" s="101">
        <v>2000</v>
      </c>
      <c r="H87" s="352">
        <v>5437.76</v>
      </c>
      <c r="I87" s="101">
        <v>2021</v>
      </c>
      <c r="J87" s="352">
        <v>0</v>
      </c>
      <c r="K87" s="157"/>
      <c r="R87" s="3" t="s">
        <v>464</v>
      </c>
    </row>
    <row r="88" spans="2:18">
      <c r="B88" s="101" t="s">
        <v>614</v>
      </c>
      <c r="C88" s="98"/>
      <c r="D88" s="98"/>
      <c r="E88" s="98"/>
      <c r="F88" s="101" t="s">
        <v>302</v>
      </c>
      <c r="G88" s="101">
        <v>1998</v>
      </c>
      <c r="H88" s="352">
        <v>159402.09</v>
      </c>
      <c r="I88" s="101">
        <v>2021</v>
      </c>
      <c r="J88" s="352">
        <v>0</v>
      </c>
      <c r="K88" s="157"/>
      <c r="R88" s="3" t="s">
        <v>464</v>
      </c>
    </row>
    <row r="89" spans="2:18">
      <c r="B89" s="101" t="s">
        <v>615</v>
      </c>
      <c r="C89" s="98"/>
      <c r="D89" s="98"/>
      <c r="E89" s="98"/>
      <c r="F89" s="101" t="s">
        <v>301</v>
      </c>
      <c r="G89" s="101">
        <v>1998</v>
      </c>
      <c r="H89" s="352">
        <v>120568.99000000002</v>
      </c>
      <c r="I89" s="101">
        <v>2021</v>
      </c>
      <c r="J89" s="352">
        <v>0</v>
      </c>
      <c r="K89" s="157"/>
      <c r="R89" s="3" t="s">
        <v>464</v>
      </c>
    </row>
    <row r="90" spans="2:18">
      <c r="B90" s="101" t="s">
        <v>616</v>
      </c>
      <c r="C90" s="98"/>
      <c r="D90" s="98"/>
      <c r="E90" s="98"/>
      <c r="F90" s="101" t="s">
        <v>341</v>
      </c>
      <c r="G90" s="101">
        <v>2002</v>
      </c>
      <c r="H90" s="352">
        <v>342396.39</v>
      </c>
      <c r="I90" s="101">
        <v>2021</v>
      </c>
      <c r="J90" s="352">
        <v>0</v>
      </c>
      <c r="K90" s="157"/>
      <c r="R90" s="3" t="s">
        <v>464</v>
      </c>
    </row>
    <row r="91" spans="2:18">
      <c r="B91" s="101" t="s">
        <v>617</v>
      </c>
      <c r="C91" s="98"/>
      <c r="D91" s="98"/>
      <c r="E91" s="98"/>
      <c r="F91" s="101" t="s">
        <v>343</v>
      </c>
      <c r="G91" s="101">
        <v>2000</v>
      </c>
      <c r="H91" s="352">
        <v>717051.87</v>
      </c>
      <c r="I91" s="101">
        <v>2021</v>
      </c>
      <c r="J91" s="352">
        <v>0</v>
      </c>
      <c r="K91" s="157"/>
      <c r="R91" s="3" t="s">
        <v>464</v>
      </c>
    </row>
    <row r="92" spans="2:18">
      <c r="B92" s="101" t="s">
        <v>618</v>
      </c>
      <c r="C92" s="98"/>
      <c r="D92" s="98"/>
      <c r="E92" s="98"/>
      <c r="F92" s="101" t="s">
        <v>302</v>
      </c>
      <c r="G92" s="101">
        <v>1999</v>
      </c>
      <c r="H92" s="352">
        <v>64305.72</v>
      </c>
      <c r="I92" s="101">
        <v>2021</v>
      </c>
      <c r="J92" s="352">
        <v>0</v>
      </c>
      <c r="K92" s="157"/>
      <c r="R92" s="3" t="s">
        <v>464</v>
      </c>
    </row>
    <row r="93" spans="2:18">
      <c r="B93" s="101" t="s">
        <v>619</v>
      </c>
      <c r="C93" s="98"/>
      <c r="D93" s="98"/>
      <c r="E93" s="98"/>
      <c r="F93" s="101" t="s">
        <v>301</v>
      </c>
      <c r="G93" s="101">
        <v>1999</v>
      </c>
      <c r="H93" s="352">
        <v>41263.56</v>
      </c>
      <c r="I93" s="101">
        <v>2021</v>
      </c>
      <c r="J93" s="352">
        <v>0</v>
      </c>
      <c r="K93" s="157"/>
      <c r="R93" s="3" t="s">
        <v>464</v>
      </c>
    </row>
    <row r="94" spans="2:18">
      <c r="B94" s="101" t="s">
        <v>620</v>
      </c>
      <c r="C94" s="98"/>
      <c r="D94" s="98"/>
      <c r="E94" s="98"/>
      <c r="F94" s="101" t="s">
        <v>302</v>
      </c>
      <c r="G94" s="101">
        <v>2000</v>
      </c>
      <c r="H94" s="352">
        <v>5312.4</v>
      </c>
      <c r="I94" s="101">
        <v>2021</v>
      </c>
      <c r="J94" s="352">
        <v>0</v>
      </c>
      <c r="K94" s="157"/>
      <c r="R94" s="3" t="s">
        <v>464</v>
      </c>
    </row>
    <row r="95" spans="2:18">
      <c r="B95" s="101" t="s">
        <v>621</v>
      </c>
      <c r="C95" s="98"/>
      <c r="D95" s="98"/>
      <c r="E95" s="98"/>
      <c r="F95" s="101" t="s">
        <v>341</v>
      </c>
      <c r="G95" s="101">
        <v>2001</v>
      </c>
      <c r="H95" s="352">
        <v>1754908.7700000003</v>
      </c>
      <c r="I95" s="101">
        <v>2021</v>
      </c>
      <c r="J95" s="352">
        <v>0</v>
      </c>
      <c r="K95" s="157"/>
      <c r="R95" s="3" t="s">
        <v>464</v>
      </c>
    </row>
    <row r="96" spans="2:18">
      <c r="B96" s="101" t="s">
        <v>622</v>
      </c>
      <c r="C96" s="98"/>
      <c r="D96" s="98"/>
      <c r="E96" s="98"/>
      <c r="F96" s="101" t="s">
        <v>307</v>
      </c>
      <c r="G96" s="101">
        <v>2000</v>
      </c>
      <c r="H96" s="352">
        <v>86461.709999999992</v>
      </c>
      <c r="I96" s="101">
        <v>2021</v>
      </c>
      <c r="J96" s="352">
        <v>0</v>
      </c>
      <c r="K96" s="157"/>
      <c r="R96" s="3" t="s">
        <v>464</v>
      </c>
    </row>
    <row r="97" spans="2:18">
      <c r="B97" s="101" t="s">
        <v>623</v>
      </c>
      <c r="C97" s="98"/>
      <c r="D97" s="98"/>
      <c r="E97" s="98"/>
      <c r="F97" s="101" t="s">
        <v>312</v>
      </c>
      <c r="G97" s="101">
        <v>1998</v>
      </c>
      <c r="H97" s="352">
        <v>3630.24</v>
      </c>
      <c r="I97" s="101">
        <v>2021</v>
      </c>
      <c r="J97" s="352">
        <v>0</v>
      </c>
      <c r="K97" s="157"/>
      <c r="R97" s="3" t="s">
        <v>464</v>
      </c>
    </row>
    <row r="98" spans="2:18">
      <c r="B98" s="101" t="s">
        <v>624</v>
      </c>
      <c r="C98" s="98"/>
      <c r="D98" s="98"/>
      <c r="E98" s="98"/>
      <c r="F98" s="101" t="s">
        <v>341</v>
      </c>
      <c r="G98" s="101">
        <v>2000</v>
      </c>
      <c r="H98" s="352">
        <v>63690.75</v>
      </c>
      <c r="I98" s="101">
        <v>2021</v>
      </c>
      <c r="J98" s="352">
        <v>0</v>
      </c>
      <c r="K98" s="157"/>
      <c r="R98" s="3" t="s">
        <v>464</v>
      </c>
    </row>
    <row r="99" spans="2:18">
      <c r="B99" s="101" t="s">
        <v>625</v>
      </c>
      <c r="C99" s="98"/>
      <c r="D99" s="98"/>
      <c r="E99" s="98"/>
      <c r="F99" s="101" t="s">
        <v>301</v>
      </c>
      <c r="G99" s="101">
        <v>2000</v>
      </c>
      <c r="H99" s="352">
        <v>53314.77</v>
      </c>
      <c r="I99" s="101">
        <v>2021</v>
      </c>
      <c r="J99" s="352">
        <v>0</v>
      </c>
      <c r="K99" s="157"/>
      <c r="R99" s="3" t="s">
        <v>464</v>
      </c>
    </row>
    <row r="100" spans="2:18">
      <c r="B100" s="101" t="s">
        <v>626</v>
      </c>
      <c r="C100" s="98"/>
      <c r="D100" s="98"/>
      <c r="E100" s="98"/>
      <c r="F100" s="101" t="s">
        <v>314</v>
      </c>
      <c r="G100" s="101">
        <v>2000</v>
      </c>
      <c r="H100" s="352">
        <v>36334.86</v>
      </c>
      <c r="I100" s="101">
        <v>2021</v>
      </c>
      <c r="J100" s="352">
        <v>0</v>
      </c>
      <c r="K100" s="157"/>
      <c r="R100" s="3" t="s">
        <v>464</v>
      </c>
    </row>
    <row r="101" spans="2:18">
      <c r="B101" s="101" t="s">
        <v>627</v>
      </c>
      <c r="C101" s="98"/>
      <c r="D101" s="98"/>
      <c r="E101" s="98"/>
      <c r="F101" s="101" t="s">
        <v>297</v>
      </c>
      <c r="G101" s="101">
        <v>2000</v>
      </c>
      <c r="H101" s="352">
        <v>61022.52</v>
      </c>
      <c r="I101" s="101">
        <v>2021</v>
      </c>
      <c r="J101" s="352">
        <v>25541.383007029126</v>
      </c>
      <c r="K101" s="157"/>
      <c r="R101" s="3" t="s">
        <v>464</v>
      </c>
    </row>
    <row r="102" spans="2:18">
      <c r="B102" s="101" t="s">
        <v>628</v>
      </c>
      <c r="C102" s="98"/>
      <c r="D102" s="98"/>
      <c r="E102" s="98"/>
      <c r="F102" s="101" t="s">
        <v>307</v>
      </c>
      <c r="G102" s="101">
        <v>2001</v>
      </c>
      <c r="H102" s="352">
        <v>11928.48</v>
      </c>
      <c r="I102" s="101">
        <v>2021</v>
      </c>
      <c r="J102" s="352">
        <v>0</v>
      </c>
      <c r="K102" s="157"/>
      <c r="R102" s="3" t="s">
        <v>464</v>
      </c>
    </row>
    <row r="103" spans="2:18">
      <c r="B103" s="101" t="s">
        <v>629</v>
      </c>
      <c r="C103" s="98"/>
      <c r="D103" s="98"/>
      <c r="E103" s="98"/>
      <c r="F103" s="101" t="s">
        <v>314</v>
      </c>
      <c r="G103" s="101">
        <v>2001</v>
      </c>
      <c r="H103" s="352">
        <v>70639.289999999994</v>
      </c>
      <c r="I103" s="101">
        <v>2021</v>
      </c>
      <c r="J103" s="352">
        <v>0</v>
      </c>
      <c r="K103" s="157"/>
      <c r="R103" s="3" t="s">
        <v>464</v>
      </c>
    </row>
    <row r="104" spans="2:18">
      <c r="B104" s="101" t="s">
        <v>630</v>
      </c>
      <c r="C104" s="98"/>
      <c r="D104" s="98"/>
      <c r="E104" s="98"/>
      <c r="F104" s="101" t="s">
        <v>302</v>
      </c>
      <c r="G104" s="101">
        <v>2001</v>
      </c>
      <c r="H104" s="352">
        <v>55051.729999999996</v>
      </c>
      <c r="I104" s="101">
        <v>2021</v>
      </c>
      <c r="J104" s="352">
        <v>0</v>
      </c>
      <c r="K104" s="157"/>
      <c r="R104" s="3" t="s">
        <v>464</v>
      </c>
    </row>
    <row r="105" spans="2:18">
      <c r="B105" s="101" t="s">
        <v>631</v>
      </c>
      <c r="C105" s="98"/>
      <c r="D105" s="98"/>
      <c r="E105" s="98"/>
      <c r="F105" s="101" t="s">
        <v>303</v>
      </c>
      <c r="G105" s="101">
        <v>2002</v>
      </c>
      <c r="H105" s="352">
        <v>26546</v>
      </c>
      <c r="I105" s="101">
        <v>2021</v>
      </c>
      <c r="J105" s="352">
        <v>0</v>
      </c>
      <c r="K105" s="157"/>
      <c r="R105" s="3" t="s">
        <v>464</v>
      </c>
    </row>
    <row r="106" spans="2:18">
      <c r="B106" s="101" t="s">
        <v>632</v>
      </c>
      <c r="C106" s="98"/>
      <c r="D106" s="98"/>
      <c r="E106" s="98"/>
      <c r="F106" s="101" t="s">
        <v>290</v>
      </c>
      <c r="G106" s="101">
        <v>2001</v>
      </c>
      <c r="H106" s="352">
        <v>16968.61</v>
      </c>
      <c r="I106" s="101">
        <v>2021</v>
      </c>
      <c r="J106" s="352">
        <v>0</v>
      </c>
      <c r="K106" s="157"/>
      <c r="R106" s="3" t="s">
        <v>464</v>
      </c>
    </row>
    <row r="107" spans="2:18">
      <c r="B107" s="101" t="s">
        <v>633</v>
      </c>
      <c r="C107" s="98"/>
      <c r="D107" s="98"/>
      <c r="E107" s="98"/>
      <c r="F107" s="101" t="s">
        <v>301</v>
      </c>
      <c r="G107" s="101">
        <v>2001</v>
      </c>
      <c r="H107" s="352">
        <v>7752.83</v>
      </c>
      <c r="I107" s="101">
        <v>2021</v>
      </c>
      <c r="J107" s="352">
        <v>0</v>
      </c>
      <c r="K107" s="157"/>
      <c r="R107" s="3" t="s">
        <v>464</v>
      </c>
    </row>
    <row r="108" spans="2:18">
      <c r="B108" s="101" t="s">
        <v>634</v>
      </c>
      <c r="C108" s="98"/>
      <c r="D108" s="98"/>
      <c r="E108" s="98"/>
      <c r="F108" s="101" t="s">
        <v>343</v>
      </c>
      <c r="G108" s="101">
        <v>2001</v>
      </c>
      <c r="H108" s="352">
        <v>757040.92</v>
      </c>
      <c r="I108" s="101">
        <v>2021</v>
      </c>
      <c r="J108" s="352">
        <v>0</v>
      </c>
      <c r="K108" s="157"/>
      <c r="R108" s="3" t="s">
        <v>464</v>
      </c>
    </row>
    <row r="109" spans="2:18">
      <c r="B109" s="101" t="s">
        <v>635</v>
      </c>
      <c r="C109" s="98"/>
      <c r="D109" s="98"/>
      <c r="E109" s="98"/>
      <c r="F109" s="101" t="s">
        <v>312</v>
      </c>
      <c r="G109" s="101">
        <v>2001</v>
      </c>
      <c r="H109" s="352">
        <v>2746.92</v>
      </c>
      <c r="I109" s="101">
        <v>2021</v>
      </c>
      <c r="J109" s="352">
        <v>0</v>
      </c>
      <c r="K109" s="157"/>
      <c r="R109" s="3" t="s">
        <v>464</v>
      </c>
    </row>
    <row r="110" spans="2:18">
      <c r="B110" s="101" t="s">
        <v>636</v>
      </c>
      <c r="C110" s="98"/>
      <c r="D110" s="98"/>
      <c r="E110" s="98"/>
      <c r="F110" s="101" t="s">
        <v>307</v>
      </c>
      <c r="G110" s="101">
        <v>2002</v>
      </c>
      <c r="H110" s="352">
        <v>108571.05</v>
      </c>
      <c r="I110" s="101">
        <v>2021</v>
      </c>
      <c r="J110" s="352">
        <v>0</v>
      </c>
      <c r="K110" s="157"/>
      <c r="R110" s="3" t="s">
        <v>464</v>
      </c>
    </row>
    <row r="111" spans="2:18">
      <c r="B111" s="101" t="s">
        <v>637</v>
      </c>
      <c r="C111" s="98"/>
      <c r="D111" s="98"/>
      <c r="E111" s="98"/>
      <c r="F111" s="101" t="s">
        <v>343</v>
      </c>
      <c r="G111" s="101">
        <v>2002</v>
      </c>
      <c r="H111" s="352">
        <v>27589.78</v>
      </c>
      <c r="I111" s="101">
        <v>2021</v>
      </c>
      <c r="J111" s="352">
        <v>0</v>
      </c>
      <c r="K111" s="157"/>
      <c r="R111" s="3" t="s">
        <v>464</v>
      </c>
    </row>
    <row r="112" spans="2:18">
      <c r="B112" s="101" t="s">
        <v>638</v>
      </c>
      <c r="C112" s="98"/>
      <c r="D112" s="98"/>
      <c r="E112" s="98"/>
      <c r="F112" s="101" t="s">
        <v>314</v>
      </c>
      <c r="G112" s="101">
        <v>2002</v>
      </c>
      <c r="H112" s="352">
        <v>7905</v>
      </c>
      <c r="I112" s="101">
        <v>2021</v>
      </c>
      <c r="J112" s="352">
        <v>0</v>
      </c>
      <c r="K112" s="157"/>
      <c r="R112" s="3" t="s">
        <v>464</v>
      </c>
    </row>
    <row r="113" spans="2:18">
      <c r="B113" s="101" t="s">
        <v>639</v>
      </c>
      <c r="C113" s="98"/>
      <c r="D113" s="98"/>
      <c r="E113" s="98"/>
      <c r="F113" s="101" t="s">
        <v>312</v>
      </c>
      <c r="G113" s="101">
        <v>2002</v>
      </c>
      <c r="H113" s="352">
        <v>1243</v>
      </c>
      <c r="I113" s="101">
        <v>2021</v>
      </c>
      <c r="J113" s="352">
        <v>0</v>
      </c>
      <c r="K113" s="157"/>
      <c r="R113" s="3" t="s">
        <v>464</v>
      </c>
    </row>
    <row r="114" spans="2:18">
      <c r="B114" s="101" t="s">
        <v>640</v>
      </c>
      <c r="C114" s="98"/>
      <c r="D114" s="98"/>
      <c r="E114" s="98"/>
      <c r="F114" s="101" t="s">
        <v>297</v>
      </c>
      <c r="G114" s="101">
        <v>2002</v>
      </c>
      <c r="H114" s="352">
        <v>68637.27</v>
      </c>
      <c r="I114" s="101">
        <v>2021</v>
      </c>
      <c r="J114" s="352">
        <v>33068.469795601901</v>
      </c>
      <c r="K114" s="157"/>
      <c r="R114" s="3" t="s">
        <v>464</v>
      </c>
    </row>
    <row r="115" spans="2:18">
      <c r="B115" s="101" t="s">
        <v>641</v>
      </c>
      <c r="C115" s="98"/>
      <c r="D115" s="98"/>
      <c r="E115" s="98"/>
      <c r="F115" s="101" t="s">
        <v>302</v>
      </c>
      <c r="G115" s="101">
        <v>2003</v>
      </c>
      <c r="H115" s="352">
        <v>108222.26</v>
      </c>
      <c r="I115" s="101">
        <v>2021</v>
      </c>
      <c r="J115" s="352">
        <v>0</v>
      </c>
      <c r="K115" s="157"/>
      <c r="R115" s="3" t="s">
        <v>464</v>
      </c>
    </row>
    <row r="116" spans="2:18">
      <c r="B116" s="101" t="s">
        <v>642</v>
      </c>
      <c r="C116" s="98"/>
      <c r="D116" s="98"/>
      <c r="E116" s="98"/>
      <c r="F116" s="101" t="s">
        <v>307</v>
      </c>
      <c r="G116" s="101">
        <v>2003</v>
      </c>
      <c r="H116" s="352">
        <v>135681.9</v>
      </c>
      <c r="I116" s="101">
        <v>2021</v>
      </c>
      <c r="J116" s="352">
        <v>0</v>
      </c>
      <c r="K116" s="157"/>
      <c r="R116" s="3" t="s">
        <v>464</v>
      </c>
    </row>
    <row r="117" spans="2:18">
      <c r="B117" s="101" t="s">
        <v>643</v>
      </c>
      <c r="C117" s="98"/>
      <c r="D117" s="98"/>
      <c r="E117" s="98"/>
      <c r="F117" s="101" t="s">
        <v>341</v>
      </c>
      <c r="G117" s="101">
        <v>2003</v>
      </c>
      <c r="H117" s="352">
        <v>869353.66999999993</v>
      </c>
      <c r="I117" s="101">
        <v>2021</v>
      </c>
      <c r="J117" s="352">
        <v>0</v>
      </c>
      <c r="K117" s="157"/>
      <c r="R117" s="3" t="s">
        <v>464</v>
      </c>
    </row>
    <row r="118" spans="2:18">
      <c r="B118" s="101" t="s">
        <v>644</v>
      </c>
      <c r="C118" s="98"/>
      <c r="D118" s="98"/>
      <c r="E118" s="98"/>
      <c r="F118" s="101" t="s">
        <v>343</v>
      </c>
      <c r="G118" s="101">
        <v>2003</v>
      </c>
      <c r="H118" s="352">
        <v>1210667.97</v>
      </c>
      <c r="I118" s="101">
        <v>2021</v>
      </c>
      <c r="J118" s="352">
        <v>0</v>
      </c>
      <c r="K118" s="157"/>
      <c r="R118" s="3" t="s">
        <v>464</v>
      </c>
    </row>
    <row r="119" spans="2:18">
      <c r="B119" s="101" t="s">
        <v>645</v>
      </c>
      <c r="C119" s="98"/>
      <c r="D119" s="98"/>
      <c r="E119" s="98"/>
      <c r="F119" s="101" t="s">
        <v>303</v>
      </c>
      <c r="G119" s="101">
        <v>2003</v>
      </c>
      <c r="H119" s="352">
        <v>62325</v>
      </c>
      <c r="I119" s="101">
        <v>2021</v>
      </c>
      <c r="J119" s="352">
        <v>0</v>
      </c>
      <c r="K119" s="157"/>
      <c r="R119" s="3" t="s">
        <v>464</v>
      </c>
    </row>
    <row r="120" spans="2:18">
      <c r="B120" s="101" t="s">
        <v>646</v>
      </c>
      <c r="C120" s="98"/>
      <c r="D120" s="98"/>
      <c r="E120" s="98"/>
      <c r="F120" s="101" t="s">
        <v>297</v>
      </c>
      <c r="G120" s="101">
        <v>2003</v>
      </c>
      <c r="H120" s="352">
        <v>206366.74</v>
      </c>
      <c r="I120" s="101">
        <v>2021</v>
      </c>
      <c r="J120" s="352">
        <v>105414.90479883776</v>
      </c>
      <c r="K120" s="157"/>
      <c r="R120" s="3" t="s">
        <v>464</v>
      </c>
    </row>
    <row r="121" spans="2:18">
      <c r="B121" s="101" t="s">
        <v>647</v>
      </c>
      <c r="C121" s="98"/>
      <c r="D121" s="98"/>
      <c r="E121" s="98"/>
      <c r="F121" s="101" t="s">
        <v>312</v>
      </c>
      <c r="G121" s="101">
        <v>2003</v>
      </c>
      <c r="H121" s="352">
        <v>1830.54</v>
      </c>
      <c r="I121" s="101">
        <v>2021</v>
      </c>
      <c r="J121" s="352">
        <v>0</v>
      </c>
      <c r="K121" s="157"/>
      <c r="R121" s="3" t="s">
        <v>464</v>
      </c>
    </row>
    <row r="122" spans="2:18">
      <c r="B122" s="101" t="s">
        <v>648</v>
      </c>
      <c r="C122" s="98"/>
      <c r="D122" s="98"/>
      <c r="E122" s="98"/>
      <c r="F122" s="101" t="s">
        <v>341</v>
      </c>
      <c r="G122" s="101">
        <v>2004</v>
      </c>
      <c r="H122" s="352">
        <v>2583848.4300000002</v>
      </c>
      <c r="I122" s="101">
        <v>2021</v>
      </c>
      <c r="J122" s="352">
        <v>0</v>
      </c>
      <c r="K122" s="157"/>
      <c r="R122" s="3" t="s">
        <v>464</v>
      </c>
    </row>
    <row r="123" spans="2:18">
      <c r="B123" s="101" t="s">
        <v>649</v>
      </c>
      <c r="C123" s="98"/>
      <c r="D123" s="98"/>
      <c r="E123" s="98"/>
      <c r="F123" s="101" t="s">
        <v>343</v>
      </c>
      <c r="G123" s="101">
        <v>2004</v>
      </c>
      <c r="H123" s="352">
        <v>263122.5</v>
      </c>
      <c r="I123" s="101">
        <v>2021</v>
      </c>
      <c r="J123" s="352">
        <v>0</v>
      </c>
      <c r="K123" s="157"/>
      <c r="R123" s="3" t="s">
        <v>464</v>
      </c>
    </row>
    <row r="124" spans="2:18">
      <c r="B124" s="101" t="s">
        <v>650</v>
      </c>
      <c r="C124" s="98"/>
      <c r="D124" s="98"/>
      <c r="E124" s="98"/>
      <c r="F124" s="101" t="s">
        <v>302</v>
      </c>
      <c r="G124" s="101">
        <v>2004</v>
      </c>
      <c r="H124" s="352">
        <v>142655</v>
      </c>
      <c r="I124" s="101">
        <v>2021</v>
      </c>
      <c r="J124" s="352">
        <v>0</v>
      </c>
      <c r="K124" s="157"/>
      <c r="R124" s="3" t="s">
        <v>464</v>
      </c>
    </row>
    <row r="125" spans="2:18">
      <c r="B125" s="101" t="s">
        <v>651</v>
      </c>
      <c r="C125" s="98"/>
      <c r="D125" s="98"/>
      <c r="E125" s="98"/>
      <c r="F125" s="101" t="s">
        <v>307</v>
      </c>
      <c r="G125" s="101">
        <v>2004</v>
      </c>
      <c r="H125" s="352">
        <v>77020.09</v>
      </c>
      <c r="I125" s="101">
        <v>2021</v>
      </c>
      <c r="J125" s="352">
        <v>0</v>
      </c>
      <c r="K125" s="157"/>
      <c r="R125" s="3" t="s">
        <v>464</v>
      </c>
    </row>
    <row r="126" spans="2:18">
      <c r="B126" s="101" t="s">
        <v>652</v>
      </c>
      <c r="C126" s="98"/>
      <c r="D126" s="98"/>
      <c r="E126" s="98"/>
      <c r="F126" s="101" t="s">
        <v>314</v>
      </c>
      <c r="G126" s="101">
        <v>2004</v>
      </c>
      <c r="H126" s="352">
        <v>195332.07</v>
      </c>
      <c r="I126" s="101">
        <v>2021</v>
      </c>
      <c r="J126" s="352">
        <v>0</v>
      </c>
      <c r="K126" s="157"/>
      <c r="R126" s="3" t="s">
        <v>464</v>
      </c>
    </row>
    <row r="127" spans="2:18">
      <c r="B127" s="101" t="s">
        <v>653</v>
      </c>
      <c r="C127" s="98"/>
      <c r="D127" s="98"/>
      <c r="E127" s="98"/>
      <c r="F127" s="101" t="s">
        <v>312</v>
      </c>
      <c r="G127" s="101">
        <v>2004</v>
      </c>
      <c r="H127" s="352">
        <v>1265</v>
      </c>
      <c r="I127" s="101">
        <v>2021</v>
      </c>
      <c r="J127" s="352">
        <v>0</v>
      </c>
      <c r="K127" s="157"/>
      <c r="R127" s="3" t="s">
        <v>464</v>
      </c>
    </row>
    <row r="128" spans="2:18">
      <c r="B128" s="101" t="s">
        <v>654</v>
      </c>
      <c r="C128" s="98"/>
      <c r="D128" s="98"/>
      <c r="E128" s="98"/>
      <c r="F128" s="101" t="s">
        <v>301</v>
      </c>
      <c r="G128" s="101">
        <v>2004</v>
      </c>
      <c r="H128" s="352">
        <v>62865.23</v>
      </c>
      <c r="I128" s="101">
        <v>2021</v>
      </c>
      <c r="J128" s="352">
        <v>0</v>
      </c>
      <c r="K128" s="157"/>
      <c r="R128" s="3" t="s">
        <v>464</v>
      </c>
    </row>
    <row r="129" spans="2:18">
      <c r="B129" s="101" t="s">
        <v>655</v>
      </c>
      <c r="C129" s="98"/>
      <c r="D129" s="98"/>
      <c r="E129" s="98"/>
      <c r="F129" s="101" t="s">
        <v>311</v>
      </c>
      <c r="G129" s="101">
        <v>2004</v>
      </c>
      <c r="H129" s="352">
        <v>47369.03</v>
      </c>
      <c r="I129" s="101">
        <v>2021</v>
      </c>
      <c r="J129" s="352">
        <v>0</v>
      </c>
      <c r="K129" s="157"/>
      <c r="R129" s="3" t="s">
        <v>464</v>
      </c>
    </row>
    <row r="130" spans="2:18">
      <c r="B130" s="101" t="s">
        <v>656</v>
      </c>
      <c r="C130" s="98"/>
      <c r="D130" s="98"/>
      <c r="E130" s="98"/>
      <c r="F130" s="101" t="s">
        <v>297</v>
      </c>
      <c r="G130" s="101">
        <v>2005</v>
      </c>
      <c r="H130" s="352">
        <v>13716.41</v>
      </c>
      <c r="I130" s="101">
        <v>2021</v>
      </c>
      <c r="J130" s="352">
        <v>7968.2289834864932</v>
      </c>
      <c r="K130" s="157"/>
      <c r="R130" s="3" t="s">
        <v>464</v>
      </c>
    </row>
    <row r="131" spans="2:18">
      <c r="B131" s="101" t="s">
        <v>657</v>
      </c>
      <c r="C131" s="98"/>
      <c r="D131" s="98"/>
      <c r="E131" s="98"/>
      <c r="F131" s="101" t="s">
        <v>312</v>
      </c>
      <c r="G131" s="101">
        <v>2005</v>
      </c>
      <c r="H131" s="352">
        <v>5690.5</v>
      </c>
      <c r="I131" s="101">
        <v>2021</v>
      </c>
      <c r="J131" s="352">
        <v>0</v>
      </c>
      <c r="K131" s="157"/>
      <c r="R131" s="3" t="s">
        <v>464</v>
      </c>
    </row>
    <row r="132" spans="2:18">
      <c r="B132" s="101" t="s">
        <v>658</v>
      </c>
      <c r="C132" s="98"/>
      <c r="D132" s="98"/>
      <c r="E132" s="98"/>
      <c r="F132" s="101" t="s">
        <v>301</v>
      </c>
      <c r="G132" s="101">
        <v>2005</v>
      </c>
      <c r="H132" s="352">
        <v>149702.98000000001</v>
      </c>
      <c r="I132" s="101">
        <v>2021</v>
      </c>
      <c r="J132" s="352">
        <v>0</v>
      </c>
      <c r="K132" s="157"/>
      <c r="R132" s="3" t="s">
        <v>464</v>
      </c>
    </row>
    <row r="133" spans="2:18">
      <c r="B133" s="101" t="s">
        <v>659</v>
      </c>
      <c r="C133" s="98"/>
      <c r="D133" s="98"/>
      <c r="E133" s="98"/>
      <c r="F133" s="101" t="s">
        <v>311</v>
      </c>
      <c r="G133" s="101">
        <v>2005</v>
      </c>
      <c r="H133" s="352">
        <v>144500</v>
      </c>
      <c r="I133" s="101">
        <v>2021</v>
      </c>
      <c r="J133" s="352">
        <v>0</v>
      </c>
      <c r="K133" s="157"/>
      <c r="R133" s="3" t="s">
        <v>464</v>
      </c>
    </row>
    <row r="134" spans="2:18">
      <c r="B134" s="101" t="s">
        <v>660</v>
      </c>
      <c r="C134" s="98"/>
      <c r="D134" s="98"/>
      <c r="E134" s="98"/>
      <c r="F134" s="101" t="s">
        <v>302</v>
      </c>
      <c r="G134" s="101">
        <v>2005</v>
      </c>
      <c r="H134" s="352">
        <v>22500</v>
      </c>
      <c r="I134" s="101">
        <v>2021</v>
      </c>
      <c r="J134" s="352">
        <v>0</v>
      </c>
      <c r="K134" s="157"/>
      <c r="R134" s="3" t="s">
        <v>464</v>
      </c>
    </row>
    <row r="135" spans="2:18">
      <c r="B135" s="101" t="s">
        <v>661</v>
      </c>
      <c r="C135" s="98"/>
      <c r="D135" s="98"/>
      <c r="E135" s="98"/>
      <c r="F135" s="101" t="s">
        <v>314</v>
      </c>
      <c r="G135" s="101">
        <v>2006</v>
      </c>
      <c r="H135" s="352">
        <v>23374</v>
      </c>
      <c r="I135" s="101">
        <v>2021</v>
      </c>
      <c r="J135" s="352">
        <v>0</v>
      </c>
      <c r="K135" s="157"/>
      <c r="R135" s="3" t="s">
        <v>464</v>
      </c>
    </row>
    <row r="136" spans="2:18">
      <c r="B136" s="101" t="s">
        <v>662</v>
      </c>
      <c r="C136" s="98"/>
      <c r="D136" s="98"/>
      <c r="E136" s="98"/>
      <c r="F136" s="101" t="s">
        <v>297</v>
      </c>
      <c r="G136" s="101">
        <v>2006</v>
      </c>
      <c r="H136" s="352">
        <v>216791.4</v>
      </c>
      <c r="I136" s="101">
        <v>2021</v>
      </c>
      <c r="J136" s="352">
        <v>132877.0119526372</v>
      </c>
      <c r="K136" s="157"/>
      <c r="R136" s="3" t="s">
        <v>464</v>
      </c>
    </row>
    <row r="137" spans="2:18">
      <c r="B137" s="101" t="s">
        <v>663</v>
      </c>
      <c r="C137" s="98"/>
      <c r="D137" s="98"/>
      <c r="E137" s="98"/>
      <c r="F137" s="101" t="s">
        <v>307</v>
      </c>
      <c r="G137" s="101">
        <v>2006</v>
      </c>
      <c r="H137" s="352">
        <v>39984.959999999999</v>
      </c>
      <c r="I137" s="101">
        <v>2021</v>
      </c>
      <c r="J137" s="352">
        <v>0</v>
      </c>
      <c r="K137" s="157"/>
      <c r="R137" s="3" t="s">
        <v>464</v>
      </c>
    </row>
    <row r="138" spans="2:18">
      <c r="B138" s="101" t="s">
        <v>664</v>
      </c>
      <c r="C138" s="98"/>
      <c r="D138" s="98"/>
      <c r="E138" s="98"/>
      <c r="F138" s="101" t="s">
        <v>297</v>
      </c>
      <c r="G138" s="101">
        <v>2007</v>
      </c>
      <c r="H138" s="352">
        <v>25858.771191949236</v>
      </c>
      <c r="I138" s="101">
        <v>2021</v>
      </c>
      <c r="J138" s="352">
        <v>16708.652536273155</v>
      </c>
      <c r="K138" s="157"/>
      <c r="R138" s="3" t="s">
        <v>464</v>
      </c>
    </row>
    <row r="139" spans="2:18">
      <c r="B139" s="101" t="s">
        <v>665</v>
      </c>
      <c r="C139" s="98"/>
      <c r="D139" s="98"/>
      <c r="E139" s="98"/>
      <c r="F139" s="101" t="s">
        <v>307</v>
      </c>
      <c r="G139" s="101">
        <v>2007</v>
      </c>
      <c r="H139" s="352">
        <v>1088351.8199999998</v>
      </c>
      <c r="I139" s="101">
        <v>2021</v>
      </c>
      <c r="J139" s="352">
        <v>0</v>
      </c>
      <c r="K139" s="157"/>
      <c r="R139" s="3" t="s">
        <v>464</v>
      </c>
    </row>
    <row r="140" spans="2:18">
      <c r="B140" s="101" t="s">
        <v>666</v>
      </c>
      <c r="C140" s="98"/>
      <c r="D140" s="98"/>
      <c r="E140" s="98"/>
      <c r="F140" s="101" t="s">
        <v>314</v>
      </c>
      <c r="G140" s="101">
        <v>2007</v>
      </c>
      <c r="H140" s="352">
        <v>661943.85</v>
      </c>
      <c r="I140" s="101">
        <v>2021</v>
      </c>
      <c r="J140" s="352">
        <v>0</v>
      </c>
      <c r="K140" s="157"/>
      <c r="R140" s="3" t="s">
        <v>464</v>
      </c>
    </row>
    <row r="141" spans="2:18">
      <c r="B141" s="101" t="s">
        <v>667</v>
      </c>
      <c r="C141" s="98"/>
      <c r="D141" s="98"/>
      <c r="E141" s="98"/>
      <c r="F141" s="101" t="s">
        <v>311</v>
      </c>
      <c r="G141" s="101">
        <v>2007</v>
      </c>
      <c r="H141" s="352">
        <v>154091.65000000002</v>
      </c>
      <c r="I141" s="101">
        <v>2021</v>
      </c>
      <c r="J141" s="352">
        <v>0</v>
      </c>
      <c r="K141" s="157"/>
      <c r="R141" s="3" t="s">
        <v>464</v>
      </c>
    </row>
    <row r="142" spans="2:18">
      <c r="B142" s="101" t="s">
        <v>668</v>
      </c>
      <c r="C142" s="98"/>
      <c r="D142" s="98"/>
      <c r="E142" s="98"/>
      <c r="F142" s="101" t="s">
        <v>293</v>
      </c>
      <c r="G142" s="101">
        <v>2007</v>
      </c>
      <c r="H142" s="352">
        <v>79744.08</v>
      </c>
      <c r="I142" s="101">
        <v>2021</v>
      </c>
      <c r="J142" s="352">
        <v>0</v>
      </c>
      <c r="K142" s="157"/>
      <c r="R142" s="3" t="s">
        <v>464</v>
      </c>
    </row>
    <row r="143" spans="2:18">
      <c r="B143" s="101" t="s">
        <v>669</v>
      </c>
      <c r="C143" s="98"/>
      <c r="D143" s="98"/>
      <c r="E143" s="98"/>
      <c r="F143" s="101" t="s">
        <v>324</v>
      </c>
      <c r="G143" s="101">
        <v>2008</v>
      </c>
      <c r="H143" s="352">
        <v>4978200.5000000009</v>
      </c>
      <c r="I143" s="101">
        <v>2021</v>
      </c>
      <c r="J143" s="352">
        <v>3386936.2239016104</v>
      </c>
      <c r="K143" s="157"/>
      <c r="R143" s="3" t="s">
        <v>464</v>
      </c>
    </row>
    <row r="144" spans="2:18">
      <c r="B144" s="101" t="s">
        <v>670</v>
      </c>
      <c r="C144" s="98"/>
      <c r="D144" s="98"/>
      <c r="E144" s="98"/>
      <c r="F144" s="101" t="s">
        <v>297</v>
      </c>
      <c r="G144" s="101">
        <v>2008</v>
      </c>
      <c r="H144" s="352">
        <v>233293.04544821067</v>
      </c>
      <c r="I144" s="101">
        <v>2021</v>
      </c>
      <c r="J144" s="352">
        <v>158721.74421517763</v>
      </c>
      <c r="K144" s="157"/>
      <c r="R144" s="3" t="s">
        <v>464</v>
      </c>
    </row>
    <row r="145" spans="2:18">
      <c r="B145" s="101" t="s">
        <v>671</v>
      </c>
      <c r="C145" s="98"/>
      <c r="D145" s="98"/>
      <c r="E145" s="98"/>
      <c r="F145" s="101" t="s">
        <v>303</v>
      </c>
      <c r="G145" s="101">
        <v>2008</v>
      </c>
      <c r="H145" s="352">
        <v>178157.88</v>
      </c>
      <c r="I145" s="101">
        <v>2021</v>
      </c>
      <c r="J145" s="352">
        <v>0</v>
      </c>
      <c r="K145" s="157"/>
      <c r="R145" s="3" t="s">
        <v>464</v>
      </c>
    </row>
    <row r="146" spans="2:18">
      <c r="B146" s="101" t="s">
        <v>672</v>
      </c>
      <c r="C146" s="98"/>
      <c r="D146" s="98"/>
      <c r="E146" s="98"/>
      <c r="F146" s="101" t="s">
        <v>314</v>
      </c>
      <c r="G146" s="101">
        <v>2008</v>
      </c>
      <c r="H146" s="352">
        <v>1299449.8500000001</v>
      </c>
      <c r="I146" s="101">
        <v>2021</v>
      </c>
      <c r="J146" s="352">
        <v>0</v>
      </c>
      <c r="K146" s="157"/>
      <c r="R146" s="3" t="s">
        <v>464</v>
      </c>
    </row>
    <row r="147" spans="2:18">
      <c r="B147" s="101" t="s">
        <v>673</v>
      </c>
      <c r="C147" s="98"/>
      <c r="D147" s="98"/>
      <c r="E147" s="98"/>
      <c r="F147" s="101" t="s">
        <v>343</v>
      </c>
      <c r="G147" s="101">
        <v>2008</v>
      </c>
      <c r="H147" s="352">
        <v>8310.1200000000008</v>
      </c>
      <c r="I147" s="101">
        <v>2021</v>
      </c>
      <c r="J147" s="352">
        <v>0</v>
      </c>
      <c r="K147" s="157"/>
      <c r="R147" s="3" t="s">
        <v>464</v>
      </c>
    </row>
    <row r="148" spans="2:18">
      <c r="B148" s="101" t="s">
        <v>674</v>
      </c>
      <c r="C148" s="98"/>
      <c r="D148" s="98"/>
      <c r="E148" s="98"/>
      <c r="F148" s="101" t="s">
        <v>307</v>
      </c>
      <c r="G148" s="101">
        <v>2008</v>
      </c>
      <c r="H148" s="352">
        <v>427546.18</v>
      </c>
      <c r="I148" s="101">
        <v>2021</v>
      </c>
      <c r="J148" s="352">
        <v>0</v>
      </c>
      <c r="K148" s="157"/>
      <c r="R148" s="3" t="s">
        <v>464</v>
      </c>
    </row>
    <row r="149" spans="2:18">
      <c r="B149" s="101" t="s">
        <v>675</v>
      </c>
      <c r="C149" s="98"/>
      <c r="D149" s="98"/>
      <c r="E149" s="98"/>
      <c r="F149" s="101" t="s">
        <v>301</v>
      </c>
      <c r="G149" s="101">
        <v>2008</v>
      </c>
      <c r="H149" s="352">
        <v>1194171.3899999999</v>
      </c>
      <c r="I149" s="101">
        <v>2021</v>
      </c>
      <c r="J149" s="352">
        <v>0</v>
      </c>
      <c r="K149" s="157"/>
      <c r="R149" s="3" t="s">
        <v>464</v>
      </c>
    </row>
    <row r="150" spans="2:18">
      <c r="B150" s="101" t="s">
        <v>676</v>
      </c>
      <c r="C150" s="98"/>
      <c r="D150" s="98"/>
      <c r="E150" s="98"/>
      <c r="F150" s="101" t="s">
        <v>301</v>
      </c>
      <c r="G150" s="101">
        <v>2009</v>
      </c>
      <c r="H150" s="352">
        <v>124506.82</v>
      </c>
      <c r="I150" s="101">
        <v>2021</v>
      </c>
      <c r="J150" s="352">
        <v>0</v>
      </c>
      <c r="K150" s="157"/>
      <c r="R150" s="3" t="s">
        <v>464</v>
      </c>
    </row>
    <row r="151" spans="2:18">
      <c r="B151" s="101" t="s">
        <v>677</v>
      </c>
      <c r="C151" s="98"/>
      <c r="D151" s="98"/>
      <c r="E151" s="98"/>
      <c r="F151" s="101" t="s">
        <v>314</v>
      </c>
      <c r="G151" s="101">
        <v>2009</v>
      </c>
      <c r="H151" s="352">
        <v>285378.59999999998</v>
      </c>
      <c r="I151" s="101">
        <v>2021</v>
      </c>
      <c r="J151" s="352">
        <v>0</v>
      </c>
      <c r="K151" s="157"/>
      <c r="R151" s="3" t="s">
        <v>464</v>
      </c>
    </row>
    <row r="152" spans="2:18">
      <c r="B152" s="101" t="s">
        <v>678</v>
      </c>
      <c r="C152" s="98"/>
      <c r="D152" s="98"/>
      <c r="E152" s="98"/>
      <c r="F152" s="101" t="s">
        <v>297</v>
      </c>
      <c r="G152" s="101">
        <v>2009</v>
      </c>
      <c r="H152" s="352">
        <v>35389.120000000003</v>
      </c>
      <c r="I152" s="101">
        <v>2021</v>
      </c>
      <c r="J152" s="352">
        <v>24744.506996892218</v>
      </c>
      <c r="K152" s="157"/>
      <c r="R152" s="3" t="s">
        <v>464</v>
      </c>
    </row>
    <row r="153" spans="2:18">
      <c r="B153" s="101" t="s">
        <v>679</v>
      </c>
      <c r="C153" s="98"/>
      <c r="D153" s="98"/>
      <c r="E153" s="98"/>
      <c r="F153" s="101" t="s">
        <v>302</v>
      </c>
      <c r="G153" s="101">
        <v>2009</v>
      </c>
      <c r="H153" s="352">
        <v>537011.27</v>
      </c>
      <c r="I153" s="101">
        <v>2021</v>
      </c>
      <c r="J153" s="352">
        <v>0</v>
      </c>
      <c r="K153" s="157"/>
      <c r="R153" s="3" t="s">
        <v>464</v>
      </c>
    </row>
    <row r="154" spans="2:18">
      <c r="B154" s="101" t="s">
        <v>680</v>
      </c>
      <c r="C154" s="98"/>
      <c r="D154" s="98"/>
      <c r="E154" s="98"/>
      <c r="F154" s="101" t="s">
        <v>324</v>
      </c>
      <c r="G154" s="101">
        <v>2009</v>
      </c>
      <c r="H154" s="352">
        <v>2416053.9300000006</v>
      </c>
      <c r="I154" s="101">
        <v>2021</v>
      </c>
      <c r="J154" s="352">
        <v>1689334.5575067692</v>
      </c>
      <c r="K154" s="157"/>
      <c r="R154" s="3" t="s">
        <v>464</v>
      </c>
    </row>
    <row r="155" spans="2:18">
      <c r="B155" s="101" t="s">
        <v>681</v>
      </c>
      <c r="C155" s="98"/>
      <c r="D155" s="98"/>
      <c r="E155" s="98"/>
      <c r="F155" s="101" t="s">
        <v>293</v>
      </c>
      <c r="G155" s="101">
        <v>2009</v>
      </c>
      <c r="H155" s="352">
        <v>97690.9</v>
      </c>
      <c r="I155" s="101">
        <v>2021</v>
      </c>
      <c r="J155" s="352">
        <v>0</v>
      </c>
      <c r="K155" s="157"/>
      <c r="R155" s="3" t="s">
        <v>464</v>
      </c>
    </row>
    <row r="156" spans="2:18">
      <c r="B156" s="101" t="s">
        <v>682</v>
      </c>
      <c r="C156" s="98"/>
      <c r="D156" s="98"/>
      <c r="E156" s="98"/>
      <c r="F156" s="101" t="s">
        <v>312</v>
      </c>
      <c r="G156" s="101">
        <v>2009</v>
      </c>
      <c r="H156" s="352">
        <v>655669.05999999994</v>
      </c>
      <c r="I156" s="101">
        <v>2021</v>
      </c>
      <c r="J156" s="352">
        <v>0</v>
      </c>
      <c r="K156" s="157"/>
      <c r="R156" s="3" t="s">
        <v>464</v>
      </c>
    </row>
    <row r="157" spans="2:18">
      <c r="B157" s="101" t="s">
        <v>683</v>
      </c>
      <c r="C157" s="98"/>
      <c r="D157" s="98"/>
      <c r="E157" s="98"/>
      <c r="F157" s="101" t="s">
        <v>307</v>
      </c>
      <c r="G157" s="101">
        <v>2010</v>
      </c>
      <c r="H157" s="352">
        <v>453194.78213502961</v>
      </c>
      <c r="I157" s="101">
        <v>2021</v>
      </c>
      <c r="J157" s="352">
        <v>0</v>
      </c>
      <c r="K157" s="157"/>
      <c r="R157" s="3" t="s">
        <v>464</v>
      </c>
    </row>
    <row r="158" spans="2:18">
      <c r="B158" s="101" t="s">
        <v>684</v>
      </c>
      <c r="C158" s="98"/>
      <c r="D158" s="98"/>
      <c r="E158" s="98"/>
      <c r="F158" s="101" t="s">
        <v>314</v>
      </c>
      <c r="G158" s="101">
        <v>2010</v>
      </c>
      <c r="H158" s="352">
        <v>179634.02000000002</v>
      </c>
      <c r="I158" s="101">
        <v>2021</v>
      </c>
      <c r="J158" s="352">
        <v>0</v>
      </c>
      <c r="K158" s="157"/>
      <c r="R158" s="3" t="s">
        <v>464</v>
      </c>
    </row>
    <row r="159" spans="2:18">
      <c r="B159" s="101" t="s">
        <v>685</v>
      </c>
      <c r="C159" s="98"/>
      <c r="D159" s="98"/>
      <c r="E159" s="98"/>
      <c r="F159" s="101" t="s">
        <v>311</v>
      </c>
      <c r="G159" s="101">
        <v>2011</v>
      </c>
      <c r="H159" s="352">
        <v>293470.62269139342</v>
      </c>
      <c r="I159" s="101">
        <v>2021</v>
      </c>
      <c r="J159" s="352">
        <v>0</v>
      </c>
      <c r="K159" s="157"/>
      <c r="R159" s="3" t="s">
        <v>464</v>
      </c>
    </row>
    <row r="160" spans="2:18">
      <c r="B160" s="101" t="s">
        <v>686</v>
      </c>
      <c r="C160" s="98"/>
      <c r="D160" s="98"/>
      <c r="E160" s="98"/>
      <c r="F160" s="101" t="s">
        <v>301</v>
      </c>
      <c r="G160" s="101">
        <v>2011</v>
      </c>
      <c r="H160" s="352">
        <v>309147.61872011481</v>
      </c>
      <c r="I160" s="101">
        <v>2021</v>
      </c>
      <c r="J160" s="352">
        <v>0</v>
      </c>
      <c r="K160" s="157"/>
      <c r="R160" s="3" t="s">
        <v>464</v>
      </c>
    </row>
    <row r="161" spans="2:18">
      <c r="B161" s="101" t="s">
        <v>687</v>
      </c>
      <c r="C161" s="98"/>
      <c r="D161" s="98"/>
      <c r="E161" s="98"/>
      <c r="F161" s="101" t="s">
        <v>346</v>
      </c>
      <c r="G161" s="101">
        <v>2011</v>
      </c>
      <c r="H161" s="352">
        <v>24343500.983545668</v>
      </c>
      <c r="I161" s="101">
        <v>2021</v>
      </c>
      <c r="J161" s="352">
        <v>0</v>
      </c>
      <c r="K161" s="157"/>
      <c r="R161" s="3" t="s">
        <v>464</v>
      </c>
    </row>
    <row r="162" spans="2:18">
      <c r="B162" s="101" t="s">
        <v>688</v>
      </c>
      <c r="C162" s="98"/>
      <c r="D162" s="98"/>
      <c r="E162" s="98"/>
      <c r="F162" s="101" t="s">
        <v>307</v>
      </c>
      <c r="G162" s="101">
        <v>2011</v>
      </c>
      <c r="H162" s="352">
        <v>345005.47060998465</v>
      </c>
      <c r="I162" s="101">
        <v>2021</v>
      </c>
      <c r="J162" s="352">
        <v>0</v>
      </c>
      <c r="K162" s="157"/>
      <c r="R162" s="3" t="s">
        <v>464</v>
      </c>
    </row>
    <row r="163" spans="2:18">
      <c r="B163" s="101" t="s">
        <v>689</v>
      </c>
      <c r="C163" s="98"/>
      <c r="D163" s="98"/>
      <c r="E163" s="98"/>
      <c r="F163" s="101" t="s">
        <v>312</v>
      </c>
      <c r="G163" s="101">
        <v>2011</v>
      </c>
      <c r="H163" s="352">
        <v>10931.96</v>
      </c>
      <c r="I163" s="101">
        <v>2021</v>
      </c>
      <c r="J163" s="352">
        <v>0</v>
      </c>
      <c r="K163" s="157"/>
      <c r="R163" s="3" t="s">
        <v>464</v>
      </c>
    </row>
    <row r="164" spans="2:18">
      <c r="B164" s="101" t="s">
        <v>690</v>
      </c>
      <c r="C164" s="98"/>
      <c r="D164" s="98"/>
      <c r="E164" s="98"/>
      <c r="F164" s="101" t="s">
        <v>342</v>
      </c>
      <c r="G164" s="101">
        <v>2012</v>
      </c>
      <c r="H164" s="352">
        <v>817297.73457401327</v>
      </c>
      <c r="I164" s="101">
        <v>2021</v>
      </c>
      <c r="J164" s="352">
        <v>0</v>
      </c>
      <c r="K164" s="157"/>
      <c r="R164" s="3" t="s">
        <v>464</v>
      </c>
    </row>
    <row r="165" spans="2:18">
      <c r="B165" s="101" t="s">
        <v>691</v>
      </c>
      <c r="C165" s="98"/>
      <c r="D165" s="98"/>
      <c r="E165" s="98"/>
      <c r="F165" s="101" t="s">
        <v>307</v>
      </c>
      <c r="G165" s="101">
        <v>2012</v>
      </c>
      <c r="H165" s="352">
        <v>237528.30775638262</v>
      </c>
      <c r="I165" s="101">
        <v>2021</v>
      </c>
      <c r="J165" s="352">
        <v>13628.978016883706</v>
      </c>
      <c r="K165" s="157"/>
      <c r="R165" s="3" t="s">
        <v>464</v>
      </c>
    </row>
    <row r="166" spans="2:18">
      <c r="B166" s="101" t="s">
        <v>692</v>
      </c>
      <c r="C166" s="98"/>
      <c r="D166" s="98"/>
      <c r="E166" s="98"/>
      <c r="F166" s="101" t="s">
        <v>312</v>
      </c>
      <c r="G166" s="101">
        <v>2012</v>
      </c>
      <c r="H166" s="352">
        <v>20000</v>
      </c>
      <c r="I166" s="101">
        <v>2021</v>
      </c>
      <c r="J166" s="352">
        <v>1147.5666328463135</v>
      </c>
      <c r="K166" s="157"/>
      <c r="R166" s="3" t="s">
        <v>464</v>
      </c>
    </row>
    <row r="167" spans="2:18">
      <c r="B167" s="101" t="s">
        <v>693</v>
      </c>
      <c r="C167" s="98"/>
      <c r="D167" s="98"/>
      <c r="E167" s="98"/>
      <c r="F167" s="101" t="s">
        <v>324</v>
      </c>
      <c r="G167" s="101">
        <v>2012</v>
      </c>
      <c r="H167" s="352">
        <v>701380.67501665035</v>
      </c>
      <c r="I167" s="101">
        <v>2021</v>
      </c>
      <c r="J167" s="352">
        <v>550002.05737442558</v>
      </c>
      <c r="K167" s="157"/>
      <c r="R167" s="3" t="s">
        <v>464</v>
      </c>
    </row>
    <row r="168" spans="2:18">
      <c r="B168" s="101" t="s">
        <v>694</v>
      </c>
      <c r="C168" s="98"/>
      <c r="D168" s="98"/>
      <c r="E168" s="98"/>
      <c r="F168" s="101" t="s">
        <v>303</v>
      </c>
      <c r="G168" s="101">
        <v>2012</v>
      </c>
      <c r="H168" s="352">
        <v>102288.01000000001</v>
      </c>
      <c r="I168" s="101">
        <v>2021</v>
      </c>
      <c r="J168" s="352">
        <v>5869.1153608124732</v>
      </c>
      <c r="K168" s="157"/>
      <c r="R168" s="3" t="s">
        <v>464</v>
      </c>
    </row>
    <row r="169" spans="2:18">
      <c r="B169" s="101" t="s">
        <v>695</v>
      </c>
      <c r="C169" s="98"/>
      <c r="D169" s="98"/>
      <c r="E169" s="98"/>
      <c r="F169" s="101" t="s">
        <v>302</v>
      </c>
      <c r="G169" s="101">
        <v>2012</v>
      </c>
      <c r="H169" s="352">
        <v>321753.96830222307</v>
      </c>
      <c r="I169" s="101">
        <v>2021</v>
      </c>
      <c r="J169" s="352">
        <v>18461.705900476001</v>
      </c>
      <c r="K169" s="157"/>
      <c r="R169" s="3" t="s">
        <v>464</v>
      </c>
    </row>
    <row r="170" spans="2:18">
      <c r="B170" s="101" t="s">
        <v>696</v>
      </c>
      <c r="C170" s="98"/>
      <c r="D170" s="98"/>
      <c r="E170" s="98"/>
      <c r="F170" s="101" t="s">
        <v>314</v>
      </c>
      <c r="G170" s="101">
        <v>2012</v>
      </c>
      <c r="H170" s="352">
        <v>341738.83030935976</v>
      </c>
      <c r="I170" s="101">
        <v>2021</v>
      </c>
      <c r="J170" s="352">
        <v>19608.403940547396</v>
      </c>
      <c r="K170" s="157"/>
      <c r="R170" s="3" t="s">
        <v>464</v>
      </c>
    </row>
    <row r="171" spans="2:18">
      <c r="B171" s="101" t="s">
        <v>697</v>
      </c>
      <c r="C171" s="98"/>
      <c r="D171" s="98"/>
      <c r="E171" s="98"/>
      <c r="F171" s="101" t="s">
        <v>301</v>
      </c>
      <c r="G171" s="101">
        <v>2012</v>
      </c>
      <c r="H171" s="352">
        <v>737114.28212566266</v>
      </c>
      <c r="I171" s="101">
        <v>2021</v>
      </c>
      <c r="J171" s="352">
        <v>42294.387738093574</v>
      </c>
      <c r="K171" s="157"/>
      <c r="R171" s="3" t="s">
        <v>464</v>
      </c>
    </row>
    <row r="172" spans="2:18">
      <c r="B172" s="101" t="s">
        <v>698</v>
      </c>
      <c r="C172" s="98"/>
      <c r="D172" s="98"/>
      <c r="E172" s="98"/>
      <c r="F172" s="101" t="s">
        <v>307</v>
      </c>
      <c r="G172" s="101">
        <v>2013</v>
      </c>
      <c r="H172" s="352">
        <v>5005059.40396435</v>
      </c>
      <c r="I172" s="101">
        <v>2021</v>
      </c>
      <c r="J172" s="352">
        <v>842175.83099752699</v>
      </c>
      <c r="K172" s="157"/>
      <c r="R172" s="3" t="s">
        <v>464</v>
      </c>
    </row>
    <row r="173" spans="2:18">
      <c r="B173" s="101" t="s">
        <v>699</v>
      </c>
      <c r="C173" s="98"/>
      <c r="D173" s="98"/>
      <c r="E173" s="98"/>
      <c r="F173" s="101" t="s">
        <v>324</v>
      </c>
      <c r="G173" s="101">
        <v>2013</v>
      </c>
      <c r="H173" s="352">
        <v>1237826.9064472313</v>
      </c>
      <c r="I173" s="101">
        <v>2021</v>
      </c>
      <c r="J173" s="352">
        <v>995129.04477620148</v>
      </c>
      <c r="K173" s="157"/>
      <c r="R173" s="3" t="s">
        <v>464</v>
      </c>
    </row>
    <row r="174" spans="2:18">
      <c r="B174" s="101" t="s">
        <v>700</v>
      </c>
      <c r="C174" s="98"/>
      <c r="D174" s="98"/>
      <c r="E174" s="98"/>
      <c r="F174" s="101" t="s">
        <v>302</v>
      </c>
      <c r="G174" s="101">
        <v>2013</v>
      </c>
      <c r="H174" s="352">
        <v>292655.61609467439</v>
      </c>
      <c r="I174" s="101">
        <v>2021</v>
      </c>
      <c r="J174" s="352">
        <v>49243.668613684422</v>
      </c>
      <c r="K174" s="157"/>
      <c r="R174" s="3" t="s">
        <v>464</v>
      </c>
    </row>
    <row r="175" spans="2:18">
      <c r="B175" s="101" t="s">
        <v>701</v>
      </c>
      <c r="C175" s="98"/>
      <c r="D175" s="98"/>
      <c r="E175" s="98"/>
      <c r="F175" s="101" t="s">
        <v>324</v>
      </c>
      <c r="G175" s="101">
        <v>2014</v>
      </c>
      <c r="H175" s="352">
        <v>4973944.9463818558</v>
      </c>
      <c r="I175" s="101">
        <v>2021</v>
      </c>
      <c r="J175" s="352">
        <v>4070721.5945336674</v>
      </c>
      <c r="K175" s="157"/>
      <c r="R175" s="3" t="s">
        <v>464</v>
      </c>
    </row>
    <row r="176" spans="2:18">
      <c r="B176" s="101" t="s">
        <v>702</v>
      </c>
      <c r="C176" s="98"/>
      <c r="D176" s="98"/>
      <c r="E176" s="98"/>
      <c r="F176" s="101" t="s">
        <v>302</v>
      </c>
      <c r="G176" s="101">
        <v>2014</v>
      </c>
      <c r="H176" s="352">
        <v>332895.6529706032</v>
      </c>
      <c r="I176" s="101">
        <v>2021</v>
      </c>
      <c r="J176" s="352">
        <v>90814.939173486709</v>
      </c>
      <c r="K176" s="157"/>
      <c r="R176" s="3" t="s">
        <v>464</v>
      </c>
    </row>
    <row r="177" spans="2:18">
      <c r="B177" s="101" t="s">
        <v>703</v>
      </c>
      <c r="C177" s="98"/>
      <c r="D177" s="98"/>
      <c r="E177" s="98"/>
      <c r="F177" s="101" t="s">
        <v>303</v>
      </c>
      <c r="G177" s="101">
        <v>2014</v>
      </c>
      <c r="H177" s="352">
        <v>294123.8734031191</v>
      </c>
      <c r="I177" s="101">
        <v>2021</v>
      </c>
      <c r="J177" s="352">
        <v>80237.880651848885</v>
      </c>
      <c r="K177" s="157"/>
      <c r="R177" s="3" t="s">
        <v>464</v>
      </c>
    </row>
    <row r="178" spans="2:18">
      <c r="B178" s="101" t="s">
        <v>704</v>
      </c>
      <c r="C178" s="98"/>
      <c r="D178" s="98"/>
      <c r="E178" s="98"/>
      <c r="F178" s="101" t="s">
        <v>312</v>
      </c>
      <c r="G178" s="101">
        <v>2014</v>
      </c>
      <c r="H178" s="352">
        <v>24919.261718386999</v>
      </c>
      <c r="I178" s="101">
        <v>2021</v>
      </c>
      <c r="J178" s="352">
        <v>6798.0498303573586</v>
      </c>
      <c r="K178" s="157"/>
      <c r="R178" s="3" t="s">
        <v>464</v>
      </c>
    </row>
    <row r="179" spans="2:18">
      <c r="B179" s="101" t="s">
        <v>705</v>
      </c>
      <c r="C179" s="98"/>
      <c r="D179" s="98"/>
      <c r="E179" s="98"/>
      <c r="F179" s="101" t="s">
        <v>307</v>
      </c>
      <c r="G179" s="101">
        <v>2014</v>
      </c>
      <c r="H179" s="352">
        <v>264974.99557180319</v>
      </c>
      <c r="I179" s="101">
        <v>2021</v>
      </c>
      <c r="J179" s="352">
        <v>72285.978776277945</v>
      </c>
      <c r="K179" s="157"/>
      <c r="R179" s="3" t="s">
        <v>464</v>
      </c>
    </row>
    <row r="180" spans="2:18">
      <c r="B180" s="101" t="s">
        <v>706</v>
      </c>
      <c r="C180" s="98"/>
      <c r="D180" s="98"/>
      <c r="E180" s="98"/>
      <c r="F180" s="101" t="s">
        <v>301</v>
      </c>
      <c r="G180" s="101">
        <v>2014</v>
      </c>
      <c r="H180" s="352">
        <v>724167.86511950963</v>
      </c>
      <c r="I180" s="101">
        <v>2021</v>
      </c>
      <c r="J180" s="352">
        <v>197555.1799351057</v>
      </c>
      <c r="K180" s="157"/>
      <c r="R180" s="3" t="s">
        <v>464</v>
      </c>
    </row>
    <row r="181" spans="2:18">
      <c r="B181" s="101" t="s">
        <v>707</v>
      </c>
      <c r="C181" s="98"/>
      <c r="D181" s="98"/>
      <c r="E181" s="98"/>
      <c r="F181" s="101" t="s">
        <v>315</v>
      </c>
      <c r="G181" s="101">
        <v>2014</v>
      </c>
      <c r="H181" s="352">
        <v>1415.9999999999968</v>
      </c>
      <c r="I181" s="101">
        <v>2021</v>
      </c>
      <c r="J181" s="352">
        <v>386.28907503641284</v>
      </c>
      <c r="K181" s="157"/>
      <c r="R181" s="3" t="s">
        <v>464</v>
      </c>
    </row>
    <row r="182" spans="2:18">
      <c r="B182" s="101" t="s">
        <v>708</v>
      </c>
      <c r="C182" s="98"/>
      <c r="D182" s="98"/>
      <c r="E182" s="98"/>
      <c r="F182" s="101" t="s">
        <v>315</v>
      </c>
      <c r="G182" s="101">
        <v>2015</v>
      </c>
      <c r="H182" s="352">
        <v>43315.304046858677</v>
      </c>
      <c r="I182" s="101">
        <v>2021</v>
      </c>
      <c r="J182" s="352">
        <v>16379.370300704035</v>
      </c>
      <c r="K182" s="157"/>
      <c r="R182" s="3" t="s">
        <v>464</v>
      </c>
    </row>
    <row r="183" spans="2:18">
      <c r="B183" s="101" t="s">
        <v>709</v>
      </c>
      <c r="C183" s="98"/>
      <c r="D183" s="98"/>
      <c r="E183" s="98"/>
      <c r="F183" s="101" t="s">
        <v>312</v>
      </c>
      <c r="G183" s="101">
        <v>2015</v>
      </c>
      <c r="H183" s="352">
        <v>78424.550748692549</v>
      </c>
      <c r="I183" s="101">
        <v>2021</v>
      </c>
      <c r="J183" s="352">
        <v>29655.679110310892</v>
      </c>
      <c r="K183" s="157"/>
      <c r="R183" s="3" t="s">
        <v>464</v>
      </c>
    </row>
    <row r="184" spans="2:18">
      <c r="B184" s="101" t="s">
        <v>710</v>
      </c>
      <c r="C184" s="98"/>
      <c r="D184" s="98"/>
      <c r="E184" s="98"/>
      <c r="F184" s="101" t="s">
        <v>307</v>
      </c>
      <c r="G184" s="101">
        <v>2015</v>
      </c>
      <c r="H184" s="352">
        <v>481116.61247078225</v>
      </c>
      <c r="I184" s="101">
        <v>2021</v>
      </c>
      <c r="J184" s="352">
        <v>181930.78236168518</v>
      </c>
      <c r="K184" s="157"/>
      <c r="R184" s="3" t="s">
        <v>464</v>
      </c>
    </row>
    <row r="185" spans="2:18">
      <c r="B185" s="101" t="s">
        <v>711</v>
      </c>
      <c r="C185" s="98"/>
      <c r="D185" s="98"/>
      <c r="E185" s="98"/>
      <c r="F185" s="101" t="s">
        <v>347</v>
      </c>
      <c r="G185" s="101">
        <v>2015</v>
      </c>
      <c r="H185" s="352">
        <v>13785822.782425826</v>
      </c>
      <c r="I185" s="101">
        <v>2021</v>
      </c>
      <c r="J185" s="352">
        <v>8440110.7970265597</v>
      </c>
      <c r="K185" s="157"/>
      <c r="R185" s="3" t="s">
        <v>464</v>
      </c>
    </row>
    <row r="186" spans="2:18">
      <c r="B186" s="101" t="s">
        <v>712</v>
      </c>
      <c r="C186" s="98"/>
      <c r="D186" s="98"/>
      <c r="E186" s="98"/>
      <c r="F186" s="101" t="s">
        <v>311</v>
      </c>
      <c r="G186" s="101">
        <v>2015</v>
      </c>
      <c r="H186" s="352">
        <v>43877.173224174046</v>
      </c>
      <c r="I186" s="101">
        <v>2021</v>
      </c>
      <c r="J186" s="352">
        <v>16591.837083941773</v>
      </c>
      <c r="K186" s="157"/>
      <c r="R186" s="3" t="s">
        <v>464</v>
      </c>
    </row>
    <row r="187" spans="2:18">
      <c r="B187" s="101" t="s">
        <v>713</v>
      </c>
      <c r="C187" s="98"/>
      <c r="D187" s="98"/>
      <c r="E187" s="98"/>
      <c r="F187" s="101" t="s">
        <v>302</v>
      </c>
      <c r="G187" s="101">
        <v>2015</v>
      </c>
      <c r="H187" s="352">
        <v>153470.91831934603</v>
      </c>
      <c r="I187" s="101">
        <v>2021</v>
      </c>
      <c r="J187" s="352">
        <v>58033.922579009974</v>
      </c>
      <c r="K187" s="157"/>
      <c r="R187" s="3" t="s">
        <v>464</v>
      </c>
    </row>
    <row r="188" spans="2:18">
      <c r="B188" s="101" t="s">
        <v>714</v>
      </c>
      <c r="C188" s="98"/>
      <c r="D188" s="98"/>
      <c r="E188" s="98"/>
      <c r="F188" s="101" t="s">
        <v>324</v>
      </c>
      <c r="G188" s="101">
        <v>2015</v>
      </c>
      <c r="H188" s="352">
        <v>2375369.7957282378</v>
      </c>
      <c r="I188" s="101">
        <v>2021</v>
      </c>
      <c r="J188" s="352">
        <v>2010322.0086927759</v>
      </c>
      <c r="K188" s="157"/>
      <c r="R188" s="3" t="s">
        <v>464</v>
      </c>
    </row>
    <row r="189" spans="2:18">
      <c r="B189" s="101" t="s">
        <v>715</v>
      </c>
      <c r="C189" s="98"/>
      <c r="D189" s="98"/>
      <c r="E189" s="98"/>
      <c r="F189" s="101" t="s">
        <v>297</v>
      </c>
      <c r="G189" s="101">
        <v>2015</v>
      </c>
      <c r="H189" s="352">
        <v>516544.29057147249</v>
      </c>
      <c r="I189" s="101">
        <v>2021</v>
      </c>
      <c r="J189" s="352">
        <v>437161.55592610373</v>
      </c>
      <c r="K189" s="157"/>
      <c r="R189" s="3" t="s">
        <v>464</v>
      </c>
    </row>
    <row r="190" spans="2:18">
      <c r="B190" s="101" t="s">
        <v>716</v>
      </c>
      <c r="C190" s="98"/>
      <c r="D190" s="98"/>
      <c r="E190" s="98"/>
      <c r="F190" s="101" t="s">
        <v>301</v>
      </c>
      <c r="G190" s="101">
        <v>2015</v>
      </c>
      <c r="H190" s="352">
        <v>406758.82739129546</v>
      </c>
      <c r="I190" s="101">
        <v>2021</v>
      </c>
      <c r="J190" s="352">
        <v>153812.9214033616</v>
      </c>
      <c r="K190" s="157"/>
      <c r="R190" s="3" t="s">
        <v>464</v>
      </c>
    </row>
    <row r="191" spans="2:18">
      <c r="B191" s="101" t="s">
        <v>717</v>
      </c>
      <c r="C191" s="98"/>
      <c r="D191" s="98"/>
      <c r="E191" s="98"/>
      <c r="F191" s="101" t="s">
        <v>324</v>
      </c>
      <c r="G191" s="101">
        <v>2016</v>
      </c>
      <c r="H191" s="352">
        <v>229380.26938547671</v>
      </c>
      <c r="I191" s="101">
        <v>2021</v>
      </c>
      <c r="J191" s="352">
        <v>200783.5579674957</v>
      </c>
      <c r="K191" s="157"/>
      <c r="R191" s="3" t="s">
        <v>464</v>
      </c>
    </row>
    <row r="192" spans="2:18">
      <c r="B192" s="101" t="s">
        <v>718</v>
      </c>
      <c r="C192" s="98"/>
      <c r="D192" s="98"/>
      <c r="E192" s="98"/>
      <c r="F192" s="101" t="s">
        <v>347</v>
      </c>
      <c r="G192" s="101">
        <v>2016</v>
      </c>
      <c r="H192" s="352">
        <v>529286.5107518764</v>
      </c>
      <c r="I192" s="101">
        <v>2021</v>
      </c>
      <c r="J192" s="352">
        <v>359294.38470756344</v>
      </c>
      <c r="K192" s="157"/>
      <c r="R192" s="3" t="s">
        <v>464</v>
      </c>
    </row>
    <row r="193" spans="2:18">
      <c r="B193" s="101" t="s">
        <v>719</v>
      </c>
      <c r="C193" s="98"/>
      <c r="D193" s="98"/>
      <c r="E193" s="98"/>
      <c r="F193" s="101" t="s">
        <v>311</v>
      </c>
      <c r="G193" s="101">
        <v>2016</v>
      </c>
      <c r="H193" s="352">
        <v>28567.827468907908</v>
      </c>
      <c r="I193" s="101">
        <v>2021</v>
      </c>
      <c r="J193" s="352">
        <v>13778.977338155324</v>
      </c>
      <c r="K193" s="157"/>
      <c r="R193" s="3" t="s">
        <v>464</v>
      </c>
    </row>
    <row r="194" spans="2:18">
      <c r="B194" s="101" t="s">
        <v>720</v>
      </c>
      <c r="C194" s="98"/>
      <c r="D194" s="98"/>
      <c r="E194" s="98"/>
      <c r="F194" s="101" t="s">
        <v>297</v>
      </c>
      <c r="G194" s="101">
        <v>2016</v>
      </c>
      <c r="H194" s="352">
        <v>69569.550579382194</v>
      </c>
      <c r="I194" s="101">
        <v>2021</v>
      </c>
      <c r="J194" s="352">
        <v>60896.353156050573</v>
      </c>
      <c r="K194" s="157"/>
      <c r="R194" s="3" t="s">
        <v>464</v>
      </c>
    </row>
    <row r="195" spans="2:18">
      <c r="B195" s="101" t="s">
        <v>721</v>
      </c>
      <c r="C195" s="98"/>
      <c r="D195" s="98"/>
      <c r="E195" s="98"/>
      <c r="F195" s="101" t="s">
        <v>302</v>
      </c>
      <c r="G195" s="101">
        <v>2016</v>
      </c>
      <c r="H195" s="352">
        <v>285684.31746031862</v>
      </c>
      <c r="I195" s="101">
        <v>2021</v>
      </c>
      <c r="J195" s="352">
        <v>137792.68796118168</v>
      </c>
      <c r="K195" s="157"/>
      <c r="R195" s="3" t="s">
        <v>464</v>
      </c>
    </row>
    <row r="196" spans="2:18">
      <c r="B196" s="101" t="s">
        <v>722</v>
      </c>
      <c r="C196" s="98"/>
      <c r="D196" s="98"/>
      <c r="E196" s="98"/>
      <c r="F196" s="101" t="s">
        <v>301</v>
      </c>
      <c r="G196" s="101">
        <v>2016</v>
      </c>
      <c r="H196" s="352">
        <v>23169.006741347624</v>
      </c>
      <c r="I196" s="101">
        <v>2021</v>
      </c>
      <c r="J196" s="352">
        <v>11174.991139387506</v>
      </c>
      <c r="K196" s="157"/>
      <c r="R196" s="3" t="s">
        <v>464</v>
      </c>
    </row>
    <row r="197" spans="2:18">
      <c r="B197" s="101" t="s">
        <v>723</v>
      </c>
      <c r="C197" s="98"/>
      <c r="D197" s="98"/>
      <c r="E197" s="98"/>
      <c r="F197" s="101" t="s">
        <v>310</v>
      </c>
      <c r="G197" s="101">
        <v>2017</v>
      </c>
      <c r="H197" s="352">
        <v>42505.139899436123</v>
      </c>
      <c r="I197" s="101">
        <v>2021</v>
      </c>
      <c r="J197" s="352">
        <v>25007.119857240814</v>
      </c>
      <c r="K197" s="157"/>
      <c r="R197" s="3" t="s">
        <v>464</v>
      </c>
    </row>
    <row r="198" spans="2:18">
      <c r="B198" s="101" t="s">
        <v>724</v>
      </c>
      <c r="C198" s="98"/>
      <c r="D198" s="98"/>
      <c r="E198" s="98"/>
      <c r="F198" s="101" t="s">
        <v>303</v>
      </c>
      <c r="G198" s="101">
        <v>2017</v>
      </c>
      <c r="H198" s="352">
        <v>283180.78041617683</v>
      </c>
      <c r="I198" s="101">
        <v>2021</v>
      </c>
      <c r="J198" s="352">
        <v>166604.2208986652</v>
      </c>
      <c r="K198" s="157"/>
      <c r="R198" s="3" t="s">
        <v>464</v>
      </c>
    </row>
    <row r="199" spans="2:18">
      <c r="B199" s="101" t="s">
        <v>725</v>
      </c>
      <c r="C199" s="98"/>
      <c r="D199" s="98"/>
      <c r="E199" s="98"/>
      <c r="F199" s="101" t="s">
        <v>303</v>
      </c>
      <c r="G199" s="101">
        <v>2016</v>
      </c>
      <c r="H199" s="352">
        <v>59355.750635093973</v>
      </c>
      <c r="I199" s="101">
        <v>2021</v>
      </c>
      <c r="J199" s="352">
        <v>28628.76232994219</v>
      </c>
      <c r="K199" s="157"/>
      <c r="R199" s="3" t="s">
        <v>464</v>
      </c>
    </row>
    <row r="200" spans="2:18">
      <c r="B200" s="101" t="s">
        <v>726</v>
      </c>
      <c r="C200" s="98"/>
      <c r="D200" s="98"/>
      <c r="E200" s="98"/>
      <c r="F200" s="101" t="s">
        <v>324</v>
      </c>
      <c r="G200" s="101">
        <v>2017</v>
      </c>
      <c r="H200" s="352">
        <v>1235103.6006231268</v>
      </c>
      <c r="I200" s="101">
        <v>2021</v>
      </c>
      <c r="J200" s="352">
        <v>1123005.4133120223</v>
      </c>
      <c r="K200" s="157"/>
      <c r="R200" s="3" t="s">
        <v>464</v>
      </c>
    </row>
    <row r="201" spans="2:18">
      <c r="B201" s="101" t="s">
        <v>727</v>
      </c>
      <c r="C201" s="98"/>
      <c r="D201" s="98"/>
      <c r="E201" s="98"/>
      <c r="F201" s="101" t="s">
        <v>312</v>
      </c>
      <c r="G201" s="101">
        <v>2017</v>
      </c>
      <c r="H201" s="352">
        <v>251242.94461834809</v>
      </c>
      <c r="I201" s="101">
        <v>2021</v>
      </c>
      <c r="J201" s="352">
        <v>147814.18069019204</v>
      </c>
      <c r="K201" s="157"/>
      <c r="R201" s="3" t="s">
        <v>464</v>
      </c>
    </row>
    <row r="202" spans="2:18">
      <c r="B202" s="101" t="s">
        <v>728</v>
      </c>
      <c r="C202" s="98"/>
      <c r="D202" s="98"/>
      <c r="E202" s="98"/>
      <c r="F202" s="101" t="s">
        <v>311</v>
      </c>
      <c r="G202" s="101">
        <v>2017</v>
      </c>
      <c r="H202" s="352">
        <v>342149.84909853589</v>
      </c>
      <c r="I202" s="101">
        <v>2021</v>
      </c>
      <c r="J202" s="352">
        <v>201297.59143922853</v>
      </c>
      <c r="K202" s="157"/>
      <c r="R202" s="3" t="s">
        <v>464</v>
      </c>
    </row>
    <row r="203" spans="2:18">
      <c r="B203" s="101" t="s">
        <v>729</v>
      </c>
      <c r="C203" s="98"/>
      <c r="D203" s="98"/>
      <c r="E203" s="98"/>
      <c r="F203" s="101" t="s">
        <v>306</v>
      </c>
      <c r="G203" s="101">
        <v>2017</v>
      </c>
      <c r="H203" s="352">
        <v>492613.45921199484</v>
      </c>
      <c r="I203" s="101">
        <v>2021</v>
      </c>
      <c r="J203" s="352">
        <v>289820.09815635922</v>
      </c>
      <c r="K203" s="157"/>
      <c r="R203" s="3" t="s">
        <v>464</v>
      </c>
    </row>
    <row r="204" spans="2:18">
      <c r="B204" s="101" t="s">
        <v>730</v>
      </c>
      <c r="C204" s="98"/>
      <c r="D204" s="98"/>
      <c r="E204" s="98"/>
      <c r="F204" s="101" t="s">
        <v>307</v>
      </c>
      <c r="G204" s="101">
        <v>2017</v>
      </c>
      <c r="H204" s="352">
        <v>2185364.6124668787</v>
      </c>
      <c r="I204" s="101">
        <v>2021</v>
      </c>
      <c r="J204" s="352">
        <v>1285719.20772473</v>
      </c>
      <c r="K204" s="157"/>
      <c r="R204" s="3" t="s">
        <v>464</v>
      </c>
    </row>
    <row r="205" spans="2:18">
      <c r="B205" s="101" t="s">
        <v>731</v>
      </c>
      <c r="C205" s="98"/>
      <c r="D205" s="98"/>
      <c r="E205" s="98"/>
      <c r="F205" s="101" t="s">
        <v>314</v>
      </c>
      <c r="G205" s="101">
        <v>2017</v>
      </c>
      <c r="H205" s="352">
        <v>68624.022512808762</v>
      </c>
      <c r="I205" s="101">
        <v>2021</v>
      </c>
      <c r="J205" s="352">
        <v>40373.685632465487</v>
      </c>
      <c r="K205" s="157"/>
      <c r="R205" s="3" t="s">
        <v>464</v>
      </c>
    </row>
    <row r="206" spans="2:18">
      <c r="B206" s="101" t="s">
        <v>732</v>
      </c>
      <c r="C206" s="98"/>
      <c r="D206" s="98"/>
      <c r="E206" s="98"/>
      <c r="F206" s="101" t="s">
        <v>302</v>
      </c>
      <c r="G206" s="101">
        <v>2017</v>
      </c>
      <c r="H206" s="352">
        <v>75086.588886849713</v>
      </c>
      <c r="I206" s="101">
        <v>2021</v>
      </c>
      <c r="J206" s="352">
        <v>44175.81808711389</v>
      </c>
      <c r="K206" s="157"/>
      <c r="R206" s="3" t="s">
        <v>464</v>
      </c>
    </row>
    <row r="207" spans="2:18">
      <c r="B207" s="101" t="s">
        <v>733</v>
      </c>
      <c r="C207" s="98"/>
      <c r="D207" s="98"/>
      <c r="E207" s="98"/>
      <c r="F207" s="101" t="s">
        <v>301</v>
      </c>
      <c r="G207" s="101">
        <v>2017</v>
      </c>
      <c r="H207" s="352">
        <v>894081.48176313401</v>
      </c>
      <c r="I207" s="101">
        <v>2021</v>
      </c>
      <c r="J207" s="352">
        <v>526016.44952794898</v>
      </c>
      <c r="K207" s="157"/>
      <c r="R207" s="3" t="s">
        <v>464</v>
      </c>
    </row>
    <row r="208" spans="2:18">
      <c r="B208" s="101" t="s">
        <v>734</v>
      </c>
      <c r="C208" s="98"/>
      <c r="D208" s="98"/>
      <c r="E208" s="98"/>
      <c r="F208" s="101" t="s">
        <v>302</v>
      </c>
      <c r="G208" s="101">
        <v>2018</v>
      </c>
      <c r="H208" s="352">
        <v>490885.08786120504</v>
      </c>
      <c r="I208" s="101">
        <v>2021</v>
      </c>
      <c r="J208" s="352">
        <v>336600.51580018562</v>
      </c>
      <c r="K208" s="157"/>
      <c r="R208" s="3" t="s">
        <v>464</v>
      </c>
    </row>
    <row r="209" spans="2:18">
      <c r="B209" s="101" t="s">
        <v>735</v>
      </c>
      <c r="C209" s="98"/>
      <c r="D209" s="98"/>
      <c r="E209" s="98"/>
      <c r="F209" s="101" t="s">
        <v>301</v>
      </c>
      <c r="G209" s="101">
        <v>2018</v>
      </c>
      <c r="H209" s="352">
        <v>533703.76265516167</v>
      </c>
      <c r="I209" s="101">
        <v>2021</v>
      </c>
      <c r="J209" s="352">
        <v>365961.33440708811</v>
      </c>
      <c r="K209" s="157"/>
      <c r="R209" s="3" t="s">
        <v>464</v>
      </c>
    </row>
    <row r="210" spans="2:18">
      <c r="B210" s="101" t="s">
        <v>736</v>
      </c>
      <c r="C210" s="98"/>
      <c r="D210" s="98"/>
      <c r="E210" s="98"/>
      <c r="F210" s="101" t="s">
        <v>307</v>
      </c>
      <c r="G210" s="101">
        <v>2018</v>
      </c>
      <c r="H210" s="352">
        <v>2619455.826851733</v>
      </c>
      <c r="I210" s="101">
        <v>2021</v>
      </c>
      <c r="J210" s="352">
        <v>1796164.1211708463</v>
      </c>
      <c r="K210" s="157"/>
      <c r="R210" s="3" t="s">
        <v>464</v>
      </c>
    </row>
    <row r="211" spans="2:18">
      <c r="B211" s="101" t="s">
        <v>737</v>
      </c>
      <c r="C211" s="98"/>
      <c r="D211" s="98"/>
      <c r="E211" s="98"/>
      <c r="F211" s="101" t="s">
        <v>303</v>
      </c>
      <c r="G211" s="101">
        <v>2018</v>
      </c>
      <c r="H211" s="352">
        <v>252164.79428194632</v>
      </c>
      <c r="I211" s="101">
        <v>2021</v>
      </c>
      <c r="J211" s="352">
        <v>172909.7133338665</v>
      </c>
      <c r="K211" s="157"/>
      <c r="R211" s="3" t="s">
        <v>464</v>
      </c>
    </row>
    <row r="212" spans="2:18">
      <c r="B212" s="101" t="s">
        <v>738</v>
      </c>
      <c r="C212" s="98"/>
      <c r="D212" s="98"/>
      <c r="E212" s="98"/>
      <c r="F212" s="101" t="s">
        <v>310</v>
      </c>
      <c r="G212" s="101">
        <v>2018</v>
      </c>
      <c r="H212" s="352">
        <v>13021546.318391869</v>
      </c>
      <c r="I212" s="101">
        <v>2021</v>
      </c>
      <c r="J212" s="352">
        <v>8928890.519742161</v>
      </c>
      <c r="K212" s="157"/>
      <c r="R212" s="3" t="s">
        <v>464</v>
      </c>
    </row>
    <row r="213" spans="2:18">
      <c r="B213" s="101" t="s">
        <v>739</v>
      </c>
      <c r="C213" s="98"/>
      <c r="D213" s="98"/>
      <c r="E213" s="98"/>
      <c r="F213" s="101" t="s">
        <v>324</v>
      </c>
      <c r="G213" s="101">
        <v>2018</v>
      </c>
      <c r="H213" s="352">
        <v>5158473.573657441</v>
      </c>
      <c r="I213" s="101">
        <v>2021</v>
      </c>
      <c r="J213" s="352">
        <v>4806925.7125234623</v>
      </c>
      <c r="K213" s="157"/>
      <c r="R213" s="3" t="s">
        <v>464</v>
      </c>
    </row>
    <row r="214" spans="2:18">
      <c r="B214" s="101" t="s">
        <v>740</v>
      </c>
      <c r="C214" s="98"/>
      <c r="D214" s="98"/>
      <c r="E214" s="98"/>
      <c r="F214" s="101" t="s">
        <v>348</v>
      </c>
      <c r="G214" s="101">
        <v>2018</v>
      </c>
      <c r="H214" s="352">
        <v>21147142.000000007</v>
      </c>
      <c r="I214" s="101">
        <v>2021</v>
      </c>
      <c r="J214" s="352">
        <v>17103297.263965867</v>
      </c>
      <c r="K214" s="157"/>
      <c r="R214" s="3" t="s">
        <v>464</v>
      </c>
    </row>
    <row r="215" spans="2:18">
      <c r="B215" s="101" t="s">
        <v>741</v>
      </c>
      <c r="C215" s="98"/>
      <c r="D215" s="98"/>
      <c r="E215" s="98"/>
      <c r="F215" s="101" t="s">
        <v>344</v>
      </c>
      <c r="G215" s="101">
        <v>2018</v>
      </c>
      <c r="H215" s="352">
        <v>1669649.9999999995</v>
      </c>
      <c r="I215" s="101">
        <v>2021</v>
      </c>
      <c r="J215" s="352">
        <v>528406.65386783984</v>
      </c>
      <c r="K215" s="157"/>
      <c r="R215" s="3" t="s">
        <v>464</v>
      </c>
    </row>
    <row r="216" spans="2:18">
      <c r="B216" s="101" t="s">
        <v>742</v>
      </c>
      <c r="C216" s="98"/>
      <c r="D216" s="98"/>
      <c r="E216" s="98"/>
      <c r="F216" s="101" t="s">
        <v>293</v>
      </c>
      <c r="G216" s="101">
        <v>2017</v>
      </c>
      <c r="H216" s="352">
        <v>41129.587663444909</v>
      </c>
      <c r="I216" s="101">
        <v>2021</v>
      </c>
      <c r="J216" s="352">
        <v>24197.83891576614</v>
      </c>
      <c r="K216" s="157"/>
      <c r="R216" s="3" t="s">
        <v>464</v>
      </c>
    </row>
    <row r="217" spans="2:18">
      <c r="B217" s="101" t="s">
        <v>743</v>
      </c>
      <c r="C217" s="98"/>
      <c r="D217" s="98"/>
      <c r="E217" s="98"/>
      <c r="F217" s="101" t="s">
        <v>297</v>
      </c>
      <c r="G217" s="101">
        <v>2018</v>
      </c>
      <c r="H217" s="352">
        <v>1769813.2968497979</v>
      </c>
      <c r="I217" s="101">
        <v>2021</v>
      </c>
      <c r="J217" s="352">
        <v>1649201.2455850111</v>
      </c>
      <c r="K217" s="157"/>
      <c r="R217" s="3" t="s">
        <v>464</v>
      </c>
    </row>
    <row r="218" spans="2:18">
      <c r="B218" s="101" t="s">
        <v>744</v>
      </c>
      <c r="C218" s="98"/>
      <c r="D218" s="98"/>
      <c r="E218" s="98"/>
      <c r="F218" s="101" t="s">
        <v>314</v>
      </c>
      <c r="G218" s="101">
        <v>2018</v>
      </c>
      <c r="H218" s="352">
        <v>20291.448993786991</v>
      </c>
      <c r="I218" s="101">
        <v>2021</v>
      </c>
      <c r="J218" s="352">
        <v>13913.871833835448</v>
      </c>
      <c r="K218" s="157"/>
      <c r="R218" s="3" t="s">
        <v>464</v>
      </c>
    </row>
    <row r="219" spans="2:18">
      <c r="B219" s="101" t="s">
        <v>745</v>
      </c>
      <c r="C219" s="98"/>
      <c r="D219" s="98"/>
      <c r="E219" s="98"/>
      <c r="F219" s="101" t="s">
        <v>305</v>
      </c>
      <c r="G219" s="101">
        <v>2018</v>
      </c>
      <c r="H219" s="352">
        <v>59796.38767845487</v>
      </c>
      <c r="I219" s="101">
        <v>2021</v>
      </c>
      <c r="J219" s="352">
        <v>41002.457465659885</v>
      </c>
      <c r="K219" s="157"/>
      <c r="R219" s="3" t="s">
        <v>464</v>
      </c>
    </row>
    <row r="220" spans="2:18">
      <c r="B220" s="101" t="s">
        <v>746</v>
      </c>
      <c r="C220" s="98"/>
      <c r="D220" s="98"/>
      <c r="E220" s="98"/>
      <c r="F220" s="101" t="s">
        <v>293</v>
      </c>
      <c r="G220" s="101">
        <v>2018</v>
      </c>
      <c r="H220" s="352">
        <v>70537.619152208252</v>
      </c>
      <c r="I220" s="101">
        <v>2021</v>
      </c>
      <c r="J220" s="352">
        <v>48367.733257897518</v>
      </c>
      <c r="K220" s="157"/>
      <c r="R220" s="3" t="s">
        <v>464</v>
      </c>
    </row>
    <row r="221" spans="2:18">
      <c r="B221" s="101" t="s">
        <v>747</v>
      </c>
      <c r="C221" s="98"/>
      <c r="D221" s="98"/>
      <c r="E221" s="98"/>
      <c r="F221" s="101" t="s">
        <v>345</v>
      </c>
      <c r="G221" s="101">
        <v>2018</v>
      </c>
      <c r="H221" s="352">
        <v>1033593</v>
      </c>
      <c r="I221" s="101">
        <v>2021</v>
      </c>
      <c r="J221" s="352">
        <v>327108.92617687664</v>
      </c>
      <c r="K221" s="157"/>
      <c r="R221" s="3" t="s">
        <v>464</v>
      </c>
    </row>
    <row r="222" spans="2:18">
      <c r="B222" s="101" t="s">
        <v>748</v>
      </c>
      <c r="C222" s="98"/>
      <c r="D222" s="98"/>
      <c r="E222" s="98"/>
      <c r="F222" s="101" t="s">
        <v>341</v>
      </c>
      <c r="G222" s="101">
        <v>2019</v>
      </c>
      <c r="H222" s="352">
        <v>7023542.7917365544</v>
      </c>
      <c r="I222" s="101">
        <v>2021</v>
      </c>
      <c r="J222" s="352">
        <v>3660726.6913954271</v>
      </c>
      <c r="K222" s="157"/>
      <c r="R222" s="3" t="s">
        <v>464</v>
      </c>
    </row>
    <row r="223" spans="2:18">
      <c r="B223" s="101" t="s">
        <v>749</v>
      </c>
      <c r="C223" s="98"/>
      <c r="D223" s="98"/>
      <c r="E223" s="98"/>
      <c r="F223" s="101" t="s">
        <v>314</v>
      </c>
      <c r="G223" s="101">
        <v>2019</v>
      </c>
      <c r="H223" s="352">
        <v>857388.09237261105</v>
      </c>
      <c r="I223" s="101">
        <v>2021</v>
      </c>
      <c r="J223" s="352">
        <v>670316.29927401594</v>
      </c>
      <c r="K223" s="157"/>
      <c r="R223" s="3" t="s">
        <v>464</v>
      </c>
    </row>
    <row r="224" spans="2:18">
      <c r="B224" s="101" t="s">
        <v>750</v>
      </c>
      <c r="C224" s="98"/>
      <c r="D224" s="98"/>
      <c r="E224" s="98"/>
      <c r="F224" s="101" t="s">
        <v>301</v>
      </c>
      <c r="G224" s="101">
        <v>2019</v>
      </c>
      <c r="H224" s="352">
        <v>460067.29247706069</v>
      </c>
      <c r="I224" s="101">
        <v>2021</v>
      </c>
      <c r="J224" s="352">
        <v>359686.13006607577</v>
      </c>
      <c r="K224" s="157"/>
      <c r="R224" s="3" t="s">
        <v>464</v>
      </c>
    </row>
    <row r="225" spans="2:18">
      <c r="B225" s="101" t="s">
        <v>751</v>
      </c>
      <c r="C225" s="98"/>
      <c r="D225" s="98"/>
      <c r="E225" s="98"/>
      <c r="F225" s="101" t="s">
        <v>344</v>
      </c>
      <c r="G225" s="101">
        <v>2019</v>
      </c>
      <c r="H225" s="352">
        <v>119060</v>
      </c>
      <c r="I225" s="101">
        <v>2021</v>
      </c>
      <c r="J225" s="352">
        <v>62055.024479999985</v>
      </c>
      <c r="K225" s="157"/>
      <c r="R225" s="3" t="s">
        <v>464</v>
      </c>
    </row>
    <row r="226" spans="2:18">
      <c r="B226" s="101" t="s">
        <v>752</v>
      </c>
      <c r="C226" s="98"/>
      <c r="D226" s="98"/>
      <c r="E226" s="98"/>
      <c r="F226" s="101" t="s">
        <v>307</v>
      </c>
      <c r="G226" s="101">
        <v>2019</v>
      </c>
      <c r="H226" s="352">
        <v>288666.6970011855</v>
      </c>
      <c r="I226" s="101">
        <v>2021</v>
      </c>
      <c r="J226" s="352">
        <v>225683.08771589081</v>
      </c>
      <c r="K226" s="157"/>
      <c r="R226" s="3" t="s">
        <v>464</v>
      </c>
    </row>
    <row r="227" spans="2:18">
      <c r="B227" s="101" t="s">
        <v>753</v>
      </c>
      <c r="C227" s="98"/>
      <c r="D227" s="98"/>
      <c r="E227" s="98"/>
      <c r="F227" s="101" t="s">
        <v>324</v>
      </c>
      <c r="G227" s="101">
        <v>2019</v>
      </c>
      <c r="H227" s="352">
        <v>1170372.8470650064</v>
      </c>
      <c r="I227" s="101">
        <v>2021</v>
      </c>
      <c r="J227" s="352">
        <v>1118347.433267273</v>
      </c>
      <c r="K227" s="157"/>
      <c r="R227" s="3" t="s">
        <v>464</v>
      </c>
    </row>
    <row r="228" spans="2:18">
      <c r="B228" s="101" t="s">
        <v>754</v>
      </c>
      <c r="C228" s="98"/>
      <c r="D228" s="98"/>
      <c r="E228" s="98"/>
      <c r="F228" s="101" t="s">
        <v>345</v>
      </c>
      <c r="G228" s="101">
        <v>2019</v>
      </c>
      <c r="H228" s="352">
        <v>73704</v>
      </c>
      <c r="I228" s="101">
        <v>2021</v>
      </c>
      <c r="J228" s="352">
        <v>38415.114431999995</v>
      </c>
      <c r="K228" s="157"/>
      <c r="R228" s="3" t="s">
        <v>464</v>
      </c>
    </row>
    <row r="229" spans="2:18">
      <c r="B229" s="101" t="s">
        <v>755</v>
      </c>
      <c r="C229" s="98"/>
      <c r="D229" s="98"/>
      <c r="E229" s="98"/>
      <c r="F229" s="101" t="s">
        <v>343</v>
      </c>
      <c r="G229" s="101">
        <v>2019</v>
      </c>
      <c r="H229" s="352">
        <v>138775.45971332947</v>
      </c>
      <c r="I229" s="101">
        <v>2021</v>
      </c>
      <c r="J229" s="352">
        <v>72330.879806265031</v>
      </c>
      <c r="K229" s="157"/>
      <c r="R229" s="3" t="s">
        <v>464</v>
      </c>
    </row>
    <row r="230" spans="2:18">
      <c r="B230" s="101" t="s">
        <v>756</v>
      </c>
      <c r="C230" s="98"/>
      <c r="D230" s="98"/>
      <c r="E230" s="98"/>
      <c r="F230" s="101" t="s">
        <v>303</v>
      </c>
      <c r="G230" s="101">
        <v>2019</v>
      </c>
      <c r="H230" s="352">
        <v>142771.1801450084</v>
      </c>
      <c r="I230" s="101">
        <v>2021</v>
      </c>
      <c r="J230" s="352">
        <v>111620.22189152931</v>
      </c>
      <c r="K230" s="157"/>
      <c r="R230" s="3" t="s">
        <v>464</v>
      </c>
    </row>
    <row r="231" spans="2:18">
      <c r="B231" s="101" t="s">
        <v>757</v>
      </c>
      <c r="C231" s="98"/>
      <c r="D231" s="98"/>
      <c r="E231" s="98"/>
      <c r="F231" s="101" t="s">
        <v>347</v>
      </c>
      <c r="G231" s="101">
        <v>2018</v>
      </c>
      <c r="H231" s="352">
        <v>66462443.599999994</v>
      </c>
      <c r="I231" s="101">
        <v>2021</v>
      </c>
      <c r="J231" s="352">
        <v>53753217.800323352</v>
      </c>
      <c r="K231" s="157"/>
      <c r="R231" s="3" t="s">
        <v>464</v>
      </c>
    </row>
    <row r="232" spans="2:18">
      <c r="B232" s="101" t="s">
        <v>758</v>
      </c>
      <c r="C232" s="98"/>
      <c r="D232" s="98"/>
      <c r="E232" s="98"/>
      <c r="F232" s="101" t="s">
        <v>349</v>
      </c>
      <c r="G232" s="101">
        <v>2018</v>
      </c>
      <c r="H232" s="352">
        <v>13091088</v>
      </c>
      <c r="I232" s="101">
        <v>2021</v>
      </c>
      <c r="J232" s="352">
        <v>10587755.526147995</v>
      </c>
      <c r="K232" s="157"/>
      <c r="R232" s="3" t="s">
        <v>464</v>
      </c>
    </row>
    <row r="233" spans="2:18">
      <c r="B233" s="101" t="s">
        <v>759</v>
      </c>
      <c r="C233" s="98"/>
      <c r="D233" s="98"/>
      <c r="E233" s="98"/>
      <c r="F233" s="101" t="s">
        <v>348</v>
      </c>
      <c r="G233" s="101">
        <v>2019</v>
      </c>
      <c r="H233" s="352">
        <v>510273.00000000006</v>
      </c>
      <c r="I233" s="101">
        <v>2021</v>
      </c>
      <c r="J233" s="352">
        <v>443263.94964000006</v>
      </c>
      <c r="K233" s="157"/>
      <c r="R233" s="3" t="s">
        <v>464</v>
      </c>
    </row>
    <row r="234" spans="2:18">
      <c r="B234" s="101" t="s">
        <v>760</v>
      </c>
      <c r="C234" s="98"/>
      <c r="D234" s="98"/>
      <c r="E234" s="98"/>
      <c r="F234" s="101" t="s">
        <v>341</v>
      </c>
      <c r="G234" s="101">
        <v>2020</v>
      </c>
      <c r="H234" s="352">
        <v>4054436.8604233577</v>
      </c>
      <c r="I234" s="101">
        <v>2021</v>
      </c>
      <c r="J234" s="352">
        <v>2883515.4951330922</v>
      </c>
      <c r="K234" s="157"/>
      <c r="R234" s="3" t="s">
        <v>464</v>
      </c>
    </row>
    <row r="235" spans="2:18">
      <c r="B235" s="101" t="s">
        <v>761</v>
      </c>
      <c r="C235" s="98"/>
      <c r="D235" s="98"/>
      <c r="E235" s="98"/>
      <c r="F235" s="101" t="s">
        <v>307</v>
      </c>
      <c r="G235" s="101">
        <v>2021</v>
      </c>
      <c r="H235" s="352">
        <v>2667062.5363170211</v>
      </c>
      <c r="I235" s="101">
        <v>2021</v>
      </c>
      <c r="J235" s="352">
        <v>2533709.4095011703</v>
      </c>
      <c r="K235" s="157"/>
      <c r="R235" s="3" t="s">
        <v>464</v>
      </c>
    </row>
    <row r="236" spans="2:18">
      <c r="B236" s="101" t="s">
        <v>762</v>
      </c>
      <c r="C236" s="98"/>
      <c r="D236" s="98"/>
      <c r="E236" s="98"/>
      <c r="F236" s="101" t="s">
        <v>303</v>
      </c>
      <c r="G236" s="101">
        <v>2021</v>
      </c>
      <c r="H236" s="352">
        <v>467492.45719026914</v>
      </c>
      <c r="I236" s="101">
        <v>2021</v>
      </c>
      <c r="J236" s="352">
        <v>444117.83433075569</v>
      </c>
      <c r="K236" s="157"/>
      <c r="R236" s="3" t="s">
        <v>464</v>
      </c>
    </row>
    <row r="237" spans="2:18">
      <c r="B237" s="101" t="s">
        <v>763</v>
      </c>
      <c r="C237" s="98"/>
      <c r="D237" s="98"/>
      <c r="E237" s="98"/>
      <c r="F237" s="101" t="s">
        <v>346</v>
      </c>
      <c r="G237" s="101">
        <v>2021</v>
      </c>
      <c r="H237" s="352">
        <v>3432262.7310020467</v>
      </c>
      <c r="I237" s="101">
        <v>2021</v>
      </c>
      <c r="J237" s="352">
        <v>3260649.5944519443</v>
      </c>
      <c r="K237" s="157"/>
      <c r="R237" s="3" t="s">
        <v>464</v>
      </c>
    </row>
    <row r="238" spans="2:18">
      <c r="B238" s="101" t="s">
        <v>764</v>
      </c>
      <c r="C238" s="98"/>
      <c r="D238" s="98"/>
      <c r="E238" s="98"/>
      <c r="F238" s="101" t="s">
        <v>341</v>
      </c>
      <c r="G238" s="101">
        <v>2021</v>
      </c>
      <c r="H238" s="352">
        <v>8176022.700880779</v>
      </c>
      <c r="I238" s="101">
        <v>2021</v>
      </c>
      <c r="J238" s="352">
        <v>7358420.4307927005</v>
      </c>
      <c r="K238" s="157"/>
      <c r="R238" s="3" t="s">
        <v>464</v>
      </c>
    </row>
    <row r="239" spans="2:18">
      <c r="B239" s="101" t="s">
        <v>765</v>
      </c>
      <c r="C239" s="98"/>
      <c r="D239" s="98"/>
      <c r="E239" s="98"/>
      <c r="F239" s="101" t="s">
        <v>347</v>
      </c>
      <c r="G239" s="101">
        <v>2019</v>
      </c>
      <c r="H239" s="352">
        <v>1603714.1720507673</v>
      </c>
      <c r="I239" s="101">
        <v>2021</v>
      </c>
      <c r="J239" s="352">
        <v>1393114.426977061</v>
      </c>
      <c r="K239" s="157"/>
      <c r="R239" s="3" t="s">
        <v>464</v>
      </c>
    </row>
    <row r="240" spans="2:18">
      <c r="B240" s="101" t="s">
        <v>766</v>
      </c>
      <c r="C240" s="98"/>
      <c r="D240" s="98"/>
      <c r="E240" s="98"/>
      <c r="F240" s="101" t="s">
        <v>349</v>
      </c>
      <c r="G240" s="101">
        <v>2019</v>
      </c>
      <c r="H240" s="352">
        <v>315883</v>
      </c>
      <c r="I240" s="101">
        <v>2021</v>
      </c>
      <c r="J240" s="352">
        <v>274401.24443999998</v>
      </c>
      <c r="K240" s="157"/>
      <c r="R240" s="3" t="s">
        <v>464</v>
      </c>
    </row>
    <row r="241" spans="1:18">
      <c r="B241" s="101" t="s">
        <v>767</v>
      </c>
      <c r="C241" s="98"/>
      <c r="D241" s="98"/>
      <c r="E241" s="98"/>
      <c r="F241" s="101" t="s">
        <v>347</v>
      </c>
      <c r="G241" s="101">
        <v>2020</v>
      </c>
      <c r="H241" s="352">
        <v>437.7361508808076</v>
      </c>
      <c r="I241" s="101">
        <v>2021</v>
      </c>
      <c r="J241" s="352">
        <v>400.26593636541048</v>
      </c>
      <c r="K241" s="157"/>
      <c r="R241" s="3" t="s">
        <v>464</v>
      </c>
    </row>
    <row r="242" spans="1:18">
      <c r="B242" s="101" t="s">
        <v>768</v>
      </c>
      <c r="C242" s="98"/>
      <c r="D242" s="98"/>
      <c r="E242" s="98"/>
      <c r="F242" s="101" t="s">
        <v>293</v>
      </c>
      <c r="G242" s="101">
        <v>2020</v>
      </c>
      <c r="H242" s="352">
        <v>274981.09053004743</v>
      </c>
      <c r="I242" s="101">
        <v>2021</v>
      </c>
      <c r="J242" s="352">
        <v>237473.66978174893</v>
      </c>
      <c r="K242" s="157"/>
      <c r="R242" s="3" t="s">
        <v>464</v>
      </c>
    </row>
    <row r="243" spans="1:18">
      <c r="B243" s="101" t="s">
        <v>769</v>
      </c>
      <c r="C243" s="98"/>
      <c r="D243" s="98"/>
      <c r="E243" s="98"/>
      <c r="F243" s="101" t="s">
        <v>291</v>
      </c>
      <c r="G243" s="101">
        <v>2020</v>
      </c>
      <c r="H243" s="352">
        <v>1155506.2616599156</v>
      </c>
      <c r="I243" s="101">
        <v>2021</v>
      </c>
      <c r="J243" s="352">
        <v>1173994.3618464742</v>
      </c>
      <c r="K243" s="157"/>
      <c r="R243" s="3" t="s">
        <v>464</v>
      </c>
    </row>
    <row r="244" spans="1:18">
      <c r="B244" s="101" t="s">
        <v>770</v>
      </c>
      <c r="C244" s="98"/>
      <c r="D244" s="98"/>
      <c r="E244" s="98"/>
      <c r="F244" s="101" t="s">
        <v>301</v>
      </c>
      <c r="G244" s="101">
        <v>2020</v>
      </c>
      <c r="H244" s="352">
        <v>227204.18889764068</v>
      </c>
      <c r="I244" s="101">
        <v>2021</v>
      </c>
      <c r="J244" s="352">
        <v>196213.53753200249</v>
      </c>
      <c r="K244" s="157"/>
      <c r="R244" s="3" t="s">
        <v>464</v>
      </c>
    </row>
    <row r="245" spans="1:18">
      <c r="B245" s="101" t="s">
        <v>771</v>
      </c>
      <c r="C245" s="98"/>
      <c r="D245" s="98"/>
      <c r="E245" s="98"/>
      <c r="F245" s="101" t="s">
        <v>307</v>
      </c>
      <c r="G245" s="101">
        <v>2020</v>
      </c>
      <c r="H245" s="352">
        <v>880855.41897943604</v>
      </c>
      <c r="I245" s="101">
        <v>2021</v>
      </c>
      <c r="J245" s="352">
        <v>760706.73983064084</v>
      </c>
      <c r="K245" s="157"/>
      <c r="R245" s="3" t="s">
        <v>464</v>
      </c>
    </row>
    <row r="246" spans="1:18">
      <c r="B246" s="101" t="s">
        <v>772</v>
      </c>
      <c r="C246" s="98"/>
      <c r="D246" s="98"/>
      <c r="E246" s="98"/>
      <c r="F246" s="101" t="s">
        <v>314</v>
      </c>
      <c r="G246" s="101">
        <v>2020</v>
      </c>
      <c r="H246" s="352">
        <v>111163.8757407683</v>
      </c>
      <c r="I246" s="101">
        <v>2021</v>
      </c>
      <c r="J246" s="352">
        <v>96001.123089727509</v>
      </c>
      <c r="K246" s="157"/>
      <c r="R246" s="3" t="s">
        <v>464</v>
      </c>
    </row>
    <row r="247" spans="1:18">
      <c r="B247" s="101" t="s">
        <v>773</v>
      </c>
      <c r="C247" s="98"/>
      <c r="D247" s="98"/>
      <c r="E247" s="98"/>
      <c r="F247" s="101" t="s">
        <v>346</v>
      </c>
      <c r="G247" s="101">
        <v>2020</v>
      </c>
      <c r="H247" s="352">
        <v>2253829.6322485749</v>
      </c>
      <c r="I247" s="101">
        <v>2021</v>
      </c>
      <c r="J247" s="352">
        <v>1946407.2704098693</v>
      </c>
      <c r="K247" s="157"/>
      <c r="R247" s="3" t="s">
        <v>464</v>
      </c>
    </row>
    <row r="248" spans="1:18">
      <c r="B248" s="101" t="s">
        <v>774</v>
      </c>
      <c r="C248" s="98"/>
      <c r="D248" s="98"/>
      <c r="E248" s="98"/>
      <c r="F248" s="101" t="s">
        <v>324</v>
      </c>
      <c r="G248" s="101">
        <v>2020</v>
      </c>
      <c r="H248" s="352">
        <v>715175.01653112471</v>
      </c>
      <c r="I248" s="101">
        <v>2021</v>
      </c>
      <c r="J248" s="352">
        <v>690286.92595584155</v>
      </c>
      <c r="K248" s="157"/>
      <c r="R248" s="3" t="s">
        <v>464</v>
      </c>
    </row>
    <row r="249" spans="1:18">
      <c r="B249" s="101" t="s">
        <v>775</v>
      </c>
      <c r="C249" s="98"/>
      <c r="D249" s="98"/>
      <c r="E249" s="98"/>
      <c r="F249" s="101" t="s">
        <v>297</v>
      </c>
      <c r="G249" s="101">
        <v>2020</v>
      </c>
      <c r="H249" s="352">
        <v>611310.12783119339</v>
      </c>
      <c r="I249" s="101">
        <v>2021</v>
      </c>
      <c r="J249" s="352">
        <v>590036.53538266791</v>
      </c>
      <c r="K249" s="157"/>
      <c r="R249" s="3" t="s">
        <v>464</v>
      </c>
    </row>
    <row r="250" spans="1:18">
      <c r="B250" s="101" t="s">
        <v>776</v>
      </c>
      <c r="C250" s="98"/>
      <c r="D250" s="98"/>
      <c r="E250" s="98"/>
      <c r="F250" s="101" t="s">
        <v>301</v>
      </c>
      <c r="G250" s="101">
        <v>2021</v>
      </c>
      <c r="H250" s="352">
        <v>384242.51972392667</v>
      </c>
      <c r="I250" s="101">
        <v>2021</v>
      </c>
      <c r="J250" s="352">
        <v>365030.39373773034</v>
      </c>
      <c r="K250" s="157"/>
      <c r="R250" s="3" t="s">
        <v>464</v>
      </c>
    </row>
    <row r="251" spans="1:18">
      <c r="B251" s="101" t="s">
        <v>777</v>
      </c>
      <c r="C251" s="98"/>
      <c r="D251" s="98"/>
      <c r="E251" s="98"/>
      <c r="F251" s="101" t="s">
        <v>324</v>
      </c>
      <c r="G251" s="101">
        <v>2021</v>
      </c>
      <c r="H251" s="352">
        <v>1098657.1778898467</v>
      </c>
      <c r="I251" s="101">
        <v>2021</v>
      </c>
      <c r="J251" s="352">
        <v>1080346.2249250161</v>
      </c>
      <c r="K251" s="157"/>
      <c r="R251" s="3" t="s">
        <v>464</v>
      </c>
    </row>
    <row r="252" spans="1:18">
      <c r="B252" s="101" t="s">
        <v>778</v>
      </c>
      <c r="C252" s="98"/>
      <c r="D252" s="98"/>
      <c r="E252" s="98"/>
      <c r="F252" s="101" t="s">
        <v>290</v>
      </c>
      <c r="G252" s="101">
        <v>1993</v>
      </c>
      <c r="H252" s="352">
        <v>27208128.690000001</v>
      </c>
      <c r="I252" s="101">
        <v>2021</v>
      </c>
      <c r="J252" s="352">
        <v>0</v>
      </c>
      <c r="K252" s="157"/>
      <c r="R252" s="3" t="s">
        <v>464</v>
      </c>
    </row>
    <row r="253" spans="1:18">
      <c r="B253" s="101" t="s">
        <v>779</v>
      </c>
      <c r="C253" s="98"/>
      <c r="D253" s="98"/>
      <c r="E253" s="98"/>
      <c r="F253" s="101" t="s">
        <v>297</v>
      </c>
      <c r="G253" s="101">
        <v>2021</v>
      </c>
      <c r="H253" s="352">
        <v>114485.52709029273</v>
      </c>
      <c r="I253" s="101">
        <v>2021</v>
      </c>
      <c r="J253" s="352">
        <v>112577.43497212119</v>
      </c>
      <c r="K253" s="157"/>
      <c r="R253" s="3" t="s">
        <v>464</v>
      </c>
    </row>
    <row r="254" spans="1:18">
      <c r="B254" s="101" t="s">
        <v>780</v>
      </c>
      <c r="C254" s="98"/>
      <c r="D254" s="98"/>
      <c r="E254" s="98"/>
      <c r="F254" s="101" t="s">
        <v>346</v>
      </c>
      <c r="G254" s="101">
        <v>2019</v>
      </c>
      <c r="H254" s="352">
        <v>5155994.869123158</v>
      </c>
      <c r="I254" s="101">
        <v>2021</v>
      </c>
      <c r="J254" s="352">
        <v>4031018.6606189152</v>
      </c>
      <c r="K254" s="157"/>
      <c r="R254" s="3" t="s">
        <v>464</v>
      </c>
    </row>
    <row r="256" spans="1:18" s="339" customFormat="1" ht="12.75" customHeight="1">
      <c r="A256" s="346"/>
      <c r="B256" s="39" t="s">
        <v>782</v>
      </c>
      <c r="C256" s="39"/>
      <c r="D256" s="39"/>
      <c r="E256" s="39"/>
      <c r="F256" s="39"/>
      <c r="G256" s="39"/>
      <c r="H256" s="196"/>
      <c r="I256" s="196"/>
      <c r="J256" s="196"/>
      <c r="L256" s="39"/>
      <c r="M256" s="39"/>
      <c r="N256" s="39"/>
    </row>
    <row r="257" spans="1:14" s="340" customFormat="1" ht="12.75" customHeight="1">
      <c r="A257" s="347"/>
      <c r="B257" s="40" t="s">
        <v>152</v>
      </c>
      <c r="C257" s="40"/>
      <c r="D257" s="40" t="s">
        <v>194</v>
      </c>
      <c r="E257" s="40"/>
      <c r="F257" s="40" t="s">
        <v>281</v>
      </c>
      <c r="G257" s="40" t="s">
        <v>783</v>
      </c>
      <c r="H257" s="109" t="s">
        <v>506</v>
      </c>
      <c r="I257" s="109" t="s">
        <v>282</v>
      </c>
      <c r="J257" s="109"/>
      <c r="K257" s="341"/>
      <c r="L257" s="40" t="s">
        <v>196</v>
      </c>
      <c r="M257" s="40"/>
      <c r="N257" s="40" t="s">
        <v>197</v>
      </c>
    </row>
    <row r="258" spans="1:14" s="4" customFormat="1">
      <c r="B258" s="3"/>
      <c r="C258" s="3"/>
      <c r="D258" s="3"/>
      <c r="E258" s="3"/>
      <c r="F258" s="3"/>
      <c r="G258" s="3"/>
      <c r="H258" s="3"/>
      <c r="I258" s="3"/>
      <c r="J258" s="3"/>
    </row>
    <row r="259" spans="1:14" s="4" customFormat="1">
      <c r="B259" s="141" t="s">
        <v>538</v>
      </c>
      <c r="C259" s="141" t="s">
        <v>784</v>
      </c>
      <c r="D259" s="141"/>
      <c r="E259" s="141"/>
      <c r="F259" s="141" t="s">
        <v>288</v>
      </c>
      <c r="G259" s="141">
        <v>2022</v>
      </c>
      <c r="H259" s="353">
        <v>16559.007294242547</v>
      </c>
      <c r="I259" s="141">
        <v>30</v>
      </c>
      <c r="J259" s="3"/>
      <c r="L259" s="355" t="s">
        <v>464</v>
      </c>
    </row>
    <row r="260" spans="1:14" s="4" customFormat="1">
      <c r="B260" s="141" t="s">
        <v>539</v>
      </c>
      <c r="C260" s="141" t="s">
        <v>784</v>
      </c>
      <c r="D260" s="141"/>
      <c r="E260" s="141"/>
      <c r="F260" s="141" t="s">
        <v>293</v>
      </c>
      <c r="G260" s="141">
        <v>2022</v>
      </c>
      <c r="H260" s="353">
        <v>260373.81710683607</v>
      </c>
      <c r="I260" s="141">
        <v>10</v>
      </c>
      <c r="J260" s="3"/>
      <c r="L260" s="355" t="s">
        <v>464</v>
      </c>
    </row>
    <row r="261" spans="1:14" s="4" customFormat="1">
      <c r="B261" s="141" t="s">
        <v>540</v>
      </c>
      <c r="C261" s="141" t="s">
        <v>784</v>
      </c>
      <c r="D261" s="141"/>
      <c r="E261" s="141"/>
      <c r="F261" s="141" t="s">
        <v>297</v>
      </c>
      <c r="G261" s="141">
        <v>2022</v>
      </c>
      <c r="H261" s="353">
        <v>122473.44778654278</v>
      </c>
      <c r="I261" s="141">
        <v>30</v>
      </c>
      <c r="J261" s="3"/>
      <c r="L261" s="355" t="s">
        <v>464</v>
      </c>
    </row>
    <row r="262" spans="1:14" s="4" customFormat="1">
      <c r="B262" s="141" t="s">
        <v>541</v>
      </c>
      <c r="C262" s="141" t="s">
        <v>784</v>
      </c>
      <c r="D262" s="141"/>
      <c r="E262" s="141"/>
      <c r="F262" s="141" t="s">
        <v>301</v>
      </c>
      <c r="G262" s="141">
        <v>2022</v>
      </c>
      <c r="H262" s="353">
        <v>36759.559841941234</v>
      </c>
      <c r="I262" s="141">
        <v>10</v>
      </c>
      <c r="J262" s="3"/>
      <c r="L262" s="355" t="s">
        <v>464</v>
      </c>
    </row>
    <row r="263" spans="1:14" s="4" customFormat="1">
      <c r="B263" s="141" t="s">
        <v>542</v>
      </c>
      <c r="C263" s="141" t="s">
        <v>784</v>
      </c>
      <c r="D263" s="141"/>
      <c r="E263" s="141"/>
      <c r="F263" s="141" t="s">
        <v>303</v>
      </c>
      <c r="G263" s="141">
        <v>2022</v>
      </c>
      <c r="H263" s="353">
        <v>21601.372149086525</v>
      </c>
      <c r="I263" s="141">
        <v>10</v>
      </c>
      <c r="J263" s="3"/>
      <c r="L263" s="355" t="s">
        <v>464</v>
      </c>
    </row>
    <row r="264" spans="1:14" s="4" customFormat="1">
      <c r="B264" s="141" t="s">
        <v>543</v>
      </c>
      <c r="C264" s="141" t="s">
        <v>784</v>
      </c>
      <c r="D264" s="141"/>
      <c r="E264" s="141"/>
      <c r="F264" s="141" t="s">
        <v>307</v>
      </c>
      <c r="G264" s="141">
        <v>2022</v>
      </c>
      <c r="H264" s="353">
        <v>27449.908957678137</v>
      </c>
      <c r="I264" s="141">
        <v>10</v>
      </c>
      <c r="J264" s="3"/>
      <c r="L264" s="355" t="s">
        <v>464</v>
      </c>
    </row>
    <row r="265" spans="1:14" s="4" customFormat="1">
      <c r="B265" s="141" t="s">
        <v>544</v>
      </c>
      <c r="C265" s="141" t="s">
        <v>784</v>
      </c>
      <c r="D265" s="141"/>
      <c r="E265" s="141"/>
      <c r="F265" s="141" t="s">
        <v>312</v>
      </c>
      <c r="G265" s="141">
        <v>2022</v>
      </c>
      <c r="H265" s="353">
        <v>5479.9654928677874</v>
      </c>
      <c r="I265" s="141">
        <v>10</v>
      </c>
      <c r="J265" s="3"/>
      <c r="L265" s="355" t="s">
        <v>464</v>
      </c>
    </row>
    <row r="266" spans="1:14" s="4" customFormat="1">
      <c r="B266" s="141" t="s">
        <v>545</v>
      </c>
      <c r="C266" s="141" t="s">
        <v>784</v>
      </c>
      <c r="D266" s="141"/>
      <c r="E266" s="141"/>
      <c r="F266" s="141" t="s">
        <v>324</v>
      </c>
      <c r="G266" s="141">
        <v>2022</v>
      </c>
      <c r="H266" s="353">
        <v>1725081.9671582393</v>
      </c>
      <c r="I266" s="141">
        <v>30</v>
      </c>
      <c r="J266" s="3"/>
      <c r="L266" s="355" t="s">
        <v>464</v>
      </c>
    </row>
    <row r="267" spans="1:14" s="4" customFormat="1">
      <c r="B267" s="141" t="s">
        <v>546</v>
      </c>
      <c r="C267" s="141" t="s">
        <v>784</v>
      </c>
      <c r="D267" s="141"/>
      <c r="E267" s="141"/>
      <c r="F267" s="141" t="s">
        <v>341</v>
      </c>
      <c r="G267" s="141">
        <v>2022</v>
      </c>
      <c r="H267" s="353">
        <v>4476157.998399551</v>
      </c>
      <c r="I267" s="141">
        <v>5</v>
      </c>
      <c r="J267" s="3"/>
      <c r="L267" s="355" t="s">
        <v>464</v>
      </c>
    </row>
    <row r="268" spans="1:14" s="4" customFormat="1">
      <c r="B268" s="141" t="s">
        <v>547</v>
      </c>
      <c r="C268" s="141" t="s">
        <v>784</v>
      </c>
      <c r="D268" s="141"/>
      <c r="E268" s="141"/>
      <c r="F268" s="141" t="s">
        <v>346</v>
      </c>
      <c r="G268" s="141">
        <v>2022</v>
      </c>
      <c r="H268" s="353">
        <v>7088672.5580014829</v>
      </c>
      <c r="I268" s="141">
        <v>10</v>
      </c>
      <c r="J268" s="3"/>
      <c r="L268" s="355" t="s">
        <v>464</v>
      </c>
    </row>
    <row r="269" spans="1:14" s="4" customFormat="1">
      <c r="B269" s="141" t="s">
        <v>548</v>
      </c>
      <c r="C269" s="141" t="s">
        <v>784</v>
      </c>
      <c r="D269" s="141"/>
      <c r="E269" s="141"/>
      <c r="F269" s="141" t="s">
        <v>293</v>
      </c>
      <c r="G269" s="141">
        <v>2023</v>
      </c>
      <c r="H269" s="353">
        <v>11177.445801540334</v>
      </c>
      <c r="I269" s="141">
        <v>10</v>
      </c>
      <c r="J269" s="3"/>
      <c r="L269" s="355" t="s">
        <v>464</v>
      </c>
    </row>
    <row r="270" spans="1:14" s="4" customFormat="1">
      <c r="B270" s="141" t="s">
        <v>549</v>
      </c>
      <c r="C270" s="141" t="s">
        <v>784</v>
      </c>
      <c r="D270" s="141"/>
      <c r="E270" s="141"/>
      <c r="F270" s="141" t="s">
        <v>297</v>
      </c>
      <c r="G270" s="141">
        <v>2023</v>
      </c>
      <c r="H270" s="353">
        <v>-4073.7374626236651</v>
      </c>
      <c r="I270" s="141">
        <v>30</v>
      </c>
      <c r="J270" s="3"/>
      <c r="L270" s="355" t="s">
        <v>464</v>
      </c>
    </row>
    <row r="271" spans="1:14" s="4" customFormat="1">
      <c r="B271" s="141" t="s">
        <v>550</v>
      </c>
      <c r="C271" s="141" t="s">
        <v>784</v>
      </c>
      <c r="D271" s="141"/>
      <c r="E271" s="141"/>
      <c r="F271" s="141" t="s">
        <v>301</v>
      </c>
      <c r="G271" s="141">
        <v>2023</v>
      </c>
      <c r="H271" s="353">
        <v>17573.135050625202</v>
      </c>
      <c r="I271" s="141">
        <v>10</v>
      </c>
      <c r="J271" s="3"/>
      <c r="L271" s="355" t="s">
        <v>464</v>
      </c>
    </row>
    <row r="272" spans="1:14" s="4" customFormat="1">
      <c r="B272" s="141" t="s">
        <v>551</v>
      </c>
      <c r="C272" s="141" t="s">
        <v>784</v>
      </c>
      <c r="D272" s="141"/>
      <c r="E272" s="141"/>
      <c r="F272" s="141" t="s">
        <v>303</v>
      </c>
      <c r="G272" s="141">
        <v>2023</v>
      </c>
      <c r="H272" s="353">
        <v>67874.603678325308</v>
      </c>
      <c r="I272" s="141">
        <v>10</v>
      </c>
      <c r="J272" s="3"/>
      <c r="L272" s="355" t="s">
        <v>464</v>
      </c>
    </row>
    <row r="273" spans="2:12" s="4" customFormat="1">
      <c r="B273" s="141" t="s">
        <v>552</v>
      </c>
      <c r="C273" s="141" t="s">
        <v>784</v>
      </c>
      <c r="D273" s="141"/>
      <c r="E273" s="141"/>
      <c r="F273" s="141" t="s">
        <v>307</v>
      </c>
      <c r="G273" s="141">
        <v>2023</v>
      </c>
      <c r="H273" s="353">
        <v>855785.56065618468</v>
      </c>
      <c r="I273" s="141">
        <v>10</v>
      </c>
      <c r="J273" s="3"/>
      <c r="L273" s="355" t="s">
        <v>464</v>
      </c>
    </row>
    <row r="274" spans="2:12" s="4" customFormat="1">
      <c r="B274" s="141" t="s">
        <v>553</v>
      </c>
      <c r="C274" s="141" t="s">
        <v>784</v>
      </c>
      <c r="D274" s="141"/>
      <c r="E274" s="141"/>
      <c r="F274" s="141" t="s">
        <v>324</v>
      </c>
      <c r="G274" s="141">
        <v>2023</v>
      </c>
      <c r="H274" s="353">
        <v>1174802.9772874359</v>
      </c>
      <c r="I274" s="141">
        <v>30</v>
      </c>
      <c r="J274" s="3"/>
      <c r="L274" s="355" t="s">
        <v>464</v>
      </c>
    </row>
    <row r="275" spans="2:12" s="4" customFormat="1">
      <c r="B275" s="141" t="s">
        <v>554</v>
      </c>
      <c r="C275" s="141" t="s">
        <v>784</v>
      </c>
      <c r="D275" s="141"/>
      <c r="E275" s="141"/>
      <c r="F275" s="141" t="s">
        <v>341</v>
      </c>
      <c r="G275" s="141">
        <v>2023</v>
      </c>
      <c r="H275" s="353">
        <v>6239530.5600440903</v>
      </c>
      <c r="I275" s="141">
        <v>5</v>
      </c>
      <c r="J275" s="3"/>
      <c r="L275" s="355" t="s">
        <v>464</v>
      </c>
    </row>
    <row r="276" spans="2:12" s="4" customFormat="1">
      <c r="B276" s="141" t="s">
        <v>555</v>
      </c>
      <c r="C276" s="141" t="s">
        <v>784</v>
      </c>
      <c r="D276" s="141"/>
      <c r="E276" s="141"/>
      <c r="F276" s="141" t="s">
        <v>346</v>
      </c>
      <c r="G276" s="141">
        <v>2023</v>
      </c>
      <c r="H276" s="353">
        <v>6222.6743563099471</v>
      </c>
      <c r="I276" s="141">
        <v>10</v>
      </c>
      <c r="J276" s="3"/>
      <c r="L276" s="355" t="s">
        <v>464</v>
      </c>
    </row>
    <row r="277" spans="2:12" s="4" customFormat="1">
      <c r="B277" s="98"/>
      <c r="C277" s="98"/>
      <c r="D277" s="98"/>
      <c r="E277" s="98"/>
      <c r="F277" s="98"/>
      <c r="G277" s="98"/>
      <c r="H277" s="197"/>
      <c r="I277" s="98"/>
      <c r="J277" s="3"/>
    </row>
    <row r="278" spans="2:12" s="4" customFormat="1">
      <c r="B278" s="98"/>
      <c r="C278" s="98"/>
      <c r="D278" s="98"/>
      <c r="E278" s="98"/>
      <c r="F278" s="98"/>
      <c r="G278" s="98"/>
      <c r="H278" s="197"/>
      <c r="I278" s="98"/>
      <c r="J278" s="3"/>
    </row>
    <row r="279" spans="2:12">
      <c r="K279" s="4"/>
    </row>
    <row r="280" spans="2:12">
      <c r="K280" s="4"/>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0" zoomScaleNormal="80" workbookViewId="0"/>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53.5703125" style="3" bestFit="1" customWidth="1"/>
    <col min="7" max="7" width="33.5703125" style="3" bestFit="1" customWidth="1"/>
    <col min="8" max="9" width="14.5703125" style="3" customWidth="1"/>
    <col min="10" max="10" width="22.42578125" style="3" bestFit="1" customWidth="1"/>
    <col min="11" max="11" width="27.140625" style="3" bestFit="1" customWidth="1"/>
    <col min="12" max="12" width="44.140625" style="3" bestFit="1" customWidth="1"/>
    <col min="13" max="17" width="14.5703125" style="3" customWidth="1"/>
    <col min="18" max="18" width="2.5703125" style="3" customWidth="1"/>
    <col min="19" max="19" width="20.5703125" style="3" customWidth="1"/>
    <col min="20" max="20" width="2.5703125" style="3" customWidth="1"/>
    <col min="21" max="34" width="13.5703125" style="3" customWidth="1"/>
    <col min="35" max="16384" width="9.140625" style="3"/>
  </cols>
  <sheetData>
    <row r="2" spans="2:21" s="12" customFormat="1" ht="18">
      <c r="B2" s="12" t="s">
        <v>1136</v>
      </c>
    </row>
    <row r="4" spans="2:21">
      <c r="B4" s="16" t="s">
        <v>192</v>
      </c>
      <c r="C4" s="2"/>
    </row>
    <row r="5" spans="2:21" ht="15.75" customHeight="1">
      <c r="B5" s="382" t="s">
        <v>519</v>
      </c>
      <c r="C5" s="382"/>
      <c r="D5" s="382"/>
      <c r="F5" s="13"/>
    </row>
    <row r="7" spans="2:21">
      <c r="B7" s="17" t="s">
        <v>150</v>
      </c>
    </row>
    <row r="8" spans="2:21" ht="33" customHeight="1">
      <c r="B8" s="387" t="s">
        <v>781</v>
      </c>
      <c r="C8" s="387"/>
      <c r="D8" s="387"/>
    </row>
    <row r="10" spans="2:21" s="8" customFormat="1" ht="12.75" customHeight="1">
      <c r="B10" s="8" t="s">
        <v>152</v>
      </c>
      <c r="D10" s="8" t="s">
        <v>194</v>
      </c>
      <c r="F10" s="8" t="s">
        <v>195</v>
      </c>
      <c r="H10" s="52">
        <v>2017</v>
      </c>
      <c r="I10" s="52">
        <v>2018</v>
      </c>
      <c r="J10" s="52">
        <v>2019</v>
      </c>
      <c r="K10" s="52">
        <v>2020</v>
      </c>
      <c r="L10" s="52">
        <v>2021</v>
      </c>
      <c r="M10" s="52">
        <v>2022</v>
      </c>
      <c r="N10" s="52">
        <v>2023</v>
      </c>
      <c r="O10" s="52">
        <v>2024</v>
      </c>
      <c r="P10" s="52">
        <v>2025</v>
      </c>
      <c r="Q10" s="52">
        <v>2026</v>
      </c>
      <c r="S10" s="8" t="s">
        <v>196</v>
      </c>
      <c r="U10" s="8" t="s">
        <v>197</v>
      </c>
    </row>
    <row r="12" spans="2:21">
      <c r="B12" s="314"/>
      <c r="C12" s="13"/>
      <c r="D12" s="314"/>
      <c r="E12" s="13"/>
      <c r="F12" s="314"/>
      <c r="G12" s="13"/>
      <c r="H12" s="314"/>
      <c r="I12" s="314"/>
      <c r="J12" s="314"/>
      <c r="K12" s="314"/>
      <c r="L12" s="141"/>
      <c r="M12" s="141"/>
      <c r="N12" s="141"/>
      <c r="O12" s="141"/>
      <c r="P12" s="315"/>
      <c r="Q12" s="315"/>
    </row>
    <row r="13" spans="2:21" s="4" customFormat="1">
      <c r="B13" s="342"/>
      <c r="C13" s="342"/>
      <c r="D13" s="342"/>
      <c r="E13" s="342"/>
      <c r="F13" s="342"/>
      <c r="G13" s="342"/>
      <c r="H13" s="343"/>
      <c r="I13" s="342"/>
      <c r="J13" s="342"/>
      <c r="K13" s="343"/>
      <c r="L13" s="343"/>
      <c r="P13" s="344"/>
      <c r="Q13" s="344"/>
    </row>
    <row r="14" spans="2:21" s="4" customFormat="1">
      <c r="B14" s="342"/>
      <c r="C14" s="342"/>
      <c r="D14" s="342"/>
      <c r="E14" s="342"/>
      <c r="F14" s="342"/>
      <c r="G14" s="342"/>
      <c r="H14" s="343"/>
      <c r="I14" s="342"/>
      <c r="J14" s="342"/>
      <c r="K14" s="343"/>
      <c r="L14" s="343"/>
      <c r="P14" s="344"/>
      <c r="Q14" s="344"/>
    </row>
    <row r="15" spans="2:21" s="4" customFormat="1">
      <c r="B15" s="342"/>
      <c r="C15" s="342"/>
      <c r="D15" s="342"/>
      <c r="E15" s="342"/>
      <c r="F15" s="342"/>
      <c r="G15" s="342"/>
      <c r="H15" s="343"/>
      <c r="I15" s="342"/>
      <c r="J15" s="342"/>
      <c r="K15" s="343"/>
      <c r="L15" s="343"/>
    </row>
    <row r="16" spans="2:21" s="4" customFormat="1">
      <c r="B16" s="342"/>
      <c r="C16" s="342"/>
      <c r="D16" s="342"/>
      <c r="E16" s="342"/>
      <c r="F16" s="342"/>
      <c r="G16" s="342"/>
      <c r="H16" s="343"/>
      <c r="I16" s="342"/>
      <c r="J16" s="342"/>
      <c r="K16" s="343"/>
      <c r="L16" s="343"/>
    </row>
    <row r="17" spans="2:12" s="4" customFormat="1">
      <c r="B17" s="342"/>
      <c r="C17" s="342"/>
      <c r="D17" s="342"/>
      <c r="E17" s="342"/>
      <c r="F17" s="342"/>
      <c r="G17" s="342"/>
      <c r="H17" s="343"/>
      <c r="I17" s="342"/>
      <c r="J17" s="342"/>
      <c r="K17" s="343"/>
      <c r="L17" s="343"/>
    </row>
    <row r="18" spans="2:12" s="4" customFormat="1">
      <c r="B18" s="342"/>
      <c r="C18" s="342"/>
      <c r="D18" s="342"/>
      <c r="E18" s="342"/>
      <c r="F18" s="342"/>
      <c r="G18" s="342"/>
      <c r="H18" s="343"/>
      <c r="I18" s="342"/>
      <c r="J18" s="342"/>
      <c r="K18" s="343"/>
      <c r="L18" s="343"/>
    </row>
    <row r="19" spans="2:12" s="4" customFormat="1">
      <c r="B19" s="342"/>
      <c r="C19" s="342"/>
      <c r="D19" s="342"/>
      <c r="E19" s="342"/>
      <c r="F19" s="342"/>
      <c r="G19" s="342"/>
      <c r="H19" s="343"/>
      <c r="I19" s="342"/>
      <c r="J19" s="342"/>
      <c r="K19" s="343"/>
      <c r="L19" s="343"/>
    </row>
    <row r="20" spans="2:12" s="4" customFormat="1">
      <c r="B20" s="342"/>
      <c r="C20" s="342"/>
      <c r="D20" s="342"/>
      <c r="E20" s="342"/>
      <c r="F20" s="342"/>
      <c r="G20" s="342"/>
      <c r="H20" s="343"/>
      <c r="I20" s="342"/>
      <c r="J20" s="342"/>
      <c r="K20" s="343"/>
      <c r="L20" s="343"/>
    </row>
    <row r="21" spans="2:12" s="4" customFormat="1">
      <c r="B21" s="342"/>
      <c r="C21" s="342"/>
      <c r="D21" s="342"/>
      <c r="E21" s="342"/>
      <c r="F21" s="342"/>
      <c r="G21" s="342"/>
      <c r="H21" s="343"/>
      <c r="I21" s="342"/>
      <c r="J21" s="342"/>
      <c r="K21" s="343"/>
      <c r="L21" s="343"/>
    </row>
    <row r="22" spans="2:12" s="4" customFormat="1">
      <c r="B22" s="342"/>
      <c r="C22" s="342"/>
      <c r="D22" s="342"/>
      <c r="E22" s="342"/>
      <c r="F22" s="342"/>
      <c r="G22" s="342"/>
      <c r="H22" s="343"/>
      <c r="I22" s="342"/>
      <c r="J22" s="342"/>
      <c r="K22" s="343"/>
      <c r="L22" s="343"/>
    </row>
    <row r="23" spans="2:12" s="4" customFormat="1">
      <c r="B23" s="342"/>
      <c r="C23" s="342"/>
      <c r="D23" s="342"/>
      <c r="E23" s="342"/>
      <c r="F23" s="342"/>
      <c r="G23" s="342"/>
      <c r="H23" s="343"/>
      <c r="I23" s="342"/>
      <c r="J23" s="342"/>
      <c r="K23" s="343"/>
      <c r="L23" s="343"/>
    </row>
    <row r="24" spans="2:12" s="4" customFormat="1">
      <c r="B24" s="342"/>
      <c r="C24" s="342"/>
      <c r="D24" s="342"/>
      <c r="E24" s="342"/>
      <c r="F24" s="342"/>
      <c r="G24" s="342"/>
      <c r="H24" s="343"/>
      <c r="I24" s="342"/>
      <c r="J24" s="342"/>
      <c r="K24" s="343"/>
      <c r="L24" s="343"/>
    </row>
    <row r="25" spans="2:12" s="4" customFormat="1">
      <c r="B25" s="342"/>
      <c r="C25" s="342"/>
      <c r="D25" s="342"/>
      <c r="E25" s="342"/>
      <c r="F25" s="342"/>
      <c r="G25" s="342"/>
      <c r="H25" s="343"/>
      <c r="I25" s="342"/>
      <c r="J25" s="342"/>
      <c r="K25" s="343"/>
      <c r="L25" s="343"/>
    </row>
    <row r="26" spans="2:12" s="4" customFormat="1">
      <c r="B26" s="342"/>
      <c r="C26" s="342"/>
      <c r="D26" s="342"/>
      <c r="E26" s="342"/>
      <c r="F26" s="342"/>
      <c r="G26" s="342"/>
      <c r="H26" s="343"/>
      <c r="I26" s="342"/>
      <c r="J26" s="342"/>
      <c r="K26" s="343"/>
      <c r="L26" s="343"/>
    </row>
    <row r="27" spans="2:12" s="4" customFormat="1">
      <c r="B27" s="342"/>
      <c r="C27" s="342"/>
      <c r="D27" s="342"/>
      <c r="E27" s="342"/>
      <c r="F27" s="342"/>
      <c r="G27" s="342"/>
      <c r="H27" s="343"/>
      <c r="I27" s="342"/>
      <c r="J27" s="342"/>
      <c r="K27" s="343"/>
      <c r="L27" s="343"/>
    </row>
    <row r="28" spans="2:12" s="4" customFormat="1">
      <c r="B28" s="342"/>
      <c r="C28" s="342"/>
      <c r="D28" s="342"/>
      <c r="E28" s="342"/>
      <c r="F28" s="342"/>
      <c r="G28" s="342"/>
      <c r="H28" s="343"/>
      <c r="I28" s="342"/>
      <c r="J28" s="342"/>
      <c r="K28" s="343"/>
      <c r="L28" s="343"/>
    </row>
    <row r="29" spans="2:12" s="4" customFormat="1">
      <c r="B29" s="342"/>
      <c r="C29" s="342"/>
      <c r="D29" s="342"/>
      <c r="E29" s="342"/>
      <c r="F29" s="342"/>
      <c r="G29" s="342"/>
      <c r="H29" s="343"/>
      <c r="I29" s="342"/>
      <c r="J29" s="342"/>
      <c r="K29" s="343"/>
      <c r="L29" s="343"/>
    </row>
    <row r="30" spans="2:12" s="4" customFormat="1">
      <c r="B30" s="342"/>
      <c r="C30" s="342"/>
      <c r="D30" s="342"/>
      <c r="E30" s="342"/>
      <c r="F30" s="342"/>
      <c r="G30" s="342"/>
      <c r="H30" s="343"/>
      <c r="I30" s="342"/>
      <c r="J30" s="342"/>
      <c r="K30" s="343"/>
      <c r="L30" s="343"/>
    </row>
    <row r="31" spans="2:12" s="4" customFormat="1">
      <c r="B31" s="342"/>
      <c r="C31" s="342"/>
      <c r="D31" s="342"/>
      <c r="E31" s="342"/>
      <c r="F31" s="342"/>
      <c r="G31" s="342"/>
      <c r="H31" s="343"/>
      <c r="I31" s="342"/>
      <c r="J31" s="342"/>
      <c r="K31" s="343"/>
      <c r="L31" s="343"/>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R30"/>
  <sheetViews>
    <sheetView showGridLines="0" zoomScale="80" zoomScaleNormal="80" workbookViewId="0">
      <pane xSplit="2" ySplit="5" topLeftCell="C6" activePane="bottomRight" state="frozen"/>
      <selection pane="topRight"/>
      <selection pane="bottomLeft"/>
      <selection pane="bottomRight"/>
    </sheetView>
  </sheetViews>
  <sheetFormatPr defaultColWidth="9.140625" defaultRowHeight="12.75"/>
  <cols>
    <col min="1" max="1" width="2.5703125" style="3" customWidth="1"/>
    <col min="2" max="2" width="62" style="3" customWidth="1"/>
    <col min="3" max="3" width="2.5703125" style="3" customWidth="1"/>
    <col min="4" max="4" width="13.5703125" style="3" customWidth="1"/>
    <col min="5" max="5" width="2.5703125" style="3" customWidth="1"/>
    <col min="6" max="6" width="13.5703125" style="3" customWidth="1"/>
    <col min="7" max="7" width="2.5703125" style="3" customWidth="1"/>
    <col min="8" max="14" width="12.5703125" style="3" customWidth="1"/>
    <col min="15" max="15" width="2.5703125" style="3" customWidth="1"/>
    <col min="16" max="16" width="20.5703125" style="3" customWidth="1"/>
    <col min="17" max="17" width="2.5703125" style="3" customWidth="1"/>
    <col min="18" max="18" width="20.5703125" style="3" customWidth="1"/>
    <col min="19" max="31" width="13.5703125" style="3" customWidth="1"/>
    <col min="32" max="16384" width="9.140625" style="3"/>
  </cols>
  <sheetData>
    <row r="2" spans="2:18" s="12" customFormat="1" ht="18">
      <c r="B2" s="12" t="s">
        <v>785</v>
      </c>
    </row>
    <row r="4" spans="2:18">
      <c r="B4" s="16" t="s">
        <v>192</v>
      </c>
      <c r="C4" s="2"/>
    </row>
    <row r="5" spans="2:18" ht="27.75" customHeight="1">
      <c r="B5" s="379" t="s">
        <v>786</v>
      </c>
      <c r="C5" s="382"/>
      <c r="D5" s="382"/>
      <c r="F5" s="13"/>
    </row>
    <row r="7" spans="2:18" s="8" customFormat="1">
      <c r="B7" s="8" t="s">
        <v>152</v>
      </c>
      <c r="D7" s="8" t="s">
        <v>194</v>
      </c>
      <c r="F7" s="8" t="s">
        <v>195</v>
      </c>
      <c r="H7" s="59">
        <v>2020</v>
      </c>
      <c r="I7" s="52">
        <v>2021</v>
      </c>
      <c r="J7" s="52">
        <v>2022</v>
      </c>
      <c r="K7" s="52">
        <v>2023</v>
      </c>
      <c r="L7" s="52">
        <v>2024</v>
      </c>
      <c r="M7" s="52">
        <v>2025</v>
      </c>
      <c r="N7" s="52">
        <v>2026</v>
      </c>
      <c r="P7" s="8" t="s">
        <v>196</v>
      </c>
      <c r="R7" s="8" t="s">
        <v>197</v>
      </c>
    </row>
    <row r="9" spans="2:18" s="8" customFormat="1">
      <c r="B9" s="8" t="s">
        <v>787</v>
      </c>
    </row>
    <row r="11" spans="2:18">
      <c r="B11" s="16" t="s">
        <v>787</v>
      </c>
    </row>
    <row r="12" spans="2:18">
      <c r="B12" s="3" t="s">
        <v>788</v>
      </c>
      <c r="D12" s="3" t="s">
        <v>789</v>
      </c>
      <c r="H12" s="10"/>
      <c r="I12" s="10"/>
      <c r="J12" s="10"/>
      <c r="K12" s="10"/>
      <c r="L12" s="10"/>
      <c r="M12" s="354">
        <v>138087814</v>
      </c>
      <c r="N12" s="10"/>
      <c r="P12" s="141" t="s">
        <v>464</v>
      </c>
    </row>
    <row r="13" spans="2:18">
      <c r="B13" s="3" t="s">
        <v>790</v>
      </c>
      <c r="D13" s="3" t="s">
        <v>789</v>
      </c>
      <c r="H13" s="10"/>
      <c r="I13" s="10"/>
      <c r="J13" s="10"/>
      <c r="K13" s="10"/>
      <c r="L13" s="10"/>
      <c r="M13" s="354">
        <v>236912186</v>
      </c>
      <c r="N13" s="10"/>
      <c r="P13" s="141" t="s">
        <v>464</v>
      </c>
    </row>
    <row r="14" spans="2:18">
      <c r="J14" s="13"/>
      <c r="K14" s="13"/>
      <c r="L14" s="13"/>
    </row>
    <row r="15" spans="2:18">
      <c r="B15" s="3" t="s">
        <v>791</v>
      </c>
      <c r="D15" s="3" t="s">
        <v>789</v>
      </c>
      <c r="H15" s="10"/>
      <c r="I15" s="10"/>
      <c r="J15" s="10"/>
      <c r="K15" s="10"/>
      <c r="L15" s="10"/>
      <c r="M15" s="354">
        <v>47529361</v>
      </c>
      <c r="N15" s="10"/>
      <c r="P15" s="141" t="s">
        <v>464</v>
      </c>
    </row>
    <row r="16" spans="2:18">
      <c r="B16" s="3" t="s">
        <v>792</v>
      </c>
      <c r="D16" s="3" t="s">
        <v>789</v>
      </c>
      <c r="H16" s="10"/>
      <c r="I16" s="10"/>
      <c r="J16" s="10"/>
      <c r="K16" s="10"/>
      <c r="L16" s="10"/>
      <c r="M16" s="354">
        <v>28422166</v>
      </c>
      <c r="N16" s="10"/>
      <c r="P16" s="141" t="s">
        <v>464</v>
      </c>
    </row>
    <row r="17" spans="2:16">
      <c r="J17" s="13"/>
    </row>
    <row r="18" spans="2:16">
      <c r="B18" s="3" t="s">
        <v>793</v>
      </c>
      <c r="D18" s="3" t="s">
        <v>789</v>
      </c>
      <c r="H18" s="10"/>
      <c r="I18" s="10"/>
      <c r="J18" s="10"/>
      <c r="K18" s="10"/>
      <c r="L18" s="10"/>
      <c r="M18" s="354">
        <v>31903239</v>
      </c>
      <c r="N18" s="10"/>
      <c r="P18" s="141" t="s">
        <v>464</v>
      </c>
    </row>
    <row r="24" spans="2:16">
      <c r="M24" s="178"/>
    </row>
    <row r="25" spans="2:16">
      <c r="M25" s="178"/>
    </row>
    <row r="26" spans="2:16">
      <c r="M26" s="178"/>
    </row>
    <row r="27" spans="2:16">
      <c r="M27" s="178"/>
    </row>
    <row r="28" spans="2:16">
      <c r="M28" s="178"/>
    </row>
    <row r="29" spans="2:16">
      <c r="M29" s="178"/>
    </row>
    <row r="30" spans="2:16">
      <c r="M30" s="178"/>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A1:H39"/>
  <sheetViews>
    <sheetView showGridLines="0" zoomScale="90" zoomScaleNormal="90" workbookViewId="0"/>
  </sheetViews>
  <sheetFormatPr defaultRowHeight="12.75"/>
  <cols>
    <col min="1" max="1" width="2.5703125" style="364" customWidth="1"/>
    <col min="2" max="2" width="8.5703125" bestFit="1" customWidth="1"/>
    <col min="3" max="3" width="21.28515625" bestFit="1" customWidth="1"/>
    <col min="4" max="4" width="24" bestFit="1" customWidth="1"/>
    <col min="5" max="5" width="31.42578125" bestFit="1" customWidth="1"/>
    <col min="6" max="6" width="25.7109375" bestFit="1" customWidth="1"/>
    <col min="7" max="7" width="15.7109375" bestFit="1" customWidth="1"/>
    <col min="8" max="8" width="72.42578125" bestFit="1" customWidth="1"/>
  </cols>
  <sheetData>
    <row r="1" spans="1:7" s="3" customFormat="1" ht="10.7" customHeight="1">
      <c r="A1" s="357"/>
    </row>
    <row r="2" spans="1:7" s="12" customFormat="1" ht="18">
      <c r="B2" s="12" t="s">
        <v>794</v>
      </c>
    </row>
    <row r="3" spans="1:7" s="3" customFormat="1" ht="10.7" customHeight="1">
      <c r="A3" s="357"/>
    </row>
    <row r="4" spans="1:7" s="3" customFormat="1">
      <c r="A4" s="357"/>
      <c r="B4" s="2" t="s">
        <v>192</v>
      </c>
    </row>
    <row r="5" spans="1:7" s="3" customFormat="1" ht="27.75" customHeight="1">
      <c r="A5" s="357"/>
      <c r="B5" s="379" t="s">
        <v>795</v>
      </c>
      <c r="C5" s="379"/>
      <c r="D5" s="379"/>
      <c r="E5" s="379"/>
      <c r="F5" s="379"/>
      <c r="G5" s="1"/>
    </row>
    <row r="6" spans="1:7" s="3" customFormat="1" ht="10.7" customHeight="1">
      <c r="A6" s="357"/>
    </row>
    <row r="7" spans="1:7" s="3" customFormat="1">
      <c r="A7" s="357"/>
      <c r="B7" s="16" t="s">
        <v>796</v>
      </c>
      <c r="D7" s="2"/>
    </row>
    <row r="8" spans="1:7" s="3" customFormat="1" ht="16.5" customHeight="1">
      <c r="A8" s="357"/>
      <c r="B8" s="382" t="s">
        <v>797</v>
      </c>
      <c r="C8" s="382"/>
      <c r="D8" s="382"/>
      <c r="E8" s="382"/>
      <c r="F8" s="382"/>
      <c r="G8" s="127"/>
    </row>
    <row r="9" spans="1:7" s="3" customFormat="1" ht="10.7" customHeight="1">
      <c r="A9" s="357"/>
      <c r="B9" s="4"/>
    </row>
    <row r="10" spans="1:7" s="3" customFormat="1">
      <c r="A10" s="357"/>
      <c r="B10" s="188" t="s">
        <v>798</v>
      </c>
    </row>
    <row r="11" spans="1:7" s="3" customFormat="1">
      <c r="A11" s="357"/>
      <c r="B11" s="388">
        <v>45050</v>
      </c>
      <c r="C11" s="388"/>
      <c r="D11" s="388"/>
      <c r="E11" s="128"/>
    </row>
    <row r="12" spans="1:7" ht="10.7" customHeight="1"/>
    <row r="13" spans="1:7">
      <c r="B13" s="188" t="s">
        <v>799</v>
      </c>
      <c r="D13" s="3"/>
      <c r="E13" s="3"/>
    </row>
    <row r="14" spans="1:7" ht="26.25" customHeight="1">
      <c r="B14" s="379" t="s">
        <v>800</v>
      </c>
      <c r="C14" s="379"/>
      <c r="D14" s="379"/>
      <c r="E14" s="379"/>
      <c r="F14" s="379"/>
      <c r="G14" s="1"/>
    </row>
    <row r="15" spans="1:7" ht="10.7" customHeight="1"/>
    <row r="16" spans="1:7">
      <c r="B16" s="189" t="s">
        <v>801</v>
      </c>
    </row>
    <row r="17" spans="1:8">
      <c r="B17" s="135">
        <f>SUBTOTAL(103,B20:B574)</f>
        <v>20</v>
      </c>
    </row>
    <row r="18" spans="1:8" ht="10.7" customHeight="1"/>
    <row r="19" spans="1:8" s="8" customFormat="1">
      <c r="A19" s="360"/>
      <c r="B19" s="8" t="s">
        <v>802</v>
      </c>
      <c r="C19" s="40" t="s">
        <v>506</v>
      </c>
      <c r="D19" s="40" t="s">
        <v>803</v>
      </c>
      <c r="E19" s="40" t="s">
        <v>804</v>
      </c>
      <c r="F19" s="40" t="s">
        <v>805</v>
      </c>
      <c r="G19" s="262" t="s">
        <v>806</v>
      </c>
      <c r="H19" s="40" t="s">
        <v>807</v>
      </c>
    </row>
    <row r="20" spans="1:8">
      <c r="B20">
        <v>1</v>
      </c>
      <c r="C20" s="190">
        <v>560010.50868726079</v>
      </c>
      <c r="D20">
        <v>2020</v>
      </c>
      <c r="E20" s="366" t="s">
        <v>288</v>
      </c>
      <c r="F20" s="366" t="s">
        <v>808</v>
      </c>
      <c r="G20" s="366" t="s">
        <v>19</v>
      </c>
      <c r="H20" s="366" t="s">
        <v>809</v>
      </c>
    </row>
    <row r="21" spans="1:8">
      <c r="B21">
        <v>2</v>
      </c>
      <c r="C21" s="190">
        <v>1887912.8589451036</v>
      </c>
      <c r="D21">
        <v>2022</v>
      </c>
      <c r="E21" s="366" t="s">
        <v>284</v>
      </c>
      <c r="F21" s="366" t="s">
        <v>808</v>
      </c>
      <c r="G21" s="366" t="s">
        <v>19</v>
      </c>
      <c r="H21" s="366" t="s">
        <v>810</v>
      </c>
    </row>
    <row r="22" spans="1:8">
      <c r="B22">
        <v>3</v>
      </c>
      <c r="C22" s="190">
        <v>2724356.4622969897</v>
      </c>
      <c r="D22">
        <v>2022</v>
      </c>
      <c r="E22" s="366" t="s">
        <v>288</v>
      </c>
      <c r="F22" s="366" t="s">
        <v>808</v>
      </c>
      <c r="G22" s="366" t="s">
        <v>19</v>
      </c>
      <c r="H22" s="366" t="s">
        <v>810</v>
      </c>
    </row>
    <row r="23" spans="1:8">
      <c r="B23">
        <v>4</v>
      </c>
      <c r="C23" s="190">
        <v>226794.9736094765</v>
      </c>
      <c r="D23">
        <v>2022</v>
      </c>
      <c r="E23" s="366" t="s">
        <v>297</v>
      </c>
      <c r="F23" s="366" t="s">
        <v>808</v>
      </c>
      <c r="G23" s="366" t="s">
        <v>19</v>
      </c>
      <c r="H23" s="366" t="s">
        <v>810</v>
      </c>
    </row>
    <row r="24" spans="1:8">
      <c r="B24">
        <v>5</v>
      </c>
      <c r="C24" s="190">
        <v>3824577.1209736457</v>
      </c>
      <c r="D24">
        <v>2022</v>
      </c>
      <c r="E24" s="366" t="s">
        <v>325</v>
      </c>
      <c r="F24" s="366" t="s">
        <v>808</v>
      </c>
      <c r="G24" s="366" t="s">
        <v>19</v>
      </c>
      <c r="H24" s="366" t="s">
        <v>810</v>
      </c>
    </row>
    <row r="25" spans="1:8">
      <c r="B25">
        <v>6</v>
      </c>
      <c r="C25" s="190">
        <v>3150608.2540416676</v>
      </c>
      <c r="D25">
        <v>2022</v>
      </c>
      <c r="E25" s="366" t="s">
        <v>331</v>
      </c>
      <c r="F25" s="366" t="s">
        <v>808</v>
      </c>
      <c r="G25" s="366" t="s">
        <v>19</v>
      </c>
      <c r="H25" s="366" t="s">
        <v>810</v>
      </c>
    </row>
    <row r="26" spans="1:8">
      <c r="B26">
        <v>7</v>
      </c>
      <c r="C26" s="190">
        <v>1821898.5094885458</v>
      </c>
      <c r="D26">
        <v>2023</v>
      </c>
      <c r="E26" s="366" t="s">
        <v>291</v>
      </c>
      <c r="F26" s="366" t="s">
        <v>470</v>
      </c>
      <c r="G26" s="366" t="s">
        <v>17</v>
      </c>
      <c r="H26" s="366" t="s">
        <v>1137</v>
      </c>
    </row>
    <row r="27" spans="1:8">
      <c r="B27">
        <v>8</v>
      </c>
      <c r="C27" s="190">
        <v>41241409.443761975</v>
      </c>
      <c r="D27">
        <v>2023</v>
      </c>
      <c r="E27" s="366" t="s">
        <v>293</v>
      </c>
      <c r="F27" s="366" t="s">
        <v>470</v>
      </c>
      <c r="G27" s="366" t="s">
        <v>17</v>
      </c>
      <c r="H27" s="366" t="s">
        <v>1137</v>
      </c>
    </row>
    <row r="28" spans="1:8">
      <c r="B28">
        <v>9</v>
      </c>
      <c r="C28" s="190">
        <v>26179329.440538418</v>
      </c>
      <c r="D28">
        <v>2023</v>
      </c>
      <c r="E28" s="366" t="s">
        <v>297</v>
      </c>
      <c r="F28" s="366" t="s">
        <v>470</v>
      </c>
      <c r="G28" s="366" t="s">
        <v>17</v>
      </c>
      <c r="H28" s="366" t="s">
        <v>1137</v>
      </c>
    </row>
    <row r="29" spans="1:8">
      <c r="B29">
        <v>10</v>
      </c>
      <c r="C29" s="190">
        <v>324466.46385633486</v>
      </c>
      <c r="D29">
        <v>2023</v>
      </c>
      <c r="E29" s="366" t="s">
        <v>301</v>
      </c>
      <c r="F29" s="366" t="s">
        <v>470</v>
      </c>
      <c r="G29" s="366" t="s">
        <v>17</v>
      </c>
      <c r="H29" s="366" t="s">
        <v>1137</v>
      </c>
    </row>
    <row r="30" spans="1:8">
      <c r="B30">
        <v>11</v>
      </c>
      <c r="C30" s="190">
        <v>358620.80849138752</v>
      </c>
      <c r="D30">
        <v>2023</v>
      </c>
      <c r="E30" s="366" t="s">
        <v>302</v>
      </c>
      <c r="F30" s="366" t="s">
        <v>470</v>
      </c>
      <c r="G30" s="366" t="s">
        <v>17</v>
      </c>
      <c r="H30" s="366" t="s">
        <v>1137</v>
      </c>
    </row>
    <row r="31" spans="1:8">
      <c r="B31">
        <v>12</v>
      </c>
      <c r="C31" s="190">
        <v>77940287.016589478</v>
      </c>
      <c r="D31">
        <v>2023</v>
      </c>
      <c r="E31" s="366" t="s">
        <v>321</v>
      </c>
      <c r="F31" s="366" t="s">
        <v>470</v>
      </c>
      <c r="G31" s="366" t="s">
        <v>17</v>
      </c>
      <c r="H31" s="366" t="s">
        <v>1137</v>
      </c>
    </row>
    <row r="32" spans="1:8">
      <c r="B32">
        <v>13</v>
      </c>
      <c r="C32" s="190">
        <v>21107403.53252615</v>
      </c>
      <c r="D32">
        <v>2023</v>
      </c>
      <c r="E32" s="366" t="s">
        <v>325</v>
      </c>
      <c r="F32" s="366" t="s">
        <v>470</v>
      </c>
      <c r="G32" s="366" t="s">
        <v>17</v>
      </c>
      <c r="H32" s="366" t="s">
        <v>1137</v>
      </c>
    </row>
    <row r="33" spans="2:8">
      <c r="B33">
        <v>14</v>
      </c>
      <c r="C33" s="190">
        <v>18334898.10779709</v>
      </c>
      <c r="D33">
        <v>2023</v>
      </c>
      <c r="E33" s="366" t="s">
        <v>340</v>
      </c>
      <c r="F33" s="366" t="s">
        <v>470</v>
      </c>
      <c r="G33" s="366" t="s">
        <v>17</v>
      </c>
      <c r="H33" s="366" t="s">
        <v>1137</v>
      </c>
    </row>
    <row r="34" spans="2:8">
      <c r="B34">
        <v>15</v>
      </c>
      <c r="C34" s="190">
        <v>3620364.0601766575</v>
      </c>
      <c r="D34">
        <v>2023</v>
      </c>
      <c r="E34" s="366" t="s">
        <v>351</v>
      </c>
      <c r="F34" s="366" t="s">
        <v>470</v>
      </c>
      <c r="G34" s="366" t="s">
        <v>17</v>
      </c>
      <c r="H34" s="366" t="s">
        <v>1137</v>
      </c>
    </row>
    <row r="35" spans="2:8">
      <c r="B35">
        <v>16</v>
      </c>
      <c r="C35" s="190">
        <v>480761.86491484893</v>
      </c>
      <c r="D35">
        <v>2023</v>
      </c>
      <c r="E35" s="366" t="s">
        <v>284</v>
      </c>
      <c r="F35" s="366" t="s">
        <v>808</v>
      </c>
      <c r="G35" s="366" t="s">
        <v>19</v>
      </c>
      <c r="H35" s="366" t="s">
        <v>1137</v>
      </c>
    </row>
    <row r="36" spans="2:8">
      <c r="B36">
        <v>17</v>
      </c>
      <c r="C36" s="190">
        <v>1837695.4875736441</v>
      </c>
      <c r="D36">
        <v>2023</v>
      </c>
      <c r="E36" s="366" t="s">
        <v>288</v>
      </c>
      <c r="F36" s="366" t="s">
        <v>808</v>
      </c>
      <c r="G36" s="366" t="s">
        <v>19</v>
      </c>
      <c r="H36" s="366" t="s">
        <v>1137</v>
      </c>
    </row>
    <row r="37" spans="2:8">
      <c r="B37">
        <v>18</v>
      </c>
      <c r="C37" s="190">
        <v>12952.219318794072</v>
      </c>
      <c r="D37">
        <v>2023</v>
      </c>
      <c r="E37" s="366" t="s">
        <v>297</v>
      </c>
      <c r="F37" s="366" t="s">
        <v>808</v>
      </c>
      <c r="G37" s="366" t="s">
        <v>19</v>
      </c>
      <c r="H37" s="366" t="s">
        <v>1137</v>
      </c>
    </row>
    <row r="38" spans="2:8">
      <c r="B38">
        <v>19</v>
      </c>
      <c r="C38" s="190">
        <v>4401460.9803481428</v>
      </c>
      <c r="D38">
        <v>2023</v>
      </c>
      <c r="E38" s="366" t="s">
        <v>325</v>
      </c>
      <c r="F38" s="366" t="s">
        <v>808</v>
      </c>
      <c r="G38" s="366" t="s">
        <v>19</v>
      </c>
      <c r="H38" s="366" t="s">
        <v>1137</v>
      </c>
    </row>
    <row r="39" spans="2:8">
      <c r="B39">
        <v>20</v>
      </c>
      <c r="C39" s="190">
        <v>179930.39320672158</v>
      </c>
      <c r="D39">
        <v>2023</v>
      </c>
      <c r="E39" s="366" t="s">
        <v>331</v>
      </c>
      <c r="F39" s="366" t="s">
        <v>808</v>
      </c>
      <c r="G39" s="366" t="s">
        <v>19</v>
      </c>
      <c r="H39" s="366" t="s">
        <v>1137</v>
      </c>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A1:M110"/>
  <sheetViews>
    <sheetView showGridLines="0" zoomScale="90" zoomScaleNormal="90" workbookViewId="0"/>
  </sheetViews>
  <sheetFormatPr defaultRowHeight="12.75"/>
  <cols>
    <col min="1" max="1" width="2.5703125" style="364" customWidth="1"/>
    <col min="2" max="2" width="8.5703125" bestFit="1" customWidth="1"/>
    <col min="3" max="3" width="21.28515625" bestFit="1" customWidth="1"/>
    <col min="4" max="4" width="24" bestFit="1" customWidth="1"/>
    <col min="5" max="5" width="37.5703125" bestFit="1" customWidth="1"/>
    <col min="6" max="6" width="76.42578125" bestFit="1" customWidth="1"/>
    <col min="7" max="7" width="9.5703125" bestFit="1" customWidth="1"/>
  </cols>
  <sheetData>
    <row r="1" spans="1:13" s="3" customFormat="1">
      <c r="A1" s="357"/>
    </row>
    <row r="2" spans="1:13" s="12" customFormat="1" ht="18">
      <c r="B2" s="12" t="s">
        <v>811</v>
      </c>
    </row>
    <row r="3" spans="1:13" s="3" customFormat="1">
      <c r="A3" s="357"/>
    </row>
    <row r="4" spans="1:13" s="3" customFormat="1">
      <c r="A4" s="357"/>
      <c r="B4" s="2" t="s">
        <v>192</v>
      </c>
    </row>
    <row r="5" spans="1:13" s="3" customFormat="1" ht="27" customHeight="1">
      <c r="A5" s="357"/>
      <c r="B5" s="379" t="s">
        <v>812</v>
      </c>
      <c r="C5" s="379"/>
      <c r="D5" s="379"/>
      <c r="E5" s="379"/>
      <c r="F5" s="379"/>
    </row>
    <row r="6" spans="1:13" s="3" customFormat="1">
      <c r="A6" s="357"/>
    </row>
    <row r="7" spans="1:13" s="3" customFormat="1">
      <c r="A7" s="357"/>
      <c r="B7" s="16" t="s">
        <v>796</v>
      </c>
      <c r="D7" s="2"/>
    </row>
    <row r="8" spans="1:13" s="3" customFormat="1" ht="16.5" customHeight="1">
      <c r="A8" s="357"/>
      <c r="B8" s="382" t="s">
        <v>797</v>
      </c>
      <c r="C8" s="382"/>
      <c r="D8" s="382"/>
      <c r="E8" s="382"/>
      <c r="F8" s="382"/>
      <c r="G8" s="382"/>
      <c r="H8" s="382"/>
      <c r="I8" s="382"/>
      <c r="J8" s="382"/>
      <c r="K8" s="382"/>
      <c r="L8" s="382"/>
      <c r="M8" s="382"/>
    </row>
    <row r="9" spans="1:13" s="3" customFormat="1">
      <c r="A9" s="357"/>
      <c r="B9" s="4"/>
    </row>
    <row r="10" spans="1:13" s="3" customFormat="1">
      <c r="A10" s="357"/>
      <c r="B10" s="188" t="s">
        <v>798</v>
      </c>
    </row>
    <row r="11" spans="1:13" s="3" customFormat="1">
      <c r="A11" s="357"/>
      <c r="B11" s="388">
        <v>45245</v>
      </c>
      <c r="C11" s="388"/>
      <c r="D11" s="388"/>
      <c r="E11" s="128"/>
    </row>
    <row r="13" spans="1:13">
      <c r="B13" s="188" t="s">
        <v>799</v>
      </c>
      <c r="D13" s="3"/>
      <c r="E13" s="3"/>
    </row>
    <row r="14" spans="1:13" ht="26.25" customHeight="1">
      <c r="B14" s="379" t="s">
        <v>813</v>
      </c>
      <c r="C14" s="379"/>
      <c r="D14" s="379"/>
      <c r="E14" s="379"/>
      <c r="F14" s="379"/>
    </row>
    <row r="16" spans="1:13">
      <c r="B16" s="189" t="s">
        <v>801</v>
      </c>
    </row>
    <row r="17" spans="1:7">
      <c r="B17" s="135">
        <f>SUBTOTAL(103,B20:B540)</f>
        <v>91</v>
      </c>
    </row>
    <row r="18" spans="1:7" ht="14.25" customHeight="1"/>
    <row r="19" spans="1:7" s="8" customFormat="1">
      <c r="A19" s="360"/>
      <c r="B19" s="8" t="s">
        <v>802</v>
      </c>
      <c r="C19" s="40" t="s">
        <v>506</v>
      </c>
      <c r="D19" s="40" t="s">
        <v>803</v>
      </c>
      <c r="E19" s="40" t="s">
        <v>804</v>
      </c>
      <c r="F19" s="40" t="s">
        <v>807</v>
      </c>
      <c r="G19" s="40" t="s">
        <v>814</v>
      </c>
    </row>
    <row r="20" spans="1:7">
      <c r="B20">
        <v>1</v>
      </c>
      <c r="C20" s="190">
        <v>31360107.14852399</v>
      </c>
      <c r="D20">
        <v>2020</v>
      </c>
      <c r="E20" s="366" t="s">
        <v>284</v>
      </c>
      <c r="F20" s="366" t="s">
        <v>809</v>
      </c>
      <c r="G20">
        <v>1</v>
      </c>
    </row>
    <row r="21" spans="1:7">
      <c r="B21">
        <v>2</v>
      </c>
      <c r="C21" s="190">
        <v>4529775.5276718521</v>
      </c>
      <c r="D21">
        <v>2020</v>
      </c>
      <c r="E21" s="366" t="s">
        <v>288</v>
      </c>
      <c r="F21" s="366" t="s">
        <v>809</v>
      </c>
      <c r="G21">
        <v>1</v>
      </c>
    </row>
    <row r="22" spans="1:7">
      <c r="B22">
        <v>3</v>
      </c>
      <c r="C22" s="190">
        <v>1155721.8280173452</v>
      </c>
      <c r="D22">
        <v>2020</v>
      </c>
      <c r="E22" s="366" t="s">
        <v>291</v>
      </c>
      <c r="F22" s="366" t="s">
        <v>809</v>
      </c>
      <c r="G22">
        <v>1</v>
      </c>
    </row>
    <row r="23" spans="1:7">
      <c r="B23">
        <v>4</v>
      </c>
      <c r="C23" s="190">
        <v>320593.27893508447</v>
      </c>
      <c r="D23">
        <v>2020</v>
      </c>
      <c r="E23" s="366" t="s">
        <v>293</v>
      </c>
      <c r="F23" s="366" t="s">
        <v>809</v>
      </c>
      <c r="G23">
        <v>1</v>
      </c>
    </row>
    <row r="24" spans="1:7">
      <c r="B24">
        <v>5</v>
      </c>
      <c r="C24" s="190">
        <v>1555027.7495395842</v>
      </c>
      <c r="D24">
        <v>2020</v>
      </c>
      <c r="E24" s="366" t="s">
        <v>297</v>
      </c>
      <c r="F24" s="366" t="s">
        <v>809</v>
      </c>
      <c r="G24">
        <v>1</v>
      </c>
    </row>
    <row r="25" spans="1:7">
      <c r="B25">
        <v>6</v>
      </c>
      <c r="C25" s="190">
        <v>227358.20364143242</v>
      </c>
      <c r="D25">
        <v>2020</v>
      </c>
      <c r="E25" s="366" t="s">
        <v>301</v>
      </c>
      <c r="F25" s="366" t="s">
        <v>809</v>
      </c>
      <c r="G25">
        <v>1</v>
      </c>
    </row>
    <row r="26" spans="1:7">
      <c r="B26">
        <v>7</v>
      </c>
      <c r="C26" s="190">
        <v>-2031.2069601401199</v>
      </c>
      <c r="D26">
        <v>2020</v>
      </c>
      <c r="E26" s="366" t="s">
        <v>302</v>
      </c>
      <c r="F26" s="366" t="s">
        <v>809</v>
      </c>
      <c r="G26">
        <v>1</v>
      </c>
    </row>
    <row r="27" spans="1:7">
      <c r="B27">
        <v>8</v>
      </c>
      <c r="C27" s="190">
        <v>971.16619787636887</v>
      </c>
      <c r="D27">
        <v>2020</v>
      </c>
      <c r="E27" s="366" t="s">
        <v>303</v>
      </c>
      <c r="F27" s="366" t="s">
        <v>809</v>
      </c>
      <c r="G27">
        <v>1</v>
      </c>
    </row>
    <row r="28" spans="1:7">
      <c r="B28">
        <v>9</v>
      </c>
      <c r="C28" s="190">
        <v>897693.90315601986</v>
      </c>
      <c r="D28">
        <v>2020</v>
      </c>
      <c r="E28" s="366" t="s">
        <v>307</v>
      </c>
      <c r="F28" s="366" t="s">
        <v>809</v>
      </c>
      <c r="G28">
        <v>1</v>
      </c>
    </row>
    <row r="29" spans="1:7">
      <c r="B29">
        <v>10</v>
      </c>
      <c r="C29" s="190">
        <v>119157.79156970895</v>
      </c>
      <c r="D29">
        <v>2020</v>
      </c>
      <c r="E29" s="366" t="s">
        <v>314</v>
      </c>
      <c r="F29" s="366" t="s">
        <v>809</v>
      </c>
      <c r="G29">
        <v>1</v>
      </c>
    </row>
    <row r="30" spans="1:7">
      <c r="B30">
        <v>11</v>
      </c>
      <c r="C30" s="190">
        <v>847435.58289065212</v>
      </c>
      <c r="D30">
        <v>2020</v>
      </c>
      <c r="E30" s="366" t="s">
        <v>319</v>
      </c>
      <c r="F30" s="366" t="s">
        <v>809</v>
      </c>
      <c r="G30">
        <v>1</v>
      </c>
    </row>
    <row r="31" spans="1:7">
      <c r="B31">
        <v>12</v>
      </c>
      <c r="C31" s="190">
        <v>9057966.2936882433</v>
      </c>
      <c r="D31">
        <v>2020</v>
      </c>
      <c r="E31" s="366" t="s">
        <v>317</v>
      </c>
      <c r="F31" s="366" t="s">
        <v>809</v>
      </c>
      <c r="G31">
        <v>1</v>
      </c>
    </row>
    <row r="32" spans="1:7">
      <c r="B32">
        <v>13</v>
      </c>
      <c r="C32" s="190">
        <v>505581.67726689682</v>
      </c>
      <c r="D32">
        <v>2020</v>
      </c>
      <c r="E32" s="366" t="s">
        <v>320</v>
      </c>
      <c r="F32" s="366" t="s">
        <v>809</v>
      </c>
      <c r="G32">
        <v>1</v>
      </c>
    </row>
    <row r="33" spans="2:7">
      <c r="B33">
        <v>14</v>
      </c>
      <c r="C33" s="190">
        <v>26405484.075497396</v>
      </c>
      <c r="D33">
        <v>2020</v>
      </c>
      <c r="E33" s="366" t="s">
        <v>321</v>
      </c>
      <c r="F33" s="366" t="s">
        <v>809</v>
      </c>
      <c r="G33">
        <v>1</v>
      </c>
    </row>
    <row r="34" spans="2:7">
      <c r="B34">
        <v>15</v>
      </c>
      <c r="C34" s="190">
        <v>756400.94229177735</v>
      </c>
      <c r="D34">
        <v>2020</v>
      </c>
      <c r="E34" s="366" t="s">
        <v>324</v>
      </c>
      <c r="F34" s="366" t="s">
        <v>809</v>
      </c>
      <c r="G34">
        <v>1</v>
      </c>
    </row>
    <row r="35" spans="2:7">
      <c r="B35">
        <v>16</v>
      </c>
      <c r="C35" s="190">
        <v>12922329.119819744</v>
      </c>
      <c r="D35">
        <v>2020</v>
      </c>
      <c r="E35" s="366" t="s">
        <v>325</v>
      </c>
      <c r="F35" s="366" t="s">
        <v>809</v>
      </c>
      <c r="G35">
        <v>1</v>
      </c>
    </row>
    <row r="36" spans="2:7">
      <c r="B36">
        <v>17</v>
      </c>
      <c r="C36" s="190">
        <v>686952.98173478153</v>
      </c>
      <c r="D36">
        <v>2020</v>
      </c>
      <c r="E36" s="366" t="s">
        <v>331</v>
      </c>
      <c r="F36" s="366" t="s">
        <v>809</v>
      </c>
      <c r="G36">
        <v>1</v>
      </c>
    </row>
    <row r="37" spans="2:7">
      <c r="B37">
        <v>18</v>
      </c>
      <c r="C37" s="190">
        <v>975839.82625029294</v>
      </c>
      <c r="D37">
        <v>2020</v>
      </c>
      <c r="E37" s="366" t="s">
        <v>334</v>
      </c>
      <c r="F37" s="366" t="s">
        <v>809</v>
      </c>
      <c r="G37">
        <v>1</v>
      </c>
    </row>
    <row r="38" spans="2:7">
      <c r="B38">
        <v>19</v>
      </c>
      <c r="C38" s="190">
        <v>31012.676750044764</v>
      </c>
      <c r="D38">
        <v>2020</v>
      </c>
      <c r="E38" s="366" t="s">
        <v>336</v>
      </c>
      <c r="F38" s="366" t="s">
        <v>809</v>
      </c>
      <c r="G38">
        <v>1</v>
      </c>
    </row>
    <row r="39" spans="2:7">
      <c r="B39">
        <v>20</v>
      </c>
      <c r="C39" s="190">
        <v>12132.747993912169</v>
      </c>
      <c r="D39">
        <v>2020</v>
      </c>
      <c r="E39" s="366" t="s">
        <v>339</v>
      </c>
      <c r="F39" s="366" t="s">
        <v>809</v>
      </c>
      <c r="G39">
        <v>1</v>
      </c>
    </row>
    <row r="40" spans="2:7">
      <c r="B40">
        <v>21</v>
      </c>
      <c r="C40" s="190">
        <v>6654019.8779814392</v>
      </c>
      <c r="D40">
        <v>2020</v>
      </c>
      <c r="E40" s="366" t="s">
        <v>340</v>
      </c>
      <c r="F40" s="366" t="s">
        <v>809</v>
      </c>
      <c r="G40">
        <v>1</v>
      </c>
    </row>
    <row r="41" spans="2:7">
      <c r="B41">
        <v>22</v>
      </c>
      <c r="C41" s="190">
        <v>4047998.6160165961</v>
      </c>
      <c r="D41">
        <v>2020</v>
      </c>
      <c r="E41" s="366" t="s">
        <v>341</v>
      </c>
      <c r="F41" s="366" t="s">
        <v>809</v>
      </c>
      <c r="G41">
        <v>1</v>
      </c>
    </row>
    <row r="42" spans="2:7">
      <c r="B42">
        <v>23</v>
      </c>
      <c r="C42" s="190">
        <v>2403625.2498371834</v>
      </c>
      <c r="D42">
        <v>2020</v>
      </c>
      <c r="E42" s="366" t="s">
        <v>346</v>
      </c>
      <c r="F42" s="366" t="s">
        <v>809</v>
      </c>
      <c r="G42">
        <v>1</v>
      </c>
    </row>
    <row r="43" spans="2:7">
      <c r="B43">
        <v>24</v>
      </c>
      <c r="C43" s="190">
        <v>437.7361508808076</v>
      </c>
      <c r="D43">
        <v>2020</v>
      </c>
      <c r="E43" s="366" t="s">
        <v>347</v>
      </c>
      <c r="F43" s="366" t="s">
        <v>809</v>
      </c>
      <c r="G43">
        <v>1</v>
      </c>
    </row>
    <row r="44" spans="2:7">
      <c r="B44">
        <v>25</v>
      </c>
      <c r="C44" s="190">
        <v>11388.804547887481</v>
      </c>
      <c r="D44">
        <v>2020</v>
      </c>
      <c r="E44" s="366" t="s">
        <v>351</v>
      </c>
      <c r="F44" s="366" t="s">
        <v>809</v>
      </c>
      <c r="G44">
        <v>1</v>
      </c>
    </row>
    <row r="45" spans="2:7">
      <c r="B45">
        <v>26</v>
      </c>
      <c r="C45" s="190">
        <v>629346.76893527061</v>
      </c>
      <c r="D45">
        <v>2020</v>
      </c>
      <c r="E45" s="366" t="s">
        <v>352</v>
      </c>
      <c r="F45" s="366" t="s">
        <v>809</v>
      </c>
      <c r="G45">
        <v>1</v>
      </c>
    </row>
    <row r="46" spans="2:7">
      <c r="B46">
        <v>27</v>
      </c>
      <c r="C46" s="190">
        <v>17036.436079166462</v>
      </c>
      <c r="D46">
        <v>2020</v>
      </c>
      <c r="E46" s="366" t="s">
        <v>355</v>
      </c>
      <c r="F46" s="366" t="s">
        <v>809</v>
      </c>
      <c r="G46">
        <v>1</v>
      </c>
    </row>
    <row r="47" spans="2:7">
      <c r="B47">
        <v>28</v>
      </c>
      <c r="C47" s="190">
        <v>25706134.090591587</v>
      </c>
      <c r="D47">
        <v>2021</v>
      </c>
      <c r="E47" s="366" t="s">
        <v>284</v>
      </c>
      <c r="F47" s="366" t="s">
        <v>815</v>
      </c>
      <c r="G47">
        <v>1</v>
      </c>
    </row>
    <row r="48" spans="2:7">
      <c r="B48">
        <v>29</v>
      </c>
      <c r="C48" s="190">
        <v>4851611.3998010792</v>
      </c>
      <c r="D48">
        <v>2021</v>
      </c>
      <c r="E48" s="366" t="s">
        <v>288</v>
      </c>
      <c r="F48" s="366" t="s">
        <v>815</v>
      </c>
      <c r="G48">
        <v>1</v>
      </c>
    </row>
    <row r="49" spans="2:7">
      <c r="B49">
        <v>30</v>
      </c>
      <c r="C49" s="190">
        <v>1383899.1314390239</v>
      </c>
      <c r="D49">
        <v>2021</v>
      </c>
      <c r="E49" s="366" t="s">
        <v>289</v>
      </c>
      <c r="F49" s="366" t="s">
        <v>815</v>
      </c>
      <c r="G49">
        <v>1</v>
      </c>
    </row>
    <row r="50" spans="2:7">
      <c r="B50">
        <v>31</v>
      </c>
      <c r="C50" s="190">
        <v>36.126161654819548</v>
      </c>
      <c r="D50">
        <v>2021</v>
      </c>
      <c r="E50" s="366" t="s">
        <v>292</v>
      </c>
      <c r="F50" s="366" t="s">
        <v>815</v>
      </c>
      <c r="G50">
        <v>1</v>
      </c>
    </row>
    <row r="51" spans="2:7">
      <c r="B51">
        <v>32</v>
      </c>
      <c r="C51" s="190">
        <v>1248204.1157067129</v>
      </c>
      <c r="D51">
        <v>2021</v>
      </c>
      <c r="E51" s="366" t="s">
        <v>293</v>
      </c>
      <c r="F51" s="366" t="s">
        <v>815</v>
      </c>
      <c r="G51">
        <v>1</v>
      </c>
    </row>
    <row r="52" spans="2:7">
      <c r="B52">
        <v>33</v>
      </c>
      <c r="C52" s="190">
        <v>23454.576356302689</v>
      </c>
      <c r="D52">
        <v>2021</v>
      </c>
      <c r="E52" s="366" t="s">
        <v>294</v>
      </c>
      <c r="F52" s="366" t="s">
        <v>815</v>
      </c>
      <c r="G52">
        <v>1</v>
      </c>
    </row>
    <row r="53" spans="2:7">
      <c r="B53">
        <v>34</v>
      </c>
      <c r="C53" s="190">
        <v>1097396.6149389972</v>
      </c>
      <c r="D53">
        <v>2021</v>
      </c>
      <c r="E53" s="366" t="s">
        <v>297</v>
      </c>
      <c r="F53" s="366" t="s">
        <v>815</v>
      </c>
      <c r="G53">
        <v>1</v>
      </c>
    </row>
    <row r="54" spans="2:7">
      <c r="B54">
        <v>35</v>
      </c>
      <c r="C54" s="190">
        <v>21.673674251477685</v>
      </c>
      <c r="D54">
        <v>2021</v>
      </c>
      <c r="E54" s="366" t="s">
        <v>298</v>
      </c>
      <c r="F54" s="366" t="s">
        <v>815</v>
      </c>
      <c r="G54">
        <v>1</v>
      </c>
    </row>
    <row r="55" spans="2:7">
      <c r="B55">
        <v>36</v>
      </c>
      <c r="C55" s="190">
        <v>396020.07371979632</v>
      </c>
      <c r="D55">
        <v>2021</v>
      </c>
      <c r="E55" s="366" t="s">
        <v>301</v>
      </c>
      <c r="F55" s="366" t="s">
        <v>815</v>
      </c>
      <c r="G55">
        <v>1</v>
      </c>
    </row>
    <row r="56" spans="2:7">
      <c r="B56">
        <v>37</v>
      </c>
      <c r="C56" s="190">
        <v>467492.18719026912</v>
      </c>
      <c r="D56">
        <v>2021</v>
      </c>
      <c r="E56" s="366" t="s">
        <v>303</v>
      </c>
      <c r="F56" s="366" t="s">
        <v>815</v>
      </c>
      <c r="G56">
        <v>1</v>
      </c>
    </row>
    <row r="57" spans="2:7">
      <c r="B57">
        <v>38</v>
      </c>
      <c r="C57" s="190">
        <v>2674366.8931494337</v>
      </c>
      <c r="D57">
        <v>2021</v>
      </c>
      <c r="E57" s="366" t="s">
        <v>307</v>
      </c>
      <c r="F57" s="366" t="s">
        <v>815</v>
      </c>
      <c r="G57">
        <v>1</v>
      </c>
    </row>
    <row r="58" spans="2:7">
      <c r="B58">
        <v>39</v>
      </c>
      <c r="C58" s="190">
        <v>49.981940341018536</v>
      </c>
      <c r="D58">
        <v>2021</v>
      </c>
      <c r="E58" s="366" t="s">
        <v>314</v>
      </c>
      <c r="F58" s="366" t="s">
        <v>815</v>
      </c>
      <c r="G58">
        <v>1</v>
      </c>
    </row>
    <row r="59" spans="2:7">
      <c r="B59">
        <v>40</v>
      </c>
      <c r="C59" s="190">
        <v>503372.15987408569</v>
      </c>
      <c r="D59">
        <v>2021</v>
      </c>
      <c r="E59" s="366" t="s">
        <v>319</v>
      </c>
      <c r="F59" s="366" t="s">
        <v>815</v>
      </c>
      <c r="G59">
        <v>1</v>
      </c>
    </row>
    <row r="60" spans="2:7">
      <c r="B60">
        <v>41</v>
      </c>
      <c r="C60" s="190">
        <v>8924117.8015749045</v>
      </c>
      <c r="D60">
        <v>2021</v>
      </c>
      <c r="E60" s="366" t="s">
        <v>317</v>
      </c>
      <c r="F60" s="366" t="s">
        <v>815</v>
      </c>
      <c r="G60">
        <v>1</v>
      </c>
    </row>
    <row r="61" spans="2:7">
      <c r="B61">
        <v>42</v>
      </c>
      <c r="C61" s="190">
        <v>302473.20248261362</v>
      </c>
      <c r="D61">
        <v>2021</v>
      </c>
      <c r="E61" s="366" t="s">
        <v>320</v>
      </c>
      <c r="F61" s="366" t="s">
        <v>815</v>
      </c>
      <c r="G61">
        <v>1</v>
      </c>
    </row>
    <row r="62" spans="2:7">
      <c r="B62">
        <v>43</v>
      </c>
      <c r="C62" s="190">
        <v>2052183.8724388792</v>
      </c>
      <c r="D62">
        <v>2021</v>
      </c>
      <c r="E62" s="366" t="s">
        <v>321</v>
      </c>
      <c r="F62" s="366" t="s">
        <v>815</v>
      </c>
      <c r="G62">
        <v>1</v>
      </c>
    </row>
    <row r="63" spans="2:7">
      <c r="B63">
        <v>44</v>
      </c>
      <c r="C63" s="190">
        <v>2389093.2206175276</v>
      </c>
      <c r="D63">
        <v>2021</v>
      </c>
      <c r="E63" s="366" t="s">
        <v>324</v>
      </c>
      <c r="F63" s="366" t="s">
        <v>815</v>
      </c>
      <c r="G63">
        <v>1</v>
      </c>
    </row>
    <row r="64" spans="2:7">
      <c r="B64">
        <v>45</v>
      </c>
      <c r="C64" s="190">
        <v>2623152.226809788</v>
      </c>
      <c r="D64">
        <v>2021</v>
      </c>
      <c r="E64" s="366" t="s">
        <v>325</v>
      </c>
      <c r="F64" s="366" t="s">
        <v>815</v>
      </c>
      <c r="G64">
        <v>1</v>
      </c>
    </row>
    <row r="65" spans="2:7">
      <c r="B65">
        <v>46</v>
      </c>
      <c r="C65" s="190">
        <v>1633023.1294499158</v>
      </c>
      <c r="D65">
        <v>2021</v>
      </c>
      <c r="E65" s="366" t="s">
        <v>328</v>
      </c>
      <c r="F65" s="366" t="s">
        <v>815</v>
      </c>
      <c r="G65">
        <v>1</v>
      </c>
    </row>
    <row r="66" spans="2:7">
      <c r="B66">
        <v>47</v>
      </c>
      <c r="C66" s="190">
        <v>1234463.3646877937</v>
      </c>
      <c r="D66">
        <v>2021</v>
      </c>
      <c r="E66" s="366" t="s">
        <v>331</v>
      </c>
      <c r="F66" s="366" t="s">
        <v>815</v>
      </c>
      <c r="G66">
        <v>1</v>
      </c>
    </row>
    <row r="67" spans="2:7">
      <c r="B67">
        <v>48</v>
      </c>
      <c r="C67" s="190">
        <v>374278.37821483467</v>
      </c>
      <c r="D67">
        <v>2021</v>
      </c>
      <c r="E67" s="366" t="s">
        <v>334</v>
      </c>
      <c r="F67" s="366" t="s">
        <v>815</v>
      </c>
      <c r="G67">
        <v>1</v>
      </c>
    </row>
    <row r="68" spans="2:7">
      <c r="B68">
        <v>49</v>
      </c>
      <c r="C68" s="190">
        <v>889564.28597105667</v>
      </c>
      <c r="D68">
        <v>2021</v>
      </c>
      <c r="E68" s="366" t="s">
        <v>336</v>
      </c>
      <c r="F68" s="366" t="s">
        <v>815</v>
      </c>
      <c r="G68">
        <v>1</v>
      </c>
    </row>
    <row r="69" spans="2:7">
      <c r="B69">
        <v>50</v>
      </c>
      <c r="C69" s="190">
        <v>21.673674251477685</v>
      </c>
      <c r="D69">
        <v>2021</v>
      </c>
      <c r="E69" s="366" t="s">
        <v>338</v>
      </c>
      <c r="F69" s="366" t="s">
        <v>815</v>
      </c>
      <c r="G69">
        <v>1</v>
      </c>
    </row>
    <row r="70" spans="2:7">
      <c r="B70">
        <v>51</v>
      </c>
      <c r="C70" s="190">
        <v>66907.138099665128</v>
      </c>
      <c r="D70">
        <v>2021</v>
      </c>
      <c r="E70" s="366" t="s">
        <v>340</v>
      </c>
      <c r="F70" s="366" t="s">
        <v>815</v>
      </c>
      <c r="G70">
        <v>1</v>
      </c>
    </row>
    <row r="71" spans="2:7">
      <c r="B71">
        <v>52</v>
      </c>
      <c r="C71" s="190">
        <v>8176022.9143784875</v>
      </c>
      <c r="D71">
        <v>2021</v>
      </c>
      <c r="E71" s="366" t="s">
        <v>341</v>
      </c>
      <c r="F71" s="366" t="s">
        <v>815</v>
      </c>
      <c r="G71">
        <v>1</v>
      </c>
    </row>
    <row r="72" spans="2:7">
      <c r="B72">
        <v>53</v>
      </c>
      <c r="C72" s="190">
        <v>3432263.071002047</v>
      </c>
      <c r="D72">
        <v>2021</v>
      </c>
      <c r="E72" s="366" t="s">
        <v>346</v>
      </c>
      <c r="F72" s="366" t="s">
        <v>815</v>
      </c>
      <c r="G72">
        <v>1</v>
      </c>
    </row>
    <row r="73" spans="2:7">
      <c r="B73">
        <v>54</v>
      </c>
      <c r="C73" s="190">
        <v>280.60480266320502</v>
      </c>
      <c r="D73">
        <v>2021</v>
      </c>
      <c r="E73" s="366" t="s">
        <v>351</v>
      </c>
      <c r="F73" s="366" t="s">
        <v>815</v>
      </c>
      <c r="G73">
        <v>1</v>
      </c>
    </row>
    <row r="74" spans="2:7">
      <c r="B74">
        <v>55</v>
      </c>
      <c r="C74" s="190">
        <v>13637663.667912096</v>
      </c>
      <c r="D74">
        <v>2021</v>
      </c>
      <c r="E74" s="366" t="s">
        <v>352</v>
      </c>
      <c r="F74" s="366" t="s">
        <v>815</v>
      </c>
      <c r="G74">
        <v>1</v>
      </c>
    </row>
    <row r="75" spans="2:7">
      <c r="B75">
        <v>56</v>
      </c>
      <c r="C75" s="190">
        <v>6068.2242421309429</v>
      </c>
      <c r="D75">
        <v>2021</v>
      </c>
      <c r="E75" s="366" t="s">
        <v>355</v>
      </c>
      <c r="F75" s="366" t="s">
        <v>815</v>
      </c>
      <c r="G75">
        <v>1</v>
      </c>
    </row>
    <row r="76" spans="2:7">
      <c r="B76">
        <v>57</v>
      </c>
      <c r="C76" s="190">
        <v>2134515.8335881382</v>
      </c>
      <c r="D76">
        <v>2021</v>
      </c>
      <c r="E76" s="366" t="s">
        <v>356</v>
      </c>
      <c r="F76" s="366" t="s">
        <v>815</v>
      </c>
      <c r="G76">
        <v>1</v>
      </c>
    </row>
    <row r="77" spans="2:7">
      <c r="B77">
        <v>58</v>
      </c>
      <c r="C77" s="190">
        <v>33813410.918106742</v>
      </c>
      <c r="D77">
        <v>2022</v>
      </c>
      <c r="E77" s="366" t="s">
        <v>284</v>
      </c>
      <c r="F77" s="366" t="s">
        <v>810</v>
      </c>
      <c r="G77">
        <v>2</v>
      </c>
    </row>
    <row r="78" spans="2:7">
      <c r="B78">
        <v>59</v>
      </c>
      <c r="C78" s="190">
        <v>6849959.2876701923</v>
      </c>
      <c r="D78">
        <v>2022</v>
      </c>
      <c r="E78" s="366" t="s">
        <v>288</v>
      </c>
      <c r="F78" s="366" t="s">
        <v>810</v>
      </c>
      <c r="G78">
        <v>2</v>
      </c>
    </row>
    <row r="79" spans="2:7">
      <c r="B79">
        <v>60</v>
      </c>
      <c r="C79" s="190">
        <v>664518.3858161252</v>
      </c>
      <c r="D79">
        <v>2022</v>
      </c>
      <c r="E79" s="366" t="s">
        <v>293</v>
      </c>
      <c r="F79" s="366" t="s">
        <v>810</v>
      </c>
      <c r="G79">
        <v>2</v>
      </c>
    </row>
    <row r="80" spans="2:7">
      <c r="B80">
        <v>61</v>
      </c>
      <c r="C80" s="190">
        <v>906873.84029764659</v>
      </c>
      <c r="D80">
        <v>2022</v>
      </c>
      <c r="E80" s="366" t="s">
        <v>297</v>
      </c>
      <c r="F80" s="366" t="s">
        <v>810</v>
      </c>
      <c r="G80">
        <v>2</v>
      </c>
    </row>
    <row r="81" spans="2:7">
      <c r="B81">
        <v>62</v>
      </c>
      <c r="C81" s="190">
        <v>57338.455544922595</v>
      </c>
      <c r="D81">
        <v>2022</v>
      </c>
      <c r="E81" s="366" t="s">
        <v>301</v>
      </c>
      <c r="F81" s="366" t="s">
        <v>810</v>
      </c>
      <c r="G81">
        <v>2</v>
      </c>
    </row>
    <row r="82" spans="2:7">
      <c r="B82">
        <v>63</v>
      </c>
      <c r="C82" s="190">
        <v>105283.66667709664</v>
      </c>
      <c r="D82">
        <v>2022</v>
      </c>
      <c r="E82" s="366" t="s">
        <v>319</v>
      </c>
      <c r="F82" s="366" t="s">
        <v>810</v>
      </c>
      <c r="G82">
        <v>2</v>
      </c>
    </row>
    <row r="83" spans="2:7">
      <c r="B83">
        <v>64</v>
      </c>
      <c r="C83" s="190">
        <v>6293355.1961035738</v>
      </c>
      <c r="D83">
        <v>2022</v>
      </c>
      <c r="E83" s="366" t="s">
        <v>317</v>
      </c>
      <c r="F83" s="366" t="s">
        <v>810</v>
      </c>
      <c r="G83">
        <v>2</v>
      </c>
    </row>
    <row r="84" spans="2:7">
      <c r="B84">
        <v>65</v>
      </c>
      <c r="C84" s="190">
        <v>10404800.792079909</v>
      </c>
      <c r="D84">
        <v>2022</v>
      </c>
      <c r="E84" s="366" t="s">
        <v>320</v>
      </c>
      <c r="F84" s="366" t="s">
        <v>810</v>
      </c>
      <c r="G84">
        <v>2</v>
      </c>
    </row>
    <row r="85" spans="2:7">
      <c r="B85">
        <v>66</v>
      </c>
      <c r="C85" s="190">
        <v>3092987.1234078766</v>
      </c>
      <c r="D85">
        <v>2022</v>
      </c>
      <c r="E85" s="366" t="s">
        <v>321</v>
      </c>
      <c r="F85" s="366" t="s">
        <v>810</v>
      </c>
      <c r="G85">
        <v>2</v>
      </c>
    </row>
    <row r="86" spans="2:7">
      <c r="B86">
        <v>67</v>
      </c>
      <c r="C86" s="190">
        <v>1027512.2926749249</v>
      </c>
      <c r="D86">
        <v>2022</v>
      </c>
      <c r="E86" s="366" t="s">
        <v>324</v>
      </c>
      <c r="F86" s="366" t="s">
        <v>810</v>
      </c>
      <c r="G86">
        <v>2</v>
      </c>
    </row>
    <row r="87" spans="2:7">
      <c r="B87">
        <v>68</v>
      </c>
      <c r="C87" s="190">
        <v>15717781.33321991</v>
      </c>
      <c r="D87">
        <v>2022</v>
      </c>
      <c r="E87" s="366" t="s">
        <v>325</v>
      </c>
      <c r="F87" s="366" t="s">
        <v>810</v>
      </c>
      <c r="G87">
        <v>2</v>
      </c>
    </row>
    <row r="88" spans="2:7">
      <c r="B88">
        <v>69</v>
      </c>
      <c r="C88" s="190">
        <v>4052946.4637069628</v>
      </c>
      <c r="D88">
        <v>2022</v>
      </c>
      <c r="E88" s="366" t="s">
        <v>331</v>
      </c>
      <c r="F88" s="366" t="s">
        <v>810</v>
      </c>
      <c r="G88">
        <v>2</v>
      </c>
    </row>
    <row r="89" spans="2:7">
      <c r="B89">
        <v>70</v>
      </c>
      <c r="C89" s="190">
        <v>646.81735113356922</v>
      </c>
      <c r="D89">
        <v>2022</v>
      </c>
      <c r="E89" s="366" t="s">
        <v>334</v>
      </c>
      <c r="F89" s="366" t="s">
        <v>810</v>
      </c>
      <c r="G89">
        <v>2</v>
      </c>
    </row>
    <row r="90" spans="2:7">
      <c r="B90">
        <v>71</v>
      </c>
      <c r="C90" s="190">
        <v>183674.23028357985</v>
      </c>
      <c r="D90">
        <v>2022</v>
      </c>
      <c r="E90" s="366" t="s">
        <v>336</v>
      </c>
      <c r="F90" s="366" t="s">
        <v>810</v>
      </c>
      <c r="G90">
        <v>2</v>
      </c>
    </row>
    <row r="91" spans="2:7">
      <c r="B91">
        <v>72</v>
      </c>
      <c r="C91" s="190">
        <v>914035.73224221612</v>
      </c>
      <c r="D91">
        <v>2022</v>
      </c>
      <c r="E91" s="366" t="s">
        <v>340</v>
      </c>
      <c r="F91" s="366" t="s">
        <v>810</v>
      </c>
      <c r="G91">
        <v>2</v>
      </c>
    </row>
    <row r="92" spans="2:7">
      <c r="B92">
        <v>73</v>
      </c>
      <c r="C92" s="190">
        <v>-5587235.5025544362</v>
      </c>
      <c r="D92">
        <v>2022</v>
      </c>
      <c r="E92" s="366" t="s">
        <v>352</v>
      </c>
      <c r="F92" s="366" t="s">
        <v>810</v>
      </c>
      <c r="G92">
        <v>2</v>
      </c>
    </row>
    <row r="93" spans="2:7">
      <c r="B93">
        <v>74</v>
      </c>
      <c r="C93" s="190">
        <v>622622.73355007381</v>
      </c>
      <c r="D93">
        <v>2022</v>
      </c>
      <c r="E93" s="366" t="s">
        <v>356</v>
      </c>
      <c r="F93" s="366" t="s">
        <v>810</v>
      </c>
      <c r="G93">
        <v>2</v>
      </c>
    </row>
    <row r="94" spans="2:7">
      <c r="B94">
        <v>75</v>
      </c>
      <c r="C94" s="190">
        <v>35129736.152436331</v>
      </c>
      <c r="D94">
        <v>2023</v>
      </c>
      <c r="E94" s="366" t="s">
        <v>284</v>
      </c>
      <c r="F94" s="366" t="s">
        <v>1137</v>
      </c>
      <c r="G94">
        <v>1</v>
      </c>
    </row>
    <row r="95" spans="2:7">
      <c r="B95">
        <v>76</v>
      </c>
      <c r="C95" s="190">
        <v>3911702.9434979558</v>
      </c>
      <c r="D95">
        <v>2023</v>
      </c>
      <c r="E95" s="366" t="s">
        <v>288</v>
      </c>
      <c r="F95" s="366" t="s">
        <v>1137</v>
      </c>
      <c r="G95">
        <v>1</v>
      </c>
    </row>
    <row r="96" spans="2:7">
      <c r="B96">
        <v>77</v>
      </c>
      <c r="C96" s="190">
        <v>211106.04067513763</v>
      </c>
      <c r="D96">
        <v>2023</v>
      </c>
      <c r="E96" s="366" t="s">
        <v>293</v>
      </c>
      <c r="F96" s="366" t="s">
        <v>1137</v>
      </c>
      <c r="G96">
        <v>1</v>
      </c>
    </row>
    <row r="97" spans="2:7">
      <c r="B97">
        <v>78</v>
      </c>
      <c r="C97" s="190">
        <v>87365.41867156743</v>
      </c>
      <c r="D97">
        <v>2023</v>
      </c>
      <c r="E97" s="366" t="s">
        <v>297</v>
      </c>
      <c r="F97" s="366" t="s">
        <v>1137</v>
      </c>
      <c r="G97">
        <v>1</v>
      </c>
    </row>
    <row r="98" spans="2:7">
      <c r="B98">
        <v>79</v>
      </c>
      <c r="C98" s="190">
        <v>512.30039495694564</v>
      </c>
      <c r="D98">
        <v>2023</v>
      </c>
      <c r="E98" s="366" t="s">
        <v>301</v>
      </c>
      <c r="F98" s="366" t="s">
        <v>1137</v>
      </c>
      <c r="G98">
        <v>1</v>
      </c>
    </row>
    <row r="99" spans="2:7">
      <c r="B99">
        <v>80</v>
      </c>
      <c r="C99" s="190">
        <v>52227.302738377963</v>
      </c>
      <c r="D99">
        <v>2023</v>
      </c>
      <c r="E99" s="366" t="s">
        <v>319</v>
      </c>
      <c r="F99" s="366" t="s">
        <v>1137</v>
      </c>
      <c r="G99">
        <v>1</v>
      </c>
    </row>
    <row r="100" spans="2:7">
      <c r="B100">
        <v>81</v>
      </c>
      <c r="C100" s="190">
        <v>1503868.6390986054</v>
      </c>
      <c r="D100">
        <v>2023</v>
      </c>
      <c r="E100" s="366" t="s">
        <v>317</v>
      </c>
      <c r="F100" s="366" t="s">
        <v>1137</v>
      </c>
      <c r="G100">
        <v>1</v>
      </c>
    </row>
    <row r="101" spans="2:7">
      <c r="B101">
        <v>82</v>
      </c>
      <c r="C101" s="190">
        <v>2183439.2423609141</v>
      </c>
      <c r="D101">
        <v>2023</v>
      </c>
      <c r="E101" s="366" t="s">
        <v>320</v>
      </c>
      <c r="F101" s="366" t="s">
        <v>1137</v>
      </c>
      <c r="G101">
        <v>1</v>
      </c>
    </row>
    <row r="102" spans="2:7">
      <c r="B102">
        <v>83</v>
      </c>
      <c r="C102" s="190">
        <v>999432.73169850267</v>
      </c>
      <c r="D102">
        <v>2023</v>
      </c>
      <c r="E102" s="366" t="s">
        <v>321</v>
      </c>
      <c r="F102" s="366" t="s">
        <v>1137</v>
      </c>
      <c r="G102">
        <v>1</v>
      </c>
    </row>
    <row r="103" spans="2:7">
      <c r="B103">
        <v>84</v>
      </c>
      <c r="C103" s="190">
        <v>1817413.6692713664</v>
      </c>
      <c r="D103">
        <v>2023</v>
      </c>
      <c r="E103" s="366" t="s">
        <v>324</v>
      </c>
      <c r="F103" s="366" t="s">
        <v>1137</v>
      </c>
      <c r="G103">
        <v>1</v>
      </c>
    </row>
    <row r="104" spans="2:7">
      <c r="B104">
        <v>85</v>
      </c>
      <c r="C104" s="190">
        <v>22543419.613286749</v>
      </c>
      <c r="D104">
        <v>2023</v>
      </c>
      <c r="E104" s="366" t="s">
        <v>325</v>
      </c>
      <c r="F104" s="366" t="s">
        <v>1137</v>
      </c>
      <c r="G104">
        <v>1</v>
      </c>
    </row>
    <row r="105" spans="2:7">
      <c r="B105">
        <v>86</v>
      </c>
      <c r="C105" s="190">
        <v>1283661.605903188</v>
      </c>
      <c r="D105">
        <v>2023</v>
      </c>
      <c r="E105" s="366" t="s">
        <v>331</v>
      </c>
      <c r="F105" s="366" t="s">
        <v>1137</v>
      </c>
      <c r="G105">
        <v>1</v>
      </c>
    </row>
    <row r="106" spans="2:7">
      <c r="B106">
        <v>87</v>
      </c>
      <c r="C106" s="190">
        <v>403062.53576066508</v>
      </c>
      <c r="D106">
        <v>2023</v>
      </c>
      <c r="E106" s="366" t="s">
        <v>334</v>
      </c>
      <c r="F106" s="366" t="s">
        <v>1137</v>
      </c>
      <c r="G106">
        <v>1</v>
      </c>
    </row>
    <row r="107" spans="2:7">
      <c r="B107">
        <v>88</v>
      </c>
      <c r="C107" s="190">
        <v>141832.85648723919</v>
      </c>
      <c r="D107">
        <v>2023</v>
      </c>
      <c r="E107" s="366" t="s">
        <v>336</v>
      </c>
      <c r="F107" s="366" t="s">
        <v>1137</v>
      </c>
      <c r="G107">
        <v>1</v>
      </c>
    </row>
    <row r="108" spans="2:7">
      <c r="B108">
        <v>89</v>
      </c>
      <c r="C108" s="190">
        <v>106149.96916572338</v>
      </c>
      <c r="D108">
        <v>2023</v>
      </c>
      <c r="E108" s="366" t="s">
        <v>339</v>
      </c>
      <c r="F108" s="366" t="s">
        <v>1137</v>
      </c>
      <c r="G108">
        <v>1</v>
      </c>
    </row>
    <row r="109" spans="2:7">
      <c r="B109">
        <v>90</v>
      </c>
      <c r="C109" s="190">
        <v>22782.771765883743</v>
      </c>
      <c r="D109">
        <v>2023</v>
      </c>
      <c r="E109" s="366" t="s">
        <v>340</v>
      </c>
      <c r="F109" s="366" t="s">
        <v>1137</v>
      </c>
      <c r="G109">
        <v>1</v>
      </c>
    </row>
    <row r="110" spans="2:7">
      <c r="B110">
        <v>91</v>
      </c>
      <c r="C110" s="190">
        <v>-7843704.5403578533</v>
      </c>
      <c r="D110">
        <v>2023</v>
      </c>
      <c r="E110" s="366" t="s">
        <v>352</v>
      </c>
      <c r="F110" s="366" t="s">
        <v>1137</v>
      </c>
      <c r="G110">
        <v>1</v>
      </c>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A1:M550"/>
  <sheetViews>
    <sheetView showGridLines="0" zoomScale="90" zoomScaleNormal="90" workbookViewId="0"/>
  </sheetViews>
  <sheetFormatPr defaultRowHeight="12.75"/>
  <cols>
    <col min="1" max="1" width="2.5703125" style="364" customWidth="1"/>
    <col min="2" max="2" width="8.5703125" bestFit="1" customWidth="1"/>
    <col min="3" max="3" width="72.85546875" bestFit="1" customWidth="1"/>
    <col min="4" max="4" width="32.7109375" bestFit="1" customWidth="1"/>
    <col min="5" max="5" width="52.140625" bestFit="1" customWidth="1"/>
    <col min="6" max="6" width="51" bestFit="1" customWidth="1"/>
    <col min="7" max="7" width="7.7109375" bestFit="1" customWidth="1"/>
    <col min="8" max="8" width="76.42578125" bestFit="1" customWidth="1"/>
    <col min="9" max="9" width="9.5703125" bestFit="1" customWidth="1"/>
  </cols>
  <sheetData>
    <row r="1" spans="1:13" s="3" customFormat="1">
      <c r="A1" s="357"/>
      <c r="C1" s="193"/>
    </row>
    <row r="2" spans="1:13" s="12" customFormat="1" ht="18">
      <c r="B2" s="12" t="s">
        <v>816</v>
      </c>
      <c r="C2" s="194"/>
    </row>
    <row r="3" spans="1:13" s="3" customFormat="1">
      <c r="A3" s="357"/>
      <c r="C3" s="193"/>
    </row>
    <row r="4" spans="1:13" s="3" customFormat="1">
      <c r="A4" s="357"/>
      <c r="B4" s="2" t="s">
        <v>192</v>
      </c>
      <c r="C4" s="193"/>
    </row>
    <row r="5" spans="1:13" s="3" customFormat="1">
      <c r="A5" s="357"/>
      <c r="B5" s="355" t="s">
        <v>1130</v>
      </c>
      <c r="C5" s="193"/>
      <c r="E5" s="355"/>
    </row>
    <row r="6" spans="1:13" s="3" customFormat="1">
      <c r="A6" s="357"/>
      <c r="C6" s="193"/>
    </row>
    <row r="7" spans="1:13" s="3" customFormat="1">
      <c r="A7" s="357"/>
      <c r="B7" s="16" t="s">
        <v>796</v>
      </c>
      <c r="C7" s="193"/>
      <c r="D7" s="2"/>
    </row>
    <row r="8" spans="1:13" s="3" customFormat="1" ht="16.5" customHeight="1">
      <c r="A8" s="357"/>
      <c r="B8" s="382" t="s">
        <v>817</v>
      </c>
      <c r="C8" s="382"/>
      <c r="D8" s="382"/>
      <c r="E8" s="382"/>
      <c r="F8" s="382"/>
      <c r="G8" s="382"/>
      <c r="H8" s="382"/>
      <c r="I8" s="382"/>
      <c r="J8" s="382"/>
      <c r="K8" s="382"/>
      <c r="L8" s="382"/>
      <c r="M8" s="382"/>
    </row>
    <row r="9" spans="1:13" s="3" customFormat="1">
      <c r="A9" s="357"/>
      <c r="B9" s="4"/>
      <c r="C9" s="193"/>
    </row>
    <row r="10" spans="1:13" s="3" customFormat="1">
      <c r="A10" s="357"/>
      <c r="B10" s="188" t="s">
        <v>798</v>
      </c>
      <c r="C10" s="193"/>
    </row>
    <row r="11" spans="1:13" s="3" customFormat="1">
      <c r="A11" s="357"/>
      <c r="B11" s="388">
        <v>45050</v>
      </c>
      <c r="C11" s="388"/>
      <c r="D11" s="388"/>
      <c r="E11" s="128"/>
    </row>
    <row r="12" spans="1:13">
      <c r="C12" s="191"/>
    </row>
    <row r="13" spans="1:13">
      <c r="B13" s="188" t="s">
        <v>799</v>
      </c>
      <c r="C13" s="191"/>
      <c r="D13" s="3"/>
      <c r="E13" s="3"/>
    </row>
    <row r="14" spans="1:13">
      <c r="B14" s="379" t="s">
        <v>818</v>
      </c>
      <c r="C14" s="379"/>
      <c r="D14" s="379"/>
      <c r="E14" s="128"/>
    </row>
    <row r="15" spans="1:13">
      <c r="C15" s="191"/>
    </row>
    <row r="16" spans="1:13">
      <c r="B16" s="189" t="s">
        <v>801</v>
      </c>
      <c r="C16" s="191"/>
    </row>
    <row r="17" spans="1:9">
      <c r="B17" s="135">
        <f>SUBTOTAL(103,B20:B719)</f>
        <v>531</v>
      </c>
      <c r="C17" s="191"/>
    </row>
    <row r="18" spans="1:9" ht="14.25" customHeight="1">
      <c r="C18" s="191"/>
    </row>
    <row r="19" spans="1:9" s="8" customFormat="1">
      <c r="A19" s="360"/>
      <c r="B19" s="8" t="s">
        <v>802</v>
      </c>
      <c r="C19" s="8" t="s">
        <v>281</v>
      </c>
      <c r="D19" s="8" t="s">
        <v>533</v>
      </c>
      <c r="E19" s="8" t="s">
        <v>819</v>
      </c>
      <c r="F19" s="8" t="s">
        <v>820</v>
      </c>
      <c r="G19" s="8" t="s">
        <v>158</v>
      </c>
      <c r="H19" s="8" t="s">
        <v>807</v>
      </c>
      <c r="I19" s="8" t="s">
        <v>814</v>
      </c>
    </row>
    <row r="20" spans="1:9">
      <c r="B20" s="365">
        <v>1</v>
      </c>
      <c r="C20" s="373" t="s">
        <v>284</v>
      </c>
      <c r="D20" s="365">
        <v>1955</v>
      </c>
      <c r="E20" s="367">
        <v>7756.11</v>
      </c>
      <c r="F20" s="365"/>
      <c r="G20" s="365">
        <v>2020</v>
      </c>
      <c r="H20" s="373" t="s">
        <v>809</v>
      </c>
      <c r="I20" s="365">
        <v>1</v>
      </c>
    </row>
    <row r="21" spans="1:9">
      <c r="B21" s="365">
        <v>2</v>
      </c>
      <c r="C21" s="373" t="s">
        <v>284</v>
      </c>
      <c r="D21" s="365">
        <v>1957</v>
      </c>
      <c r="E21" s="367">
        <v>1329.11</v>
      </c>
      <c r="F21" s="365"/>
      <c r="G21" s="365">
        <v>2020</v>
      </c>
      <c r="H21" s="373" t="s">
        <v>809</v>
      </c>
      <c r="I21" s="365">
        <v>1</v>
      </c>
    </row>
    <row r="22" spans="1:9">
      <c r="B22" s="365">
        <v>3</v>
      </c>
      <c r="C22" s="373" t="s">
        <v>284</v>
      </c>
      <c r="D22" s="365">
        <v>1958</v>
      </c>
      <c r="E22" s="367">
        <v>110951.25</v>
      </c>
      <c r="F22" s="365"/>
      <c r="G22" s="365">
        <v>2020</v>
      </c>
      <c r="H22" s="373" t="s">
        <v>809</v>
      </c>
      <c r="I22" s="365">
        <v>1</v>
      </c>
    </row>
    <row r="23" spans="1:9">
      <c r="B23" s="365">
        <v>4</v>
      </c>
      <c r="C23" s="373" t="s">
        <v>284</v>
      </c>
      <c r="D23" s="365">
        <v>1959</v>
      </c>
      <c r="E23" s="367">
        <v>1485.2</v>
      </c>
      <c r="F23" s="365"/>
      <c r="G23" s="365">
        <v>2020</v>
      </c>
      <c r="H23" s="373" t="s">
        <v>809</v>
      </c>
      <c r="I23" s="365">
        <v>1</v>
      </c>
    </row>
    <row r="24" spans="1:9">
      <c r="B24" s="365">
        <v>5</v>
      </c>
      <c r="C24" s="373" t="s">
        <v>284</v>
      </c>
      <c r="D24" s="365">
        <v>1960</v>
      </c>
      <c r="E24" s="367">
        <v>472102</v>
      </c>
      <c r="F24" s="365">
        <v>70000</v>
      </c>
      <c r="G24" s="365">
        <v>2020</v>
      </c>
      <c r="H24" s="373" t="s">
        <v>809</v>
      </c>
      <c r="I24" s="365">
        <v>1</v>
      </c>
    </row>
    <row r="25" spans="1:9">
      <c r="B25" s="365">
        <v>6</v>
      </c>
      <c r="C25" s="373" t="s">
        <v>284</v>
      </c>
      <c r="D25" s="365">
        <v>1963</v>
      </c>
      <c r="E25" s="367">
        <v>5199.87</v>
      </c>
      <c r="F25" s="365"/>
      <c r="G25" s="365">
        <v>2020</v>
      </c>
      <c r="H25" s="373" t="s">
        <v>809</v>
      </c>
      <c r="I25" s="365">
        <v>1</v>
      </c>
    </row>
    <row r="26" spans="1:9">
      <c r="B26" s="365">
        <v>7</v>
      </c>
      <c r="C26" s="373" t="s">
        <v>284</v>
      </c>
      <c r="D26" s="365">
        <v>1965</v>
      </c>
      <c r="E26" s="367">
        <v>323801.40000000002</v>
      </c>
      <c r="F26" s="365"/>
      <c r="G26" s="365">
        <v>2020</v>
      </c>
      <c r="H26" s="373" t="s">
        <v>809</v>
      </c>
      <c r="I26" s="365">
        <v>1</v>
      </c>
    </row>
    <row r="27" spans="1:9">
      <c r="B27" s="365">
        <v>8</v>
      </c>
      <c r="C27" s="373" t="s">
        <v>284</v>
      </c>
      <c r="D27" s="365">
        <v>1966</v>
      </c>
      <c r="E27" s="367">
        <v>436963.19</v>
      </c>
      <c r="F27" s="365"/>
      <c r="G27" s="365">
        <v>2020</v>
      </c>
      <c r="H27" s="373" t="s">
        <v>809</v>
      </c>
      <c r="I27" s="365">
        <v>1</v>
      </c>
    </row>
    <row r="28" spans="1:9">
      <c r="B28" s="365">
        <v>9</v>
      </c>
      <c r="C28" s="373" t="s">
        <v>284</v>
      </c>
      <c r="D28" s="365">
        <v>1967</v>
      </c>
      <c r="E28" s="367">
        <v>527887.29</v>
      </c>
      <c r="F28" s="365"/>
      <c r="G28" s="365">
        <v>2020</v>
      </c>
      <c r="H28" s="373" t="s">
        <v>809</v>
      </c>
      <c r="I28" s="365">
        <v>1</v>
      </c>
    </row>
    <row r="29" spans="1:9">
      <c r="B29" s="365">
        <v>10</v>
      </c>
      <c r="C29" s="373" t="s">
        <v>284</v>
      </c>
      <c r="D29" s="365">
        <v>1968</v>
      </c>
      <c r="E29" s="367">
        <v>243220.29</v>
      </c>
      <c r="F29" s="365"/>
      <c r="G29" s="365">
        <v>2020</v>
      </c>
      <c r="H29" s="373" t="s">
        <v>809</v>
      </c>
      <c r="I29" s="365">
        <v>1</v>
      </c>
    </row>
    <row r="30" spans="1:9">
      <c r="B30" s="365">
        <v>11</v>
      </c>
      <c r="C30" s="373" t="s">
        <v>284</v>
      </c>
      <c r="D30" s="365">
        <v>1969</v>
      </c>
      <c r="E30" s="367">
        <v>157118.15</v>
      </c>
      <c r="F30" s="365"/>
      <c r="G30" s="365">
        <v>2020</v>
      </c>
      <c r="H30" s="373" t="s">
        <v>809</v>
      </c>
      <c r="I30" s="365">
        <v>1</v>
      </c>
    </row>
    <row r="31" spans="1:9">
      <c r="B31" s="365">
        <v>12</v>
      </c>
      <c r="C31" s="373" t="s">
        <v>284</v>
      </c>
      <c r="D31" s="365">
        <v>1970</v>
      </c>
      <c r="E31" s="367">
        <v>186298.57</v>
      </c>
      <c r="F31" s="365"/>
      <c r="G31" s="365">
        <v>2020</v>
      </c>
      <c r="H31" s="373" t="s">
        <v>809</v>
      </c>
      <c r="I31" s="365">
        <v>1</v>
      </c>
    </row>
    <row r="32" spans="1:9">
      <c r="B32" s="365">
        <v>13</v>
      </c>
      <c r="C32" s="373" t="s">
        <v>284</v>
      </c>
      <c r="D32" s="365">
        <v>1971</v>
      </c>
      <c r="E32" s="367">
        <v>161892.66</v>
      </c>
      <c r="F32" s="365"/>
      <c r="G32" s="365">
        <v>2020</v>
      </c>
      <c r="H32" s="373" t="s">
        <v>809</v>
      </c>
      <c r="I32" s="365">
        <v>1</v>
      </c>
    </row>
    <row r="33" spans="2:9">
      <c r="B33" s="365">
        <v>14</v>
      </c>
      <c r="C33" s="373" t="s">
        <v>284</v>
      </c>
      <c r="D33" s="365">
        <v>1972</v>
      </c>
      <c r="E33" s="367">
        <v>414299.14</v>
      </c>
      <c r="F33" s="365"/>
      <c r="G33" s="365">
        <v>2020</v>
      </c>
      <c r="H33" s="373" t="s">
        <v>809</v>
      </c>
      <c r="I33" s="365">
        <v>1</v>
      </c>
    </row>
    <row r="34" spans="2:9">
      <c r="B34" s="365">
        <v>15</v>
      </c>
      <c r="C34" s="373" t="s">
        <v>284</v>
      </c>
      <c r="D34" s="365">
        <v>1973</v>
      </c>
      <c r="E34" s="367">
        <v>199407.52</v>
      </c>
      <c r="F34" s="365"/>
      <c r="G34" s="365">
        <v>2020</v>
      </c>
      <c r="H34" s="373" t="s">
        <v>809</v>
      </c>
      <c r="I34" s="365">
        <v>1</v>
      </c>
    </row>
    <row r="35" spans="2:9">
      <c r="B35" s="365">
        <v>16</v>
      </c>
      <c r="C35" s="373" t="s">
        <v>284</v>
      </c>
      <c r="D35" s="365">
        <v>1974</v>
      </c>
      <c r="E35" s="367">
        <v>45610.86</v>
      </c>
      <c r="F35" s="365"/>
      <c r="G35" s="365">
        <v>2020</v>
      </c>
      <c r="H35" s="373" t="s">
        <v>809</v>
      </c>
      <c r="I35" s="365">
        <v>1</v>
      </c>
    </row>
    <row r="36" spans="2:9">
      <c r="B36" s="365">
        <v>17</v>
      </c>
      <c r="C36" s="373" t="s">
        <v>284</v>
      </c>
      <c r="D36" s="365">
        <v>1975</v>
      </c>
      <c r="E36" s="367">
        <v>26637.1</v>
      </c>
      <c r="F36" s="365"/>
      <c r="G36" s="365">
        <v>2020</v>
      </c>
      <c r="H36" s="373" t="s">
        <v>809</v>
      </c>
      <c r="I36" s="365">
        <v>1</v>
      </c>
    </row>
    <row r="37" spans="2:9">
      <c r="B37" s="365">
        <v>18</v>
      </c>
      <c r="C37" s="373" t="s">
        <v>284</v>
      </c>
      <c r="D37" s="365">
        <v>1976</v>
      </c>
      <c r="E37" s="367">
        <v>110116.33</v>
      </c>
      <c r="F37" s="365"/>
      <c r="G37" s="365">
        <v>2020</v>
      </c>
      <c r="H37" s="373" t="s">
        <v>809</v>
      </c>
      <c r="I37" s="365">
        <v>1</v>
      </c>
    </row>
    <row r="38" spans="2:9">
      <c r="B38" s="365">
        <v>19</v>
      </c>
      <c r="C38" s="373" t="s">
        <v>284</v>
      </c>
      <c r="D38" s="365">
        <v>1977</v>
      </c>
      <c r="E38" s="367">
        <v>40000</v>
      </c>
      <c r="F38" s="365"/>
      <c r="G38" s="365">
        <v>2020</v>
      </c>
      <c r="H38" s="373" t="s">
        <v>809</v>
      </c>
      <c r="I38" s="365">
        <v>1</v>
      </c>
    </row>
    <row r="39" spans="2:9">
      <c r="B39" s="365">
        <v>20</v>
      </c>
      <c r="C39" s="373" t="s">
        <v>284</v>
      </c>
      <c r="D39" s="365">
        <v>1980</v>
      </c>
      <c r="E39" s="367">
        <v>104178.71</v>
      </c>
      <c r="F39" s="365"/>
      <c r="G39" s="365">
        <v>2020</v>
      </c>
      <c r="H39" s="373" t="s">
        <v>809</v>
      </c>
      <c r="I39" s="365">
        <v>1</v>
      </c>
    </row>
    <row r="40" spans="2:9">
      <c r="B40" s="365">
        <v>21</v>
      </c>
      <c r="C40" s="373" t="s">
        <v>284</v>
      </c>
      <c r="D40" s="365">
        <v>1986</v>
      </c>
      <c r="E40" s="367">
        <v>1666.04</v>
      </c>
      <c r="F40" s="365"/>
      <c r="G40" s="365">
        <v>2020</v>
      </c>
      <c r="H40" s="373" t="s">
        <v>809</v>
      </c>
      <c r="I40" s="365">
        <v>1</v>
      </c>
    </row>
    <row r="41" spans="2:9">
      <c r="B41" s="365">
        <v>22</v>
      </c>
      <c r="C41" s="373" t="s">
        <v>284</v>
      </c>
      <c r="D41" s="365">
        <v>1987</v>
      </c>
      <c r="E41" s="367">
        <v>35717.06</v>
      </c>
      <c r="F41" s="365"/>
      <c r="G41" s="365">
        <v>2020</v>
      </c>
      <c r="H41" s="373" t="s">
        <v>809</v>
      </c>
      <c r="I41" s="365">
        <v>1</v>
      </c>
    </row>
    <row r="42" spans="2:9">
      <c r="B42" s="365">
        <v>23</v>
      </c>
      <c r="C42" s="373" t="s">
        <v>284</v>
      </c>
      <c r="D42" s="365">
        <v>1988</v>
      </c>
      <c r="E42" s="367">
        <v>4808.08</v>
      </c>
      <c r="F42" s="365"/>
      <c r="G42" s="365">
        <v>2020</v>
      </c>
      <c r="H42" s="373" t="s">
        <v>809</v>
      </c>
      <c r="I42" s="365">
        <v>1</v>
      </c>
    </row>
    <row r="43" spans="2:9">
      <c r="B43" s="365">
        <v>24</v>
      </c>
      <c r="C43" s="373" t="s">
        <v>284</v>
      </c>
      <c r="D43" s="365">
        <v>1989</v>
      </c>
      <c r="E43" s="367">
        <v>24785.81</v>
      </c>
      <c r="F43" s="365"/>
      <c r="G43" s="365">
        <v>2020</v>
      </c>
      <c r="H43" s="373" t="s">
        <v>809</v>
      </c>
      <c r="I43" s="365">
        <v>1</v>
      </c>
    </row>
    <row r="44" spans="2:9">
      <c r="B44" s="365">
        <v>25</v>
      </c>
      <c r="C44" s="373" t="s">
        <v>284</v>
      </c>
      <c r="D44" s="365">
        <v>1992</v>
      </c>
      <c r="E44" s="367">
        <v>22986.32</v>
      </c>
      <c r="F44" s="365"/>
      <c r="G44" s="365">
        <v>2020</v>
      </c>
      <c r="H44" s="373" t="s">
        <v>809</v>
      </c>
      <c r="I44" s="365">
        <v>1</v>
      </c>
    </row>
    <row r="45" spans="2:9">
      <c r="B45" s="365">
        <v>26</v>
      </c>
      <c r="C45" s="373" t="s">
        <v>284</v>
      </c>
      <c r="D45" s="365">
        <v>1999</v>
      </c>
      <c r="E45" s="367">
        <v>62463.15</v>
      </c>
      <c r="F45" s="365"/>
      <c r="G45" s="365">
        <v>2020</v>
      </c>
      <c r="H45" s="373" t="s">
        <v>809</v>
      </c>
      <c r="I45" s="365">
        <v>1</v>
      </c>
    </row>
    <row r="46" spans="2:9">
      <c r="B46" s="365">
        <v>27</v>
      </c>
      <c r="C46" s="373" t="s">
        <v>284</v>
      </c>
      <c r="D46" s="365">
        <v>2000</v>
      </c>
      <c r="E46" s="367">
        <v>184556.79</v>
      </c>
      <c r="F46" s="365"/>
      <c r="G46" s="365">
        <v>2020</v>
      </c>
      <c r="H46" s="373" t="s">
        <v>809</v>
      </c>
      <c r="I46" s="365">
        <v>1</v>
      </c>
    </row>
    <row r="47" spans="2:9">
      <c r="B47" s="365">
        <v>28</v>
      </c>
      <c r="C47" s="373" t="s">
        <v>284</v>
      </c>
      <c r="D47" s="365">
        <v>2001</v>
      </c>
      <c r="E47" s="367">
        <v>74893.259999999995</v>
      </c>
      <c r="F47" s="365"/>
      <c r="G47" s="365">
        <v>2020</v>
      </c>
      <c r="H47" s="373" t="s">
        <v>809</v>
      </c>
      <c r="I47" s="365">
        <v>1</v>
      </c>
    </row>
    <row r="48" spans="2:9">
      <c r="B48" s="365">
        <v>29</v>
      </c>
      <c r="C48" s="373" t="s">
        <v>284</v>
      </c>
      <c r="D48" s="365">
        <v>2002</v>
      </c>
      <c r="E48" s="367">
        <v>98192.88</v>
      </c>
      <c r="F48" s="365"/>
      <c r="G48" s="365">
        <v>2020</v>
      </c>
      <c r="H48" s="373" t="s">
        <v>809</v>
      </c>
      <c r="I48" s="365">
        <v>1</v>
      </c>
    </row>
    <row r="49" spans="2:9">
      <c r="B49" s="365">
        <v>30</v>
      </c>
      <c r="C49" s="373" t="s">
        <v>284</v>
      </c>
      <c r="D49" s="365">
        <v>2003</v>
      </c>
      <c r="E49" s="367">
        <v>117678.13</v>
      </c>
      <c r="F49" s="365"/>
      <c r="G49" s="365">
        <v>2020</v>
      </c>
      <c r="H49" s="373" t="s">
        <v>809</v>
      </c>
      <c r="I49" s="365">
        <v>1</v>
      </c>
    </row>
    <row r="50" spans="2:9">
      <c r="B50" s="365">
        <v>31</v>
      </c>
      <c r="C50" s="373" t="s">
        <v>284</v>
      </c>
      <c r="D50" s="365">
        <v>2004</v>
      </c>
      <c r="E50" s="367">
        <v>26579.37</v>
      </c>
      <c r="F50" s="365"/>
      <c r="G50" s="365">
        <v>2020</v>
      </c>
      <c r="H50" s="373" t="s">
        <v>809</v>
      </c>
      <c r="I50" s="365">
        <v>1</v>
      </c>
    </row>
    <row r="51" spans="2:9">
      <c r="B51" s="365">
        <v>32</v>
      </c>
      <c r="C51" s="373" t="s">
        <v>284</v>
      </c>
      <c r="D51" s="365">
        <v>2005</v>
      </c>
      <c r="E51" s="367">
        <v>2763.58</v>
      </c>
      <c r="F51" s="365"/>
      <c r="G51" s="365">
        <v>2020</v>
      </c>
      <c r="H51" s="373" t="s">
        <v>809</v>
      </c>
      <c r="I51" s="365">
        <v>1</v>
      </c>
    </row>
    <row r="52" spans="2:9">
      <c r="B52" s="365">
        <v>33</v>
      </c>
      <c r="C52" s="373" t="s">
        <v>284</v>
      </c>
      <c r="D52" s="365">
        <v>2011</v>
      </c>
      <c r="E52" s="367">
        <v>6196.9935750000004</v>
      </c>
      <c r="F52" s="365"/>
      <c r="G52" s="365">
        <v>2020</v>
      </c>
      <c r="H52" s="373" t="s">
        <v>809</v>
      </c>
      <c r="I52" s="365">
        <v>1</v>
      </c>
    </row>
    <row r="53" spans="2:9">
      <c r="B53" s="365">
        <v>34</v>
      </c>
      <c r="C53" s="373" t="s">
        <v>284</v>
      </c>
      <c r="D53" s="365">
        <v>2013</v>
      </c>
      <c r="E53" s="367">
        <v>800675.63015999994</v>
      </c>
      <c r="F53" s="365"/>
      <c r="G53" s="365">
        <v>2020</v>
      </c>
      <c r="H53" s="373" t="s">
        <v>809</v>
      </c>
      <c r="I53" s="365">
        <v>1</v>
      </c>
    </row>
    <row r="54" spans="2:9">
      <c r="B54" s="365">
        <v>35</v>
      </c>
      <c r="C54" s="373" t="s">
        <v>286</v>
      </c>
      <c r="D54" s="365">
        <v>1966</v>
      </c>
      <c r="E54" s="367">
        <v>185.7</v>
      </c>
      <c r="F54" s="365"/>
      <c r="G54" s="365">
        <v>2020</v>
      </c>
      <c r="H54" s="373" t="s">
        <v>809</v>
      </c>
      <c r="I54" s="365">
        <v>1</v>
      </c>
    </row>
    <row r="55" spans="2:9">
      <c r="B55" s="365">
        <v>36</v>
      </c>
      <c r="C55" s="373" t="s">
        <v>286</v>
      </c>
      <c r="D55" s="365">
        <v>1969</v>
      </c>
      <c r="E55" s="367">
        <v>16723.95</v>
      </c>
      <c r="F55" s="365"/>
      <c r="G55" s="365">
        <v>2020</v>
      </c>
      <c r="H55" s="373" t="s">
        <v>809</v>
      </c>
      <c r="I55" s="365">
        <v>1</v>
      </c>
    </row>
    <row r="56" spans="2:9">
      <c r="B56" s="365">
        <v>37</v>
      </c>
      <c r="C56" s="373" t="s">
        <v>286</v>
      </c>
      <c r="D56" s="365">
        <v>1971</v>
      </c>
      <c r="E56" s="367">
        <v>20942.86</v>
      </c>
      <c r="F56" s="365"/>
      <c r="G56" s="365">
        <v>2020</v>
      </c>
      <c r="H56" s="373" t="s">
        <v>809</v>
      </c>
      <c r="I56" s="365">
        <v>1</v>
      </c>
    </row>
    <row r="57" spans="2:9">
      <c r="B57" s="365">
        <v>38</v>
      </c>
      <c r="C57" s="373" t="s">
        <v>286</v>
      </c>
      <c r="D57" s="365">
        <v>1972</v>
      </c>
      <c r="E57" s="367">
        <v>40987.47</v>
      </c>
      <c r="F57" s="365"/>
      <c r="G57" s="365">
        <v>2020</v>
      </c>
      <c r="H57" s="373" t="s">
        <v>809</v>
      </c>
      <c r="I57" s="365">
        <v>1</v>
      </c>
    </row>
    <row r="58" spans="2:9">
      <c r="B58" s="365">
        <v>39</v>
      </c>
      <c r="C58" s="373" t="s">
        <v>286</v>
      </c>
      <c r="D58" s="365">
        <v>1973</v>
      </c>
      <c r="E58" s="367">
        <v>12298.26</v>
      </c>
      <c r="F58" s="365"/>
      <c r="G58" s="365">
        <v>2020</v>
      </c>
      <c r="H58" s="373" t="s">
        <v>809</v>
      </c>
      <c r="I58" s="365">
        <v>1</v>
      </c>
    </row>
    <row r="59" spans="2:9">
      <c r="B59" s="365">
        <v>40</v>
      </c>
      <c r="C59" s="373" t="s">
        <v>286</v>
      </c>
      <c r="D59" s="365">
        <v>1975</v>
      </c>
      <c r="E59" s="367">
        <v>13362.9</v>
      </c>
      <c r="F59" s="365"/>
      <c r="G59" s="365">
        <v>2020</v>
      </c>
      <c r="H59" s="373" t="s">
        <v>809</v>
      </c>
      <c r="I59" s="365">
        <v>1</v>
      </c>
    </row>
    <row r="60" spans="2:9">
      <c r="B60" s="365">
        <v>41</v>
      </c>
      <c r="C60" s="373" t="s">
        <v>286</v>
      </c>
      <c r="D60" s="365">
        <v>1980</v>
      </c>
      <c r="E60" s="367">
        <v>47995.57</v>
      </c>
      <c r="F60" s="365"/>
      <c r="G60" s="365">
        <v>2020</v>
      </c>
      <c r="H60" s="373" t="s">
        <v>809</v>
      </c>
      <c r="I60" s="365">
        <v>1</v>
      </c>
    </row>
    <row r="61" spans="2:9">
      <c r="B61" s="365">
        <v>42</v>
      </c>
      <c r="C61" s="373" t="s">
        <v>288</v>
      </c>
      <c r="D61" s="365">
        <v>1965</v>
      </c>
      <c r="E61" s="367">
        <v>162736.70000000001</v>
      </c>
      <c r="F61" s="365"/>
      <c r="G61" s="365">
        <v>2020</v>
      </c>
      <c r="H61" s="373" t="s">
        <v>809</v>
      </c>
      <c r="I61" s="365">
        <v>1</v>
      </c>
    </row>
    <row r="62" spans="2:9">
      <c r="B62" s="365">
        <v>43</v>
      </c>
      <c r="C62" s="373" t="s">
        <v>288</v>
      </c>
      <c r="D62" s="365">
        <v>1966</v>
      </c>
      <c r="E62" s="367">
        <v>282042.34000000003</v>
      </c>
      <c r="F62" s="365"/>
      <c r="G62" s="365">
        <v>2020</v>
      </c>
      <c r="H62" s="373" t="s">
        <v>809</v>
      </c>
      <c r="I62" s="365">
        <v>1</v>
      </c>
    </row>
    <row r="63" spans="2:9">
      <c r="B63" s="365">
        <v>44</v>
      </c>
      <c r="C63" s="373" t="s">
        <v>288</v>
      </c>
      <c r="D63" s="365">
        <v>1967</v>
      </c>
      <c r="E63" s="367">
        <v>390313.68</v>
      </c>
      <c r="F63" s="365"/>
      <c r="G63" s="365">
        <v>2020</v>
      </c>
      <c r="H63" s="373" t="s">
        <v>809</v>
      </c>
      <c r="I63" s="365">
        <v>1</v>
      </c>
    </row>
    <row r="64" spans="2:9">
      <c r="B64" s="365">
        <v>45</v>
      </c>
      <c r="C64" s="373" t="s">
        <v>288</v>
      </c>
      <c r="D64" s="365">
        <v>1968</v>
      </c>
      <c r="E64" s="367">
        <v>337925.75</v>
      </c>
      <c r="F64" s="365"/>
      <c r="G64" s="365">
        <v>2020</v>
      </c>
      <c r="H64" s="373" t="s">
        <v>809</v>
      </c>
      <c r="I64" s="365">
        <v>1</v>
      </c>
    </row>
    <row r="65" spans="2:9">
      <c r="B65" s="365">
        <v>46</v>
      </c>
      <c r="C65" s="373" t="s">
        <v>288</v>
      </c>
      <c r="D65" s="365">
        <v>1969</v>
      </c>
      <c r="E65" s="367">
        <v>19730</v>
      </c>
      <c r="F65" s="365"/>
      <c r="G65" s="365">
        <v>2020</v>
      </c>
      <c r="H65" s="373" t="s">
        <v>809</v>
      </c>
      <c r="I65" s="365">
        <v>1</v>
      </c>
    </row>
    <row r="66" spans="2:9">
      <c r="B66" s="365">
        <v>47</v>
      </c>
      <c r="C66" s="373" t="s">
        <v>288</v>
      </c>
      <c r="D66" s="365">
        <v>1970</v>
      </c>
      <c r="E66" s="367">
        <v>169357.15</v>
      </c>
      <c r="F66" s="365"/>
      <c r="G66" s="365">
        <v>2020</v>
      </c>
      <c r="H66" s="373" t="s">
        <v>809</v>
      </c>
      <c r="I66" s="365">
        <v>1</v>
      </c>
    </row>
    <row r="67" spans="2:9">
      <c r="B67" s="365">
        <v>48</v>
      </c>
      <c r="C67" s="373" t="s">
        <v>288</v>
      </c>
      <c r="D67" s="365">
        <v>1971</v>
      </c>
      <c r="E67" s="367">
        <v>201451.64</v>
      </c>
      <c r="F67" s="365"/>
      <c r="G67" s="365">
        <v>2020</v>
      </c>
      <c r="H67" s="373" t="s">
        <v>809</v>
      </c>
      <c r="I67" s="365">
        <v>1</v>
      </c>
    </row>
    <row r="68" spans="2:9">
      <c r="B68" s="365">
        <v>49</v>
      </c>
      <c r="C68" s="373" t="s">
        <v>288</v>
      </c>
      <c r="D68" s="365">
        <v>1972</v>
      </c>
      <c r="E68" s="367">
        <v>147669.32</v>
      </c>
      <c r="F68" s="365"/>
      <c r="G68" s="365">
        <v>2020</v>
      </c>
      <c r="H68" s="373" t="s">
        <v>809</v>
      </c>
      <c r="I68" s="365">
        <v>1</v>
      </c>
    </row>
    <row r="69" spans="2:9">
      <c r="B69" s="365">
        <v>50</v>
      </c>
      <c r="C69" s="373" t="s">
        <v>288</v>
      </c>
      <c r="D69" s="365">
        <v>1974</v>
      </c>
      <c r="E69" s="367">
        <v>27434.639999999999</v>
      </c>
      <c r="F69" s="365"/>
      <c r="G69" s="365">
        <v>2020</v>
      </c>
      <c r="H69" s="373" t="s">
        <v>809</v>
      </c>
      <c r="I69" s="365">
        <v>1</v>
      </c>
    </row>
    <row r="70" spans="2:9">
      <c r="B70" s="365">
        <v>51</v>
      </c>
      <c r="C70" s="373" t="s">
        <v>288</v>
      </c>
      <c r="D70" s="365">
        <v>1975</v>
      </c>
      <c r="E70" s="367">
        <v>30000</v>
      </c>
      <c r="F70" s="365"/>
      <c r="G70" s="365">
        <v>2020</v>
      </c>
      <c r="H70" s="373" t="s">
        <v>809</v>
      </c>
      <c r="I70" s="365">
        <v>1</v>
      </c>
    </row>
    <row r="71" spans="2:9">
      <c r="B71" s="365">
        <v>52</v>
      </c>
      <c r="C71" s="373" t="s">
        <v>288</v>
      </c>
      <c r="D71" s="365">
        <v>1976</v>
      </c>
      <c r="E71" s="367">
        <v>72000</v>
      </c>
      <c r="F71" s="365"/>
      <c r="G71" s="365">
        <v>2020</v>
      </c>
      <c r="H71" s="373" t="s">
        <v>809</v>
      </c>
      <c r="I71" s="365">
        <v>1</v>
      </c>
    </row>
    <row r="72" spans="2:9">
      <c r="B72" s="365">
        <v>53</v>
      </c>
      <c r="C72" s="373" t="s">
        <v>288</v>
      </c>
      <c r="D72" s="365">
        <v>1977</v>
      </c>
      <c r="E72" s="367">
        <v>104527.46</v>
      </c>
      <c r="F72" s="365"/>
      <c r="G72" s="365">
        <v>2020</v>
      </c>
      <c r="H72" s="373" t="s">
        <v>809</v>
      </c>
      <c r="I72" s="365">
        <v>1</v>
      </c>
    </row>
    <row r="73" spans="2:9">
      <c r="B73" s="365">
        <v>54</v>
      </c>
      <c r="C73" s="373" t="s">
        <v>288</v>
      </c>
      <c r="D73" s="365">
        <v>1979</v>
      </c>
      <c r="E73" s="367">
        <v>102180.41</v>
      </c>
      <c r="F73" s="365"/>
      <c r="G73" s="365">
        <v>2020</v>
      </c>
      <c r="H73" s="373" t="s">
        <v>809</v>
      </c>
      <c r="I73" s="365">
        <v>1</v>
      </c>
    </row>
    <row r="74" spans="2:9">
      <c r="B74" s="365">
        <v>55</v>
      </c>
      <c r="C74" s="373" t="s">
        <v>288</v>
      </c>
      <c r="D74" s="365">
        <v>1982</v>
      </c>
      <c r="E74" s="367">
        <v>87225.38</v>
      </c>
      <c r="F74" s="365"/>
      <c r="G74" s="365">
        <v>2020</v>
      </c>
      <c r="H74" s="373" t="s">
        <v>809</v>
      </c>
      <c r="I74" s="365">
        <v>1</v>
      </c>
    </row>
    <row r="75" spans="2:9">
      <c r="B75" s="365">
        <v>56</v>
      </c>
      <c r="C75" s="373" t="s">
        <v>288</v>
      </c>
      <c r="D75" s="365">
        <v>1983</v>
      </c>
      <c r="E75" s="367">
        <v>30000</v>
      </c>
      <c r="F75" s="365"/>
      <c r="G75" s="365">
        <v>2020</v>
      </c>
      <c r="H75" s="373" t="s">
        <v>809</v>
      </c>
      <c r="I75" s="365">
        <v>1</v>
      </c>
    </row>
    <row r="76" spans="2:9">
      <c r="B76" s="365">
        <v>57</v>
      </c>
      <c r="C76" s="373" t="s">
        <v>288</v>
      </c>
      <c r="D76" s="365">
        <v>1985</v>
      </c>
      <c r="E76" s="367">
        <v>38613.07</v>
      </c>
      <c r="F76" s="365"/>
      <c r="G76" s="365">
        <v>2020</v>
      </c>
      <c r="H76" s="373" t="s">
        <v>809</v>
      </c>
      <c r="I76" s="365">
        <v>1</v>
      </c>
    </row>
    <row r="77" spans="2:9">
      <c r="B77" s="365">
        <v>58</v>
      </c>
      <c r="C77" s="373" t="s">
        <v>288</v>
      </c>
      <c r="D77" s="365">
        <v>1987</v>
      </c>
      <c r="E77" s="367">
        <v>8154.43</v>
      </c>
      <c r="F77" s="365"/>
      <c r="G77" s="365">
        <v>2020</v>
      </c>
      <c r="H77" s="373" t="s">
        <v>809</v>
      </c>
      <c r="I77" s="365">
        <v>1</v>
      </c>
    </row>
    <row r="78" spans="2:9">
      <c r="B78" s="365">
        <v>59</v>
      </c>
      <c r="C78" s="373" t="s">
        <v>288</v>
      </c>
      <c r="D78" s="365">
        <v>1992</v>
      </c>
      <c r="E78" s="367">
        <v>79800.429999999993</v>
      </c>
      <c r="F78" s="365"/>
      <c r="G78" s="365">
        <v>2020</v>
      </c>
      <c r="H78" s="373" t="s">
        <v>809</v>
      </c>
      <c r="I78" s="365">
        <v>1</v>
      </c>
    </row>
    <row r="79" spans="2:9">
      <c r="B79" s="365">
        <v>60</v>
      </c>
      <c r="C79" s="373" t="s">
        <v>288</v>
      </c>
      <c r="D79" s="365">
        <v>1995</v>
      </c>
      <c r="E79" s="367">
        <v>121494.29</v>
      </c>
      <c r="F79" s="365"/>
      <c r="G79" s="365">
        <v>2020</v>
      </c>
      <c r="H79" s="373" t="s">
        <v>809</v>
      </c>
      <c r="I79" s="365">
        <v>1</v>
      </c>
    </row>
    <row r="80" spans="2:9">
      <c r="B80" s="365">
        <v>61</v>
      </c>
      <c r="C80" s="373" t="s">
        <v>288</v>
      </c>
      <c r="D80" s="365">
        <v>1998</v>
      </c>
      <c r="E80" s="367">
        <v>45471.44</v>
      </c>
      <c r="F80" s="365"/>
      <c r="G80" s="365">
        <v>2020</v>
      </c>
      <c r="H80" s="373" t="s">
        <v>809</v>
      </c>
      <c r="I80" s="365">
        <v>1</v>
      </c>
    </row>
    <row r="81" spans="2:9">
      <c r="B81" s="365">
        <v>62</v>
      </c>
      <c r="C81" s="373" t="s">
        <v>288</v>
      </c>
      <c r="D81" s="365">
        <v>2002</v>
      </c>
      <c r="E81" s="367">
        <v>10346.200000000001</v>
      </c>
      <c r="F81" s="365"/>
      <c r="G81" s="365">
        <v>2020</v>
      </c>
      <c r="H81" s="373" t="s">
        <v>809</v>
      </c>
      <c r="I81" s="365">
        <v>1</v>
      </c>
    </row>
    <row r="82" spans="2:9">
      <c r="B82" s="365">
        <v>63</v>
      </c>
      <c r="C82" s="373" t="s">
        <v>288</v>
      </c>
      <c r="D82" s="365">
        <v>2003</v>
      </c>
      <c r="E82" s="367">
        <v>10560.43</v>
      </c>
      <c r="F82" s="365"/>
      <c r="G82" s="365">
        <v>2020</v>
      </c>
      <c r="H82" s="373" t="s">
        <v>809</v>
      </c>
      <c r="I82" s="365">
        <v>1</v>
      </c>
    </row>
    <row r="83" spans="2:9">
      <c r="B83" s="365">
        <v>64</v>
      </c>
      <c r="C83" s="373" t="s">
        <v>288</v>
      </c>
      <c r="D83" s="365">
        <v>2004</v>
      </c>
      <c r="E83" s="367">
        <v>65494.31</v>
      </c>
      <c r="F83" s="365"/>
      <c r="G83" s="365">
        <v>2020</v>
      </c>
      <c r="H83" s="373" t="s">
        <v>809</v>
      </c>
      <c r="I83" s="365">
        <v>1</v>
      </c>
    </row>
    <row r="84" spans="2:9">
      <c r="B84" s="365">
        <v>65</v>
      </c>
      <c r="C84" s="373" t="s">
        <v>288</v>
      </c>
      <c r="D84" s="365">
        <v>2006</v>
      </c>
      <c r="E84" s="367">
        <v>28786.400000000001</v>
      </c>
      <c r="F84" s="365"/>
      <c r="G84" s="365">
        <v>2020</v>
      </c>
      <c r="H84" s="373" t="s">
        <v>809</v>
      </c>
      <c r="I84" s="365">
        <v>1</v>
      </c>
    </row>
    <row r="85" spans="2:9">
      <c r="B85" s="365">
        <v>66</v>
      </c>
      <c r="C85" s="373" t="s">
        <v>288</v>
      </c>
      <c r="D85" s="365">
        <v>2008</v>
      </c>
      <c r="E85" s="367">
        <v>159796.69</v>
      </c>
      <c r="F85" s="365"/>
      <c r="G85" s="365">
        <v>2020</v>
      </c>
      <c r="H85" s="373" t="s">
        <v>809</v>
      </c>
      <c r="I85" s="365">
        <v>1</v>
      </c>
    </row>
    <row r="86" spans="2:9">
      <c r="B86" s="365">
        <v>67</v>
      </c>
      <c r="C86" s="373" t="s">
        <v>288</v>
      </c>
      <c r="D86" s="365">
        <v>2011</v>
      </c>
      <c r="E86" s="367">
        <v>54172.756048000003</v>
      </c>
      <c r="F86" s="365"/>
      <c r="G86" s="365">
        <v>2020</v>
      </c>
      <c r="H86" s="373" t="s">
        <v>809</v>
      </c>
      <c r="I86" s="365">
        <v>1</v>
      </c>
    </row>
    <row r="87" spans="2:9">
      <c r="B87" s="365">
        <v>68</v>
      </c>
      <c r="C87" s="373" t="s">
        <v>288</v>
      </c>
      <c r="D87" s="365">
        <v>2012</v>
      </c>
      <c r="E87" s="367">
        <v>16860.795606</v>
      </c>
      <c r="F87" s="365"/>
      <c r="G87" s="365">
        <v>2020</v>
      </c>
      <c r="H87" s="373" t="s">
        <v>809</v>
      </c>
      <c r="I87" s="365">
        <v>1</v>
      </c>
    </row>
    <row r="88" spans="2:9">
      <c r="B88" s="365">
        <v>69</v>
      </c>
      <c r="C88" s="373" t="s">
        <v>288</v>
      </c>
      <c r="D88" s="365">
        <v>2015</v>
      </c>
      <c r="E88" s="367">
        <v>15275.23848</v>
      </c>
      <c r="F88" s="365"/>
      <c r="G88" s="365">
        <v>2020</v>
      </c>
      <c r="H88" s="373" t="s">
        <v>809</v>
      </c>
      <c r="I88" s="365">
        <v>1</v>
      </c>
    </row>
    <row r="89" spans="2:9">
      <c r="B89" s="365">
        <v>70</v>
      </c>
      <c r="C89" s="373" t="s">
        <v>291</v>
      </c>
      <c r="D89" s="365">
        <v>1967</v>
      </c>
      <c r="E89" s="367">
        <v>74013.37</v>
      </c>
      <c r="F89" s="365">
        <v>439857.3081783966</v>
      </c>
      <c r="G89" s="365">
        <v>2020</v>
      </c>
      <c r="H89" s="373" t="s">
        <v>809</v>
      </c>
      <c r="I89" s="365">
        <v>1</v>
      </c>
    </row>
    <row r="90" spans="2:9">
      <c r="B90" s="365">
        <v>71</v>
      </c>
      <c r="C90" s="373" t="s">
        <v>297</v>
      </c>
      <c r="D90" s="365">
        <v>1961</v>
      </c>
      <c r="E90" s="367">
        <v>92634.240000000005</v>
      </c>
      <c r="F90" s="365"/>
      <c r="G90" s="365">
        <v>2020</v>
      </c>
      <c r="H90" s="373" t="s">
        <v>809</v>
      </c>
      <c r="I90" s="365">
        <v>1</v>
      </c>
    </row>
    <row r="91" spans="2:9">
      <c r="B91" s="365">
        <v>72</v>
      </c>
      <c r="C91" s="373" t="s">
        <v>297</v>
      </c>
      <c r="D91" s="365">
        <v>1968</v>
      </c>
      <c r="E91" s="367">
        <v>153440.79</v>
      </c>
      <c r="F91" s="365"/>
      <c r="G91" s="365">
        <v>2020</v>
      </c>
      <c r="H91" s="373" t="s">
        <v>809</v>
      </c>
      <c r="I91" s="365">
        <v>1</v>
      </c>
    </row>
    <row r="92" spans="2:9">
      <c r="B92" s="365">
        <v>73</v>
      </c>
      <c r="C92" s="373" t="s">
        <v>297</v>
      </c>
      <c r="D92" s="365">
        <v>1992</v>
      </c>
      <c r="E92" s="367">
        <v>267309.21999999997</v>
      </c>
      <c r="F92" s="365"/>
      <c r="G92" s="365">
        <v>2020</v>
      </c>
      <c r="H92" s="373" t="s">
        <v>809</v>
      </c>
      <c r="I92" s="365">
        <v>1</v>
      </c>
    </row>
    <row r="93" spans="2:9">
      <c r="B93" s="365">
        <v>74</v>
      </c>
      <c r="C93" s="373" t="s">
        <v>297</v>
      </c>
      <c r="D93" s="365">
        <v>2003</v>
      </c>
      <c r="E93" s="367">
        <v>40177</v>
      </c>
      <c r="F93" s="365">
        <v>238769.65838311971</v>
      </c>
      <c r="G93" s="365">
        <v>2020</v>
      </c>
      <c r="H93" s="373" t="s">
        <v>809</v>
      </c>
      <c r="I93" s="365">
        <v>1</v>
      </c>
    </row>
    <row r="94" spans="2:9">
      <c r="B94" s="365">
        <v>75</v>
      </c>
      <c r="C94" s="373" t="s">
        <v>297</v>
      </c>
      <c r="D94" s="365">
        <v>2005</v>
      </c>
      <c r="E94" s="367">
        <v>186030.7</v>
      </c>
      <c r="F94" s="365">
        <v>1105570.0198564508</v>
      </c>
      <c r="G94" s="365">
        <v>2020</v>
      </c>
      <c r="H94" s="373" t="s">
        <v>809</v>
      </c>
      <c r="I94" s="365">
        <v>1</v>
      </c>
    </row>
    <row r="95" spans="2:9">
      <c r="B95" s="365">
        <v>76</v>
      </c>
      <c r="C95" s="373" t="s">
        <v>297</v>
      </c>
      <c r="D95" s="365">
        <v>2010</v>
      </c>
      <c r="E95" s="367">
        <v>242998.14437600001</v>
      </c>
      <c r="F95" s="365"/>
      <c r="G95" s="365">
        <v>2020</v>
      </c>
      <c r="H95" s="373" t="s">
        <v>809</v>
      </c>
      <c r="I95" s="365">
        <v>1</v>
      </c>
    </row>
    <row r="96" spans="2:9">
      <c r="B96" s="365">
        <v>77</v>
      </c>
      <c r="C96" s="373" t="s">
        <v>297</v>
      </c>
      <c r="D96" s="365">
        <v>2012</v>
      </c>
      <c r="E96" s="367">
        <v>156496.05558799999</v>
      </c>
      <c r="F96" s="365"/>
      <c r="G96" s="365">
        <v>2020</v>
      </c>
      <c r="H96" s="373" t="s">
        <v>809</v>
      </c>
      <c r="I96" s="365">
        <v>1</v>
      </c>
    </row>
    <row r="97" spans="2:9">
      <c r="B97" s="365">
        <v>78</v>
      </c>
      <c r="C97" s="373" t="s">
        <v>301</v>
      </c>
      <c r="D97" s="365">
        <v>2017</v>
      </c>
      <c r="E97" s="367">
        <v>41550.210188999998</v>
      </c>
      <c r="F97" s="365">
        <v>240508.97978389595</v>
      </c>
      <c r="G97" s="365">
        <v>2020</v>
      </c>
      <c r="H97" s="373" t="s">
        <v>809</v>
      </c>
      <c r="I97" s="365">
        <v>1</v>
      </c>
    </row>
    <row r="98" spans="2:9">
      <c r="B98" s="365">
        <v>79</v>
      </c>
      <c r="C98" s="373" t="s">
        <v>302</v>
      </c>
      <c r="D98" s="365">
        <v>2003</v>
      </c>
      <c r="E98" s="367">
        <v>5549.99</v>
      </c>
      <c r="F98" s="365">
        <v>32983.279396911923</v>
      </c>
      <c r="G98" s="365">
        <v>2020</v>
      </c>
      <c r="H98" s="373" t="s">
        <v>809</v>
      </c>
      <c r="I98" s="365">
        <v>1</v>
      </c>
    </row>
    <row r="99" spans="2:9">
      <c r="B99" s="365">
        <v>80</v>
      </c>
      <c r="C99" s="373" t="s">
        <v>303</v>
      </c>
      <c r="D99" s="365">
        <v>1998</v>
      </c>
      <c r="E99" s="367">
        <v>366600.87</v>
      </c>
      <c r="F99" s="365"/>
      <c r="G99" s="365">
        <v>2020</v>
      </c>
      <c r="H99" s="373" t="s">
        <v>809</v>
      </c>
      <c r="I99" s="365">
        <v>1</v>
      </c>
    </row>
    <row r="100" spans="2:9">
      <c r="B100" s="365">
        <v>81</v>
      </c>
      <c r="C100" s="373" t="s">
        <v>303</v>
      </c>
      <c r="D100" s="365">
        <v>1999</v>
      </c>
      <c r="E100" s="367">
        <v>268665.56</v>
      </c>
      <c r="F100" s="365"/>
      <c r="G100" s="365">
        <v>2020</v>
      </c>
      <c r="H100" s="373" t="s">
        <v>809</v>
      </c>
      <c r="I100" s="365">
        <v>1</v>
      </c>
    </row>
    <row r="101" spans="2:9">
      <c r="B101" s="365">
        <v>82</v>
      </c>
      <c r="C101" s="373" t="s">
        <v>303</v>
      </c>
      <c r="D101" s="365">
        <v>2000</v>
      </c>
      <c r="E101" s="367">
        <v>92489.12</v>
      </c>
      <c r="F101" s="365"/>
      <c r="G101" s="365">
        <v>2020</v>
      </c>
      <c r="H101" s="373" t="s">
        <v>809</v>
      </c>
      <c r="I101" s="365">
        <v>1</v>
      </c>
    </row>
    <row r="102" spans="2:9">
      <c r="B102" s="365">
        <v>83</v>
      </c>
      <c r="C102" s="373" t="s">
        <v>317</v>
      </c>
      <c r="D102" s="365">
        <v>1971</v>
      </c>
      <c r="E102" s="367">
        <v>739448.2</v>
      </c>
      <c r="F102" s="365"/>
      <c r="G102" s="365">
        <v>2020</v>
      </c>
      <c r="H102" s="373" t="s">
        <v>809</v>
      </c>
      <c r="I102" s="365">
        <v>1</v>
      </c>
    </row>
    <row r="103" spans="2:9">
      <c r="B103" s="365">
        <v>84</v>
      </c>
      <c r="C103" s="373" t="s">
        <v>317</v>
      </c>
      <c r="D103" s="365">
        <v>1977</v>
      </c>
      <c r="E103" s="367">
        <v>68166.3</v>
      </c>
      <c r="F103" s="365"/>
      <c r="G103" s="365">
        <v>2020</v>
      </c>
      <c r="H103" s="373" t="s">
        <v>809</v>
      </c>
      <c r="I103" s="365">
        <v>1</v>
      </c>
    </row>
    <row r="104" spans="2:9">
      <c r="B104" s="365">
        <v>85</v>
      </c>
      <c r="C104" s="373" t="s">
        <v>317</v>
      </c>
      <c r="D104" s="365">
        <v>1994</v>
      </c>
      <c r="E104" s="367">
        <v>376175.8</v>
      </c>
      <c r="F104" s="365"/>
      <c r="G104" s="365">
        <v>2020</v>
      </c>
      <c r="H104" s="373" t="s">
        <v>809</v>
      </c>
      <c r="I104" s="365">
        <v>1</v>
      </c>
    </row>
    <row r="105" spans="2:9">
      <c r="B105" s="365">
        <v>86</v>
      </c>
      <c r="C105" s="373" t="s">
        <v>317</v>
      </c>
      <c r="D105" s="365">
        <v>1995</v>
      </c>
      <c r="E105" s="367">
        <v>1191241.1299999999</v>
      </c>
      <c r="F105" s="365"/>
      <c r="G105" s="365">
        <v>2020</v>
      </c>
      <c r="H105" s="373" t="s">
        <v>809</v>
      </c>
      <c r="I105" s="365">
        <v>1</v>
      </c>
    </row>
    <row r="106" spans="2:9">
      <c r="B106" s="365">
        <v>87</v>
      </c>
      <c r="C106" s="373" t="s">
        <v>317</v>
      </c>
      <c r="D106" s="365">
        <v>1996</v>
      </c>
      <c r="E106" s="367">
        <v>60266.55</v>
      </c>
      <c r="F106" s="365"/>
      <c r="G106" s="365">
        <v>2020</v>
      </c>
      <c r="H106" s="373" t="s">
        <v>809</v>
      </c>
      <c r="I106" s="365">
        <v>1</v>
      </c>
    </row>
    <row r="107" spans="2:9">
      <c r="B107" s="365">
        <v>88</v>
      </c>
      <c r="C107" s="373" t="s">
        <v>317</v>
      </c>
      <c r="D107" s="365">
        <v>1998</v>
      </c>
      <c r="E107" s="367">
        <v>117092.84999999999</v>
      </c>
      <c r="F107" s="365"/>
      <c r="G107" s="365">
        <v>2020</v>
      </c>
      <c r="H107" s="373" t="s">
        <v>809</v>
      </c>
      <c r="I107" s="365">
        <v>1</v>
      </c>
    </row>
    <row r="108" spans="2:9">
      <c r="B108" s="365">
        <v>89</v>
      </c>
      <c r="C108" s="373" t="s">
        <v>317</v>
      </c>
      <c r="D108" s="365">
        <v>2008</v>
      </c>
      <c r="E108" s="367">
        <v>526456.12101200002</v>
      </c>
      <c r="F108" s="365"/>
      <c r="G108" s="365">
        <v>2020</v>
      </c>
      <c r="H108" s="373" t="s">
        <v>809</v>
      </c>
      <c r="I108" s="365">
        <v>1</v>
      </c>
    </row>
    <row r="109" spans="2:9">
      <c r="B109" s="365">
        <v>90</v>
      </c>
      <c r="C109" s="373" t="s">
        <v>317</v>
      </c>
      <c r="D109" s="365">
        <v>2010</v>
      </c>
      <c r="E109" s="367">
        <v>488182.154064</v>
      </c>
      <c r="F109" s="365"/>
      <c r="G109" s="365">
        <v>2020</v>
      </c>
      <c r="H109" s="373" t="s">
        <v>809</v>
      </c>
      <c r="I109" s="365">
        <v>1</v>
      </c>
    </row>
    <row r="110" spans="2:9">
      <c r="B110" s="365">
        <v>91</v>
      </c>
      <c r="C110" s="373" t="s">
        <v>317</v>
      </c>
      <c r="D110" s="365">
        <v>2015</v>
      </c>
      <c r="E110" s="367">
        <v>95260.246860999992</v>
      </c>
      <c r="F110" s="365"/>
      <c r="G110" s="365">
        <v>2020</v>
      </c>
      <c r="H110" s="373" t="s">
        <v>809</v>
      </c>
      <c r="I110" s="365">
        <v>1</v>
      </c>
    </row>
    <row r="111" spans="2:9">
      <c r="B111" s="365">
        <v>92</v>
      </c>
      <c r="C111" s="373" t="s">
        <v>318</v>
      </c>
      <c r="D111" s="365">
        <v>1998</v>
      </c>
      <c r="E111" s="367">
        <v>127735.64</v>
      </c>
      <c r="F111" s="365"/>
      <c r="G111" s="365">
        <v>2020</v>
      </c>
      <c r="H111" s="373" t="s">
        <v>809</v>
      </c>
      <c r="I111" s="365">
        <v>1</v>
      </c>
    </row>
    <row r="112" spans="2:9">
      <c r="B112" s="365">
        <v>93</v>
      </c>
      <c r="C112" s="373" t="s">
        <v>320</v>
      </c>
      <c r="D112" s="365">
        <v>1977</v>
      </c>
      <c r="E112" s="367">
        <v>146130.37</v>
      </c>
      <c r="F112" s="365"/>
      <c r="G112" s="365">
        <v>2020</v>
      </c>
      <c r="H112" s="373" t="s">
        <v>809</v>
      </c>
      <c r="I112" s="365">
        <v>1</v>
      </c>
    </row>
    <row r="113" spans="2:9">
      <c r="B113" s="365">
        <v>94</v>
      </c>
      <c r="C113" s="373" t="s">
        <v>321</v>
      </c>
      <c r="D113" s="365">
        <v>1993</v>
      </c>
      <c r="E113" s="367">
        <v>2269257</v>
      </c>
      <c r="F113" s="365"/>
      <c r="G113" s="365">
        <v>2020</v>
      </c>
      <c r="H113" s="373" t="s">
        <v>809</v>
      </c>
      <c r="I113" s="365">
        <v>1</v>
      </c>
    </row>
    <row r="114" spans="2:9">
      <c r="B114" s="365">
        <v>95</v>
      </c>
      <c r="C114" s="373" t="s">
        <v>324</v>
      </c>
      <c r="D114" s="365">
        <v>1997</v>
      </c>
      <c r="E114" s="367">
        <v>4810.9799999999996</v>
      </c>
      <c r="F114" s="365">
        <v>28591.384401225107</v>
      </c>
      <c r="G114" s="365">
        <v>2020</v>
      </c>
      <c r="H114" s="373" t="s">
        <v>809</v>
      </c>
      <c r="I114" s="365">
        <v>1</v>
      </c>
    </row>
    <row r="115" spans="2:9">
      <c r="B115" s="365">
        <v>96</v>
      </c>
      <c r="C115" s="373" t="s">
        <v>325</v>
      </c>
      <c r="D115" s="365">
        <v>1964</v>
      </c>
      <c r="E115" s="367">
        <v>109225.21</v>
      </c>
      <c r="F115" s="365"/>
      <c r="G115" s="365">
        <v>2020</v>
      </c>
      <c r="H115" s="373" t="s">
        <v>809</v>
      </c>
      <c r="I115" s="365">
        <v>1</v>
      </c>
    </row>
    <row r="116" spans="2:9">
      <c r="B116" s="365">
        <v>97</v>
      </c>
      <c r="C116" s="373" t="s">
        <v>325</v>
      </c>
      <c r="D116" s="365">
        <v>1965</v>
      </c>
      <c r="E116" s="367">
        <v>79354.039999999994</v>
      </c>
      <c r="F116" s="365"/>
      <c r="G116" s="365">
        <v>2020</v>
      </c>
      <c r="H116" s="373" t="s">
        <v>809</v>
      </c>
      <c r="I116" s="365">
        <v>1</v>
      </c>
    </row>
    <row r="117" spans="2:9">
      <c r="B117" s="365">
        <v>98</v>
      </c>
      <c r="C117" s="373" t="s">
        <v>325</v>
      </c>
      <c r="D117" s="365">
        <v>1969</v>
      </c>
      <c r="E117" s="367">
        <v>160000</v>
      </c>
      <c r="F117" s="365"/>
      <c r="G117" s="365">
        <v>2020</v>
      </c>
      <c r="H117" s="373" t="s">
        <v>809</v>
      </c>
      <c r="I117" s="365">
        <v>1</v>
      </c>
    </row>
    <row r="118" spans="2:9">
      <c r="B118" s="365">
        <v>99</v>
      </c>
      <c r="C118" s="373" t="s">
        <v>325</v>
      </c>
      <c r="D118" s="365">
        <v>1970</v>
      </c>
      <c r="E118" s="367">
        <v>1644.48</v>
      </c>
      <c r="F118" s="365"/>
      <c r="G118" s="365">
        <v>2020</v>
      </c>
      <c r="H118" s="373" t="s">
        <v>809</v>
      </c>
      <c r="I118" s="365">
        <v>1</v>
      </c>
    </row>
    <row r="119" spans="2:9">
      <c r="B119" s="365">
        <v>100</v>
      </c>
      <c r="C119" s="373" t="s">
        <v>325</v>
      </c>
      <c r="D119" s="365">
        <v>1971</v>
      </c>
      <c r="E119" s="367">
        <v>104672.38</v>
      </c>
      <c r="F119" s="365"/>
      <c r="G119" s="365">
        <v>2020</v>
      </c>
      <c r="H119" s="373" t="s">
        <v>809</v>
      </c>
      <c r="I119" s="365">
        <v>1</v>
      </c>
    </row>
    <row r="120" spans="2:9">
      <c r="B120" s="365">
        <v>101</v>
      </c>
      <c r="C120" s="373" t="s">
        <v>325</v>
      </c>
      <c r="D120" s="365">
        <v>1972</v>
      </c>
      <c r="E120" s="367">
        <v>6833.93</v>
      </c>
      <c r="F120" s="365"/>
      <c r="G120" s="365">
        <v>2020</v>
      </c>
      <c r="H120" s="373" t="s">
        <v>809</v>
      </c>
      <c r="I120" s="365">
        <v>1</v>
      </c>
    </row>
    <row r="121" spans="2:9">
      <c r="B121" s="365">
        <v>102</v>
      </c>
      <c r="C121" s="373" t="s">
        <v>325</v>
      </c>
      <c r="D121" s="365">
        <v>1974</v>
      </c>
      <c r="E121" s="367">
        <v>78733.03</v>
      </c>
      <c r="F121" s="365"/>
      <c r="G121" s="365">
        <v>2020</v>
      </c>
      <c r="H121" s="373" t="s">
        <v>809</v>
      </c>
      <c r="I121" s="365">
        <v>1</v>
      </c>
    </row>
    <row r="122" spans="2:9">
      <c r="B122" s="365">
        <v>103</v>
      </c>
      <c r="C122" s="373" t="s">
        <v>325</v>
      </c>
      <c r="D122" s="365">
        <v>1975</v>
      </c>
      <c r="E122" s="367">
        <v>8893.32</v>
      </c>
      <c r="F122" s="365"/>
      <c r="G122" s="365">
        <v>2020</v>
      </c>
      <c r="H122" s="373" t="s">
        <v>809</v>
      </c>
      <c r="I122" s="365">
        <v>1</v>
      </c>
    </row>
    <row r="123" spans="2:9">
      <c r="B123" s="365">
        <v>104</v>
      </c>
      <c r="C123" s="373" t="s">
        <v>325</v>
      </c>
      <c r="D123" s="365">
        <v>1978</v>
      </c>
      <c r="E123" s="367">
        <v>174538.66</v>
      </c>
      <c r="F123" s="365"/>
      <c r="G123" s="365">
        <v>2020</v>
      </c>
      <c r="H123" s="373" t="s">
        <v>809</v>
      </c>
      <c r="I123" s="365">
        <v>1</v>
      </c>
    </row>
    <row r="124" spans="2:9">
      <c r="B124" s="365">
        <v>105</v>
      </c>
      <c r="C124" s="373" t="s">
        <v>325</v>
      </c>
      <c r="D124" s="365">
        <v>1983</v>
      </c>
      <c r="E124" s="367">
        <v>14249.66</v>
      </c>
      <c r="F124" s="365"/>
      <c r="G124" s="365">
        <v>2020</v>
      </c>
      <c r="H124" s="373" t="s">
        <v>809</v>
      </c>
      <c r="I124" s="365">
        <v>1</v>
      </c>
    </row>
    <row r="125" spans="2:9">
      <c r="B125" s="365">
        <v>106</v>
      </c>
      <c r="C125" s="373" t="s">
        <v>325</v>
      </c>
      <c r="D125" s="365">
        <v>1988</v>
      </c>
      <c r="E125" s="367">
        <v>44968.09</v>
      </c>
      <c r="F125" s="365"/>
      <c r="G125" s="365">
        <v>2020</v>
      </c>
      <c r="H125" s="373" t="s">
        <v>809</v>
      </c>
      <c r="I125" s="365">
        <v>1</v>
      </c>
    </row>
    <row r="126" spans="2:9">
      <c r="B126" s="365">
        <v>107</v>
      </c>
      <c r="C126" s="373" t="s">
        <v>325</v>
      </c>
      <c r="D126" s="365">
        <v>1995</v>
      </c>
      <c r="E126" s="367">
        <v>7512.54</v>
      </c>
      <c r="F126" s="365"/>
      <c r="G126" s="365">
        <v>2020</v>
      </c>
      <c r="H126" s="373" t="s">
        <v>809</v>
      </c>
      <c r="I126" s="365">
        <v>1</v>
      </c>
    </row>
    <row r="127" spans="2:9">
      <c r="B127" s="365">
        <v>108</v>
      </c>
      <c r="C127" s="373" t="s">
        <v>325</v>
      </c>
      <c r="D127" s="365">
        <v>2004</v>
      </c>
      <c r="E127" s="367">
        <v>187756.39</v>
      </c>
      <c r="F127" s="365"/>
      <c r="G127" s="365">
        <v>2020</v>
      </c>
      <c r="H127" s="373" t="s">
        <v>809</v>
      </c>
      <c r="I127" s="365">
        <v>1</v>
      </c>
    </row>
    <row r="128" spans="2:9">
      <c r="B128" s="365">
        <v>109</v>
      </c>
      <c r="C128" s="373" t="s">
        <v>326</v>
      </c>
      <c r="D128" s="365">
        <v>1971</v>
      </c>
      <c r="E128" s="367">
        <v>21999.06</v>
      </c>
      <c r="F128" s="365"/>
      <c r="G128" s="365">
        <v>2020</v>
      </c>
      <c r="H128" s="373" t="s">
        <v>809</v>
      </c>
      <c r="I128" s="365">
        <v>1</v>
      </c>
    </row>
    <row r="129" spans="2:9">
      <c r="B129" s="365">
        <v>110</v>
      </c>
      <c r="C129" s="373" t="s">
        <v>334</v>
      </c>
      <c r="D129" s="365">
        <v>2004</v>
      </c>
      <c r="E129" s="367">
        <v>2028.6</v>
      </c>
      <c r="F129" s="365"/>
      <c r="G129" s="365">
        <v>2020</v>
      </c>
      <c r="H129" s="373" t="s">
        <v>809</v>
      </c>
      <c r="I129" s="365">
        <v>1</v>
      </c>
    </row>
    <row r="130" spans="2:9">
      <c r="B130" s="365">
        <v>111</v>
      </c>
      <c r="C130" s="373" t="s">
        <v>334</v>
      </c>
      <c r="D130" s="365">
        <v>2011</v>
      </c>
      <c r="E130" s="367">
        <v>603616.46129999997</v>
      </c>
      <c r="F130" s="365"/>
      <c r="G130" s="365">
        <v>2020</v>
      </c>
      <c r="H130" s="373" t="s">
        <v>809</v>
      </c>
      <c r="I130" s="365">
        <v>1</v>
      </c>
    </row>
    <row r="131" spans="2:9">
      <c r="B131" s="365">
        <v>112</v>
      </c>
      <c r="C131" s="373" t="s">
        <v>336</v>
      </c>
      <c r="D131" s="365">
        <v>1998</v>
      </c>
      <c r="E131" s="367">
        <v>500000</v>
      </c>
      <c r="F131" s="365"/>
      <c r="G131" s="365">
        <v>2020</v>
      </c>
      <c r="H131" s="373" t="s">
        <v>809</v>
      </c>
      <c r="I131" s="365">
        <v>1</v>
      </c>
    </row>
    <row r="132" spans="2:9">
      <c r="B132" s="365">
        <v>113</v>
      </c>
      <c r="C132" s="373" t="s">
        <v>336</v>
      </c>
      <c r="D132" s="365">
        <v>2004</v>
      </c>
      <c r="E132" s="367">
        <v>45527.519999999997</v>
      </c>
      <c r="F132" s="365"/>
      <c r="G132" s="365">
        <v>2020</v>
      </c>
      <c r="H132" s="373" t="s">
        <v>809</v>
      </c>
      <c r="I132" s="365">
        <v>1</v>
      </c>
    </row>
    <row r="133" spans="2:9">
      <c r="B133" s="365">
        <v>114</v>
      </c>
      <c r="C133" s="373" t="s">
        <v>336</v>
      </c>
      <c r="D133" s="365">
        <v>2005</v>
      </c>
      <c r="E133" s="367">
        <v>9959.0400000000009</v>
      </c>
      <c r="F133" s="365"/>
      <c r="G133" s="365">
        <v>2020</v>
      </c>
      <c r="H133" s="373" t="s">
        <v>809</v>
      </c>
      <c r="I133" s="365">
        <v>1</v>
      </c>
    </row>
    <row r="134" spans="2:9">
      <c r="B134" s="365">
        <v>115</v>
      </c>
      <c r="C134" s="373" t="s">
        <v>336</v>
      </c>
      <c r="D134" s="365">
        <v>2016</v>
      </c>
      <c r="E134" s="367">
        <v>855977.36259199993</v>
      </c>
      <c r="F134" s="365"/>
      <c r="G134" s="365">
        <v>2020</v>
      </c>
      <c r="H134" s="373" t="s">
        <v>809</v>
      </c>
      <c r="I134" s="365">
        <v>1</v>
      </c>
    </row>
    <row r="135" spans="2:9">
      <c r="B135" s="365">
        <v>116</v>
      </c>
      <c r="C135" s="373" t="s">
        <v>339</v>
      </c>
      <c r="D135" s="365">
        <v>2016</v>
      </c>
      <c r="E135" s="367">
        <v>778785.35750399996</v>
      </c>
      <c r="F135" s="365"/>
      <c r="G135" s="365">
        <v>2020</v>
      </c>
      <c r="H135" s="373" t="s">
        <v>809</v>
      </c>
      <c r="I135" s="365">
        <v>1</v>
      </c>
    </row>
    <row r="136" spans="2:9">
      <c r="B136" s="365">
        <v>117</v>
      </c>
      <c r="C136" s="373" t="s">
        <v>340</v>
      </c>
      <c r="D136" s="365">
        <v>1988</v>
      </c>
      <c r="E136" s="367">
        <v>2894954.5</v>
      </c>
      <c r="F136" s="365"/>
      <c r="G136" s="365">
        <v>2020</v>
      </c>
      <c r="H136" s="373" t="s">
        <v>809</v>
      </c>
      <c r="I136" s="365">
        <v>1</v>
      </c>
    </row>
    <row r="137" spans="2:9">
      <c r="B137" s="365">
        <v>118</v>
      </c>
      <c r="C137" s="373" t="s">
        <v>341</v>
      </c>
      <c r="D137" s="365">
        <v>2016</v>
      </c>
      <c r="E137" s="367">
        <v>362355.80583999999</v>
      </c>
      <c r="F137" s="365"/>
      <c r="G137" s="365">
        <v>2020</v>
      </c>
      <c r="H137" s="373" t="s">
        <v>809</v>
      </c>
      <c r="I137" s="365">
        <v>1</v>
      </c>
    </row>
    <row r="138" spans="2:9">
      <c r="B138" s="365">
        <v>119</v>
      </c>
      <c r="C138" s="373" t="s">
        <v>351</v>
      </c>
      <c r="D138" s="365">
        <v>2012</v>
      </c>
      <c r="E138" s="367">
        <v>2282230.9217790002</v>
      </c>
      <c r="F138" s="365"/>
      <c r="G138" s="365">
        <v>2020</v>
      </c>
      <c r="H138" s="373" t="s">
        <v>809</v>
      </c>
      <c r="I138" s="365">
        <v>1</v>
      </c>
    </row>
    <row r="139" spans="2:9">
      <c r="B139" s="365">
        <v>120</v>
      </c>
      <c r="C139" s="373" t="s">
        <v>284</v>
      </c>
      <c r="D139" s="365">
        <v>1950</v>
      </c>
      <c r="E139" s="367">
        <v>107805.84</v>
      </c>
      <c r="F139" s="365"/>
      <c r="G139" s="365">
        <v>2021</v>
      </c>
      <c r="H139" s="373" t="s">
        <v>815</v>
      </c>
      <c r="I139" s="365">
        <v>1</v>
      </c>
    </row>
    <row r="140" spans="2:9">
      <c r="B140" s="365">
        <v>121</v>
      </c>
      <c r="C140" s="373" t="s">
        <v>284</v>
      </c>
      <c r="D140" s="365">
        <v>1953</v>
      </c>
      <c r="E140" s="367">
        <v>55835.41</v>
      </c>
      <c r="F140" s="365"/>
      <c r="G140" s="365">
        <v>2021</v>
      </c>
      <c r="H140" s="373" t="s">
        <v>815</v>
      </c>
      <c r="I140" s="365">
        <v>1</v>
      </c>
    </row>
    <row r="141" spans="2:9">
      <c r="B141" s="365">
        <v>122</v>
      </c>
      <c r="C141" s="373" t="s">
        <v>284</v>
      </c>
      <c r="D141" s="365">
        <v>1962</v>
      </c>
      <c r="E141" s="367">
        <v>40000</v>
      </c>
      <c r="F141" s="365"/>
      <c r="G141" s="365">
        <v>2021</v>
      </c>
      <c r="H141" s="373" t="s">
        <v>815</v>
      </c>
      <c r="I141" s="365">
        <v>1</v>
      </c>
    </row>
    <row r="142" spans="2:9">
      <c r="B142" s="365">
        <v>123</v>
      </c>
      <c r="C142" s="373" t="s">
        <v>284</v>
      </c>
      <c r="D142" s="365">
        <v>1965</v>
      </c>
      <c r="E142" s="367">
        <v>25702.75</v>
      </c>
      <c r="F142" s="365"/>
      <c r="G142" s="365">
        <v>2021</v>
      </c>
      <c r="H142" s="373" t="s">
        <v>815</v>
      </c>
      <c r="I142" s="365">
        <v>1</v>
      </c>
    </row>
    <row r="143" spans="2:9">
      <c r="B143" s="365">
        <v>124</v>
      </c>
      <c r="C143" s="373" t="s">
        <v>284</v>
      </c>
      <c r="D143" s="365">
        <v>1966</v>
      </c>
      <c r="E143" s="367">
        <v>109434.39</v>
      </c>
      <c r="F143" s="365"/>
      <c r="G143" s="365">
        <v>2021</v>
      </c>
      <c r="H143" s="373" t="s">
        <v>815</v>
      </c>
      <c r="I143" s="365">
        <v>1</v>
      </c>
    </row>
    <row r="144" spans="2:9">
      <c r="B144" s="365">
        <v>125</v>
      </c>
      <c r="C144" s="373" t="s">
        <v>284</v>
      </c>
      <c r="D144" s="365">
        <v>1967</v>
      </c>
      <c r="E144" s="367">
        <v>190675.34999999998</v>
      </c>
      <c r="F144" s="365"/>
      <c r="G144" s="365">
        <v>2021</v>
      </c>
      <c r="H144" s="373" t="s">
        <v>815</v>
      </c>
      <c r="I144" s="365">
        <v>1</v>
      </c>
    </row>
    <row r="145" spans="2:9">
      <c r="B145" s="365">
        <v>126</v>
      </c>
      <c r="C145" s="373" t="s">
        <v>284</v>
      </c>
      <c r="D145" s="365">
        <v>1968</v>
      </c>
      <c r="E145" s="367">
        <v>99063.760000000009</v>
      </c>
      <c r="F145" s="365"/>
      <c r="G145" s="365">
        <v>2021</v>
      </c>
      <c r="H145" s="373" t="s">
        <v>815</v>
      </c>
      <c r="I145" s="365">
        <v>1</v>
      </c>
    </row>
    <row r="146" spans="2:9">
      <c r="B146" s="365">
        <v>127</v>
      </c>
      <c r="C146" s="373" t="s">
        <v>284</v>
      </c>
      <c r="D146" s="365">
        <v>1969</v>
      </c>
      <c r="E146" s="367">
        <v>91756</v>
      </c>
      <c r="F146" s="365"/>
      <c r="G146" s="365">
        <v>2021</v>
      </c>
      <c r="H146" s="373" t="s">
        <v>815</v>
      </c>
      <c r="I146" s="365">
        <v>1</v>
      </c>
    </row>
    <row r="147" spans="2:9">
      <c r="B147" s="365">
        <v>128</v>
      </c>
      <c r="C147" s="373" t="s">
        <v>284</v>
      </c>
      <c r="D147" s="365">
        <v>1970</v>
      </c>
      <c r="E147" s="367">
        <v>226775.59999999998</v>
      </c>
      <c r="F147" s="365"/>
      <c r="G147" s="365">
        <v>2021</v>
      </c>
      <c r="H147" s="373" t="s">
        <v>815</v>
      </c>
      <c r="I147" s="365">
        <v>1</v>
      </c>
    </row>
    <row r="148" spans="2:9">
      <c r="B148" s="365">
        <v>129</v>
      </c>
      <c r="C148" s="373" t="s">
        <v>284</v>
      </c>
      <c r="D148" s="365">
        <v>1971</v>
      </c>
      <c r="E148" s="367">
        <v>280880.57</v>
      </c>
      <c r="F148" s="365"/>
      <c r="G148" s="365">
        <v>2021</v>
      </c>
      <c r="H148" s="373" t="s">
        <v>815</v>
      </c>
      <c r="I148" s="365">
        <v>1</v>
      </c>
    </row>
    <row r="149" spans="2:9">
      <c r="B149" s="365">
        <v>130</v>
      </c>
      <c r="C149" s="373" t="s">
        <v>284</v>
      </c>
      <c r="D149" s="365">
        <v>1972</v>
      </c>
      <c r="E149" s="367">
        <v>113518.65</v>
      </c>
      <c r="F149" s="365"/>
      <c r="G149" s="365">
        <v>2021</v>
      </c>
      <c r="H149" s="373" t="s">
        <v>815</v>
      </c>
      <c r="I149" s="365">
        <v>1</v>
      </c>
    </row>
    <row r="150" spans="2:9">
      <c r="B150" s="365">
        <v>131</v>
      </c>
      <c r="C150" s="373" t="s">
        <v>284</v>
      </c>
      <c r="D150" s="365">
        <v>1973</v>
      </c>
      <c r="E150" s="367">
        <v>71403.600000000006</v>
      </c>
      <c r="F150" s="365"/>
      <c r="G150" s="365">
        <v>2021</v>
      </c>
      <c r="H150" s="373" t="s">
        <v>815</v>
      </c>
      <c r="I150" s="365">
        <v>1</v>
      </c>
    </row>
    <row r="151" spans="2:9">
      <c r="B151" s="365">
        <v>132</v>
      </c>
      <c r="C151" s="373" t="s">
        <v>284</v>
      </c>
      <c r="D151" s="365">
        <v>1975</v>
      </c>
      <c r="E151" s="367">
        <v>19198.080000000002</v>
      </c>
      <c r="F151" s="365"/>
      <c r="G151" s="365">
        <v>2021</v>
      </c>
      <c r="H151" s="373" t="s">
        <v>815</v>
      </c>
      <c r="I151" s="365">
        <v>1</v>
      </c>
    </row>
    <row r="152" spans="2:9">
      <c r="B152" s="365">
        <v>133</v>
      </c>
      <c r="C152" s="373" t="s">
        <v>284</v>
      </c>
      <c r="D152" s="365">
        <v>1979</v>
      </c>
      <c r="E152" s="367">
        <v>42081.31</v>
      </c>
      <c r="F152" s="365"/>
      <c r="G152" s="365">
        <v>2021</v>
      </c>
      <c r="H152" s="373" t="s">
        <v>815</v>
      </c>
      <c r="I152" s="365">
        <v>1</v>
      </c>
    </row>
    <row r="153" spans="2:9">
      <c r="B153" s="365">
        <v>134</v>
      </c>
      <c r="C153" s="373" t="s">
        <v>284</v>
      </c>
      <c r="D153" s="365">
        <v>1991</v>
      </c>
      <c r="E153" s="367">
        <v>38721.65</v>
      </c>
      <c r="F153" s="365"/>
      <c r="G153" s="365">
        <v>2021</v>
      </c>
      <c r="H153" s="373" t="s">
        <v>815</v>
      </c>
      <c r="I153" s="365">
        <v>1</v>
      </c>
    </row>
    <row r="154" spans="2:9">
      <c r="B154" s="365">
        <v>135</v>
      </c>
      <c r="C154" s="373" t="s">
        <v>284</v>
      </c>
      <c r="D154" s="365">
        <v>1992</v>
      </c>
      <c r="E154" s="367">
        <v>55514.82</v>
      </c>
      <c r="F154" s="365"/>
      <c r="G154" s="365">
        <v>2021</v>
      </c>
      <c r="H154" s="373" t="s">
        <v>815</v>
      </c>
      <c r="I154" s="365">
        <v>1</v>
      </c>
    </row>
    <row r="155" spans="2:9">
      <c r="B155" s="365">
        <v>136</v>
      </c>
      <c r="C155" s="373" t="s">
        <v>284</v>
      </c>
      <c r="D155" s="365">
        <v>1994</v>
      </c>
      <c r="E155" s="367">
        <v>23050.77</v>
      </c>
      <c r="F155" s="365"/>
      <c r="G155" s="365">
        <v>2021</v>
      </c>
      <c r="H155" s="373" t="s">
        <v>815</v>
      </c>
      <c r="I155" s="365">
        <v>1</v>
      </c>
    </row>
    <row r="156" spans="2:9">
      <c r="B156" s="365">
        <v>137</v>
      </c>
      <c r="C156" s="373" t="s">
        <v>284</v>
      </c>
      <c r="D156" s="365">
        <v>1997</v>
      </c>
      <c r="E156" s="367">
        <v>27362.14</v>
      </c>
      <c r="F156" s="365"/>
      <c r="G156" s="365">
        <v>2021</v>
      </c>
      <c r="H156" s="373" t="s">
        <v>815</v>
      </c>
      <c r="I156" s="365">
        <v>1</v>
      </c>
    </row>
    <row r="157" spans="2:9">
      <c r="B157" s="365">
        <v>138</v>
      </c>
      <c r="C157" s="373" t="s">
        <v>284</v>
      </c>
      <c r="D157" s="365">
        <v>2004</v>
      </c>
      <c r="E157" s="367">
        <v>151657.73000000001</v>
      </c>
      <c r="F157" s="365"/>
      <c r="G157" s="365">
        <v>2021</v>
      </c>
      <c r="H157" s="373" t="s">
        <v>815</v>
      </c>
      <c r="I157" s="365">
        <v>1</v>
      </c>
    </row>
    <row r="158" spans="2:9">
      <c r="B158" s="365">
        <v>139</v>
      </c>
      <c r="C158" s="373" t="s">
        <v>284</v>
      </c>
      <c r="D158" s="365">
        <v>2007</v>
      </c>
      <c r="E158" s="367">
        <v>2827.55</v>
      </c>
      <c r="F158" s="365"/>
      <c r="G158" s="365">
        <v>2021</v>
      </c>
      <c r="H158" s="373" t="s">
        <v>815</v>
      </c>
      <c r="I158" s="365">
        <v>1</v>
      </c>
    </row>
    <row r="159" spans="2:9">
      <c r="B159" s="365">
        <v>140</v>
      </c>
      <c r="C159" s="373" t="s">
        <v>284</v>
      </c>
      <c r="D159" s="365">
        <v>2009</v>
      </c>
      <c r="E159" s="367">
        <v>124313.99</v>
      </c>
      <c r="F159" s="365"/>
      <c r="G159" s="365">
        <v>2021</v>
      </c>
      <c r="H159" s="373" t="s">
        <v>815</v>
      </c>
      <c r="I159" s="365">
        <v>1</v>
      </c>
    </row>
    <row r="160" spans="2:9">
      <c r="B160" s="365">
        <v>141</v>
      </c>
      <c r="C160" s="373" t="s">
        <v>284</v>
      </c>
      <c r="D160" s="365">
        <v>2010</v>
      </c>
      <c r="E160" s="367">
        <v>268395.78855748021</v>
      </c>
      <c r="F160" s="365"/>
      <c r="G160" s="365">
        <v>2021</v>
      </c>
      <c r="H160" s="373" t="s">
        <v>815</v>
      </c>
      <c r="I160" s="365">
        <v>1</v>
      </c>
    </row>
    <row r="161" spans="2:9">
      <c r="B161" s="365">
        <v>142</v>
      </c>
      <c r="C161" s="373" t="s">
        <v>284</v>
      </c>
      <c r="D161" s="365">
        <v>2011</v>
      </c>
      <c r="E161" s="367">
        <v>64375.815051532467</v>
      </c>
      <c r="F161" s="365"/>
      <c r="G161" s="365">
        <v>2021</v>
      </c>
      <c r="H161" s="373" t="s">
        <v>815</v>
      </c>
      <c r="I161" s="365">
        <v>1</v>
      </c>
    </row>
    <row r="162" spans="2:9">
      <c r="B162" s="365">
        <v>143</v>
      </c>
      <c r="C162" s="373" t="s">
        <v>284</v>
      </c>
      <c r="D162" s="365">
        <v>2013</v>
      </c>
      <c r="E162" s="367">
        <v>398931.4021603408</v>
      </c>
      <c r="F162" s="365"/>
      <c r="G162" s="365">
        <v>2021</v>
      </c>
      <c r="H162" s="373" t="s">
        <v>815</v>
      </c>
      <c r="I162" s="365">
        <v>1</v>
      </c>
    </row>
    <row r="163" spans="2:9">
      <c r="B163" s="365">
        <v>144</v>
      </c>
      <c r="C163" s="373" t="s">
        <v>284</v>
      </c>
      <c r="D163" s="365">
        <v>2014</v>
      </c>
      <c r="E163" s="367">
        <v>536.92166709422554</v>
      </c>
      <c r="F163" s="365"/>
      <c r="G163" s="365">
        <v>2021</v>
      </c>
      <c r="H163" s="373" t="s">
        <v>815</v>
      </c>
      <c r="I163" s="365">
        <v>1</v>
      </c>
    </row>
    <row r="164" spans="2:9">
      <c r="B164" s="365">
        <v>145</v>
      </c>
      <c r="C164" s="373" t="s">
        <v>284</v>
      </c>
      <c r="D164" s="365">
        <v>2018</v>
      </c>
      <c r="E164" s="367">
        <v>1020326.7510328252</v>
      </c>
      <c r="F164" s="365"/>
      <c r="G164" s="365">
        <v>2021</v>
      </c>
      <c r="H164" s="373" t="s">
        <v>815</v>
      </c>
      <c r="I164" s="365">
        <v>1</v>
      </c>
    </row>
    <row r="165" spans="2:9">
      <c r="B165" s="365">
        <v>146</v>
      </c>
      <c r="C165" s="373" t="s">
        <v>284</v>
      </c>
      <c r="D165" s="365">
        <v>2019</v>
      </c>
      <c r="E165" s="367">
        <v>11951.372469743606</v>
      </c>
      <c r="F165" s="365"/>
      <c r="G165" s="365">
        <v>2021</v>
      </c>
      <c r="H165" s="373" t="s">
        <v>815</v>
      </c>
      <c r="I165" s="365">
        <v>1</v>
      </c>
    </row>
    <row r="166" spans="2:9">
      <c r="B166" s="365">
        <v>147</v>
      </c>
      <c r="C166" s="373" t="s">
        <v>288</v>
      </c>
      <c r="D166" s="365">
        <v>1965</v>
      </c>
      <c r="E166" s="367">
        <v>37085.920000000006</v>
      </c>
      <c r="F166" s="365"/>
      <c r="G166" s="365">
        <v>2021</v>
      </c>
      <c r="H166" s="373" t="s">
        <v>815</v>
      </c>
      <c r="I166" s="365">
        <v>1</v>
      </c>
    </row>
    <row r="167" spans="2:9">
      <c r="B167" s="365">
        <v>148</v>
      </c>
      <c r="C167" s="373" t="s">
        <v>288</v>
      </c>
      <c r="D167" s="365">
        <v>1966</v>
      </c>
      <c r="E167" s="367">
        <v>191229.55</v>
      </c>
      <c r="F167" s="365"/>
      <c r="G167" s="365">
        <v>2021</v>
      </c>
      <c r="H167" s="373" t="s">
        <v>815</v>
      </c>
      <c r="I167" s="365">
        <v>1</v>
      </c>
    </row>
    <row r="168" spans="2:9">
      <c r="B168" s="365">
        <v>149</v>
      </c>
      <c r="C168" s="373" t="s">
        <v>288</v>
      </c>
      <c r="D168" s="365">
        <v>1967</v>
      </c>
      <c r="E168" s="367">
        <v>221505.32</v>
      </c>
      <c r="F168" s="365"/>
      <c r="G168" s="365">
        <v>2021</v>
      </c>
      <c r="H168" s="373" t="s">
        <v>815</v>
      </c>
      <c r="I168" s="365">
        <v>1</v>
      </c>
    </row>
    <row r="169" spans="2:9">
      <c r="B169" s="365">
        <v>150</v>
      </c>
      <c r="C169" s="373" t="s">
        <v>288</v>
      </c>
      <c r="D169" s="365">
        <v>1968</v>
      </c>
      <c r="E169" s="367">
        <v>138671.18999999997</v>
      </c>
      <c r="F169" s="365"/>
      <c r="G169" s="365">
        <v>2021</v>
      </c>
      <c r="H169" s="373" t="s">
        <v>815</v>
      </c>
      <c r="I169" s="365">
        <v>1</v>
      </c>
    </row>
    <row r="170" spans="2:9">
      <c r="B170" s="365">
        <v>151</v>
      </c>
      <c r="C170" s="373" t="s">
        <v>288</v>
      </c>
      <c r="D170" s="365">
        <v>1969</v>
      </c>
      <c r="E170" s="367">
        <v>252663.02</v>
      </c>
      <c r="F170" s="365"/>
      <c r="G170" s="365">
        <v>2021</v>
      </c>
      <c r="H170" s="373" t="s">
        <v>815</v>
      </c>
      <c r="I170" s="365">
        <v>1</v>
      </c>
    </row>
    <row r="171" spans="2:9">
      <c r="B171" s="365">
        <v>152</v>
      </c>
      <c r="C171" s="373" t="s">
        <v>288</v>
      </c>
      <c r="D171" s="365">
        <v>1970</v>
      </c>
      <c r="E171" s="367">
        <v>111949.98</v>
      </c>
      <c r="F171" s="365"/>
      <c r="G171" s="365">
        <v>2021</v>
      </c>
      <c r="H171" s="373" t="s">
        <v>815</v>
      </c>
      <c r="I171" s="365">
        <v>1</v>
      </c>
    </row>
    <row r="172" spans="2:9">
      <c r="B172" s="365">
        <v>153</v>
      </c>
      <c r="C172" s="373" t="s">
        <v>288</v>
      </c>
      <c r="D172" s="365">
        <v>1971</v>
      </c>
      <c r="E172" s="367">
        <v>158788.27000000002</v>
      </c>
      <c r="F172" s="365"/>
      <c r="G172" s="365">
        <v>2021</v>
      </c>
      <c r="H172" s="373" t="s">
        <v>815</v>
      </c>
      <c r="I172" s="365">
        <v>1</v>
      </c>
    </row>
    <row r="173" spans="2:9">
      <c r="B173" s="365">
        <v>154</v>
      </c>
      <c r="C173" s="373" t="s">
        <v>288</v>
      </c>
      <c r="D173" s="365">
        <v>1972</v>
      </c>
      <c r="E173" s="367">
        <v>241793.13</v>
      </c>
      <c r="F173" s="365"/>
      <c r="G173" s="365">
        <v>2021</v>
      </c>
      <c r="H173" s="373" t="s">
        <v>815</v>
      </c>
      <c r="I173" s="365">
        <v>1</v>
      </c>
    </row>
    <row r="174" spans="2:9">
      <c r="B174" s="365">
        <v>155</v>
      </c>
      <c r="C174" s="373" t="s">
        <v>288</v>
      </c>
      <c r="D174" s="365">
        <v>1973</v>
      </c>
      <c r="E174" s="367">
        <v>16917.16</v>
      </c>
      <c r="F174" s="365"/>
      <c r="G174" s="365">
        <v>2021</v>
      </c>
      <c r="H174" s="373" t="s">
        <v>815</v>
      </c>
      <c r="I174" s="365">
        <v>1</v>
      </c>
    </row>
    <row r="175" spans="2:9">
      <c r="B175" s="365">
        <v>156</v>
      </c>
      <c r="C175" s="373" t="s">
        <v>288</v>
      </c>
      <c r="D175" s="365">
        <v>1974</v>
      </c>
      <c r="E175" s="367">
        <v>19498.32</v>
      </c>
      <c r="F175" s="365"/>
      <c r="G175" s="365">
        <v>2021</v>
      </c>
      <c r="H175" s="373" t="s">
        <v>815</v>
      </c>
      <c r="I175" s="365">
        <v>1</v>
      </c>
    </row>
    <row r="176" spans="2:9">
      <c r="B176" s="365">
        <v>157</v>
      </c>
      <c r="C176" s="373" t="s">
        <v>288</v>
      </c>
      <c r="D176" s="365">
        <v>1975</v>
      </c>
      <c r="E176" s="367">
        <v>136362.09</v>
      </c>
      <c r="F176" s="365"/>
      <c r="G176" s="365">
        <v>2021</v>
      </c>
      <c r="H176" s="373" t="s">
        <v>815</v>
      </c>
      <c r="I176" s="365">
        <v>1</v>
      </c>
    </row>
    <row r="177" spans="2:9">
      <c r="B177" s="365">
        <v>158</v>
      </c>
      <c r="C177" s="373" t="s">
        <v>288</v>
      </c>
      <c r="D177" s="365">
        <v>1976</v>
      </c>
      <c r="E177" s="367">
        <v>95438.5</v>
      </c>
      <c r="F177" s="365"/>
      <c r="G177" s="365">
        <v>2021</v>
      </c>
      <c r="H177" s="373" t="s">
        <v>815</v>
      </c>
      <c r="I177" s="365">
        <v>1</v>
      </c>
    </row>
    <row r="178" spans="2:9">
      <c r="B178" s="365">
        <v>159</v>
      </c>
      <c r="C178" s="373" t="s">
        <v>288</v>
      </c>
      <c r="D178" s="365">
        <v>1977</v>
      </c>
      <c r="E178" s="367">
        <v>60014.03</v>
      </c>
      <c r="F178" s="365"/>
      <c r="G178" s="365">
        <v>2021</v>
      </c>
      <c r="H178" s="373" t="s">
        <v>815</v>
      </c>
      <c r="I178" s="365">
        <v>1</v>
      </c>
    </row>
    <row r="179" spans="2:9">
      <c r="B179" s="365">
        <v>160</v>
      </c>
      <c r="C179" s="373" t="s">
        <v>288</v>
      </c>
      <c r="D179" s="365">
        <v>1978</v>
      </c>
      <c r="E179" s="367">
        <v>16510.61</v>
      </c>
      <c r="F179" s="365"/>
      <c r="G179" s="365">
        <v>2021</v>
      </c>
      <c r="H179" s="373" t="s">
        <v>815</v>
      </c>
      <c r="I179" s="365">
        <v>1</v>
      </c>
    </row>
    <row r="180" spans="2:9">
      <c r="B180" s="365">
        <v>161</v>
      </c>
      <c r="C180" s="373" t="s">
        <v>288</v>
      </c>
      <c r="D180" s="365">
        <v>1979</v>
      </c>
      <c r="E180" s="367">
        <v>38157.51</v>
      </c>
      <c r="F180" s="365"/>
      <c r="G180" s="365">
        <v>2021</v>
      </c>
      <c r="H180" s="373" t="s">
        <v>815</v>
      </c>
      <c r="I180" s="365">
        <v>1</v>
      </c>
    </row>
    <row r="181" spans="2:9">
      <c r="B181" s="365">
        <v>162</v>
      </c>
      <c r="C181" s="373" t="s">
        <v>288</v>
      </c>
      <c r="D181" s="365">
        <v>1986</v>
      </c>
      <c r="E181" s="367">
        <v>109742.65</v>
      </c>
      <c r="F181" s="365"/>
      <c r="G181" s="365">
        <v>2021</v>
      </c>
      <c r="H181" s="373" t="s">
        <v>815</v>
      </c>
      <c r="I181" s="365">
        <v>1</v>
      </c>
    </row>
    <row r="182" spans="2:9">
      <c r="B182" s="365">
        <v>163</v>
      </c>
      <c r="C182" s="373" t="s">
        <v>288</v>
      </c>
      <c r="D182" s="365">
        <v>1989</v>
      </c>
      <c r="E182" s="367">
        <v>13251.86</v>
      </c>
      <c r="F182" s="365"/>
      <c r="G182" s="365">
        <v>2021</v>
      </c>
      <c r="H182" s="373" t="s">
        <v>815</v>
      </c>
      <c r="I182" s="365">
        <v>1</v>
      </c>
    </row>
    <row r="183" spans="2:9">
      <c r="B183" s="365">
        <v>164</v>
      </c>
      <c r="C183" s="373" t="s">
        <v>288</v>
      </c>
      <c r="D183" s="365">
        <v>1991</v>
      </c>
      <c r="E183" s="367">
        <v>8107.24</v>
      </c>
      <c r="F183" s="365"/>
      <c r="G183" s="365">
        <v>2021</v>
      </c>
      <c r="H183" s="373" t="s">
        <v>815</v>
      </c>
      <c r="I183" s="365">
        <v>1</v>
      </c>
    </row>
    <row r="184" spans="2:9">
      <c r="B184" s="365">
        <v>165</v>
      </c>
      <c r="C184" s="373" t="s">
        <v>288</v>
      </c>
      <c r="D184" s="365">
        <v>1992</v>
      </c>
      <c r="E184" s="367">
        <v>876626.98</v>
      </c>
      <c r="F184" s="365"/>
      <c r="G184" s="365">
        <v>2021</v>
      </c>
      <c r="H184" s="373" t="s">
        <v>815</v>
      </c>
      <c r="I184" s="365">
        <v>1</v>
      </c>
    </row>
    <row r="185" spans="2:9">
      <c r="B185" s="365">
        <v>166</v>
      </c>
      <c r="C185" s="373" t="s">
        <v>288</v>
      </c>
      <c r="D185" s="365">
        <v>1993</v>
      </c>
      <c r="E185" s="367">
        <v>6193.19</v>
      </c>
      <c r="F185" s="365"/>
      <c r="G185" s="365">
        <v>2021</v>
      </c>
      <c r="H185" s="373" t="s">
        <v>815</v>
      </c>
      <c r="I185" s="365">
        <v>1</v>
      </c>
    </row>
    <row r="186" spans="2:9">
      <c r="B186" s="365">
        <v>167</v>
      </c>
      <c r="C186" s="373" t="s">
        <v>288</v>
      </c>
      <c r="D186" s="365">
        <v>1995</v>
      </c>
      <c r="E186" s="367">
        <v>8440.31</v>
      </c>
      <c r="F186" s="365"/>
      <c r="G186" s="365">
        <v>2021</v>
      </c>
      <c r="H186" s="373" t="s">
        <v>815</v>
      </c>
      <c r="I186" s="365">
        <v>1</v>
      </c>
    </row>
    <row r="187" spans="2:9">
      <c r="B187" s="365">
        <v>168</v>
      </c>
      <c r="C187" s="373" t="s">
        <v>288</v>
      </c>
      <c r="D187" s="365">
        <v>1996</v>
      </c>
      <c r="E187" s="367">
        <v>6633.93</v>
      </c>
      <c r="F187" s="365"/>
      <c r="G187" s="365">
        <v>2021</v>
      </c>
      <c r="H187" s="373" t="s">
        <v>815</v>
      </c>
      <c r="I187" s="365">
        <v>1</v>
      </c>
    </row>
    <row r="188" spans="2:9">
      <c r="B188" s="365">
        <v>169</v>
      </c>
      <c r="C188" s="373" t="s">
        <v>288</v>
      </c>
      <c r="D188" s="365">
        <v>1998</v>
      </c>
      <c r="E188" s="367">
        <v>10371.369999999999</v>
      </c>
      <c r="F188" s="365"/>
      <c r="G188" s="365">
        <v>2021</v>
      </c>
      <c r="H188" s="373" t="s">
        <v>815</v>
      </c>
      <c r="I188" s="365">
        <v>1</v>
      </c>
    </row>
    <row r="189" spans="2:9">
      <c r="B189" s="365">
        <v>170</v>
      </c>
      <c r="C189" s="373" t="s">
        <v>288</v>
      </c>
      <c r="D189" s="365">
        <v>1999</v>
      </c>
      <c r="E189" s="367">
        <v>4737.3</v>
      </c>
      <c r="F189" s="365"/>
      <c r="G189" s="365">
        <v>2021</v>
      </c>
      <c r="H189" s="373" t="s">
        <v>815</v>
      </c>
      <c r="I189" s="365">
        <v>1</v>
      </c>
    </row>
    <row r="190" spans="2:9">
      <c r="B190" s="365">
        <v>171</v>
      </c>
      <c r="C190" s="373" t="s">
        <v>288</v>
      </c>
      <c r="D190" s="365">
        <v>2002</v>
      </c>
      <c r="E190" s="367">
        <v>49679.41</v>
      </c>
      <c r="F190" s="365"/>
      <c r="G190" s="365">
        <v>2021</v>
      </c>
      <c r="H190" s="373" t="s">
        <v>815</v>
      </c>
      <c r="I190" s="365">
        <v>1</v>
      </c>
    </row>
    <row r="191" spans="2:9">
      <c r="B191" s="365">
        <v>172</v>
      </c>
      <c r="C191" s="373" t="s">
        <v>288</v>
      </c>
      <c r="D191" s="365">
        <v>2003</v>
      </c>
      <c r="E191" s="367">
        <v>42948.94</v>
      </c>
      <c r="F191" s="365"/>
      <c r="G191" s="365">
        <v>2021</v>
      </c>
      <c r="H191" s="373" t="s">
        <v>815</v>
      </c>
      <c r="I191" s="365">
        <v>1</v>
      </c>
    </row>
    <row r="192" spans="2:9">
      <c r="B192" s="365">
        <v>173</v>
      </c>
      <c r="C192" s="373" t="s">
        <v>288</v>
      </c>
      <c r="D192" s="365">
        <v>2005</v>
      </c>
      <c r="E192" s="367">
        <v>108188.81</v>
      </c>
      <c r="F192" s="365"/>
      <c r="G192" s="365">
        <v>2021</v>
      </c>
      <c r="H192" s="373" t="s">
        <v>815</v>
      </c>
      <c r="I192" s="365">
        <v>1</v>
      </c>
    </row>
    <row r="193" spans="2:9">
      <c r="B193" s="365">
        <v>174</v>
      </c>
      <c r="C193" s="373" t="s">
        <v>288</v>
      </c>
      <c r="D193" s="365">
        <v>2007</v>
      </c>
      <c r="E193" s="367">
        <v>209399.48</v>
      </c>
      <c r="F193" s="365"/>
      <c r="G193" s="365">
        <v>2021</v>
      </c>
      <c r="H193" s="373" t="s">
        <v>815</v>
      </c>
      <c r="I193" s="365">
        <v>1</v>
      </c>
    </row>
    <row r="194" spans="2:9">
      <c r="B194" s="365">
        <v>175</v>
      </c>
      <c r="C194" s="373" t="s">
        <v>288</v>
      </c>
      <c r="D194" s="365">
        <v>2011</v>
      </c>
      <c r="E194" s="367">
        <v>326231.77348609408</v>
      </c>
      <c r="F194" s="365"/>
      <c r="G194" s="365">
        <v>2021</v>
      </c>
      <c r="H194" s="373" t="s">
        <v>815</v>
      </c>
      <c r="I194" s="365">
        <v>1</v>
      </c>
    </row>
    <row r="195" spans="2:9">
      <c r="B195" s="365">
        <v>176</v>
      </c>
      <c r="C195" s="373" t="s">
        <v>288</v>
      </c>
      <c r="D195" s="365">
        <v>2012</v>
      </c>
      <c r="E195" s="367">
        <v>304764.16110630898</v>
      </c>
      <c r="F195" s="365"/>
      <c r="G195" s="365">
        <v>2021</v>
      </c>
      <c r="H195" s="373" t="s">
        <v>815</v>
      </c>
      <c r="I195" s="365">
        <v>1</v>
      </c>
    </row>
    <row r="196" spans="2:9">
      <c r="B196" s="365">
        <v>177</v>
      </c>
      <c r="C196" s="373" t="s">
        <v>288</v>
      </c>
      <c r="D196" s="365">
        <v>2013</v>
      </c>
      <c r="E196" s="367">
        <v>38943.678871327982</v>
      </c>
      <c r="F196" s="365"/>
      <c r="G196" s="365">
        <v>2021</v>
      </c>
      <c r="H196" s="373" t="s">
        <v>815</v>
      </c>
      <c r="I196" s="365">
        <v>1</v>
      </c>
    </row>
    <row r="197" spans="2:9">
      <c r="B197" s="365">
        <v>178</v>
      </c>
      <c r="C197" s="373" t="s">
        <v>288</v>
      </c>
      <c r="D197" s="365">
        <v>2018</v>
      </c>
      <c r="E197" s="367">
        <v>24781.746230975445</v>
      </c>
      <c r="F197" s="365"/>
      <c r="G197" s="365">
        <v>2021</v>
      </c>
      <c r="H197" s="373" t="s">
        <v>815</v>
      </c>
      <c r="I197" s="365">
        <v>1</v>
      </c>
    </row>
    <row r="198" spans="2:9">
      <c r="B198" s="365">
        <v>179</v>
      </c>
      <c r="C198" s="373" t="s">
        <v>291</v>
      </c>
      <c r="D198" s="365">
        <v>1956</v>
      </c>
      <c r="E198" s="367">
        <v>10811.2</v>
      </c>
      <c r="F198" s="365">
        <v>3432.605970336283</v>
      </c>
      <c r="G198" s="365">
        <v>2021</v>
      </c>
      <c r="H198" s="373" t="s">
        <v>815</v>
      </c>
      <c r="I198" s="365">
        <v>1</v>
      </c>
    </row>
    <row r="199" spans="2:9">
      <c r="B199" s="365">
        <v>180</v>
      </c>
      <c r="C199" s="373" t="s">
        <v>291</v>
      </c>
      <c r="D199" s="365">
        <v>1968</v>
      </c>
      <c r="E199" s="367">
        <v>73172.06</v>
      </c>
      <c r="F199" s="365">
        <v>23232.46725782565</v>
      </c>
      <c r="G199" s="365">
        <v>2021</v>
      </c>
      <c r="H199" s="373" t="s">
        <v>815</v>
      </c>
      <c r="I199" s="365">
        <v>1</v>
      </c>
    </row>
    <row r="200" spans="2:9">
      <c r="B200" s="365">
        <v>181</v>
      </c>
      <c r="C200" s="373" t="s">
        <v>291</v>
      </c>
      <c r="D200" s="365">
        <v>1979</v>
      </c>
      <c r="E200" s="367">
        <v>1664.95</v>
      </c>
      <c r="F200" s="365"/>
      <c r="G200" s="365">
        <v>2021</v>
      </c>
      <c r="H200" s="373" t="s">
        <v>815</v>
      </c>
      <c r="I200" s="365">
        <v>1</v>
      </c>
    </row>
    <row r="201" spans="2:9">
      <c r="B201" s="365">
        <v>182</v>
      </c>
      <c r="C201" s="373" t="s">
        <v>291</v>
      </c>
      <c r="D201" s="365">
        <v>1986</v>
      </c>
      <c r="E201" s="367">
        <v>216560.83000000002</v>
      </c>
      <c r="F201" s="365">
        <v>560508.72</v>
      </c>
      <c r="G201" s="365">
        <v>2021</v>
      </c>
      <c r="H201" s="373" t="s">
        <v>815</v>
      </c>
      <c r="I201" s="365">
        <v>1</v>
      </c>
    </row>
    <row r="202" spans="2:9">
      <c r="B202" s="365">
        <v>183</v>
      </c>
      <c r="C202" s="373" t="s">
        <v>291</v>
      </c>
      <c r="D202" s="365">
        <v>2012</v>
      </c>
      <c r="E202" s="367">
        <v>492468.36169150769</v>
      </c>
      <c r="F202" s="365">
        <v>649090.35856984626</v>
      </c>
      <c r="G202" s="365">
        <v>2021</v>
      </c>
      <c r="H202" s="373" t="s">
        <v>815</v>
      </c>
      <c r="I202" s="365">
        <v>1</v>
      </c>
    </row>
    <row r="203" spans="2:9">
      <c r="B203" s="365">
        <v>184</v>
      </c>
      <c r="C203" s="373" t="s">
        <v>293</v>
      </c>
      <c r="D203" s="365">
        <v>1998</v>
      </c>
      <c r="E203" s="367">
        <v>95295.21</v>
      </c>
      <c r="F203" s="365"/>
      <c r="G203" s="365">
        <v>2021</v>
      </c>
      <c r="H203" s="373" t="s">
        <v>815</v>
      </c>
      <c r="I203" s="365">
        <v>1</v>
      </c>
    </row>
    <row r="204" spans="2:9">
      <c r="B204" s="365">
        <v>185</v>
      </c>
      <c r="C204" s="373" t="s">
        <v>293</v>
      </c>
      <c r="D204" s="365">
        <v>2007</v>
      </c>
      <c r="E204" s="367">
        <v>13693.71</v>
      </c>
      <c r="F204" s="365"/>
      <c r="G204" s="365">
        <v>2021</v>
      </c>
      <c r="H204" s="373" t="s">
        <v>815</v>
      </c>
      <c r="I204" s="365">
        <v>1</v>
      </c>
    </row>
    <row r="205" spans="2:9">
      <c r="B205" s="365">
        <v>186</v>
      </c>
      <c r="C205" s="373" t="s">
        <v>293</v>
      </c>
      <c r="D205" s="365">
        <v>2016</v>
      </c>
      <c r="E205" s="367">
        <v>32624.757655515543</v>
      </c>
      <c r="F205" s="365"/>
      <c r="G205" s="365">
        <v>2021</v>
      </c>
      <c r="H205" s="373" t="s">
        <v>815</v>
      </c>
      <c r="I205" s="365">
        <v>1</v>
      </c>
    </row>
    <row r="206" spans="2:9">
      <c r="B206" s="365">
        <v>187</v>
      </c>
      <c r="C206" s="373" t="s">
        <v>293</v>
      </c>
      <c r="D206" s="365">
        <v>2018</v>
      </c>
      <c r="E206" s="367">
        <v>538732.54828671971</v>
      </c>
      <c r="F206" s="365">
        <v>167251.98597930631</v>
      </c>
      <c r="G206" s="365">
        <v>2021</v>
      </c>
      <c r="H206" s="373" t="s">
        <v>815</v>
      </c>
      <c r="I206" s="365">
        <v>1</v>
      </c>
    </row>
    <row r="207" spans="2:9">
      <c r="B207" s="365">
        <v>188</v>
      </c>
      <c r="C207" s="373" t="s">
        <v>297</v>
      </c>
      <c r="D207" s="365">
        <v>1980</v>
      </c>
      <c r="E207" s="367">
        <v>15535.76</v>
      </c>
      <c r="F207" s="365"/>
      <c r="G207" s="365">
        <v>2021</v>
      </c>
      <c r="H207" s="373" t="s">
        <v>815</v>
      </c>
      <c r="I207" s="365">
        <v>1</v>
      </c>
    </row>
    <row r="208" spans="2:9">
      <c r="B208" s="365">
        <v>189</v>
      </c>
      <c r="C208" s="373" t="s">
        <v>297</v>
      </c>
      <c r="D208" s="365">
        <v>2005</v>
      </c>
      <c r="E208" s="367">
        <v>95475</v>
      </c>
      <c r="F208" s="365"/>
      <c r="G208" s="365">
        <v>2021</v>
      </c>
      <c r="H208" s="373" t="s">
        <v>815</v>
      </c>
      <c r="I208" s="365">
        <v>1</v>
      </c>
    </row>
    <row r="209" spans="2:9">
      <c r="B209" s="365">
        <v>190</v>
      </c>
      <c r="C209" s="373" t="s">
        <v>297</v>
      </c>
      <c r="D209" s="365">
        <v>2006</v>
      </c>
      <c r="E209" s="367">
        <v>43750.75</v>
      </c>
      <c r="F209" s="365"/>
      <c r="G209" s="365">
        <v>2021</v>
      </c>
      <c r="H209" s="373" t="s">
        <v>815</v>
      </c>
      <c r="I209" s="365">
        <v>1</v>
      </c>
    </row>
    <row r="210" spans="2:9">
      <c r="B210" s="365">
        <v>191</v>
      </c>
      <c r="C210" s="373" t="s">
        <v>297</v>
      </c>
      <c r="D210" s="365">
        <v>2010</v>
      </c>
      <c r="E210" s="367">
        <v>8444.43</v>
      </c>
      <c r="F210" s="365"/>
      <c r="G210" s="365">
        <v>2021</v>
      </c>
      <c r="H210" s="373" t="s">
        <v>815</v>
      </c>
      <c r="I210" s="365">
        <v>1</v>
      </c>
    </row>
    <row r="211" spans="2:9">
      <c r="B211" s="365">
        <v>192</v>
      </c>
      <c r="C211" s="373" t="s">
        <v>299</v>
      </c>
      <c r="D211" s="365">
        <v>2006</v>
      </c>
      <c r="E211" s="367">
        <v>213008.69</v>
      </c>
      <c r="F211" s="365"/>
      <c r="G211" s="365">
        <v>2021</v>
      </c>
      <c r="H211" s="373" t="s">
        <v>815</v>
      </c>
      <c r="I211" s="365">
        <v>1</v>
      </c>
    </row>
    <row r="212" spans="2:9">
      <c r="B212" s="365">
        <v>193</v>
      </c>
      <c r="C212" s="373" t="s">
        <v>301</v>
      </c>
      <c r="D212" s="365">
        <v>1995</v>
      </c>
      <c r="E212" s="367">
        <v>21404.81</v>
      </c>
      <c r="F212" s="365">
        <v>6796.1261099520652</v>
      </c>
      <c r="G212" s="365">
        <v>2021</v>
      </c>
      <c r="H212" s="373" t="s">
        <v>815</v>
      </c>
      <c r="I212" s="365">
        <v>1</v>
      </c>
    </row>
    <row r="213" spans="2:9">
      <c r="B213" s="365">
        <v>194</v>
      </c>
      <c r="C213" s="373" t="s">
        <v>301</v>
      </c>
      <c r="D213" s="365">
        <v>1999</v>
      </c>
      <c r="E213" s="367">
        <v>41263.57</v>
      </c>
      <c r="F213" s="365"/>
      <c r="G213" s="365">
        <v>2021</v>
      </c>
      <c r="H213" s="373" t="s">
        <v>815</v>
      </c>
      <c r="I213" s="365">
        <v>1</v>
      </c>
    </row>
    <row r="214" spans="2:9">
      <c r="B214" s="365">
        <v>195</v>
      </c>
      <c r="C214" s="373" t="s">
        <v>301</v>
      </c>
      <c r="D214" s="365">
        <v>2004</v>
      </c>
      <c r="E214" s="367">
        <v>25586.77</v>
      </c>
      <c r="F214" s="365"/>
      <c r="G214" s="365">
        <v>2021</v>
      </c>
      <c r="H214" s="373" t="s">
        <v>815</v>
      </c>
      <c r="I214" s="365">
        <v>1</v>
      </c>
    </row>
    <row r="215" spans="2:9">
      <c r="B215" s="365">
        <v>196</v>
      </c>
      <c r="C215" s="373" t="s">
        <v>301</v>
      </c>
      <c r="D215" s="365">
        <v>2007</v>
      </c>
      <c r="E215" s="367">
        <v>72524.09</v>
      </c>
      <c r="F215" s="365"/>
      <c r="G215" s="365">
        <v>2021</v>
      </c>
      <c r="H215" s="373" t="s">
        <v>815</v>
      </c>
      <c r="I215" s="365">
        <v>1</v>
      </c>
    </row>
    <row r="216" spans="2:9">
      <c r="B216" s="365">
        <v>197</v>
      </c>
      <c r="C216" s="373" t="s">
        <v>301</v>
      </c>
      <c r="D216" s="365">
        <v>2009</v>
      </c>
      <c r="E216" s="367">
        <v>43757.98</v>
      </c>
      <c r="F216" s="365"/>
      <c r="G216" s="365">
        <v>2021</v>
      </c>
      <c r="H216" s="373" t="s">
        <v>815</v>
      </c>
      <c r="I216" s="365">
        <v>1</v>
      </c>
    </row>
    <row r="217" spans="2:9">
      <c r="B217" s="365">
        <v>198</v>
      </c>
      <c r="C217" s="373" t="s">
        <v>301</v>
      </c>
      <c r="D217" s="365">
        <v>2018</v>
      </c>
      <c r="E217" s="367">
        <v>92063.762018898677</v>
      </c>
      <c r="F217" s="365">
        <v>28518.401683085332</v>
      </c>
      <c r="G217" s="365">
        <v>2021</v>
      </c>
      <c r="H217" s="373" t="s">
        <v>815</v>
      </c>
      <c r="I217" s="365">
        <v>1</v>
      </c>
    </row>
    <row r="218" spans="2:9">
      <c r="B218" s="365">
        <v>199</v>
      </c>
      <c r="C218" s="373" t="s">
        <v>302</v>
      </c>
      <c r="D218" s="365">
        <v>1999</v>
      </c>
      <c r="E218" s="367">
        <v>23628.5</v>
      </c>
      <c r="F218" s="365"/>
      <c r="G218" s="365">
        <v>2021</v>
      </c>
      <c r="H218" s="373" t="s">
        <v>815</v>
      </c>
      <c r="I218" s="365">
        <v>1</v>
      </c>
    </row>
    <row r="219" spans="2:9">
      <c r="B219" s="365">
        <v>200</v>
      </c>
      <c r="C219" s="373" t="s">
        <v>302</v>
      </c>
      <c r="D219" s="365">
        <v>2003</v>
      </c>
      <c r="E219" s="367">
        <v>5549.99</v>
      </c>
      <c r="F219" s="365">
        <v>1762.1474775516747</v>
      </c>
      <c r="G219" s="365">
        <v>2021</v>
      </c>
      <c r="H219" s="373" t="s">
        <v>815</v>
      </c>
      <c r="I219" s="365">
        <v>1</v>
      </c>
    </row>
    <row r="220" spans="2:9">
      <c r="B220" s="365">
        <v>201</v>
      </c>
      <c r="C220" s="373" t="s">
        <v>302</v>
      </c>
      <c r="D220" s="365">
        <v>2004</v>
      </c>
      <c r="E220" s="367">
        <v>7075.25</v>
      </c>
      <c r="F220" s="365">
        <v>2246.424577440227</v>
      </c>
      <c r="G220" s="365">
        <v>2021</v>
      </c>
      <c r="H220" s="373" t="s">
        <v>815</v>
      </c>
      <c r="I220" s="365">
        <v>1</v>
      </c>
    </row>
    <row r="221" spans="2:9">
      <c r="B221" s="365">
        <v>202</v>
      </c>
      <c r="C221" s="373" t="s">
        <v>302</v>
      </c>
      <c r="D221" s="365">
        <v>2011</v>
      </c>
      <c r="E221" s="367">
        <v>32592.1</v>
      </c>
      <c r="F221" s="365">
        <v>2890.2096493742083</v>
      </c>
      <c r="G221" s="365">
        <v>2021</v>
      </c>
      <c r="H221" s="373" t="s">
        <v>815</v>
      </c>
      <c r="I221" s="365">
        <v>1</v>
      </c>
    </row>
    <row r="222" spans="2:9">
      <c r="B222" s="365">
        <v>203</v>
      </c>
      <c r="C222" s="373" t="s">
        <v>302</v>
      </c>
      <c r="D222" s="365">
        <v>2012</v>
      </c>
      <c r="E222" s="367">
        <v>47594.894530059231</v>
      </c>
      <c r="F222" s="365">
        <v>14768.206788922676</v>
      </c>
      <c r="G222" s="365">
        <v>2021</v>
      </c>
      <c r="H222" s="373" t="s">
        <v>815</v>
      </c>
      <c r="I222" s="365">
        <v>1</v>
      </c>
    </row>
    <row r="223" spans="2:9">
      <c r="B223" s="365">
        <v>204</v>
      </c>
      <c r="C223" s="373" t="s">
        <v>302</v>
      </c>
      <c r="D223" s="365">
        <v>2017</v>
      </c>
      <c r="E223" s="367">
        <v>30787.351220734221</v>
      </c>
      <c r="F223" s="365">
        <v>9644.7204285089756</v>
      </c>
      <c r="G223" s="365">
        <v>2021</v>
      </c>
      <c r="H223" s="373" t="s">
        <v>815</v>
      </c>
      <c r="I223" s="365">
        <v>1</v>
      </c>
    </row>
    <row r="224" spans="2:9">
      <c r="B224" s="365">
        <v>205</v>
      </c>
      <c r="C224" s="373" t="s">
        <v>302</v>
      </c>
      <c r="D224" s="365">
        <v>2018</v>
      </c>
      <c r="E224" s="367">
        <v>15158.814286337998</v>
      </c>
      <c r="F224" s="365">
        <v>4645.9117830974619</v>
      </c>
      <c r="G224" s="365">
        <v>2021</v>
      </c>
      <c r="H224" s="373" t="s">
        <v>815</v>
      </c>
      <c r="I224" s="365">
        <v>1</v>
      </c>
    </row>
    <row r="225" spans="2:9">
      <c r="B225" s="365">
        <v>206</v>
      </c>
      <c r="C225" s="373" t="s">
        <v>303</v>
      </c>
      <c r="D225" s="365">
        <v>2011</v>
      </c>
      <c r="E225" s="367">
        <v>327059.9632444483</v>
      </c>
      <c r="F225" s="365"/>
      <c r="G225" s="365">
        <v>2021</v>
      </c>
      <c r="H225" s="373" t="s">
        <v>815</v>
      </c>
      <c r="I225" s="365">
        <v>1</v>
      </c>
    </row>
    <row r="226" spans="2:9">
      <c r="B226" s="365">
        <v>207</v>
      </c>
      <c r="C226" s="373" t="s">
        <v>303</v>
      </c>
      <c r="D226" s="365">
        <v>2011</v>
      </c>
      <c r="E226" s="367">
        <v>204205.26050762061</v>
      </c>
      <c r="F226" s="365"/>
      <c r="G226" s="365">
        <v>2021</v>
      </c>
      <c r="H226" s="373" t="s">
        <v>815</v>
      </c>
      <c r="I226" s="365">
        <v>1</v>
      </c>
    </row>
    <row r="227" spans="2:9">
      <c r="B227" s="365">
        <v>208</v>
      </c>
      <c r="C227" s="373" t="s">
        <v>317</v>
      </c>
      <c r="D227" s="365">
        <v>1970</v>
      </c>
      <c r="E227" s="367">
        <v>200671.11000000002</v>
      </c>
      <c r="F227" s="365"/>
      <c r="G227" s="365">
        <v>2021</v>
      </c>
      <c r="H227" s="373" t="s">
        <v>815</v>
      </c>
      <c r="I227" s="365">
        <v>1</v>
      </c>
    </row>
    <row r="228" spans="2:9">
      <c r="B228" s="365">
        <v>209</v>
      </c>
      <c r="C228" s="373" t="s">
        <v>317</v>
      </c>
      <c r="D228" s="365">
        <v>1971</v>
      </c>
      <c r="E228" s="367">
        <v>31459.45</v>
      </c>
      <c r="F228" s="365"/>
      <c r="G228" s="365">
        <v>2021</v>
      </c>
      <c r="H228" s="373" t="s">
        <v>815</v>
      </c>
      <c r="I228" s="365">
        <v>1</v>
      </c>
    </row>
    <row r="229" spans="2:9">
      <c r="B229" s="365">
        <v>210</v>
      </c>
      <c r="C229" s="373" t="s">
        <v>317</v>
      </c>
      <c r="D229" s="365">
        <v>1974</v>
      </c>
      <c r="E229" s="367">
        <v>37307.01</v>
      </c>
      <c r="F229" s="365"/>
      <c r="G229" s="365">
        <v>2021</v>
      </c>
      <c r="H229" s="373" t="s">
        <v>815</v>
      </c>
      <c r="I229" s="365">
        <v>1</v>
      </c>
    </row>
    <row r="230" spans="2:9">
      <c r="B230" s="365">
        <v>211</v>
      </c>
      <c r="C230" s="373" t="s">
        <v>317</v>
      </c>
      <c r="D230" s="365">
        <v>1977</v>
      </c>
      <c r="E230" s="367">
        <v>56993.78</v>
      </c>
      <c r="F230" s="365"/>
      <c r="G230" s="365">
        <v>2021</v>
      </c>
      <c r="H230" s="373" t="s">
        <v>815</v>
      </c>
      <c r="I230" s="365">
        <v>1</v>
      </c>
    </row>
    <row r="231" spans="2:9">
      <c r="B231" s="365">
        <v>212</v>
      </c>
      <c r="C231" s="373" t="s">
        <v>317</v>
      </c>
      <c r="D231" s="365">
        <v>1987</v>
      </c>
      <c r="E231" s="367">
        <v>30140.38</v>
      </c>
      <c r="F231" s="365"/>
      <c r="G231" s="365">
        <v>2021</v>
      </c>
      <c r="H231" s="373" t="s">
        <v>815</v>
      </c>
      <c r="I231" s="365">
        <v>1</v>
      </c>
    </row>
    <row r="232" spans="2:9">
      <c r="B232" s="365">
        <v>213</v>
      </c>
      <c r="C232" s="373" t="s">
        <v>317</v>
      </c>
      <c r="D232" s="365">
        <v>2006</v>
      </c>
      <c r="E232" s="367">
        <v>220824.52000000002</v>
      </c>
      <c r="F232" s="365"/>
      <c r="G232" s="365">
        <v>2021</v>
      </c>
      <c r="H232" s="373" t="s">
        <v>815</v>
      </c>
      <c r="I232" s="365">
        <v>1</v>
      </c>
    </row>
    <row r="233" spans="2:9">
      <c r="B233" s="365">
        <v>214</v>
      </c>
      <c r="C233" s="373" t="s">
        <v>317</v>
      </c>
      <c r="D233" s="365">
        <v>2007</v>
      </c>
      <c r="E233" s="367">
        <v>118615.11181912628</v>
      </c>
      <c r="F233" s="365"/>
      <c r="G233" s="365">
        <v>2021</v>
      </c>
      <c r="H233" s="373" t="s">
        <v>815</v>
      </c>
      <c r="I233" s="365">
        <v>1</v>
      </c>
    </row>
    <row r="234" spans="2:9">
      <c r="B234" s="365">
        <v>215</v>
      </c>
      <c r="C234" s="373" t="s">
        <v>317</v>
      </c>
      <c r="D234" s="365">
        <v>2009</v>
      </c>
      <c r="E234" s="367">
        <v>36749.480000000003</v>
      </c>
      <c r="F234" s="365"/>
      <c r="G234" s="365">
        <v>2021</v>
      </c>
      <c r="H234" s="373" t="s">
        <v>815</v>
      </c>
      <c r="I234" s="365">
        <v>1</v>
      </c>
    </row>
    <row r="235" spans="2:9">
      <c r="B235" s="365">
        <v>216</v>
      </c>
      <c r="C235" s="373" t="s">
        <v>317</v>
      </c>
      <c r="D235" s="365">
        <v>2010</v>
      </c>
      <c r="E235" s="367">
        <v>16852.444769673708</v>
      </c>
      <c r="F235" s="365"/>
      <c r="G235" s="365">
        <v>2021</v>
      </c>
      <c r="H235" s="373" t="s">
        <v>815</v>
      </c>
      <c r="I235" s="365">
        <v>1</v>
      </c>
    </row>
    <row r="236" spans="2:9">
      <c r="B236" s="365">
        <v>217</v>
      </c>
      <c r="C236" s="373" t="s">
        <v>317</v>
      </c>
      <c r="D236" s="365">
        <v>2011</v>
      </c>
      <c r="E236" s="367">
        <v>161240.22989045532</v>
      </c>
      <c r="F236" s="365"/>
      <c r="G236" s="365">
        <v>2021</v>
      </c>
      <c r="H236" s="373" t="s">
        <v>815</v>
      </c>
      <c r="I236" s="365">
        <v>1</v>
      </c>
    </row>
    <row r="237" spans="2:9">
      <c r="B237" s="365">
        <v>218</v>
      </c>
      <c r="C237" s="373" t="s">
        <v>320</v>
      </c>
      <c r="D237" s="365">
        <v>1977</v>
      </c>
      <c r="E237" s="367">
        <v>35828970.149999999</v>
      </c>
      <c r="F237" s="365"/>
      <c r="G237" s="365">
        <v>2021</v>
      </c>
      <c r="H237" s="373" t="s">
        <v>815</v>
      </c>
      <c r="I237" s="365">
        <v>1</v>
      </c>
    </row>
    <row r="238" spans="2:9">
      <c r="B238" s="365">
        <v>219</v>
      </c>
      <c r="C238" s="373" t="s">
        <v>320</v>
      </c>
      <c r="D238" s="365">
        <v>1998</v>
      </c>
      <c r="E238" s="367">
        <v>75833.259999999995</v>
      </c>
      <c r="F238" s="365"/>
      <c r="G238" s="365">
        <v>2021</v>
      </c>
      <c r="H238" s="373" t="s">
        <v>815</v>
      </c>
      <c r="I238" s="365">
        <v>1</v>
      </c>
    </row>
    <row r="239" spans="2:9">
      <c r="B239" s="365">
        <v>220</v>
      </c>
      <c r="C239" s="373" t="s">
        <v>320</v>
      </c>
      <c r="D239" s="365">
        <v>2004</v>
      </c>
      <c r="E239" s="367">
        <v>698617.72</v>
      </c>
      <c r="F239" s="365"/>
      <c r="G239" s="365">
        <v>2021</v>
      </c>
      <c r="H239" s="373" t="s">
        <v>815</v>
      </c>
      <c r="I239" s="365">
        <v>1</v>
      </c>
    </row>
    <row r="240" spans="2:9">
      <c r="B240" s="365">
        <v>221</v>
      </c>
      <c r="C240" s="373" t="s">
        <v>320</v>
      </c>
      <c r="D240" s="365">
        <v>2006</v>
      </c>
      <c r="E240" s="367">
        <v>134414.63</v>
      </c>
      <c r="F240" s="365"/>
      <c r="G240" s="365">
        <v>2021</v>
      </c>
      <c r="H240" s="373" t="s">
        <v>815</v>
      </c>
      <c r="I240" s="365">
        <v>1</v>
      </c>
    </row>
    <row r="241" spans="2:9">
      <c r="B241" s="365">
        <v>222</v>
      </c>
      <c r="C241" s="373" t="s">
        <v>320</v>
      </c>
      <c r="D241" s="365">
        <v>2007</v>
      </c>
      <c r="E241" s="367">
        <v>295840.56</v>
      </c>
      <c r="F241" s="365"/>
      <c r="G241" s="365">
        <v>2021</v>
      </c>
      <c r="H241" s="373" t="s">
        <v>815</v>
      </c>
      <c r="I241" s="365">
        <v>1</v>
      </c>
    </row>
    <row r="242" spans="2:9">
      <c r="B242" s="365">
        <v>223</v>
      </c>
      <c r="C242" s="373" t="s">
        <v>320</v>
      </c>
      <c r="D242" s="365">
        <v>2008</v>
      </c>
      <c r="E242" s="367">
        <v>422693.60000000003</v>
      </c>
      <c r="F242" s="365"/>
      <c r="G242" s="365">
        <v>2021</v>
      </c>
      <c r="H242" s="373" t="s">
        <v>815</v>
      </c>
      <c r="I242" s="365">
        <v>1</v>
      </c>
    </row>
    <row r="243" spans="2:9">
      <c r="B243" s="365">
        <v>224</v>
      </c>
      <c r="C243" s="373" t="s">
        <v>320</v>
      </c>
      <c r="D243" s="365">
        <v>2009</v>
      </c>
      <c r="E243" s="367">
        <v>7501964.5199999996</v>
      </c>
      <c r="F243" s="365"/>
      <c r="G243" s="365">
        <v>2021</v>
      </c>
      <c r="H243" s="373" t="s">
        <v>815</v>
      </c>
      <c r="I243" s="365">
        <v>1</v>
      </c>
    </row>
    <row r="244" spans="2:9">
      <c r="B244" s="365">
        <v>225</v>
      </c>
      <c r="C244" s="373" t="s">
        <v>320</v>
      </c>
      <c r="D244" s="365">
        <v>2010</v>
      </c>
      <c r="E244" s="367">
        <v>1044433.3749015761</v>
      </c>
      <c r="F244" s="365"/>
      <c r="G244" s="365">
        <v>2021</v>
      </c>
      <c r="H244" s="373" t="s">
        <v>815</v>
      </c>
      <c r="I244" s="365">
        <v>1</v>
      </c>
    </row>
    <row r="245" spans="2:9">
      <c r="B245" s="365">
        <v>226</v>
      </c>
      <c r="C245" s="373" t="s">
        <v>320</v>
      </c>
      <c r="D245" s="365">
        <v>2011</v>
      </c>
      <c r="E245" s="367">
        <v>55479.276483167145</v>
      </c>
      <c r="F245" s="365"/>
      <c r="G245" s="365">
        <v>2021</v>
      </c>
      <c r="H245" s="373" t="s">
        <v>815</v>
      </c>
      <c r="I245" s="365">
        <v>1</v>
      </c>
    </row>
    <row r="246" spans="2:9">
      <c r="B246" s="365">
        <v>227</v>
      </c>
      <c r="C246" s="373" t="s">
        <v>320</v>
      </c>
      <c r="D246" s="365">
        <v>2012</v>
      </c>
      <c r="E246" s="367">
        <v>3622072.4393920866</v>
      </c>
      <c r="F246" s="365"/>
      <c r="G246" s="365">
        <v>2021</v>
      </c>
      <c r="H246" s="373" t="s">
        <v>815</v>
      </c>
      <c r="I246" s="365">
        <v>1</v>
      </c>
    </row>
    <row r="247" spans="2:9">
      <c r="B247" s="365">
        <v>228</v>
      </c>
      <c r="C247" s="373" t="s">
        <v>320</v>
      </c>
      <c r="D247" s="365">
        <v>2013</v>
      </c>
      <c r="E247" s="367">
        <v>3696661.0956130447</v>
      </c>
      <c r="F247" s="365"/>
      <c r="G247" s="365">
        <v>2021</v>
      </c>
      <c r="H247" s="373" t="s">
        <v>815</v>
      </c>
      <c r="I247" s="365">
        <v>1</v>
      </c>
    </row>
    <row r="248" spans="2:9">
      <c r="B248" s="365">
        <v>229</v>
      </c>
      <c r="C248" s="373" t="s">
        <v>320</v>
      </c>
      <c r="D248" s="365">
        <v>2014</v>
      </c>
      <c r="E248" s="367">
        <v>-211261.47377242689</v>
      </c>
      <c r="F248" s="365"/>
      <c r="G248" s="365">
        <v>2021</v>
      </c>
      <c r="H248" s="373" t="s">
        <v>815</v>
      </c>
      <c r="I248" s="365">
        <v>1</v>
      </c>
    </row>
    <row r="249" spans="2:9">
      <c r="B249" s="365">
        <v>230</v>
      </c>
      <c r="C249" s="373" t="s">
        <v>320</v>
      </c>
      <c r="D249" s="365">
        <v>2015</v>
      </c>
      <c r="E249" s="367">
        <v>1410348.6255901323</v>
      </c>
      <c r="F249" s="365"/>
      <c r="G249" s="365">
        <v>2021</v>
      </c>
      <c r="H249" s="373" t="s">
        <v>815</v>
      </c>
      <c r="I249" s="365">
        <v>1</v>
      </c>
    </row>
    <row r="250" spans="2:9">
      <c r="B250" s="365">
        <v>231</v>
      </c>
      <c r="C250" s="373" t="s">
        <v>320</v>
      </c>
      <c r="D250" s="365">
        <v>2016</v>
      </c>
      <c r="E250" s="367">
        <v>1210083.3299999998</v>
      </c>
      <c r="F250" s="365"/>
      <c r="G250" s="365">
        <v>2021</v>
      </c>
      <c r="H250" s="373" t="s">
        <v>815</v>
      </c>
      <c r="I250" s="365">
        <v>1</v>
      </c>
    </row>
    <row r="251" spans="2:9">
      <c r="B251" s="365">
        <v>232</v>
      </c>
      <c r="C251" s="373" t="s">
        <v>320</v>
      </c>
      <c r="D251" s="365">
        <v>2016</v>
      </c>
      <c r="E251" s="367">
        <v>4463010.1800000006</v>
      </c>
      <c r="F251" s="365"/>
      <c r="G251" s="365">
        <v>2021</v>
      </c>
      <c r="H251" s="373" t="s">
        <v>815</v>
      </c>
      <c r="I251" s="365">
        <v>1</v>
      </c>
    </row>
    <row r="252" spans="2:9">
      <c r="B252" s="365">
        <v>233</v>
      </c>
      <c r="C252" s="373" t="s">
        <v>321</v>
      </c>
      <c r="D252" s="365">
        <v>1993</v>
      </c>
      <c r="E252" s="367">
        <v>7214.43</v>
      </c>
      <c r="F252" s="365"/>
      <c r="G252" s="365">
        <v>2021</v>
      </c>
      <c r="H252" s="373" t="s">
        <v>815</v>
      </c>
      <c r="I252" s="365">
        <v>1</v>
      </c>
    </row>
    <row r="253" spans="2:9">
      <c r="B253" s="365">
        <v>234</v>
      </c>
      <c r="C253" s="373" t="s">
        <v>321</v>
      </c>
      <c r="D253" s="365">
        <v>2006</v>
      </c>
      <c r="E253" s="367">
        <v>90670.522605892213</v>
      </c>
      <c r="F253" s="365"/>
      <c r="G253" s="365">
        <v>2021</v>
      </c>
      <c r="H253" s="373" t="s">
        <v>815</v>
      </c>
      <c r="I253" s="365">
        <v>1</v>
      </c>
    </row>
    <row r="254" spans="2:9">
      <c r="B254" s="365">
        <v>235</v>
      </c>
      <c r="C254" s="373" t="s">
        <v>321</v>
      </c>
      <c r="D254" s="365">
        <v>2007</v>
      </c>
      <c r="E254" s="367">
        <v>15457.31</v>
      </c>
      <c r="F254" s="365"/>
      <c r="G254" s="365">
        <v>2021</v>
      </c>
      <c r="H254" s="373" t="s">
        <v>815</v>
      </c>
      <c r="I254" s="365">
        <v>1</v>
      </c>
    </row>
    <row r="255" spans="2:9">
      <c r="B255" s="365">
        <v>236</v>
      </c>
      <c r="C255" s="373" t="s">
        <v>321</v>
      </c>
      <c r="D255" s="365">
        <v>2011</v>
      </c>
      <c r="E255" s="367">
        <v>17709.499967104181</v>
      </c>
      <c r="F255" s="365"/>
      <c r="G255" s="365">
        <v>2021</v>
      </c>
      <c r="H255" s="373" t="s">
        <v>815</v>
      </c>
      <c r="I255" s="365">
        <v>1</v>
      </c>
    </row>
    <row r="256" spans="2:9">
      <c r="B256" s="365">
        <v>237</v>
      </c>
      <c r="C256" s="373" t="s">
        <v>324</v>
      </c>
      <c r="D256" s="365">
        <v>1998</v>
      </c>
      <c r="E256" s="367">
        <v>1145228.3699999999</v>
      </c>
      <c r="F256" s="365">
        <v>83006.322393766895</v>
      </c>
      <c r="G256" s="365">
        <v>2021</v>
      </c>
      <c r="H256" s="373" t="s">
        <v>815</v>
      </c>
      <c r="I256" s="365">
        <v>1</v>
      </c>
    </row>
    <row r="257" spans="2:9">
      <c r="B257" s="365">
        <v>238</v>
      </c>
      <c r="C257" s="373" t="s">
        <v>324</v>
      </c>
      <c r="D257" s="365">
        <v>2002</v>
      </c>
      <c r="E257" s="367">
        <v>207275.81</v>
      </c>
      <c r="F257" s="365">
        <v>65811.027722388724</v>
      </c>
      <c r="G257" s="365">
        <v>2021</v>
      </c>
      <c r="H257" s="373" t="s">
        <v>815</v>
      </c>
      <c r="I257" s="365">
        <v>1</v>
      </c>
    </row>
    <row r="258" spans="2:9">
      <c r="B258" s="365">
        <v>239</v>
      </c>
      <c r="C258" s="373" t="s">
        <v>324</v>
      </c>
      <c r="D258" s="365">
        <v>2004</v>
      </c>
      <c r="E258" s="367">
        <v>114452.9</v>
      </c>
      <c r="F258" s="365">
        <v>36339.324761571472</v>
      </c>
      <c r="G258" s="365">
        <v>2021</v>
      </c>
      <c r="H258" s="373" t="s">
        <v>815</v>
      </c>
      <c r="I258" s="365">
        <v>1</v>
      </c>
    </row>
    <row r="259" spans="2:9">
      <c r="B259" s="365">
        <v>240</v>
      </c>
      <c r="C259" s="373" t="s">
        <v>324</v>
      </c>
      <c r="D259" s="365">
        <v>2005</v>
      </c>
      <c r="E259" s="367">
        <v>188996.13</v>
      </c>
      <c r="F259" s="365">
        <v>60007.144832067876</v>
      </c>
      <c r="G259" s="365">
        <v>2021</v>
      </c>
      <c r="H259" s="373" t="s">
        <v>815</v>
      </c>
      <c r="I259" s="365">
        <v>1</v>
      </c>
    </row>
    <row r="260" spans="2:9">
      <c r="B260" s="365">
        <v>241</v>
      </c>
      <c r="C260" s="373" t="s">
        <v>324</v>
      </c>
      <c r="D260" s="365">
        <v>2008</v>
      </c>
      <c r="E260" s="367">
        <v>84567.28</v>
      </c>
      <c r="F260" s="365">
        <v>9973.4837644979889</v>
      </c>
      <c r="G260" s="365">
        <v>2021</v>
      </c>
      <c r="H260" s="373" t="s">
        <v>815</v>
      </c>
      <c r="I260" s="365">
        <v>1</v>
      </c>
    </row>
    <row r="261" spans="2:9">
      <c r="B261" s="365">
        <v>242</v>
      </c>
      <c r="C261" s="373" t="s">
        <v>324</v>
      </c>
      <c r="D261" s="365">
        <v>2009</v>
      </c>
      <c r="E261" s="367">
        <v>163009.45000000001</v>
      </c>
      <c r="F261" s="365">
        <v>39430.787890703461</v>
      </c>
      <c r="G261" s="365">
        <v>2021</v>
      </c>
      <c r="H261" s="373" t="s">
        <v>815</v>
      </c>
      <c r="I261" s="365">
        <v>1</v>
      </c>
    </row>
    <row r="262" spans="2:9">
      <c r="B262" s="365">
        <v>243</v>
      </c>
      <c r="C262" s="373" t="s">
        <v>324</v>
      </c>
      <c r="D262" s="365">
        <v>2010</v>
      </c>
      <c r="E262" s="367">
        <v>137160.34344793225</v>
      </c>
      <c r="F262" s="365"/>
      <c r="G262" s="365">
        <v>2021</v>
      </c>
      <c r="H262" s="373" t="s">
        <v>815</v>
      </c>
      <c r="I262" s="365">
        <v>1</v>
      </c>
    </row>
    <row r="263" spans="2:9">
      <c r="B263" s="365">
        <v>244</v>
      </c>
      <c r="C263" s="373" t="s">
        <v>324</v>
      </c>
      <c r="D263" s="365">
        <v>2011</v>
      </c>
      <c r="E263" s="367">
        <v>28002.195226489926</v>
      </c>
      <c r="F263" s="365">
        <v>957.54631452925457</v>
      </c>
      <c r="G263" s="365">
        <v>2021</v>
      </c>
      <c r="H263" s="373" t="s">
        <v>815</v>
      </c>
      <c r="I263" s="365">
        <v>1</v>
      </c>
    </row>
    <row r="264" spans="2:9">
      <c r="B264" s="365">
        <v>245</v>
      </c>
      <c r="C264" s="373" t="s">
        <v>324</v>
      </c>
      <c r="D264" s="365">
        <v>2012</v>
      </c>
      <c r="E264" s="367">
        <v>418308.90169201128</v>
      </c>
      <c r="F264" s="365">
        <v>85794.147042817931</v>
      </c>
      <c r="G264" s="365">
        <v>2021</v>
      </c>
      <c r="H264" s="373" t="s">
        <v>815</v>
      </c>
      <c r="I264" s="365">
        <v>1</v>
      </c>
    </row>
    <row r="265" spans="2:9">
      <c r="B265" s="365">
        <v>246</v>
      </c>
      <c r="C265" s="373" t="s">
        <v>324</v>
      </c>
      <c r="D265" s="365">
        <v>2012</v>
      </c>
      <c r="E265" s="367">
        <v>34493.89</v>
      </c>
      <c r="F265" s="365"/>
      <c r="G265" s="365">
        <v>2021</v>
      </c>
      <c r="H265" s="373" t="s">
        <v>815</v>
      </c>
      <c r="I265" s="365">
        <v>1</v>
      </c>
    </row>
    <row r="266" spans="2:9">
      <c r="B266" s="365">
        <v>247</v>
      </c>
      <c r="C266" s="373" t="s">
        <v>324</v>
      </c>
      <c r="D266" s="365">
        <v>2014</v>
      </c>
      <c r="E266" s="367">
        <v>119209.70383364368</v>
      </c>
      <c r="F266" s="365">
        <v>36450.838734941819</v>
      </c>
      <c r="G266" s="365">
        <v>2021</v>
      </c>
      <c r="H266" s="373" t="s">
        <v>815</v>
      </c>
      <c r="I266" s="365">
        <v>1</v>
      </c>
    </row>
    <row r="267" spans="2:9">
      <c r="B267" s="365">
        <v>248</v>
      </c>
      <c r="C267" s="373" t="s">
        <v>324</v>
      </c>
      <c r="D267" s="365">
        <v>2015</v>
      </c>
      <c r="E267" s="367">
        <v>86744.489646918475</v>
      </c>
      <c r="F267" s="365">
        <v>26901.214115794937</v>
      </c>
      <c r="G267" s="365">
        <v>2021</v>
      </c>
      <c r="H267" s="373" t="s">
        <v>815</v>
      </c>
      <c r="I267" s="365">
        <v>1</v>
      </c>
    </row>
    <row r="268" spans="2:9">
      <c r="B268" s="365">
        <v>249</v>
      </c>
      <c r="C268" s="373" t="s">
        <v>324</v>
      </c>
      <c r="D268" s="365">
        <v>2016</v>
      </c>
      <c r="E268" s="367">
        <v>872938.23153047287</v>
      </c>
      <c r="F268" s="365">
        <v>100866.50984435556</v>
      </c>
      <c r="G268" s="365">
        <v>2021</v>
      </c>
      <c r="H268" s="373" t="s">
        <v>815</v>
      </c>
      <c r="I268" s="365">
        <v>1</v>
      </c>
    </row>
    <row r="269" spans="2:9">
      <c r="B269" s="365">
        <v>250</v>
      </c>
      <c r="C269" s="373" t="s">
        <v>324</v>
      </c>
      <c r="D269" s="365">
        <v>2018</v>
      </c>
      <c r="E269" s="367">
        <v>318444.09968867822</v>
      </c>
      <c r="F269" s="365">
        <v>83174.482366764263</v>
      </c>
      <c r="G269" s="365">
        <v>2021</v>
      </c>
      <c r="H269" s="373" t="s">
        <v>815</v>
      </c>
      <c r="I269" s="365">
        <v>1</v>
      </c>
    </row>
    <row r="270" spans="2:9">
      <c r="B270" s="365">
        <v>251</v>
      </c>
      <c r="C270" s="373" t="s">
        <v>324</v>
      </c>
      <c r="D270" s="365">
        <v>2019</v>
      </c>
      <c r="E270" s="367">
        <v>470203.71904289688</v>
      </c>
      <c r="F270" s="365">
        <v>152911.40394055273</v>
      </c>
      <c r="G270" s="365">
        <v>2021</v>
      </c>
      <c r="H270" s="373" t="s">
        <v>815</v>
      </c>
      <c r="I270" s="365">
        <v>1</v>
      </c>
    </row>
    <row r="271" spans="2:9">
      <c r="B271" s="365">
        <v>252</v>
      </c>
      <c r="C271" s="373" t="s">
        <v>325</v>
      </c>
      <c r="D271" s="365">
        <v>1964</v>
      </c>
      <c r="E271" s="367">
        <v>1904</v>
      </c>
      <c r="F271" s="365"/>
      <c r="G271" s="365">
        <v>2021</v>
      </c>
      <c r="H271" s="373" t="s">
        <v>815</v>
      </c>
      <c r="I271" s="365">
        <v>1</v>
      </c>
    </row>
    <row r="272" spans="2:9">
      <c r="B272" s="365">
        <v>253</v>
      </c>
      <c r="C272" s="373" t="s">
        <v>325</v>
      </c>
      <c r="D272" s="365">
        <v>1966</v>
      </c>
      <c r="E272" s="367">
        <v>360</v>
      </c>
      <c r="F272" s="365"/>
      <c r="G272" s="365">
        <v>2021</v>
      </c>
      <c r="H272" s="373" t="s">
        <v>815</v>
      </c>
      <c r="I272" s="365">
        <v>1</v>
      </c>
    </row>
    <row r="273" spans="2:9">
      <c r="B273" s="365">
        <v>254</v>
      </c>
      <c r="C273" s="373" t="s">
        <v>325</v>
      </c>
      <c r="D273" s="365">
        <v>1967</v>
      </c>
      <c r="E273" s="367">
        <v>168</v>
      </c>
      <c r="F273" s="365"/>
      <c r="G273" s="365">
        <v>2021</v>
      </c>
      <c r="H273" s="373" t="s">
        <v>815</v>
      </c>
      <c r="I273" s="365">
        <v>1</v>
      </c>
    </row>
    <row r="274" spans="2:9">
      <c r="B274" s="365">
        <v>255</v>
      </c>
      <c r="C274" s="373" t="s">
        <v>325</v>
      </c>
      <c r="D274" s="365">
        <v>1968</v>
      </c>
      <c r="E274" s="367">
        <v>10784</v>
      </c>
      <c r="F274" s="365"/>
      <c r="G274" s="365">
        <v>2021</v>
      </c>
      <c r="H274" s="373" t="s">
        <v>815</v>
      </c>
      <c r="I274" s="365">
        <v>1</v>
      </c>
    </row>
    <row r="275" spans="2:9">
      <c r="B275" s="365">
        <v>256</v>
      </c>
      <c r="C275" s="373" t="s">
        <v>325</v>
      </c>
      <c r="D275" s="365">
        <v>1969</v>
      </c>
      <c r="E275" s="367">
        <v>528</v>
      </c>
      <c r="F275" s="365"/>
      <c r="G275" s="365">
        <v>2021</v>
      </c>
      <c r="H275" s="373" t="s">
        <v>815</v>
      </c>
      <c r="I275" s="365">
        <v>1</v>
      </c>
    </row>
    <row r="276" spans="2:9">
      <c r="B276" s="365">
        <v>257</v>
      </c>
      <c r="C276" s="373" t="s">
        <v>325</v>
      </c>
      <c r="D276" s="365">
        <v>1970</v>
      </c>
      <c r="E276" s="367">
        <v>126766.11</v>
      </c>
      <c r="F276" s="365"/>
      <c r="G276" s="365">
        <v>2021</v>
      </c>
      <c r="H276" s="373" t="s">
        <v>815</v>
      </c>
      <c r="I276" s="365">
        <v>1</v>
      </c>
    </row>
    <row r="277" spans="2:9">
      <c r="B277" s="365">
        <v>258</v>
      </c>
      <c r="C277" s="373" t="s">
        <v>325</v>
      </c>
      <c r="D277" s="365">
        <v>1971</v>
      </c>
      <c r="E277" s="367">
        <v>13448</v>
      </c>
      <c r="F277" s="365"/>
      <c r="G277" s="365">
        <v>2021</v>
      </c>
      <c r="H277" s="373" t="s">
        <v>815</v>
      </c>
      <c r="I277" s="365">
        <v>1</v>
      </c>
    </row>
    <row r="278" spans="2:9">
      <c r="B278" s="365">
        <v>259</v>
      </c>
      <c r="C278" s="373" t="s">
        <v>325</v>
      </c>
      <c r="D278" s="365">
        <v>1972</v>
      </c>
      <c r="E278" s="367">
        <v>3048</v>
      </c>
      <c r="F278" s="365"/>
      <c r="G278" s="365">
        <v>2021</v>
      </c>
      <c r="H278" s="373" t="s">
        <v>815</v>
      </c>
      <c r="I278" s="365">
        <v>1</v>
      </c>
    </row>
    <row r="279" spans="2:9">
      <c r="B279" s="365">
        <v>260</v>
      </c>
      <c r="C279" s="373" t="s">
        <v>325</v>
      </c>
      <c r="D279" s="365">
        <v>1973</v>
      </c>
      <c r="E279" s="367">
        <v>216</v>
      </c>
      <c r="F279" s="365"/>
      <c r="G279" s="365">
        <v>2021</v>
      </c>
      <c r="H279" s="373" t="s">
        <v>815</v>
      </c>
      <c r="I279" s="365">
        <v>1</v>
      </c>
    </row>
    <row r="280" spans="2:9">
      <c r="B280" s="365">
        <v>261</v>
      </c>
      <c r="C280" s="373" t="s">
        <v>325</v>
      </c>
      <c r="D280" s="365">
        <v>1974</v>
      </c>
      <c r="E280" s="367">
        <v>3688</v>
      </c>
      <c r="F280" s="365"/>
      <c r="G280" s="365">
        <v>2021</v>
      </c>
      <c r="H280" s="373" t="s">
        <v>815</v>
      </c>
      <c r="I280" s="365">
        <v>1</v>
      </c>
    </row>
    <row r="281" spans="2:9">
      <c r="B281" s="365">
        <v>262</v>
      </c>
      <c r="C281" s="373" t="s">
        <v>325</v>
      </c>
      <c r="D281" s="365">
        <v>1975</v>
      </c>
      <c r="E281" s="367">
        <v>4480.3200000000006</v>
      </c>
      <c r="F281" s="365"/>
      <c r="G281" s="365">
        <v>2021</v>
      </c>
      <c r="H281" s="373" t="s">
        <v>815</v>
      </c>
      <c r="I281" s="365">
        <v>1</v>
      </c>
    </row>
    <row r="282" spans="2:9">
      <c r="B282" s="365">
        <v>263</v>
      </c>
      <c r="C282" s="373" t="s">
        <v>325</v>
      </c>
      <c r="D282" s="365">
        <v>1977</v>
      </c>
      <c r="E282" s="367">
        <v>745.37</v>
      </c>
      <c r="F282" s="365"/>
      <c r="G282" s="365">
        <v>2021</v>
      </c>
      <c r="H282" s="373" t="s">
        <v>815</v>
      </c>
      <c r="I282" s="365">
        <v>1</v>
      </c>
    </row>
    <row r="283" spans="2:9">
      <c r="B283" s="365">
        <v>264</v>
      </c>
      <c r="C283" s="373" t="s">
        <v>325</v>
      </c>
      <c r="D283" s="365">
        <v>1978</v>
      </c>
      <c r="E283" s="367">
        <v>25825.9</v>
      </c>
      <c r="F283" s="365"/>
      <c r="G283" s="365">
        <v>2021</v>
      </c>
      <c r="H283" s="373" t="s">
        <v>815</v>
      </c>
      <c r="I283" s="365">
        <v>1</v>
      </c>
    </row>
    <row r="284" spans="2:9">
      <c r="B284" s="365">
        <v>265</v>
      </c>
      <c r="C284" s="373" t="s">
        <v>325</v>
      </c>
      <c r="D284" s="365">
        <v>1980</v>
      </c>
      <c r="E284" s="367">
        <v>1675.53</v>
      </c>
      <c r="F284" s="365"/>
      <c r="G284" s="365">
        <v>2021</v>
      </c>
      <c r="H284" s="373" t="s">
        <v>815</v>
      </c>
      <c r="I284" s="365">
        <v>1</v>
      </c>
    </row>
    <row r="285" spans="2:9">
      <c r="B285" s="365">
        <v>266</v>
      </c>
      <c r="C285" s="373" t="s">
        <v>325</v>
      </c>
      <c r="D285" s="365">
        <v>1981</v>
      </c>
      <c r="E285" s="367">
        <v>2145.67</v>
      </c>
      <c r="F285" s="365"/>
      <c r="G285" s="365">
        <v>2021</v>
      </c>
      <c r="H285" s="373" t="s">
        <v>815</v>
      </c>
      <c r="I285" s="365">
        <v>1</v>
      </c>
    </row>
    <row r="286" spans="2:9">
      <c r="B286" s="365">
        <v>267</v>
      </c>
      <c r="C286" s="373" t="s">
        <v>325</v>
      </c>
      <c r="D286" s="365">
        <v>1983</v>
      </c>
      <c r="E286" s="367">
        <v>47940.21</v>
      </c>
      <c r="F286" s="365">
        <v>45847.293506604889</v>
      </c>
      <c r="G286" s="365">
        <v>2021</v>
      </c>
      <c r="H286" s="373" t="s">
        <v>815</v>
      </c>
      <c r="I286" s="365">
        <v>1</v>
      </c>
    </row>
    <row r="287" spans="2:9">
      <c r="B287" s="365">
        <v>268</v>
      </c>
      <c r="C287" s="373" t="s">
        <v>325</v>
      </c>
      <c r="D287" s="365">
        <v>1984</v>
      </c>
      <c r="E287" s="367">
        <v>3028.66</v>
      </c>
      <c r="F287" s="365"/>
      <c r="G287" s="365">
        <v>2021</v>
      </c>
      <c r="H287" s="373" t="s">
        <v>815</v>
      </c>
      <c r="I287" s="365">
        <v>1</v>
      </c>
    </row>
    <row r="288" spans="2:9">
      <c r="B288" s="365">
        <v>269</v>
      </c>
      <c r="C288" s="373" t="s">
        <v>325</v>
      </c>
      <c r="D288" s="365">
        <v>1985</v>
      </c>
      <c r="E288" s="367">
        <v>5162.49</v>
      </c>
      <c r="F288" s="365"/>
      <c r="G288" s="365">
        <v>2021</v>
      </c>
      <c r="H288" s="373" t="s">
        <v>815</v>
      </c>
      <c r="I288" s="365">
        <v>1</v>
      </c>
    </row>
    <row r="289" spans="2:9">
      <c r="B289" s="365">
        <v>270</v>
      </c>
      <c r="C289" s="373" t="s">
        <v>325</v>
      </c>
      <c r="D289" s="365">
        <v>1986</v>
      </c>
      <c r="E289" s="367">
        <v>6123683.1800000006</v>
      </c>
      <c r="F289" s="365">
        <v>5843585.9202481788</v>
      </c>
      <c r="G289" s="365">
        <v>2021</v>
      </c>
      <c r="H289" s="373" t="s">
        <v>815</v>
      </c>
      <c r="I289" s="365">
        <v>1</v>
      </c>
    </row>
    <row r="290" spans="2:9">
      <c r="B290" s="365">
        <v>271</v>
      </c>
      <c r="C290" s="373" t="s">
        <v>325</v>
      </c>
      <c r="D290" s="365">
        <v>1987</v>
      </c>
      <c r="E290" s="367">
        <v>5769.73</v>
      </c>
      <c r="F290" s="365"/>
      <c r="G290" s="365">
        <v>2021</v>
      </c>
      <c r="H290" s="373" t="s">
        <v>815</v>
      </c>
      <c r="I290" s="365">
        <v>1</v>
      </c>
    </row>
    <row r="291" spans="2:9">
      <c r="B291" s="365">
        <v>272</v>
      </c>
      <c r="C291" s="373" t="s">
        <v>325</v>
      </c>
      <c r="D291" s="365">
        <v>1988</v>
      </c>
      <c r="E291" s="367">
        <v>2251.5500000000002</v>
      </c>
      <c r="F291" s="365"/>
      <c r="G291" s="365">
        <v>2021</v>
      </c>
      <c r="H291" s="373" t="s">
        <v>815</v>
      </c>
      <c r="I291" s="365">
        <v>1</v>
      </c>
    </row>
    <row r="292" spans="2:9">
      <c r="B292" s="365">
        <v>273</v>
      </c>
      <c r="C292" s="373" t="s">
        <v>325</v>
      </c>
      <c r="D292" s="365">
        <v>1990</v>
      </c>
      <c r="E292" s="367">
        <v>2264.98</v>
      </c>
      <c r="F292" s="365"/>
      <c r="G292" s="365">
        <v>2021</v>
      </c>
      <c r="H292" s="373" t="s">
        <v>815</v>
      </c>
      <c r="I292" s="365">
        <v>1</v>
      </c>
    </row>
    <row r="293" spans="2:9">
      <c r="B293" s="365">
        <v>274</v>
      </c>
      <c r="C293" s="373" t="s">
        <v>325</v>
      </c>
      <c r="D293" s="365">
        <v>1991</v>
      </c>
      <c r="E293" s="367">
        <v>212044.27000000002</v>
      </c>
      <c r="F293" s="365"/>
      <c r="G293" s="365">
        <v>2021</v>
      </c>
      <c r="H293" s="373" t="s">
        <v>815</v>
      </c>
      <c r="I293" s="365">
        <v>1</v>
      </c>
    </row>
    <row r="294" spans="2:9">
      <c r="B294" s="365">
        <v>275</v>
      </c>
      <c r="C294" s="373" t="s">
        <v>325</v>
      </c>
      <c r="D294" s="365">
        <v>1992</v>
      </c>
      <c r="E294" s="367">
        <v>17214.810000000001</v>
      </c>
      <c r="F294" s="365"/>
      <c r="G294" s="365">
        <v>2021</v>
      </c>
      <c r="H294" s="373" t="s">
        <v>815</v>
      </c>
      <c r="I294" s="365">
        <v>1</v>
      </c>
    </row>
    <row r="295" spans="2:9">
      <c r="B295" s="365">
        <v>276</v>
      </c>
      <c r="C295" s="373" t="s">
        <v>325</v>
      </c>
      <c r="D295" s="365">
        <v>1993</v>
      </c>
      <c r="E295" s="367">
        <v>955.02</v>
      </c>
      <c r="F295" s="365"/>
      <c r="G295" s="365">
        <v>2021</v>
      </c>
      <c r="H295" s="373" t="s">
        <v>815</v>
      </c>
      <c r="I295" s="365">
        <v>1</v>
      </c>
    </row>
    <row r="296" spans="2:9">
      <c r="B296" s="365">
        <v>277</v>
      </c>
      <c r="C296" s="373" t="s">
        <v>325</v>
      </c>
      <c r="D296" s="365">
        <v>1994</v>
      </c>
      <c r="E296" s="367">
        <v>2215.4899999999998</v>
      </c>
      <c r="F296" s="365"/>
      <c r="G296" s="365">
        <v>2021</v>
      </c>
      <c r="H296" s="373" t="s">
        <v>815</v>
      </c>
      <c r="I296" s="365">
        <v>1</v>
      </c>
    </row>
    <row r="297" spans="2:9">
      <c r="B297" s="365">
        <v>278</v>
      </c>
      <c r="C297" s="373" t="s">
        <v>325</v>
      </c>
      <c r="D297" s="365">
        <v>1995</v>
      </c>
      <c r="E297" s="367">
        <v>2202.9899999999998</v>
      </c>
      <c r="F297" s="365"/>
      <c r="G297" s="365">
        <v>2021</v>
      </c>
      <c r="H297" s="373" t="s">
        <v>815</v>
      </c>
      <c r="I297" s="365">
        <v>1</v>
      </c>
    </row>
    <row r="298" spans="2:9">
      <c r="B298" s="365">
        <v>279</v>
      </c>
      <c r="C298" s="373" t="s">
        <v>325</v>
      </c>
      <c r="D298" s="365">
        <v>1996</v>
      </c>
      <c r="E298" s="367">
        <v>25933.81</v>
      </c>
      <c r="F298" s="365"/>
      <c r="G298" s="365">
        <v>2021</v>
      </c>
      <c r="H298" s="373" t="s">
        <v>815</v>
      </c>
      <c r="I298" s="365">
        <v>1</v>
      </c>
    </row>
    <row r="299" spans="2:9">
      <c r="B299" s="365">
        <v>280</v>
      </c>
      <c r="C299" s="373" t="s">
        <v>325</v>
      </c>
      <c r="D299" s="365">
        <v>1998</v>
      </c>
      <c r="E299" s="367">
        <v>218.17</v>
      </c>
      <c r="F299" s="365"/>
      <c r="G299" s="365">
        <v>2021</v>
      </c>
      <c r="H299" s="373" t="s">
        <v>815</v>
      </c>
      <c r="I299" s="365">
        <v>1</v>
      </c>
    </row>
    <row r="300" spans="2:9">
      <c r="B300" s="365">
        <v>281</v>
      </c>
      <c r="C300" s="373" t="s">
        <v>325</v>
      </c>
      <c r="D300" s="365">
        <v>2000</v>
      </c>
      <c r="E300" s="367">
        <v>3336.46</v>
      </c>
      <c r="F300" s="365"/>
      <c r="G300" s="365">
        <v>2021</v>
      </c>
      <c r="H300" s="373" t="s">
        <v>815</v>
      </c>
      <c r="I300" s="365">
        <v>1</v>
      </c>
    </row>
    <row r="301" spans="2:9">
      <c r="B301" s="365">
        <v>282</v>
      </c>
      <c r="C301" s="373" t="s">
        <v>325</v>
      </c>
      <c r="D301" s="365">
        <v>2001</v>
      </c>
      <c r="E301" s="367">
        <v>7332.67</v>
      </c>
      <c r="F301" s="365"/>
      <c r="G301" s="365">
        <v>2021</v>
      </c>
      <c r="H301" s="373" t="s">
        <v>815</v>
      </c>
      <c r="I301" s="365">
        <v>1</v>
      </c>
    </row>
    <row r="302" spans="2:9">
      <c r="B302" s="365">
        <v>283</v>
      </c>
      <c r="C302" s="373" t="s">
        <v>325</v>
      </c>
      <c r="D302" s="365">
        <v>2004</v>
      </c>
      <c r="E302" s="367">
        <v>32470.219999999998</v>
      </c>
      <c r="F302" s="365"/>
      <c r="G302" s="365">
        <v>2021</v>
      </c>
      <c r="H302" s="373" t="s">
        <v>815</v>
      </c>
      <c r="I302" s="365">
        <v>1</v>
      </c>
    </row>
    <row r="303" spans="2:9">
      <c r="B303" s="365">
        <v>284</v>
      </c>
      <c r="C303" s="373" t="s">
        <v>325</v>
      </c>
      <c r="D303" s="365">
        <v>2007</v>
      </c>
      <c r="E303" s="367">
        <v>36698.050000000003</v>
      </c>
      <c r="F303" s="365"/>
      <c r="G303" s="365">
        <v>2021</v>
      </c>
      <c r="H303" s="373" t="s">
        <v>815</v>
      </c>
      <c r="I303" s="365">
        <v>1</v>
      </c>
    </row>
    <row r="304" spans="2:9">
      <c r="B304" s="365">
        <v>285</v>
      </c>
      <c r="C304" s="373" t="s">
        <v>325</v>
      </c>
      <c r="D304" s="365">
        <v>2007</v>
      </c>
      <c r="E304" s="367">
        <v>814.86374062264201</v>
      </c>
      <c r="F304" s="365"/>
      <c r="G304" s="365">
        <v>2021</v>
      </c>
      <c r="H304" s="373" t="s">
        <v>815</v>
      </c>
      <c r="I304" s="365">
        <v>1</v>
      </c>
    </row>
    <row r="305" spans="2:9">
      <c r="B305" s="365">
        <v>286</v>
      </c>
      <c r="C305" s="373" t="s">
        <v>325</v>
      </c>
      <c r="D305" s="365">
        <v>2008</v>
      </c>
      <c r="E305" s="367">
        <v>1697.82</v>
      </c>
      <c r="F305" s="365"/>
      <c r="G305" s="365">
        <v>2021</v>
      </c>
      <c r="H305" s="373" t="s">
        <v>815</v>
      </c>
      <c r="I305" s="365">
        <v>1</v>
      </c>
    </row>
    <row r="306" spans="2:9">
      <c r="B306" s="365">
        <v>287</v>
      </c>
      <c r="C306" s="373" t="s">
        <v>325</v>
      </c>
      <c r="D306" s="365">
        <v>2009</v>
      </c>
      <c r="E306" s="367">
        <v>306.17</v>
      </c>
      <c r="F306" s="365"/>
      <c r="G306" s="365">
        <v>2021</v>
      </c>
      <c r="H306" s="373" t="s">
        <v>815</v>
      </c>
      <c r="I306" s="365">
        <v>1</v>
      </c>
    </row>
    <row r="307" spans="2:9">
      <c r="B307" s="365">
        <v>288</v>
      </c>
      <c r="C307" s="373" t="s">
        <v>325</v>
      </c>
      <c r="D307" s="365">
        <v>2013</v>
      </c>
      <c r="E307" s="367">
        <v>111081.36098285067</v>
      </c>
      <c r="F307" s="365">
        <v>100715.06465923195</v>
      </c>
      <c r="G307" s="365">
        <v>2021</v>
      </c>
      <c r="H307" s="373" t="s">
        <v>815</v>
      </c>
      <c r="I307" s="365">
        <v>1</v>
      </c>
    </row>
    <row r="308" spans="2:9">
      <c r="B308" s="365">
        <v>289</v>
      </c>
      <c r="C308" s="373" t="s">
        <v>325</v>
      </c>
      <c r="D308" s="365">
        <v>2015</v>
      </c>
      <c r="E308" s="367">
        <v>10546.74451914087</v>
      </c>
      <c r="F308" s="365">
        <v>9851.7215859841872</v>
      </c>
      <c r="G308" s="365">
        <v>2021</v>
      </c>
      <c r="H308" s="373" t="s">
        <v>815</v>
      </c>
      <c r="I308" s="365">
        <v>1</v>
      </c>
    </row>
    <row r="309" spans="2:9">
      <c r="B309" s="365">
        <v>290</v>
      </c>
      <c r="C309" s="373" t="s">
        <v>325</v>
      </c>
      <c r="D309" s="365">
        <v>2016</v>
      </c>
      <c r="E309" s="367">
        <v>23513.843749704858</v>
      </c>
      <c r="F309" s="365"/>
      <c r="G309" s="365">
        <v>2021</v>
      </c>
      <c r="H309" s="373" t="s">
        <v>815</v>
      </c>
      <c r="I309" s="365">
        <v>1</v>
      </c>
    </row>
    <row r="310" spans="2:9">
      <c r="B310" s="365">
        <v>291</v>
      </c>
      <c r="C310" s="373" t="s">
        <v>330</v>
      </c>
      <c r="D310" s="365">
        <v>1980</v>
      </c>
      <c r="E310" s="367">
        <v>634.20000000000005</v>
      </c>
      <c r="F310" s="365"/>
      <c r="G310" s="365">
        <v>2021</v>
      </c>
      <c r="H310" s="373" t="s">
        <v>815</v>
      </c>
      <c r="I310" s="365">
        <v>1</v>
      </c>
    </row>
    <row r="311" spans="2:9">
      <c r="B311" s="365">
        <v>292</v>
      </c>
      <c r="C311" s="373" t="s">
        <v>330</v>
      </c>
      <c r="D311" s="365">
        <v>1995</v>
      </c>
      <c r="E311" s="367">
        <v>3276.15</v>
      </c>
      <c r="F311" s="365"/>
      <c r="G311" s="365">
        <v>2021</v>
      </c>
      <c r="H311" s="373" t="s">
        <v>815</v>
      </c>
      <c r="I311" s="365">
        <v>1</v>
      </c>
    </row>
    <row r="312" spans="2:9">
      <c r="B312" s="365">
        <v>293</v>
      </c>
      <c r="C312" s="373" t="s">
        <v>331</v>
      </c>
      <c r="D312" s="365">
        <v>1964</v>
      </c>
      <c r="E312" s="367">
        <v>6186.9699999999993</v>
      </c>
      <c r="F312" s="365"/>
      <c r="G312" s="365">
        <v>2021</v>
      </c>
      <c r="H312" s="373" t="s">
        <v>815</v>
      </c>
      <c r="I312" s="365">
        <v>1</v>
      </c>
    </row>
    <row r="313" spans="2:9">
      <c r="B313" s="365">
        <v>294</v>
      </c>
      <c r="C313" s="373" t="s">
        <v>331</v>
      </c>
      <c r="D313" s="365">
        <v>1966</v>
      </c>
      <c r="E313" s="367">
        <v>944.59</v>
      </c>
      <c r="F313" s="365"/>
      <c r="G313" s="365">
        <v>2021</v>
      </c>
      <c r="H313" s="373" t="s">
        <v>815</v>
      </c>
      <c r="I313" s="365">
        <v>1</v>
      </c>
    </row>
    <row r="314" spans="2:9">
      <c r="B314" s="365">
        <v>295</v>
      </c>
      <c r="C314" s="373" t="s">
        <v>331</v>
      </c>
      <c r="D314" s="365">
        <v>1967</v>
      </c>
      <c r="E314" s="367">
        <v>5645.93</v>
      </c>
      <c r="F314" s="365"/>
      <c r="G314" s="365">
        <v>2021</v>
      </c>
      <c r="H314" s="373" t="s">
        <v>815</v>
      </c>
      <c r="I314" s="365">
        <v>1</v>
      </c>
    </row>
    <row r="315" spans="2:9">
      <c r="B315" s="365">
        <v>296</v>
      </c>
      <c r="C315" s="373" t="s">
        <v>331</v>
      </c>
      <c r="D315" s="365">
        <v>1972</v>
      </c>
      <c r="E315" s="367">
        <v>33239.620000000003</v>
      </c>
      <c r="F315" s="365"/>
      <c r="G315" s="365">
        <v>2021</v>
      </c>
      <c r="H315" s="373" t="s">
        <v>815</v>
      </c>
      <c r="I315" s="365">
        <v>1</v>
      </c>
    </row>
    <row r="316" spans="2:9">
      <c r="B316" s="365">
        <v>297</v>
      </c>
      <c r="C316" s="373" t="s">
        <v>331</v>
      </c>
      <c r="D316" s="365">
        <v>1973</v>
      </c>
      <c r="E316" s="367">
        <v>126124.84</v>
      </c>
      <c r="F316" s="365"/>
      <c r="G316" s="365">
        <v>2021</v>
      </c>
      <c r="H316" s="373" t="s">
        <v>815</v>
      </c>
      <c r="I316" s="365">
        <v>1</v>
      </c>
    </row>
    <row r="317" spans="2:9">
      <c r="B317" s="365">
        <v>298</v>
      </c>
      <c r="C317" s="373" t="s">
        <v>331</v>
      </c>
      <c r="D317" s="365">
        <v>1974</v>
      </c>
      <c r="E317" s="367">
        <v>12379.830000000002</v>
      </c>
      <c r="F317" s="365"/>
      <c r="G317" s="365">
        <v>2021</v>
      </c>
      <c r="H317" s="373" t="s">
        <v>815</v>
      </c>
      <c r="I317" s="365">
        <v>1</v>
      </c>
    </row>
    <row r="318" spans="2:9">
      <c r="B318" s="365">
        <v>299</v>
      </c>
      <c r="C318" s="373" t="s">
        <v>331</v>
      </c>
      <c r="D318" s="365">
        <v>1996</v>
      </c>
      <c r="E318" s="367">
        <v>4334.99</v>
      </c>
      <c r="F318" s="365"/>
      <c r="G318" s="365">
        <v>2021</v>
      </c>
      <c r="H318" s="373" t="s">
        <v>815</v>
      </c>
      <c r="I318" s="365">
        <v>1</v>
      </c>
    </row>
    <row r="319" spans="2:9">
      <c r="B319" s="365">
        <v>300</v>
      </c>
      <c r="C319" s="373" t="s">
        <v>331</v>
      </c>
      <c r="D319" s="365">
        <v>2004</v>
      </c>
      <c r="E319" s="367">
        <v>3261.03</v>
      </c>
      <c r="F319" s="365"/>
      <c r="G319" s="365">
        <v>2021</v>
      </c>
      <c r="H319" s="373" t="s">
        <v>815</v>
      </c>
      <c r="I319" s="365">
        <v>1</v>
      </c>
    </row>
    <row r="320" spans="2:9">
      <c r="B320" s="365">
        <v>301</v>
      </c>
      <c r="C320" s="373" t="s">
        <v>331</v>
      </c>
      <c r="D320" s="365">
        <v>2005</v>
      </c>
      <c r="E320" s="367">
        <v>6498.35</v>
      </c>
      <c r="F320" s="365"/>
      <c r="G320" s="365">
        <v>2021</v>
      </c>
      <c r="H320" s="373" t="s">
        <v>815</v>
      </c>
      <c r="I320" s="365">
        <v>1</v>
      </c>
    </row>
    <row r="321" spans="2:9">
      <c r="B321" s="365">
        <v>302</v>
      </c>
      <c r="C321" s="373" t="s">
        <v>334</v>
      </c>
      <c r="D321" s="365">
        <v>1966</v>
      </c>
      <c r="E321" s="367">
        <v>9693.7099999999991</v>
      </c>
      <c r="F321" s="365"/>
      <c r="G321" s="365">
        <v>2021</v>
      </c>
      <c r="H321" s="373" t="s">
        <v>815</v>
      </c>
      <c r="I321" s="365">
        <v>1</v>
      </c>
    </row>
    <row r="322" spans="2:9">
      <c r="B322" s="365">
        <v>303</v>
      </c>
      <c r="C322" s="373" t="s">
        <v>334</v>
      </c>
      <c r="D322" s="365">
        <v>1975</v>
      </c>
      <c r="E322" s="367">
        <v>41515.949999999997</v>
      </c>
      <c r="F322" s="365"/>
      <c r="G322" s="365">
        <v>2021</v>
      </c>
      <c r="H322" s="373" t="s">
        <v>815</v>
      </c>
      <c r="I322" s="365">
        <v>1</v>
      </c>
    </row>
    <row r="323" spans="2:9">
      <c r="B323" s="365">
        <v>304</v>
      </c>
      <c r="C323" s="373" t="s">
        <v>334</v>
      </c>
      <c r="D323" s="365">
        <v>1998</v>
      </c>
      <c r="E323" s="367">
        <v>15977.01</v>
      </c>
      <c r="F323" s="365"/>
      <c r="G323" s="365">
        <v>2021</v>
      </c>
      <c r="H323" s="373" t="s">
        <v>815</v>
      </c>
      <c r="I323" s="365">
        <v>1</v>
      </c>
    </row>
    <row r="324" spans="2:9">
      <c r="B324" s="365">
        <v>305</v>
      </c>
      <c r="C324" s="373" t="s">
        <v>334</v>
      </c>
      <c r="D324" s="365">
        <v>2006</v>
      </c>
      <c r="E324" s="367">
        <v>102233.51999999999</v>
      </c>
      <c r="F324" s="365"/>
      <c r="G324" s="365">
        <v>2021</v>
      </c>
      <c r="H324" s="373" t="s">
        <v>815</v>
      </c>
      <c r="I324" s="365">
        <v>1</v>
      </c>
    </row>
    <row r="325" spans="2:9">
      <c r="B325" s="365">
        <v>306</v>
      </c>
      <c r="C325" s="373" t="s">
        <v>336</v>
      </c>
      <c r="D325" s="365">
        <v>1986</v>
      </c>
      <c r="E325" s="367">
        <v>11474.46</v>
      </c>
      <c r="F325" s="365"/>
      <c r="G325" s="365">
        <v>2021</v>
      </c>
      <c r="H325" s="373" t="s">
        <v>815</v>
      </c>
      <c r="I325" s="365">
        <v>1</v>
      </c>
    </row>
    <row r="326" spans="2:9">
      <c r="B326" s="365">
        <v>307</v>
      </c>
      <c r="C326" s="373" t="s">
        <v>336</v>
      </c>
      <c r="D326" s="365">
        <v>1996</v>
      </c>
      <c r="E326" s="367">
        <v>3094.13</v>
      </c>
      <c r="F326" s="365"/>
      <c r="G326" s="365">
        <v>2021</v>
      </c>
      <c r="H326" s="373" t="s">
        <v>815</v>
      </c>
      <c r="I326" s="365">
        <v>1</v>
      </c>
    </row>
    <row r="327" spans="2:9">
      <c r="B327" s="365">
        <v>308</v>
      </c>
      <c r="C327" s="373" t="s">
        <v>336</v>
      </c>
      <c r="D327" s="365">
        <v>1997</v>
      </c>
      <c r="E327" s="367">
        <v>31484.79</v>
      </c>
      <c r="F327" s="365"/>
      <c r="G327" s="365">
        <v>2021</v>
      </c>
      <c r="H327" s="373" t="s">
        <v>815</v>
      </c>
      <c r="I327" s="365">
        <v>1</v>
      </c>
    </row>
    <row r="328" spans="2:9">
      <c r="B328" s="365">
        <v>309</v>
      </c>
      <c r="C328" s="373" t="s">
        <v>336</v>
      </c>
      <c r="D328" s="365">
        <v>1998</v>
      </c>
      <c r="E328" s="367">
        <v>1479.93</v>
      </c>
      <c r="F328" s="365"/>
      <c r="G328" s="365">
        <v>2021</v>
      </c>
      <c r="H328" s="373" t="s">
        <v>815</v>
      </c>
      <c r="I328" s="365">
        <v>1</v>
      </c>
    </row>
    <row r="329" spans="2:9">
      <c r="B329" s="365">
        <v>310</v>
      </c>
      <c r="C329" s="373" t="s">
        <v>341</v>
      </c>
      <c r="D329" s="365">
        <v>2014</v>
      </c>
      <c r="E329" s="367">
        <v>389821.72686058586</v>
      </c>
      <c r="F329" s="365"/>
      <c r="G329" s="365">
        <v>2021</v>
      </c>
      <c r="H329" s="373" t="s">
        <v>815</v>
      </c>
      <c r="I329" s="365">
        <v>1</v>
      </c>
    </row>
    <row r="330" spans="2:9">
      <c r="B330" s="365">
        <v>311</v>
      </c>
      <c r="C330" s="373" t="s">
        <v>341</v>
      </c>
      <c r="D330" s="365">
        <v>2016</v>
      </c>
      <c r="E330" s="367">
        <v>6703956.690605375</v>
      </c>
      <c r="F330" s="365"/>
      <c r="G330" s="365">
        <v>2021</v>
      </c>
      <c r="H330" s="373" t="s">
        <v>815</v>
      </c>
      <c r="I330" s="365">
        <v>1</v>
      </c>
    </row>
    <row r="331" spans="2:9">
      <c r="B331" s="365">
        <v>312</v>
      </c>
      <c r="C331" s="373" t="s">
        <v>341</v>
      </c>
      <c r="D331" s="365">
        <v>2017</v>
      </c>
      <c r="E331" s="367">
        <v>684727.21448209102</v>
      </c>
      <c r="F331" s="365"/>
      <c r="G331" s="365">
        <v>2021</v>
      </c>
      <c r="H331" s="373" t="s">
        <v>815</v>
      </c>
      <c r="I331" s="365">
        <v>1</v>
      </c>
    </row>
    <row r="332" spans="2:9">
      <c r="B332" s="365">
        <v>313</v>
      </c>
      <c r="C332" s="373" t="s">
        <v>341</v>
      </c>
      <c r="D332" s="365">
        <v>2018</v>
      </c>
      <c r="E332" s="367">
        <v>493959.41966385196</v>
      </c>
      <c r="F332" s="365"/>
      <c r="G332" s="365">
        <v>2021</v>
      </c>
      <c r="H332" s="373" t="s">
        <v>815</v>
      </c>
      <c r="I332" s="365">
        <v>1</v>
      </c>
    </row>
    <row r="333" spans="2:9">
      <c r="B333" s="365">
        <v>314</v>
      </c>
      <c r="C333" s="373" t="s">
        <v>341</v>
      </c>
      <c r="D333" s="365">
        <v>2019</v>
      </c>
      <c r="E333" s="367">
        <v>890860.60513630731</v>
      </c>
      <c r="F333" s="365"/>
      <c r="G333" s="365">
        <v>2021</v>
      </c>
      <c r="H333" s="373" t="s">
        <v>815</v>
      </c>
      <c r="I333" s="365">
        <v>1</v>
      </c>
    </row>
    <row r="334" spans="2:9">
      <c r="B334" s="365">
        <v>315</v>
      </c>
      <c r="C334" s="373" t="s">
        <v>346</v>
      </c>
      <c r="D334" s="365">
        <v>2019</v>
      </c>
      <c r="E334" s="367">
        <v>211448.77498552162</v>
      </c>
      <c r="F334" s="365"/>
      <c r="G334" s="365">
        <v>2021</v>
      </c>
      <c r="H334" s="373" t="s">
        <v>815</v>
      </c>
      <c r="I334" s="365">
        <v>1</v>
      </c>
    </row>
    <row r="335" spans="2:9">
      <c r="B335" s="365">
        <v>316</v>
      </c>
      <c r="C335" s="373" t="s">
        <v>284</v>
      </c>
      <c r="D335" s="365">
        <v>1949</v>
      </c>
      <c r="E335" s="367">
        <v>160877.82</v>
      </c>
      <c r="F335" s="365"/>
      <c r="G335" s="365">
        <v>2022</v>
      </c>
      <c r="H335" s="373" t="s">
        <v>810</v>
      </c>
      <c r="I335" s="365">
        <v>2</v>
      </c>
    </row>
    <row r="336" spans="2:9">
      <c r="B336" s="365">
        <v>317</v>
      </c>
      <c r="C336" s="373" t="s">
        <v>284</v>
      </c>
      <c r="D336" s="365">
        <v>1951</v>
      </c>
      <c r="E336" s="367">
        <v>84605.79</v>
      </c>
      <c r="F336" s="365"/>
      <c r="G336" s="365">
        <v>2022</v>
      </c>
      <c r="H336" s="373" t="s">
        <v>810</v>
      </c>
      <c r="I336" s="365">
        <v>2</v>
      </c>
    </row>
    <row r="337" spans="2:9">
      <c r="B337" s="365">
        <v>318</v>
      </c>
      <c r="C337" s="373" t="s">
        <v>284</v>
      </c>
      <c r="D337" s="365">
        <v>1955</v>
      </c>
      <c r="E337" s="367">
        <v>144.74</v>
      </c>
      <c r="F337" s="365"/>
      <c r="G337" s="365">
        <v>2022</v>
      </c>
      <c r="H337" s="373" t="s">
        <v>810</v>
      </c>
      <c r="I337" s="365">
        <v>2</v>
      </c>
    </row>
    <row r="338" spans="2:9">
      <c r="B338" s="365">
        <v>319</v>
      </c>
      <c r="C338" s="373" t="s">
        <v>284</v>
      </c>
      <c r="D338" s="365">
        <v>1960</v>
      </c>
      <c r="E338" s="367">
        <v>0.01</v>
      </c>
      <c r="F338" s="365"/>
      <c r="G338" s="365">
        <v>2022</v>
      </c>
      <c r="H338" s="373" t="s">
        <v>810</v>
      </c>
      <c r="I338" s="365">
        <v>2</v>
      </c>
    </row>
    <row r="339" spans="2:9">
      <c r="B339" s="365">
        <v>320</v>
      </c>
      <c r="C339" s="373" t="s">
        <v>284</v>
      </c>
      <c r="D339" s="365">
        <v>1964</v>
      </c>
      <c r="E339" s="367">
        <v>30000</v>
      </c>
      <c r="F339" s="365"/>
      <c r="G339" s="365">
        <v>2022</v>
      </c>
      <c r="H339" s="373" t="s">
        <v>810</v>
      </c>
      <c r="I339" s="365">
        <v>2</v>
      </c>
    </row>
    <row r="340" spans="2:9">
      <c r="B340" s="365">
        <v>321</v>
      </c>
      <c r="C340" s="373" t="s">
        <v>284</v>
      </c>
      <c r="D340" s="365">
        <v>1965</v>
      </c>
      <c r="E340" s="367">
        <v>138426.70000000001</v>
      </c>
      <c r="F340" s="365"/>
      <c r="G340" s="365">
        <v>2022</v>
      </c>
      <c r="H340" s="373" t="s">
        <v>810</v>
      </c>
      <c r="I340" s="365">
        <v>2</v>
      </c>
    </row>
    <row r="341" spans="2:9">
      <c r="B341" s="365">
        <v>322</v>
      </c>
      <c r="C341" s="373" t="s">
        <v>284</v>
      </c>
      <c r="D341" s="365">
        <v>1966</v>
      </c>
      <c r="E341" s="367">
        <v>234290.08</v>
      </c>
      <c r="F341" s="365"/>
      <c r="G341" s="365">
        <v>2022</v>
      </c>
      <c r="H341" s="373" t="s">
        <v>810</v>
      </c>
      <c r="I341" s="365">
        <v>2</v>
      </c>
    </row>
    <row r="342" spans="2:9">
      <c r="B342" s="365">
        <v>323</v>
      </c>
      <c r="C342" s="373" t="s">
        <v>284</v>
      </c>
      <c r="D342" s="365">
        <v>1967</v>
      </c>
      <c r="E342" s="367">
        <v>91461.86</v>
      </c>
      <c r="F342" s="365"/>
      <c r="G342" s="365">
        <v>2022</v>
      </c>
      <c r="H342" s="373" t="s">
        <v>810</v>
      </c>
      <c r="I342" s="365">
        <v>2</v>
      </c>
    </row>
    <row r="343" spans="2:9">
      <c r="B343" s="365">
        <v>324</v>
      </c>
      <c r="C343" s="373" t="s">
        <v>284</v>
      </c>
      <c r="D343" s="365">
        <v>1968</v>
      </c>
      <c r="E343" s="367">
        <v>48585.87</v>
      </c>
      <c r="F343" s="365"/>
      <c r="G343" s="365">
        <v>2022</v>
      </c>
      <c r="H343" s="373" t="s">
        <v>810</v>
      </c>
      <c r="I343" s="365">
        <v>2</v>
      </c>
    </row>
    <row r="344" spans="2:9">
      <c r="B344" s="365">
        <v>325</v>
      </c>
      <c r="C344" s="373" t="s">
        <v>284</v>
      </c>
      <c r="D344" s="365">
        <v>1969</v>
      </c>
      <c r="E344" s="367">
        <v>78148.28</v>
      </c>
      <c r="F344" s="365"/>
      <c r="G344" s="365">
        <v>2022</v>
      </c>
      <c r="H344" s="373" t="s">
        <v>810</v>
      </c>
      <c r="I344" s="365">
        <v>2</v>
      </c>
    </row>
    <row r="345" spans="2:9">
      <c r="B345" s="365">
        <v>326</v>
      </c>
      <c r="C345" s="373" t="s">
        <v>284</v>
      </c>
      <c r="D345" s="365">
        <v>1970</v>
      </c>
      <c r="E345" s="367">
        <v>107313.68999999999</v>
      </c>
      <c r="F345" s="365"/>
      <c r="G345" s="365">
        <v>2022</v>
      </c>
      <c r="H345" s="373" t="s">
        <v>810</v>
      </c>
      <c r="I345" s="365">
        <v>2</v>
      </c>
    </row>
    <row r="346" spans="2:9">
      <c r="B346" s="365">
        <v>327</v>
      </c>
      <c r="C346" s="373" t="s">
        <v>284</v>
      </c>
      <c r="D346" s="365">
        <v>1971</v>
      </c>
      <c r="E346" s="367">
        <v>63212.38</v>
      </c>
      <c r="F346" s="365"/>
      <c r="G346" s="365">
        <v>2022</v>
      </c>
      <c r="H346" s="373" t="s">
        <v>810</v>
      </c>
      <c r="I346" s="365">
        <v>2</v>
      </c>
    </row>
    <row r="347" spans="2:9">
      <c r="B347" s="365">
        <v>328</v>
      </c>
      <c r="C347" s="373" t="s">
        <v>284</v>
      </c>
      <c r="D347" s="365">
        <v>1972</v>
      </c>
      <c r="E347" s="367">
        <v>191127.04000000001</v>
      </c>
      <c r="F347" s="365"/>
      <c r="G347" s="365">
        <v>2022</v>
      </c>
      <c r="H347" s="373" t="s">
        <v>810</v>
      </c>
      <c r="I347" s="365">
        <v>2</v>
      </c>
    </row>
    <row r="348" spans="2:9">
      <c r="B348" s="365">
        <v>329</v>
      </c>
      <c r="C348" s="373" t="s">
        <v>284</v>
      </c>
      <c r="D348" s="365">
        <v>1973</v>
      </c>
      <c r="E348" s="367">
        <v>149822.34</v>
      </c>
      <c r="F348" s="365"/>
      <c r="G348" s="365">
        <v>2022</v>
      </c>
      <c r="H348" s="373" t="s">
        <v>810</v>
      </c>
      <c r="I348" s="365">
        <v>2</v>
      </c>
    </row>
    <row r="349" spans="2:9">
      <c r="B349" s="365">
        <v>330</v>
      </c>
      <c r="C349" s="373" t="s">
        <v>284</v>
      </c>
      <c r="D349" s="365">
        <v>1974</v>
      </c>
      <c r="E349" s="367">
        <v>54981.1</v>
      </c>
      <c r="F349" s="365"/>
      <c r="G349" s="365">
        <v>2022</v>
      </c>
      <c r="H349" s="373" t="s">
        <v>810</v>
      </c>
      <c r="I349" s="365">
        <v>2</v>
      </c>
    </row>
    <row r="350" spans="2:9">
      <c r="B350" s="365">
        <v>331</v>
      </c>
      <c r="C350" s="373" t="s">
        <v>284</v>
      </c>
      <c r="D350" s="365">
        <v>1975</v>
      </c>
      <c r="E350" s="367">
        <v>42603.9</v>
      </c>
      <c r="F350" s="365"/>
      <c r="G350" s="365">
        <v>2022</v>
      </c>
      <c r="H350" s="373" t="s">
        <v>810</v>
      </c>
      <c r="I350" s="365">
        <v>2</v>
      </c>
    </row>
    <row r="351" spans="2:9">
      <c r="B351" s="365">
        <v>332</v>
      </c>
      <c r="C351" s="373" t="s">
        <v>284</v>
      </c>
      <c r="D351" s="365">
        <v>1976</v>
      </c>
      <c r="E351" s="367">
        <v>96350.659999999989</v>
      </c>
      <c r="F351" s="365"/>
      <c r="G351" s="365">
        <v>2022</v>
      </c>
      <c r="H351" s="373" t="s">
        <v>810</v>
      </c>
      <c r="I351" s="365">
        <v>2</v>
      </c>
    </row>
    <row r="352" spans="2:9">
      <c r="B352" s="365">
        <v>333</v>
      </c>
      <c r="C352" s="373" t="s">
        <v>284</v>
      </c>
      <c r="D352" s="365">
        <v>1977</v>
      </c>
      <c r="E352" s="367">
        <v>40000</v>
      </c>
      <c r="F352" s="365"/>
      <c r="G352" s="365">
        <v>2022</v>
      </c>
      <c r="H352" s="373" t="s">
        <v>810</v>
      </c>
      <c r="I352" s="365">
        <v>2</v>
      </c>
    </row>
    <row r="353" spans="2:9">
      <c r="B353" s="365">
        <v>334</v>
      </c>
      <c r="C353" s="373" t="s">
        <v>284</v>
      </c>
      <c r="D353" s="365">
        <v>1980</v>
      </c>
      <c r="E353" s="367">
        <v>120440.92</v>
      </c>
      <c r="F353" s="365"/>
      <c r="G353" s="365">
        <v>2022</v>
      </c>
      <c r="H353" s="373" t="s">
        <v>810</v>
      </c>
      <c r="I353" s="365">
        <v>2</v>
      </c>
    </row>
    <row r="354" spans="2:9">
      <c r="B354" s="365">
        <v>335</v>
      </c>
      <c r="C354" s="373" t="s">
        <v>284</v>
      </c>
      <c r="D354" s="365">
        <v>1986</v>
      </c>
      <c r="E354" s="367">
        <v>522.41999999999996</v>
      </c>
      <c r="F354" s="365"/>
      <c r="G354" s="365">
        <v>2022</v>
      </c>
      <c r="H354" s="373" t="s">
        <v>810</v>
      </c>
      <c r="I354" s="365">
        <v>2</v>
      </c>
    </row>
    <row r="355" spans="2:9">
      <c r="B355" s="365">
        <v>336</v>
      </c>
      <c r="C355" s="373" t="s">
        <v>284</v>
      </c>
      <c r="D355" s="365">
        <v>1987</v>
      </c>
      <c r="E355" s="367">
        <v>53825.87</v>
      </c>
      <c r="F355" s="365"/>
      <c r="G355" s="365">
        <v>2022</v>
      </c>
      <c r="H355" s="373" t="s">
        <v>810</v>
      </c>
      <c r="I355" s="365">
        <v>2</v>
      </c>
    </row>
    <row r="356" spans="2:9">
      <c r="B356" s="365">
        <v>337</v>
      </c>
      <c r="C356" s="373" t="s">
        <v>284</v>
      </c>
      <c r="D356" s="365">
        <v>1991</v>
      </c>
      <c r="E356" s="367">
        <v>27309.98</v>
      </c>
      <c r="F356" s="365"/>
      <c r="G356" s="365">
        <v>2022</v>
      </c>
      <c r="H356" s="373" t="s">
        <v>810</v>
      </c>
      <c r="I356" s="365">
        <v>2</v>
      </c>
    </row>
    <row r="357" spans="2:9">
      <c r="B357" s="365">
        <v>338</v>
      </c>
      <c r="C357" s="373" t="s">
        <v>284</v>
      </c>
      <c r="D357" s="365">
        <v>1994</v>
      </c>
      <c r="E357" s="367">
        <v>108598.45</v>
      </c>
      <c r="F357" s="365"/>
      <c r="G357" s="365">
        <v>2022</v>
      </c>
      <c r="H357" s="373" t="s">
        <v>810</v>
      </c>
      <c r="I357" s="365">
        <v>2</v>
      </c>
    </row>
    <row r="358" spans="2:9">
      <c r="B358" s="365">
        <v>339</v>
      </c>
      <c r="C358" s="373" t="s">
        <v>284</v>
      </c>
      <c r="D358" s="365">
        <v>1995</v>
      </c>
      <c r="E358" s="367">
        <v>22977.040000000001</v>
      </c>
      <c r="F358" s="365"/>
      <c r="G358" s="365">
        <v>2022</v>
      </c>
      <c r="H358" s="373" t="s">
        <v>810</v>
      </c>
      <c r="I358" s="365">
        <v>2</v>
      </c>
    </row>
    <row r="359" spans="2:9">
      <c r="B359" s="365">
        <v>340</v>
      </c>
      <c r="C359" s="373" t="s">
        <v>284</v>
      </c>
      <c r="D359" s="365">
        <v>1997</v>
      </c>
      <c r="E359" s="367">
        <v>4863.96</v>
      </c>
      <c r="F359" s="365"/>
      <c r="G359" s="365">
        <v>2022</v>
      </c>
      <c r="H359" s="373" t="s">
        <v>810</v>
      </c>
      <c r="I359" s="365">
        <v>2</v>
      </c>
    </row>
    <row r="360" spans="2:9">
      <c r="B360" s="365">
        <v>341</v>
      </c>
      <c r="C360" s="373" t="s">
        <v>284</v>
      </c>
      <c r="D360" s="365">
        <v>2001</v>
      </c>
      <c r="E360" s="367">
        <v>6708.79</v>
      </c>
      <c r="F360" s="365"/>
      <c r="G360" s="365">
        <v>2022</v>
      </c>
      <c r="H360" s="373" t="s">
        <v>810</v>
      </c>
      <c r="I360" s="365">
        <v>2</v>
      </c>
    </row>
    <row r="361" spans="2:9">
      <c r="B361" s="365">
        <v>342</v>
      </c>
      <c r="C361" s="373" t="s">
        <v>284</v>
      </c>
      <c r="D361" s="365">
        <v>2002</v>
      </c>
      <c r="E361" s="367">
        <v>4460.3999999999996</v>
      </c>
      <c r="F361" s="365"/>
      <c r="G361" s="365">
        <v>2022</v>
      </c>
      <c r="H361" s="373" t="s">
        <v>810</v>
      </c>
      <c r="I361" s="365">
        <v>2</v>
      </c>
    </row>
    <row r="362" spans="2:9">
      <c r="B362" s="365">
        <v>343</v>
      </c>
      <c r="C362" s="373" t="s">
        <v>284</v>
      </c>
      <c r="D362" s="365">
        <v>2004</v>
      </c>
      <c r="E362" s="367">
        <v>111686.38999999998</v>
      </c>
      <c r="F362" s="365"/>
      <c r="G362" s="365">
        <v>2022</v>
      </c>
      <c r="H362" s="373" t="s">
        <v>810</v>
      </c>
      <c r="I362" s="365">
        <v>2</v>
      </c>
    </row>
    <row r="363" spans="2:9">
      <c r="B363" s="365">
        <v>344</v>
      </c>
      <c r="C363" s="373" t="s">
        <v>284</v>
      </c>
      <c r="D363" s="365">
        <v>2005</v>
      </c>
      <c r="E363" s="367">
        <v>24040.95</v>
      </c>
      <c r="F363" s="365"/>
      <c r="G363" s="365">
        <v>2022</v>
      </c>
      <c r="H363" s="373" t="s">
        <v>810</v>
      </c>
      <c r="I363" s="365">
        <v>2</v>
      </c>
    </row>
    <row r="364" spans="2:9">
      <c r="B364" s="365">
        <v>345</v>
      </c>
      <c r="C364" s="373" t="s">
        <v>284</v>
      </c>
      <c r="D364" s="365">
        <v>2009</v>
      </c>
      <c r="E364" s="367">
        <v>382357.44</v>
      </c>
      <c r="F364" s="365"/>
      <c r="G364" s="365">
        <v>2022</v>
      </c>
      <c r="H364" s="373" t="s">
        <v>810</v>
      </c>
      <c r="I364" s="365">
        <v>2</v>
      </c>
    </row>
    <row r="365" spans="2:9">
      <c r="B365" s="365">
        <v>346</v>
      </c>
      <c r="C365" s="373" t="s">
        <v>284</v>
      </c>
      <c r="D365" s="365">
        <v>2010</v>
      </c>
      <c r="E365" s="367">
        <v>161319.04441174126</v>
      </c>
      <c r="F365" s="365"/>
      <c r="G365" s="365">
        <v>2022</v>
      </c>
      <c r="H365" s="373" t="s">
        <v>810</v>
      </c>
      <c r="I365" s="365">
        <v>2</v>
      </c>
    </row>
    <row r="366" spans="2:9">
      <c r="B366" s="365">
        <v>347</v>
      </c>
      <c r="C366" s="373" t="s">
        <v>284</v>
      </c>
      <c r="D366" s="365">
        <v>2011</v>
      </c>
      <c r="E366" s="367">
        <v>58878.280274353092</v>
      </c>
      <c r="F366" s="365"/>
      <c r="G366" s="365">
        <v>2022</v>
      </c>
      <c r="H366" s="373" t="s">
        <v>810</v>
      </c>
      <c r="I366" s="365">
        <v>2</v>
      </c>
    </row>
    <row r="367" spans="2:9">
      <c r="B367" s="365">
        <v>348</v>
      </c>
      <c r="C367" s="373" t="s">
        <v>284</v>
      </c>
      <c r="D367" s="365">
        <v>2012</v>
      </c>
      <c r="E367" s="367">
        <v>93953.985920705352</v>
      </c>
      <c r="F367" s="365"/>
      <c r="G367" s="365">
        <v>2022</v>
      </c>
      <c r="H367" s="373" t="s">
        <v>810</v>
      </c>
      <c r="I367" s="365">
        <v>2</v>
      </c>
    </row>
    <row r="368" spans="2:9">
      <c r="B368" s="365">
        <v>349</v>
      </c>
      <c r="C368" s="373" t="s">
        <v>284</v>
      </c>
      <c r="D368" s="365">
        <v>2013</v>
      </c>
      <c r="E368" s="367">
        <v>168956.89717004116</v>
      </c>
      <c r="F368" s="365"/>
      <c r="G368" s="365">
        <v>2022</v>
      </c>
      <c r="H368" s="373" t="s">
        <v>810</v>
      </c>
      <c r="I368" s="365">
        <v>2</v>
      </c>
    </row>
    <row r="369" spans="2:9">
      <c r="B369" s="365">
        <v>350</v>
      </c>
      <c r="C369" s="373" t="s">
        <v>288</v>
      </c>
      <c r="D369" s="365">
        <v>1965</v>
      </c>
      <c r="E369" s="367">
        <v>59962.48</v>
      </c>
      <c r="F369" s="365"/>
      <c r="G369" s="365">
        <v>2022</v>
      </c>
      <c r="H369" s="373" t="s">
        <v>810</v>
      </c>
      <c r="I369" s="365">
        <v>2</v>
      </c>
    </row>
    <row r="370" spans="2:9">
      <c r="B370" s="365">
        <v>351</v>
      </c>
      <c r="C370" s="373" t="s">
        <v>288</v>
      </c>
      <c r="D370" s="365">
        <v>1966</v>
      </c>
      <c r="E370" s="367">
        <v>318047.64</v>
      </c>
      <c r="F370" s="365"/>
      <c r="G370" s="365">
        <v>2022</v>
      </c>
      <c r="H370" s="373" t="s">
        <v>810</v>
      </c>
      <c r="I370" s="365">
        <v>2</v>
      </c>
    </row>
    <row r="371" spans="2:9">
      <c r="B371" s="365">
        <v>352</v>
      </c>
      <c r="C371" s="373" t="s">
        <v>288</v>
      </c>
      <c r="D371" s="365">
        <v>1967</v>
      </c>
      <c r="E371" s="367">
        <v>109472.13</v>
      </c>
      <c r="F371" s="365"/>
      <c r="G371" s="365">
        <v>2022</v>
      </c>
      <c r="H371" s="373" t="s">
        <v>810</v>
      </c>
      <c r="I371" s="365">
        <v>2</v>
      </c>
    </row>
    <row r="372" spans="2:9">
      <c r="B372" s="365">
        <v>353</v>
      </c>
      <c r="C372" s="373" t="s">
        <v>288</v>
      </c>
      <c r="D372" s="365">
        <v>1968</v>
      </c>
      <c r="E372" s="367">
        <v>205157.75</v>
      </c>
      <c r="F372" s="365"/>
      <c r="G372" s="365">
        <v>2022</v>
      </c>
      <c r="H372" s="373" t="s">
        <v>810</v>
      </c>
      <c r="I372" s="365">
        <v>2</v>
      </c>
    </row>
    <row r="373" spans="2:9">
      <c r="B373" s="365">
        <v>354</v>
      </c>
      <c r="C373" s="373" t="s">
        <v>288</v>
      </c>
      <c r="D373" s="365">
        <v>1969</v>
      </c>
      <c r="E373" s="367">
        <v>384223.42</v>
      </c>
      <c r="F373" s="365"/>
      <c r="G373" s="365">
        <v>2022</v>
      </c>
      <c r="H373" s="373" t="s">
        <v>810</v>
      </c>
      <c r="I373" s="365">
        <v>2</v>
      </c>
    </row>
    <row r="374" spans="2:9">
      <c r="B374" s="365">
        <v>355</v>
      </c>
      <c r="C374" s="373" t="s">
        <v>288</v>
      </c>
      <c r="D374" s="365">
        <v>1970</v>
      </c>
      <c r="E374" s="367">
        <v>158864.33000000002</v>
      </c>
      <c r="F374" s="365"/>
      <c r="G374" s="365">
        <v>2022</v>
      </c>
      <c r="H374" s="373" t="s">
        <v>810</v>
      </c>
      <c r="I374" s="365">
        <v>2</v>
      </c>
    </row>
    <row r="375" spans="2:9">
      <c r="B375" s="365">
        <v>356</v>
      </c>
      <c r="C375" s="373" t="s">
        <v>288</v>
      </c>
      <c r="D375" s="365">
        <v>1971</v>
      </c>
      <c r="E375" s="367">
        <v>262805.23</v>
      </c>
      <c r="F375" s="365"/>
      <c r="G375" s="365">
        <v>2022</v>
      </c>
      <c r="H375" s="373" t="s">
        <v>810</v>
      </c>
      <c r="I375" s="365">
        <v>2</v>
      </c>
    </row>
    <row r="376" spans="2:9">
      <c r="B376" s="365">
        <v>357</v>
      </c>
      <c r="C376" s="373" t="s">
        <v>288</v>
      </c>
      <c r="D376" s="365">
        <v>1972</v>
      </c>
      <c r="E376" s="367">
        <v>114985.86000000002</v>
      </c>
      <c r="F376" s="365"/>
      <c r="G376" s="365">
        <v>2022</v>
      </c>
      <c r="H376" s="373" t="s">
        <v>810</v>
      </c>
      <c r="I376" s="365">
        <v>2</v>
      </c>
    </row>
    <row r="377" spans="2:9">
      <c r="B377" s="365">
        <v>358</v>
      </c>
      <c r="C377" s="373" t="s">
        <v>288</v>
      </c>
      <c r="D377" s="365">
        <v>1973</v>
      </c>
      <c r="E377" s="367">
        <v>120091.87999999999</v>
      </c>
      <c r="F377" s="365"/>
      <c r="G377" s="365">
        <v>2022</v>
      </c>
      <c r="H377" s="373" t="s">
        <v>810</v>
      </c>
      <c r="I377" s="365">
        <v>2</v>
      </c>
    </row>
    <row r="378" spans="2:9">
      <c r="B378" s="365">
        <v>359</v>
      </c>
      <c r="C378" s="373" t="s">
        <v>288</v>
      </c>
      <c r="D378" s="365">
        <v>1974</v>
      </c>
      <c r="E378" s="367">
        <v>93174.06</v>
      </c>
      <c r="F378" s="365"/>
      <c r="G378" s="365">
        <v>2022</v>
      </c>
      <c r="H378" s="373" t="s">
        <v>810</v>
      </c>
      <c r="I378" s="365">
        <v>2</v>
      </c>
    </row>
    <row r="379" spans="2:9">
      <c r="B379" s="365">
        <v>360</v>
      </c>
      <c r="C379" s="373" t="s">
        <v>288</v>
      </c>
      <c r="D379" s="365">
        <v>1975</v>
      </c>
      <c r="E379" s="367">
        <v>4893.67</v>
      </c>
      <c r="F379" s="365"/>
      <c r="G379" s="365">
        <v>2022</v>
      </c>
      <c r="H379" s="373" t="s">
        <v>810</v>
      </c>
      <c r="I379" s="365">
        <v>2</v>
      </c>
    </row>
    <row r="380" spans="2:9">
      <c r="B380" s="365">
        <v>361</v>
      </c>
      <c r="C380" s="373" t="s">
        <v>288</v>
      </c>
      <c r="D380" s="365">
        <v>1976</v>
      </c>
      <c r="E380" s="367">
        <v>22029.58</v>
      </c>
      <c r="F380" s="365"/>
      <c r="G380" s="365">
        <v>2022</v>
      </c>
      <c r="H380" s="373" t="s">
        <v>810</v>
      </c>
      <c r="I380" s="365">
        <v>2</v>
      </c>
    </row>
    <row r="381" spans="2:9">
      <c r="B381" s="365">
        <v>362</v>
      </c>
      <c r="C381" s="373" t="s">
        <v>288</v>
      </c>
      <c r="D381" s="365">
        <v>1977</v>
      </c>
      <c r="E381" s="367">
        <v>46858.65</v>
      </c>
      <c r="F381" s="365"/>
      <c r="G381" s="365">
        <v>2022</v>
      </c>
      <c r="H381" s="373" t="s">
        <v>810</v>
      </c>
      <c r="I381" s="365">
        <v>2</v>
      </c>
    </row>
    <row r="382" spans="2:9">
      <c r="B382" s="365">
        <v>363</v>
      </c>
      <c r="C382" s="373" t="s">
        <v>288</v>
      </c>
      <c r="D382" s="365">
        <v>1979</v>
      </c>
      <c r="E382" s="367">
        <v>5905.65</v>
      </c>
      <c r="F382" s="365"/>
      <c r="G382" s="365">
        <v>2022</v>
      </c>
      <c r="H382" s="373" t="s">
        <v>810</v>
      </c>
      <c r="I382" s="365">
        <v>2</v>
      </c>
    </row>
    <row r="383" spans="2:9">
      <c r="B383" s="365">
        <v>364</v>
      </c>
      <c r="C383" s="373" t="s">
        <v>288</v>
      </c>
      <c r="D383" s="365">
        <v>1980</v>
      </c>
      <c r="E383" s="367">
        <v>150815.79</v>
      </c>
      <c r="F383" s="365"/>
      <c r="G383" s="365">
        <v>2022</v>
      </c>
      <c r="H383" s="373" t="s">
        <v>810</v>
      </c>
      <c r="I383" s="365">
        <v>2</v>
      </c>
    </row>
    <row r="384" spans="2:9">
      <c r="B384" s="365">
        <v>365</v>
      </c>
      <c r="C384" s="373" t="s">
        <v>288</v>
      </c>
      <c r="D384" s="365">
        <v>1981</v>
      </c>
      <c r="E384" s="367">
        <v>32315.9</v>
      </c>
      <c r="F384" s="365"/>
      <c r="G384" s="365">
        <v>2022</v>
      </c>
      <c r="H384" s="373" t="s">
        <v>810</v>
      </c>
      <c r="I384" s="365">
        <v>2</v>
      </c>
    </row>
    <row r="385" spans="2:9">
      <c r="B385" s="365">
        <v>366</v>
      </c>
      <c r="C385" s="373" t="s">
        <v>288</v>
      </c>
      <c r="D385" s="365">
        <v>1982</v>
      </c>
      <c r="E385" s="367">
        <v>8847.35</v>
      </c>
      <c r="F385" s="365"/>
      <c r="G385" s="365">
        <v>2022</v>
      </c>
      <c r="H385" s="373" t="s">
        <v>810</v>
      </c>
      <c r="I385" s="365">
        <v>2</v>
      </c>
    </row>
    <row r="386" spans="2:9">
      <c r="B386" s="365">
        <v>367</v>
      </c>
      <c r="C386" s="373" t="s">
        <v>288</v>
      </c>
      <c r="D386" s="365">
        <v>1984</v>
      </c>
      <c r="E386" s="367">
        <v>4950.9399999999996</v>
      </c>
      <c r="F386" s="365"/>
      <c r="G386" s="365">
        <v>2022</v>
      </c>
      <c r="H386" s="373" t="s">
        <v>810</v>
      </c>
      <c r="I386" s="365">
        <v>2</v>
      </c>
    </row>
    <row r="387" spans="2:9">
      <c r="B387" s="365">
        <v>368</v>
      </c>
      <c r="C387" s="373" t="s">
        <v>288</v>
      </c>
      <c r="D387" s="365">
        <v>1989</v>
      </c>
      <c r="E387" s="367">
        <v>51009.69</v>
      </c>
      <c r="F387" s="365"/>
      <c r="G387" s="365">
        <v>2022</v>
      </c>
      <c r="H387" s="373" t="s">
        <v>810</v>
      </c>
      <c r="I387" s="365">
        <v>2</v>
      </c>
    </row>
    <row r="388" spans="2:9">
      <c r="B388" s="365">
        <v>369</v>
      </c>
      <c r="C388" s="373" t="s">
        <v>288</v>
      </c>
      <c r="D388" s="365">
        <v>1990</v>
      </c>
      <c r="E388" s="367">
        <v>160044.32</v>
      </c>
      <c r="F388" s="365"/>
      <c r="G388" s="365">
        <v>2022</v>
      </c>
      <c r="H388" s="373" t="s">
        <v>810</v>
      </c>
      <c r="I388" s="365">
        <v>2</v>
      </c>
    </row>
    <row r="389" spans="2:9">
      <c r="B389" s="365">
        <v>370</v>
      </c>
      <c r="C389" s="373" t="s">
        <v>288</v>
      </c>
      <c r="D389" s="365">
        <v>1991</v>
      </c>
      <c r="E389" s="367">
        <v>8034.15</v>
      </c>
      <c r="F389" s="365"/>
      <c r="G389" s="365">
        <v>2022</v>
      </c>
      <c r="H389" s="373" t="s">
        <v>810</v>
      </c>
      <c r="I389" s="365">
        <v>2</v>
      </c>
    </row>
    <row r="390" spans="2:9">
      <c r="B390" s="365">
        <v>371</v>
      </c>
      <c r="C390" s="373" t="s">
        <v>288</v>
      </c>
      <c r="D390" s="365">
        <v>1992</v>
      </c>
      <c r="E390" s="367">
        <v>21906.92</v>
      </c>
      <c r="F390" s="365"/>
      <c r="G390" s="365">
        <v>2022</v>
      </c>
      <c r="H390" s="373" t="s">
        <v>810</v>
      </c>
      <c r="I390" s="365">
        <v>2</v>
      </c>
    </row>
    <row r="391" spans="2:9">
      <c r="B391" s="365">
        <v>372</v>
      </c>
      <c r="C391" s="373" t="s">
        <v>288</v>
      </c>
      <c r="D391" s="365">
        <v>1993</v>
      </c>
      <c r="E391" s="367">
        <v>15863.25</v>
      </c>
      <c r="F391" s="365"/>
      <c r="G391" s="365">
        <v>2022</v>
      </c>
      <c r="H391" s="373" t="s">
        <v>810</v>
      </c>
      <c r="I391" s="365">
        <v>2</v>
      </c>
    </row>
    <row r="392" spans="2:9">
      <c r="B392" s="365">
        <v>373</v>
      </c>
      <c r="C392" s="373" t="s">
        <v>288</v>
      </c>
      <c r="D392" s="365">
        <v>1994</v>
      </c>
      <c r="E392" s="367">
        <v>51450.05</v>
      </c>
      <c r="F392" s="365"/>
      <c r="G392" s="365">
        <v>2022</v>
      </c>
      <c r="H392" s="373" t="s">
        <v>810</v>
      </c>
      <c r="I392" s="365">
        <v>2</v>
      </c>
    </row>
    <row r="393" spans="2:9">
      <c r="B393" s="365">
        <v>374</v>
      </c>
      <c r="C393" s="373" t="s">
        <v>288</v>
      </c>
      <c r="D393" s="365">
        <v>1995</v>
      </c>
      <c r="E393" s="367">
        <v>62522.97</v>
      </c>
      <c r="F393" s="365"/>
      <c r="G393" s="365">
        <v>2022</v>
      </c>
      <c r="H393" s="373" t="s">
        <v>810</v>
      </c>
      <c r="I393" s="365">
        <v>2</v>
      </c>
    </row>
    <row r="394" spans="2:9">
      <c r="B394" s="365">
        <v>375</v>
      </c>
      <c r="C394" s="373" t="s">
        <v>288</v>
      </c>
      <c r="D394" s="365">
        <v>1996</v>
      </c>
      <c r="E394" s="367">
        <v>16582.84</v>
      </c>
      <c r="F394" s="365"/>
      <c r="G394" s="365">
        <v>2022</v>
      </c>
      <c r="H394" s="373" t="s">
        <v>810</v>
      </c>
      <c r="I394" s="365">
        <v>2</v>
      </c>
    </row>
    <row r="395" spans="2:9">
      <c r="B395" s="365">
        <v>376</v>
      </c>
      <c r="C395" s="373" t="s">
        <v>288</v>
      </c>
      <c r="D395" s="365">
        <v>1997</v>
      </c>
      <c r="E395" s="367">
        <v>16150.88</v>
      </c>
      <c r="F395" s="365"/>
      <c r="G395" s="365">
        <v>2022</v>
      </c>
      <c r="H395" s="373" t="s">
        <v>810</v>
      </c>
      <c r="I395" s="365">
        <v>2</v>
      </c>
    </row>
    <row r="396" spans="2:9">
      <c r="B396" s="365">
        <v>377</v>
      </c>
      <c r="C396" s="373" t="s">
        <v>288</v>
      </c>
      <c r="D396" s="365">
        <v>2000</v>
      </c>
      <c r="E396" s="367">
        <v>11054.31</v>
      </c>
      <c r="F396" s="365"/>
      <c r="G396" s="365">
        <v>2022</v>
      </c>
      <c r="H396" s="373" t="s">
        <v>810</v>
      </c>
      <c r="I396" s="365">
        <v>2</v>
      </c>
    </row>
    <row r="397" spans="2:9">
      <c r="B397" s="365">
        <v>378</v>
      </c>
      <c r="C397" s="373" t="s">
        <v>288</v>
      </c>
      <c r="D397" s="365">
        <v>2002</v>
      </c>
      <c r="E397" s="367">
        <v>9572.0400000000009</v>
      </c>
      <c r="F397" s="365"/>
      <c r="G397" s="365">
        <v>2022</v>
      </c>
      <c r="H397" s="373" t="s">
        <v>810</v>
      </c>
      <c r="I397" s="365">
        <v>2</v>
      </c>
    </row>
    <row r="398" spans="2:9">
      <c r="B398" s="365">
        <v>379</v>
      </c>
      <c r="C398" s="373" t="s">
        <v>288</v>
      </c>
      <c r="D398" s="365">
        <v>2003</v>
      </c>
      <c r="E398" s="367">
        <v>37361.589999999997</v>
      </c>
      <c r="F398" s="365"/>
      <c r="G398" s="365">
        <v>2022</v>
      </c>
      <c r="H398" s="373" t="s">
        <v>810</v>
      </c>
      <c r="I398" s="365">
        <v>2</v>
      </c>
    </row>
    <row r="399" spans="2:9">
      <c r="B399" s="365">
        <v>380</v>
      </c>
      <c r="C399" s="373" t="s">
        <v>288</v>
      </c>
      <c r="D399" s="365">
        <v>2005</v>
      </c>
      <c r="E399" s="367">
        <v>13619.77</v>
      </c>
      <c r="F399" s="365"/>
      <c r="G399" s="365">
        <v>2022</v>
      </c>
      <c r="H399" s="373" t="s">
        <v>810</v>
      </c>
      <c r="I399" s="365">
        <v>2</v>
      </c>
    </row>
    <row r="400" spans="2:9">
      <c r="B400" s="365">
        <v>381</v>
      </c>
      <c r="C400" s="373" t="s">
        <v>288</v>
      </c>
      <c r="D400" s="365">
        <v>2007</v>
      </c>
      <c r="E400" s="367">
        <v>316887.66000000003</v>
      </c>
      <c r="F400" s="365"/>
      <c r="G400" s="365">
        <v>2022</v>
      </c>
      <c r="H400" s="373" t="s">
        <v>810</v>
      </c>
      <c r="I400" s="365">
        <v>2</v>
      </c>
    </row>
    <row r="401" spans="2:9">
      <c r="B401" s="365">
        <v>382</v>
      </c>
      <c r="C401" s="373" t="s">
        <v>288</v>
      </c>
      <c r="D401" s="365">
        <v>2010</v>
      </c>
      <c r="E401" s="367">
        <v>154710.54390000002</v>
      </c>
      <c r="F401" s="365"/>
      <c r="G401" s="365">
        <v>2022</v>
      </c>
      <c r="H401" s="373" t="s">
        <v>810</v>
      </c>
      <c r="I401" s="365">
        <v>2</v>
      </c>
    </row>
    <row r="402" spans="2:9">
      <c r="B402" s="365">
        <v>383</v>
      </c>
      <c r="C402" s="373" t="s">
        <v>288</v>
      </c>
      <c r="D402" s="365">
        <v>2012</v>
      </c>
      <c r="E402" s="367">
        <v>41792.986548232657</v>
      </c>
      <c r="F402" s="365"/>
      <c r="G402" s="365">
        <v>2022</v>
      </c>
      <c r="H402" s="373" t="s">
        <v>810</v>
      </c>
      <c r="I402" s="365">
        <v>2</v>
      </c>
    </row>
    <row r="403" spans="2:9">
      <c r="B403" s="365">
        <v>384</v>
      </c>
      <c r="C403" s="373" t="s">
        <v>297</v>
      </c>
      <c r="D403" s="365">
        <v>1980</v>
      </c>
      <c r="E403" s="367">
        <v>47081.56</v>
      </c>
      <c r="F403" s="365"/>
      <c r="G403" s="365">
        <v>2022</v>
      </c>
      <c r="H403" s="373" t="s">
        <v>810</v>
      </c>
      <c r="I403" s="365">
        <v>2</v>
      </c>
    </row>
    <row r="404" spans="2:9">
      <c r="B404" s="365">
        <v>385</v>
      </c>
      <c r="C404" s="373" t="s">
        <v>317</v>
      </c>
      <c r="D404" s="365">
        <v>1970</v>
      </c>
      <c r="E404" s="367">
        <v>81298.009999999995</v>
      </c>
      <c r="F404" s="365"/>
      <c r="G404" s="365">
        <v>2022</v>
      </c>
      <c r="H404" s="373" t="s">
        <v>810</v>
      </c>
      <c r="I404" s="365">
        <v>2</v>
      </c>
    </row>
    <row r="405" spans="2:9">
      <c r="B405" s="365">
        <v>386</v>
      </c>
      <c r="C405" s="373" t="s">
        <v>317</v>
      </c>
      <c r="D405" s="365">
        <v>1971</v>
      </c>
      <c r="E405" s="367">
        <v>86713.88</v>
      </c>
      <c r="F405" s="365"/>
      <c r="G405" s="365">
        <v>2022</v>
      </c>
      <c r="H405" s="373" t="s">
        <v>810</v>
      </c>
      <c r="I405" s="365">
        <v>2</v>
      </c>
    </row>
    <row r="406" spans="2:9">
      <c r="B406" s="365">
        <v>387</v>
      </c>
      <c r="C406" s="373" t="s">
        <v>317</v>
      </c>
      <c r="D406" s="365">
        <v>1974</v>
      </c>
      <c r="E406" s="367">
        <v>177923.75</v>
      </c>
      <c r="F406" s="365"/>
      <c r="G406" s="365">
        <v>2022</v>
      </c>
      <c r="H406" s="373" t="s">
        <v>810</v>
      </c>
      <c r="I406" s="365">
        <v>2</v>
      </c>
    </row>
    <row r="407" spans="2:9">
      <c r="B407" s="365">
        <v>388</v>
      </c>
      <c r="C407" s="373" t="s">
        <v>317</v>
      </c>
      <c r="D407" s="365">
        <v>1997</v>
      </c>
      <c r="E407" s="367">
        <v>15658.35</v>
      </c>
      <c r="F407" s="365"/>
      <c r="G407" s="365">
        <v>2022</v>
      </c>
      <c r="H407" s="373" t="s">
        <v>810</v>
      </c>
      <c r="I407" s="365">
        <v>2</v>
      </c>
    </row>
    <row r="408" spans="2:9">
      <c r="B408" s="365">
        <v>389</v>
      </c>
      <c r="C408" s="373" t="s">
        <v>317</v>
      </c>
      <c r="D408" s="365">
        <v>2011</v>
      </c>
      <c r="E408" s="367">
        <v>117399.27471035083</v>
      </c>
      <c r="F408" s="365"/>
      <c r="G408" s="365">
        <v>2022</v>
      </c>
      <c r="H408" s="373" t="s">
        <v>810</v>
      </c>
      <c r="I408" s="365">
        <v>2</v>
      </c>
    </row>
    <row r="409" spans="2:9">
      <c r="B409" s="365">
        <v>390</v>
      </c>
      <c r="C409" s="373" t="s">
        <v>320</v>
      </c>
      <c r="D409" s="365">
        <v>1977</v>
      </c>
      <c r="E409" s="367">
        <v>1111944.56</v>
      </c>
      <c r="F409" s="365"/>
      <c r="G409" s="365">
        <v>2022</v>
      </c>
      <c r="H409" s="373" t="s">
        <v>810</v>
      </c>
      <c r="I409" s="365">
        <v>2</v>
      </c>
    </row>
    <row r="410" spans="2:9">
      <c r="B410" s="365">
        <v>391</v>
      </c>
      <c r="C410" s="373" t="s">
        <v>320</v>
      </c>
      <c r="D410" s="365">
        <v>1998</v>
      </c>
      <c r="E410" s="367">
        <v>1841303.44</v>
      </c>
      <c r="F410" s="365"/>
      <c r="G410" s="365">
        <v>2022</v>
      </c>
      <c r="H410" s="373" t="s">
        <v>810</v>
      </c>
      <c r="I410" s="365">
        <v>2</v>
      </c>
    </row>
    <row r="411" spans="2:9">
      <c r="B411" s="365">
        <v>392</v>
      </c>
      <c r="C411" s="373" t="s">
        <v>321</v>
      </c>
      <c r="D411" s="365">
        <v>2019</v>
      </c>
      <c r="E411" s="367">
        <v>64295.18960042399</v>
      </c>
      <c r="F411" s="365"/>
      <c r="G411" s="365">
        <v>2022</v>
      </c>
      <c r="H411" s="373" t="s">
        <v>810</v>
      </c>
      <c r="I411" s="365">
        <v>2</v>
      </c>
    </row>
    <row r="412" spans="2:9">
      <c r="B412" s="365">
        <v>393</v>
      </c>
      <c r="C412" s="373" t="s">
        <v>325</v>
      </c>
      <c r="D412" s="365">
        <v>1964</v>
      </c>
      <c r="E412" s="367">
        <v>1445.34</v>
      </c>
      <c r="F412" s="365"/>
      <c r="G412" s="365">
        <v>2022</v>
      </c>
      <c r="H412" s="373" t="s">
        <v>810</v>
      </c>
      <c r="I412" s="365">
        <v>2</v>
      </c>
    </row>
    <row r="413" spans="2:9">
      <c r="B413" s="365">
        <v>394</v>
      </c>
      <c r="C413" s="373" t="s">
        <v>325</v>
      </c>
      <c r="D413" s="365">
        <v>1977</v>
      </c>
      <c r="E413" s="367">
        <v>50000</v>
      </c>
      <c r="F413" s="365"/>
      <c r="G413" s="365">
        <v>2022</v>
      </c>
      <c r="H413" s="373" t="s">
        <v>810</v>
      </c>
      <c r="I413" s="365">
        <v>2</v>
      </c>
    </row>
    <row r="414" spans="2:9">
      <c r="B414" s="365">
        <v>395</v>
      </c>
      <c r="C414" s="373" t="s">
        <v>325</v>
      </c>
      <c r="D414" s="365">
        <v>1978</v>
      </c>
      <c r="E414" s="367">
        <v>16458.09</v>
      </c>
      <c r="F414" s="365"/>
      <c r="G414" s="365">
        <v>2022</v>
      </c>
      <c r="H414" s="373" t="s">
        <v>810</v>
      </c>
      <c r="I414" s="365">
        <v>2</v>
      </c>
    </row>
    <row r="415" spans="2:9">
      <c r="B415" s="365">
        <v>396</v>
      </c>
      <c r="C415" s="373" t="s">
        <v>325</v>
      </c>
      <c r="D415" s="365">
        <v>1983</v>
      </c>
      <c r="E415" s="367">
        <v>44290.400000000001</v>
      </c>
      <c r="F415" s="365"/>
      <c r="G415" s="365">
        <v>2022</v>
      </c>
      <c r="H415" s="373" t="s">
        <v>810</v>
      </c>
      <c r="I415" s="365">
        <v>2</v>
      </c>
    </row>
    <row r="416" spans="2:9">
      <c r="B416" s="365">
        <v>397</v>
      </c>
      <c r="C416" s="373" t="s">
        <v>325</v>
      </c>
      <c r="D416" s="365">
        <v>1987</v>
      </c>
      <c r="E416" s="367">
        <v>90000</v>
      </c>
      <c r="F416" s="365"/>
      <c r="G416" s="365">
        <v>2022</v>
      </c>
      <c r="H416" s="373" t="s">
        <v>810</v>
      </c>
      <c r="I416" s="365">
        <v>2</v>
      </c>
    </row>
    <row r="417" spans="2:9">
      <c r="B417" s="365">
        <v>398</v>
      </c>
      <c r="C417" s="373" t="s">
        <v>331</v>
      </c>
      <c r="D417" s="365">
        <v>1964</v>
      </c>
      <c r="E417" s="367">
        <v>184143.09</v>
      </c>
      <c r="F417" s="365"/>
      <c r="G417" s="365">
        <v>2022</v>
      </c>
      <c r="H417" s="373" t="s">
        <v>810</v>
      </c>
      <c r="I417" s="365">
        <v>2</v>
      </c>
    </row>
    <row r="418" spans="2:9">
      <c r="B418" s="365">
        <v>399</v>
      </c>
      <c r="C418" s="373" t="s">
        <v>331</v>
      </c>
      <c r="D418" s="365">
        <v>1967</v>
      </c>
      <c r="E418" s="367">
        <v>477869.69</v>
      </c>
      <c r="F418" s="365"/>
      <c r="G418" s="365">
        <v>2022</v>
      </c>
      <c r="H418" s="373" t="s">
        <v>810</v>
      </c>
      <c r="I418" s="365">
        <v>2</v>
      </c>
    </row>
    <row r="419" spans="2:9">
      <c r="B419" s="365">
        <v>400</v>
      </c>
      <c r="C419" s="373" t="s">
        <v>331</v>
      </c>
      <c r="D419" s="365">
        <v>1968</v>
      </c>
      <c r="E419" s="367">
        <v>7990.16</v>
      </c>
      <c r="F419" s="365"/>
      <c r="G419" s="365">
        <v>2022</v>
      </c>
      <c r="H419" s="373" t="s">
        <v>810</v>
      </c>
      <c r="I419" s="365">
        <v>2</v>
      </c>
    </row>
    <row r="420" spans="2:9">
      <c r="B420" s="365">
        <v>401</v>
      </c>
      <c r="C420" s="373" t="s">
        <v>331</v>
      </c>
      <c r="D420" s="365">
        <v>1969</v>
      </c>
      <c r="E420" s="367">
        <v>64322.44</v>
      </c>
      <c r="F420" s="365"/>
      <c r="G420" s="365">
        <v>2022</v>
      </c>
      <c r="H420" s="373" t="s">
        <v>810</v>
      </c>
      <c r="I420" s="365">
        <v>2</v>
      </c>
    </row>
    <row r="421" spans="2:9">
      <c r="B421" s="365">
        <v>402</v>
      </c>
      <c r="C421" s="373" t="s">
        <v>331</v>
      </c>
      <c r="D421" s="365">
        <v>1972</v>
      </c>
      <c r="E421" s="367">
        <v>58241.78</v>
      </c>
      <c r="F421" s="365"/>
      <c r="G421" s="365">
        <v>2022</v>
      </c>
      <c r="H421" s="373" t="s">
        <v>810</v>
      </c>
      <c r="I421" s="365">
        <v>2</v>
      </c>
    </row>
    <row r="422" spans="2:9">
      <c r="B422" s="365">
        <v>403</v>
      </c>
      <c r="C422" s="373" t="s">
        <v>331</v>
      </c>
      <c r="D422" s="365">
        <v>1974</v>
      </c>
      <c r="E422" s="367">
        <v>117946.1</v>
      </c>
      <c r="F422" s="365"/>
      <c r="G422" s="365">
        <v>2022</v>
      </c>
      <c r="H422" s="373" t="s">
        <v>810</v>
      </c>
      <c r="I422" s="365">
        <v>2</v>
      </c>
    </row>
    <row r="423" spans="2:9">
      <c r="B423" s="365">
        <v>404</v>
      </c>
      <c r="C423" s="373" t="s">
        <v>331</v>
      </c>
      <c r="D423" s="365">
        <v>1978</v>
      </c>
      <c r="E423" s="367">
        <v>1289616.6000000001</v>
      </c>
      <c r="F423" s="365"/>
      <c r="G423" s="365">
        <v>2022</v>
      </c>
      <c r="H423" s="373" t="s">
        <v>810</v>
      </c>
      <c r="I423" s="365">
        <v>2</v>
      </c>
    </row>
    <row r="424" spans="2:9">
      <c r="B424" s="365">
        <v>405</v>
      </c>
      <c r="C424" s="373" t="s">
        <v>331</v>
      </c>
      <c r="D424" s="365">
        <v>1995</v>
      </c>
      <c r="E424" s="367">
        <v>15754.34</v>
      </c>
      <c r="F424" s="365"/>
      <c r="G424" s="365">
        <v>2022</v>
      </c>
      <c r="H424" s="373" t="s">
        <v>810</v>
      </c>
      <c r="I424" s="365">
        <v>2</v>
      </c>
    </row>
    <row r="425" spans="2:9">
      <c r="B425" s="365">
        <v>406</v>
      </c>
      <c r="C425" s="373" t="s">
        <v>331</v>
      </c>
      <c r="D425" s="365">
        <v>2012</v>
      </c>
      <c r="E425" s="367">
        <v>386956.48760918935</v>
      </c>
      <c r="F425" s="365"/>
      <c r="G425" s="365">
        <v>2022</v>
      </c>
      <c r="H425" s="373" t="s">
        <v>810</v>
      </c>
      <c r="I425" s="365">
        <v>2</v>
      </c>
    </row>
    <row r="426" spans="2:9">
      <c r="B426" s="365">
        <v>407</v>
      </c>
      <c r="C426" s="373" t="s">
        <v>336</v>
      </c>
      <c r="D426" s="365">
        <v>1986</v>
      </c>
      <c r="E426" s="367">
        <v>29497.66</v>
      </c>
      <c r="F426" s="365"/>
      <c r="G426" s="365">
        <v>2022</v>
      </c>
      <c r="H426" s="373" t="s">
        <v>810</v>
      </c>
      <c r="I426" s="365">
        <v>2</v>
      </c>
    </row>
    <row r="427" spans="2:9">
      <c r="B427" s="365">
        <v>408</v>
      </c>
      <c r="C427" s="373" t="s">
        <v>284</v>
      </c>
      <c r="D427" s="365">
        <v>1954</v>
      </c>
      <c r="E427" s="367">
        <v>30000</v>
      </c>
      <c r="F427" s="365"/>
      <c r="G427" s="365">
        <v>2023</v>
      </c>
      <c r="H427" s="373" t="s">
        <v>1149</v>
      </c>
      <c r="I427" s="365">
        <v>2</v>
      </c>
    </row>
    <row r="428" spans="2:9">
      <c r="B428" s="365">
        <v>409</v>
      </c>
      <c r="C428" s="373" t="s">
        <v>284</v>
      </c>
      <c r="D428" s="365">
        <v>1955</v>
      </c>
      <c r="E428" s="367">
        <v>26680</v>
      </c>
      <c r="F428" s="365"/>
      <c r="G428" s="365">
        <v>2023</v>
      </c>
      <c r="H428" s="373" t="s">
        <v>1149</v>
      </c>
      <c r="I428" s="365">
        <v>2</v>
      </c>
    </row>
    <row r="429" spans="2:9">
      <c r="B429" s="365">
        <v>410</v>
      </c>
      <c r="C429" s="373" t="s">
        <v>284</v>
      </c>
      <c r="D429" s="365">
        <v>1958</v>
      </c>
      <c r="E429" s="367">
        <v>41066</v>
      </c>
      <c r="F429" s="365"/>
      <c r="G429" s="365">
        <v>2023</v>
      </c>
      <c r="H429" s="373" t="s">
        <v>1149</v>
      </c>
      <c r="I429" s="365">
        <v>2</v>
      </c>
    </row>
    <row r="430" spans="2:9">
      <c r="B430" s="365">
        <v>411</v>
      </c>
      <c r="C430" s="373" t="s">
        <v>284</v>
      </c>
      <c r="D430" s="365">
        <v>1959</v>
      </c>
      <c r="E430" s="367">
        <v>38260</v>
      </c>
      <c r="F430" s="365"/>
      <c r="G430" s="365">
        <v>2023</v>
      </c>
      <c r="H430" s="373" t="s">
        <v>1149</v>
      </c>
      <c r="I430" s="365">
        <v>2</v>
      </c>
    </row>
    <row r="431" spans="2:9">
      <c r="B431" s="365">
        <v>412</v>
      </c>
      <c r="C431" s="373" t="s">
        <v>284</v>
      </c>
      <c r="D431" s="365">
        <v>1965</v>
      </c>
      <c r="E431" s="367">
        <v>125091</v>
      </c>
      <c r="F431" s="365"/>
      <c r="G431" s="365">
        <v>2023</v>
      </c>
      <c r="H431" s="373" t="s">
        <v>1149</v>
      </c>
      <c r="I431" s="365">
        <v>2</v>
      </c>
    </row>
    <row r="432" spans="2:9">
      <c r="B432" s="365">
        <v>413</v>
      </c>
      <c r="C432" s="373" t="s">
        <v>284</v>
      </c>
      <c r="D432" s="365">
        <v>1966</v>
      </c>
      <c r="E432" s="367">
        <v>71100</v>
      </c>
      <c r="F432" s="365"/>
      <c r="G432" s="365">
        <v>2023</v>
      </c>
      <c r="H432" s="373" t="s">
        <v>1149</v>
      </c>
      <c r="I432" s="365">
        <v>2</v>
      </c>
    </row>
    <row r="433" spans="2:9">
      <c r="B433" s="365">
        <v>414</v>
      </c>
      <c r="C433" s="373" t="s">
        <v>284</v>
      </c>
      <c r="D433" s="365">
        <v>1967</v>
      </c>
      <c r="E433" s="367">
        <v>77488</v>
      </c>
      <c r="F433" s="365"/>
      <c r="G433" s="365">
        <v>2023</v>
      </c>
      <c r="H433" s="373" t="s">
        <v>1149</v>
      </c>
      <c r="I433" s="365">
        <v>2</v>
      </c>
    </row>
    <row r="434" spans="2:9">
      <c r="B434" s="365">
        <v>415</v>
      </c>
      <c r="C434" s="373" t="s">
        <v>284</v>
      </c>
      <c r="D434" s="365">
        <v>1968</v>
      </c>
      <c r="E434" s="367">
        <v>477209</v>
      </c>
      <c r="F434" s="365"/>
      <c r="G434" s="365">
        <v>2023</v>
      </c>
      <c r="H434" s="373" t="s">
        <v>1149</v>
      </c>
      <c r="I434" s="365">
        <v>2</v>
      </c>
    </row>
    <row r="435" spans="2:9">
      <c r="B435" s="365">
        <v>416</v>
      </c>
      <c r="C435" s="373" t="s">
        <v>284</v>
      </c>
      <c r="D435" s="365">
        <v>1969</v>
      </c>
      <c r="E435" s="367">
        <v>160414</v>
      </c>
      <c r="F435" s="365"/>
      <c r="G435" s="365">
        <v>2023</v>
      </c>
      <c r="H435" s="373" t="s">
        <v>1149</v>
      </c>
      <c r="I435" s="365">
        <v>2</v>
      </c>
    </row>
    <row r="436" spans="2:9">
      <c r="B436" s="365">
        <v>417</v>
      </c>
      <c r="C436" s="373" t="s">
        <v>284</v>
      </c>
      <c r="D436" s="365">
        <v>1970</v>
      </c>
      <c r="E436" s="367">
        <v>218021</v>
      </c>
      <c r="F436" s="365"/>
      <c r="G436" s="365">
        <v>2023</v>
      </c>
      <c r="H436" s="373" t="s">
        <v>1149</v>
      </c>
      <c r="I436" s="365">
        <v>2</v>
      </c>
    </row>
    <row r="437" spans="2:9">
      <c r="B437" s="365">
        <v>418</v>
      </c>
      <c r="C437" s="373" t="s">
        <v>284</v>
      </c>
      <c r="D437" s="365">
        <v>1971</v>
      </c>
      <c r="E437" s="367">
        <v>98792</v>
      </c>
      <c r="F437" s="365"/>
      <c r="G437" s="365">
        <v>2023</v>
      </c>
      <c r="H437" s="373" t="s">
        <v>1149</v>
      </c>
      <c r="I437" s="365">
        <v>2</v>
      </c>
    </row>
    <row r="438" spans="2:9">
      <c r="B438" s="365">
        <v>419</v>
      </c>
      <c r="C438" s="373" t="s">
        <v>284</v>
      </c>
      <c r="D438" s="365">
        <v>1972</v>
      </c>
      <c r="E438" s="367">
        <v>49371</v>
      </c>
      <c r="F438" s="365"/>
      <c r="G438" s="365">
        <v>2023</v>
      </c>
      <c r="H438" s="373" t="s">
        <v>1149</v>
      </c>
      <c r="I438" s="365">
        <v>2</v>
      </c>
    </row>
    <row r="439" spans="2:9">
      <c r="B439" s="365">
        <v>420</v>
      </c>
      <c r="C439" s="373" t="s">
        <v>284</v>
      </c>
      <c r="D439" s="365">
        <v>1973</v>
      </c>
      <c r="E439" s="367">
        <v>35155</v>
      </c>
      <c r="F439" s="365"/>
      <c r="G439" s="365">
        <v>2023</v>
      </c>
      <c r="H439" s="373" t="s">
        <v>1149</v>
      </c>
      <c r="I439" s="365">
        <v>2</v>
      </c>
    </row>
    <row r="440" spans="2:9">
      <c r="B440" s="365">
        <v>421</v>
      </c>
      <c r="C440" s="373" t="s">
        <v>284</v>
      </c>
      <c r="D440" s="365">
        <v>1985</v>
      </c>
      <c r="E440" s="367">
        <v>4444</v>
      </c>
      <c r="F440" s="365"/>
      <c r="G440" s="365">
        <v>2023</v>
      </c>
      <c r="H440" s="373" t="s">
        <v>1149</v>
      </c>
      <c r="I440" s="365">
        <v>2</v>
      </c>
    </row>
    <row r="441" spans="2:9">
      <c r="B441" s="365">
        <v>422</v>
      </c>
      <c r="C441" s="373" t="s">
        <v>284</v>
      </c>
      <c r="D441" s="365">
        <v>1988</v>
      </c>
      <c r="E441" s="367">
        <v>1378</v>
      </c>
      <c r="F441" s="365"/>
      <c r="G441" s="365">
        <v>2023</v>
      </c>
      <c r="H441" s="373" t="s">
        <v>1149</v>
      </c>
      <c r="I441" s="365">
        <v>2</v>
      </c>
    </row>
    <row r="442" spans="2:9">
      <c r="B442" s="365">
        <v>423</v>
      </c>
      <c r="C442" s="373" t="s">
        <v>284</v>
      </c>
      <c r="D442" s="365">
        <v>1989</v>
      </c>
      <c r="E442" s="367">
        <v>2017</v>
      </c>
      <c r="F442" s="365"/>
      <c r="G442" s="365">
        <v>2023</v>
      </c>
      <c r="H442" s="373" t="s">
        <v>1149</v>
      </c>
      <c r="I442" s="365">
        <v>2</v>
      </c>
    </row>
    <row r="443" spans="2:9">
      <c r="B443" s="365">
        <v>424</v>
      </c>
      <c r="C443" s="373" t="s">
        <v>284</v>
      </c>
      <c r="D443" s="365">
        <v>1992</v>
      </c>
      <c r="E443" s="367">
        <v>8976</v>
      </c>
      <c r="F443" s="365"/>
      <c r="G443" s="365">
        <v>2023</v>
      </c>
      <c r="H443" s="373" t="s">
        <v>1149</v>
      </c>
      <c r="I443" s="365">
        <v>2</v>
      </c>
    </row>
    <row r="444" spans="2:9">
      <c r="B444" s="365">
        <v>425</v>
      </c>
      <c r="C444" s="373" t="s">
        <v>284</v>
      </c>
      <c r="D444" s="365">
        <v>1993</v>
      </c>
      <c r="E444" s="367">
        <v>168038</v>
      </c>
      <c r="F444" s="365"/>
      <c r="G444" s="365">
        <v>2023</v>
      </c>
      <c r="H444" s="373" t="s">
        <v>1149</v>
      </c>
      <c r="I444" s="365">
        <v>2</v>
      </c>
    </row>
    <row r="445" spans="2:9">
      <c r="B445" s="365">
        <v>426</v>
      </c>
      <c r="C445" s="373" t="s">
        <v>284</v>
      </c>
      <c r="D445" s="365">
        <v>1998</v>
      </c>
      <c r="E445" s="367">
        <v>0</v>
      </c>
      <c r="F445" s="365"/>
      <c r="G445" s="365">
        <v>2023</v>
      </c>
      <c r="H445" s="373" t="s">
        <v>1149</v>
      </c>
      <c r="I445" s="365">
        <v>2</v>
      </c>
    </row>
    <row r="446" spans="2:9">
      <c r="B446" s="365">
        <v>427</v>
      </c>
      <c r="C446" s="373" t="s">
        <v>284</v>
      </c>
      <c r="D446" s="365">
        <v>1999</v>
      </c>
      <c r="E446" s="367">
        <v>34291</v>
      </c>
      <c r="F446" s="365"/>
      <c r="G446" s="365">
        <v>2023</v>
      </c>
      <c r="H446" s="373" t="s">
        <v>1149</v>
      </c>
      <c r="I446" s="365">
        <v>2</v>
      </c>
    </row>
    <row r="447" spans="2:9">
      <c r="B447" s="365">
        <v>428</v>
      </c>
      <c r="C447" s="373" t="s">
        <v>284</v>
      </c>
      <c r="D447" s="365">
        <v>2002</v>
      </c>
      <c r="E447" s="367">
        <v>15500</v>
      </c>
      <c r="F447" s="365"/>
      <c r="G447" s="365">
        <v>2023</v>
      </c>
      <c r="H447" s="373" t="s">
        <v>1149</v>
      </c>
      <c r="I447" s="365">
        <v>2</v>
      </c>
    </row>
    <row r="448" spans="2:9">
      <c r="B448" s="365">
        <v>429</v>
      </c>
      <c r="C448" s="373" t="s">
        <v>284</v>
      </c>
      <c r="D448" s="365">
        <v>2004</v>
      </c>
      <c r="E448" s="367">
        <v>43774</v>
      </c>
      <c r="F448" s="365"/>
      <c r="G448" s="365">
        <v>2023</v>
      </c>
      <c r="H448" s="373" t="s">
        <v>1149</v>
      </c>
      <c r="I448" s="365">
        <v>2</v>
      </c>
    </row>
    <row r="449" spans="2:9">
      <c r="B449" s="365">
        <v>430</v>
      </c>
      <c r="C449" s="373" t="s">
        <v>284</v>
      </c>
      <c r="D449" s="365">
        <v>2005</v>
      </c>
      <c r="E449" s="367">
        <v>54999</v>
      </c>
      <c r="F449" s="365"/>
      <c r="G449" s="365">
        <v>2023</v>
      </c>
      <c r="H449" s="373" t="s">
        <v>1149</v>
      </c>
      <c r="I449" s="365">
        <v>2</v>
      </c>
    </row>
    <row r="450" spans="2:9">
      <c r="B450" s="365">
        <v>431</v>
      </c>
      <c r="C450" s="373" t="s">
        <v>284</v>
      </c>
      <c r="D450" s="365">
        <v>2006</v>
      </c>
      <c r="E450" s="367">
        <v>10076</v>
      </c>
      <c r="F450" s="365"/>
      <c r="G450" s="365">
        <v>2023</v>
      </c>
      <c r="H450" s="373" t="s">
        <v>1149</v>
      </c>
      <c r="I450" s="365">
        <v>2</v>
      </c>
    </row>
    <row r="451" spans="2:9">
      <c r="B451" s="365">
        <v>432</v>
      </c>
      <c r="C451" s="373" t="s">
        <v>284</v>
      </c>
      <c r="D451" s="365">
        <v>2009</v>
      </c>
      <c r="E451" s="367">
        <v>378063</v>
      </c>
      <c r="F451" s="365"/>
      <c r="G451" s="365">
        <v>2023</v>
      </c>
      <c r="H451" s="373" t="s">
        <v>1149</v>
      </c>
      <c r="I451" s="365">
        <v>2</v>
      </c>
    </row>
    <row r="452" spans="2:9">
      <c r="B452" s="365">
        <v>433</v>
      </c>
      <c r="C452" s="373" t="s">
        <v>284</v>
      </c>
      <c r="D452" s="365">
        <v>2011</v>
      </c>
      <c r="E452" s="367">
        <v>17627</v>
      </c>
      <c r="F452" s="365"/>
      <c r="G452" s="365">
        <v>2023</v>
      </c>
      <c r="H452" s="373" t="s">
        <v>1149</v>
      </c>
      <c r="I452" s="365">
        <v>2</v>
      </c>
    </row>
    <row r="453" spans="2:9">
      <c r="B453" s="365">
        <v>434</v>
      </c>
      <c r="C453" s="373" t="s">
        <v>284</v>
      </c>
      <c r="D453" s="365">
        <v>2012</v>
      </c>
      <c r="E453" s="367">
        <v>388523</v>
      </c>
      <c r="F453" s="365"/>
      <c r="G453" s="365">
        <v>2023</v>
      </c>
      <c r="H453" s="373" t="s">
        <v>1149</v>
      </c>
      <c r="I453" s="365">
        <v>2</v>
      </c>
    </row>
    <row r="454" spans="2:9">
      <c r="B454" s="365">
        <v>435</v>
      </c>
      <c r="C454" s="373" t="s">
        <v>288</v>
      </c>
      <c r="D454" s="365">
        <v>1965</v>
      </c>
      <c r="E454" s="367">
        <v>15848</v>
      </c>
      <c r="F454" s="365"/>
      <c r="G454" s="365">
        <v>2023</v>
      </c>
      <c r="H454" s="373" t="s">
        <v>1149</v>
      </c>
      <c r="I454" s="365">
        <v>2</v>
      </c>
    </row>
    <row r="455" spans="2:9">
      <c r="B455" s="365">
        <v>436</v>
      </c>
      <c r="C455" s="373" t="s">
        <v>288</v>
      </c>
      <c r="D455" s="365">
        <v>1966</v>
      </c>
      <c r="E455" s="367">
        <v>120953</v>
      </c>
      <c r="F455" s="365"/>
      <c r="G455" s="365">
        <v>2023</v>
      </c>
      <c r="H455" s="373" t="s">
        <v>1149</v>
      </c>
      <c r="I455" s="365">
        <v>2</v>
      </c>
    </row>
    <row r="456" spans="2:9">
      <c r="B456" s="365">
        <v>437</v>
      </c>
      <c r="C456" s="373" t="s">
        <v>288</v>
      </c>
      <c r="D456" s="365">
        <v>1967</v>
      </c>
      <c r="E456" s="367">
        <v>165153</v>
      </c>
      <c r="F456" s="365"/>
      <c r="G456" s="365">
        <v>2023</v>
      </c>
      <c r="H456" s="373" t="s">
        <v>1149</v>
      </c>
      <c r="I456" s="365">
        <v>2</v>
      </c>
    </row>
    <row r="457" spans="2:9">
      <c r="B457" s="365">
        <v>438</v>
      </c>
      <c r="C457" s="373" t="s">
        <v>288</v>
      </c>
      <c r="D457" s="365">
        <v>1968</v>
      </c>
      <c r="E457" s="367">
        <v>28853</v>
      </c>
      <c r="F457" s="365"/>
      <c r="G457" s="365">
        <v>2023</v>
      </c>
      <c r="H457" s="373" t="s">
        <v>1149</v>
      </c>
      <c r="I457" s="365">
        <v>2</v>
      </c>
    </row>
    <row r="458" spans="2:9">
      <c r="B458" s="365">
        <v>439</v>
      </c>
      <c r="C458" s="373" t="s">
        <v>288</v>
      </c>
      <c r="D458" s="365">
        <v>1969</v>
      </c>
      <c r="E458" s="367">
        <v>89836</v>
      </c>
      <c r="F458" s="365"/>
      <c r="G458" s="365">
        <v>2023</v>
      </c>
      <c r="H458" s="373" t="s">
        <v>1149</v>
      </c>
      <c r="I458" s="365">
        <v>2</v>
      </c>
    </row>
    <row r="459" spans="2:9">
      <c r="B459" s="365">
        <v>440</v>
      </c>
      <c r="C459" s="373" t="s">
        <v>288</v>
      </c>
      <c r="D459" s="365">
        <v>1970</v>
      </c>
      <c r="E459" s="367">
        <v>72338</v>
      </c>
      <c r="F459" s="365"/>
      <c r="G459" s="365">
        <v>2023</v>
      </c>
      <c r="H459" s="373" t="s">
        <v>1149</v>
      </c>
      <c r="I459" s="365">
        <v>2</v>
      </c>
    </row>
    <row r="460" spans="2:9">
      <c r="B460" s="365">
        <v>441</v>
      </c>
      <c r="C460" s="373" t="s">
        <v>288</v>
      </c>
      <c r="D460" s="365">
        <v>1971</v>
      </c>
      <c r="E460" s="367">
        <v>139522</v>
      </c>
      <c r="F460" s="365"/>
      <c r="G460" s="365">
        <v>2023</v>
      </c>
      <c r="H460" s="373" t="s">
        <v>1149</v>
      </c>
      <c r="I460" s="365">
        <v>2</v>
      </c>
    </row>
    <row r="461" spans="2:9">
      <c r="B461" s="365">
        <v>442</v>
      </c>
      <c r="C461" s="373" t="s">
        <v>288</v>
      </c>
      <c r="D461" s="365">
        <v>1972</v>
      </c>
      <c r="E461" s="367">
        <v>67745</v>
      </c>
      <c r="F461" s="365"/>
      <c r="G461" s="365">
        <v>2023</v>
      </c>
      <c r="H461" s="373" t="s">
        <v>1149</v>
      </c>
      <c r="I461" s="365">
        <v>2</v>
      </c>
    </row>
    <row r="462" spans="2:9">
      <c r="B462" s="365">
        <v>443</v>
      </c>
      <c r="C462" s="373" t="s">
        <v>288</v>
      </c>
      <c r="D462" s="365">
        <v>1973</v>
      </c>
      <c r="E462" s="367">
        <v>44525</v>
      </c>
      <c r="F462" s="365"/>
      <c r="G462" s="365">
        <v>2023</v>
      </c>
      <c r="H462" s="373" t="s">
        <v>1149</v>
      </c>
      <c r="I462" s="365">
        <v>2</v>
      </c>
    </row>
    <row r="463" spans="2:9">
      <c r="B463" s="365">
        <v>444</v>
      </c>
      <c r="C463" s="373" t="s">
        <v>288</v>
      </c>
      <c r="D463" s="365">
        <v>1974</v>
      </c>
      <c r="E463" s="367">
        <v>39757</v>
      </c>
      <c r="F463" s="365"/>
      <c r="G463" s="365">
        <v>2023</v>
      </c>
      <c r="H463" s="373" t="s">
        <v>1149</v>
      </c>
      <c r="I463" s="365">
        <v>2</v>
      </c>
    </row>
    <row r="464" spans="2:9">
      <c r="B464" s="365">
        <v>445</v>
      </c>
      <c r="C464" s="373" t="s">
        <v>288</v>
      </c>
      <c r="D464" s="365">
        <v>1976</v>
      </c>
      <c r="E464" s="367">
        <v>3452</v>
      </c>
      <c r="F464" s="365"/>
      <c r="G464" s="365">
        <v>2023</v>
      </c>
      <c r="H464" s="373" t="s">
        <v>1149</v>
      </c>
      <c r="I464" s="365">
        <v>2</v>
      </c>
    </row>
    <row r="465" spans="2:9">
      <c r="B465" s="365">
        <v>446</v>
      </c>
      <c r="C465" s="373" t="s">
        <v>288</v>
      </c>
      <c r="D465" s="365">
        <v>1979</v>
      </c>
      <c r="E465" s="367">
        <v>44473</v>
      </c>
      <c r="F465" s="365"/>
      <c r="G465" s="365">
        <v>2023</v>
      </c>
      <c r="H465" s="373" t="s">
        <v>1149</v>
      </c>
      <c r="I465" s="365">
        <v>2</v>
      </c>
    </row>
    <row r="466" spans="2:9">
      <c r="B466" s="365">
        <v>447</v>
      </c>
      <c r="C466" s="373" t="s">
        <v>288</v>
      </c>
      <c r="D466" s="365">
        <v>1980</v>
      </c>
      <c r="E466" s="367">
        <v>55424</v>
      </c>
      <c r="F466" s="365"/>
      <c r="G466" s="365">
        <v>2023</v>
      </c>
      <c r="H466" s="373" t="s">
        <v>1149</v>
      </c>
      <c r="I466" s="365">
        <v>2</v>
      </c>
    </row>
    <row r="467" spans="2:9">
      <c r="B467" s="365">
        <v>448</v>
      </c>
      <c r="C467" s="373" t="s">
        <v>288</v>
      </c>
      <c r="D467" s="365">
        <v>1983</v>
      </c>
      <c r="E467" s="367">
        <v>83092</v>
      </c>
      <c r="F467" s="365"/>
      <c r="G467" s="365">
        <v>2023</v>
      </c>
      <c r="H467" s="373" t="s">
        <v>1149</v>
      </c>
      <c r="I467" s="365">
        <v>2</v>
      </c>
    </row>
    <row r="468" spans="2:9">
      <c r="B468" s="365">
        <v>449</v>
      </c>
      <c r="C468" s="373" t="s">
        <v>288</v>
      </c>
      <c r="D468" s="365">
        <v>1986</v>
      </c>
      <c r="E468" s="367">
        <v>7736</v>
      </c>
      <c r="F468" s="365"/>
      <c r="G468" s="365">
        <v>2023</v>
      </c>
      <c r="H468" s="373" t="s">
        <v>1149</v>
      </c>
      <c r="I468" s="365">
        <v>2</v>
      </c>
    </row>
    <row r="469" spans="2:9">
      <c r="B469" s="365">
        <v>450</v>
      </c>
      <c r="C469" s="373" t="s">
        <v>288</v>
      </c>
      <c r="D469" s="365">
        <v>1990</v>
      </c>
      <c r="E469" s="367">
        <v>2988</v>
      </c>
      <c r="F469" s="365"/>
      <c r="G469" s="365">
        <v>2023</v>
      </c>
      <c r="H469" s="373" t="s">
        <v>1149</v>
      </c>
      <c r="I469" s="365">
        <v>2</v>
      </c>
    </row>
    <row r="470" spans="2:9">
      <c r="B470" s="365">
        <v>451</v>
      </c>
      <c r="C470" s="373" t="s">
        <v>288</v>
      </c>
      <c r="D470" s="365">
        <v>1992</v>
      </c>
      <c r="E470" s="367">
        <v>6529</v>
      </c>
      <c r="F470" s="365"/>
      <c r="G470" s="365">
        <v>2023</v>
      </c>
      <c r="H470" s="373" t="s">
        <v>1149</v>
      </c>
      <c r="I470" s="365">
        <v>2</v>
      </c>
    </row>
    <row r="471" spans="2:9">
      <c r="B471" s="365">
        <v>452</v>
      </c>
      <c r="C471" s="373" t="s">
        <v>288</v>
      </c>
      <c r="D471" s="365">
        <v>1993</v>
      </c>
      <c r="E471" s="367">
        <v>204300</v>
      </c>
      <c r="F471" s="365"/>
      <c r="G471" s="365">
        <v>2023</v>
      </c>
      <c r="H471" s="373" t="s">
        <v>1149</v>
      </c>
      <c r="I471" s="365">
        <v>2</v>
      </c>
    </row>
    <row r="472" spans="2:9">
      <c r="B472" s="365">
        <v>453</v>
      </c>
      <c r="C472" s="373" t="s">
        <v>288</v>
      </c>
      <c r="D472" s="365">
        <v>1995</v>
      </c>
      <c r="E472" s="367">
        <v>9078</v>
      </c>
      <c r="F472" s="365"/>
      <c r="G472" s="365">
        <v>2023</v>
      </c>
      <c r="H472" s="373" t="s">
        <v>1149</v>
      </c>
      <c r="I472" s="365">
        <v>2</v>
      </c>
    </row>
    <row r="473" spans="2:9">
      <c r="B473" s="365">
        <v>454</v>
      </c>
      <c r="C473" s="373" t="s">
        <v>288</v>
      </c>
      <c r="D473" s="365">
        <v>1997</v>
      </c>
      <c r="E473" s="367">
        <v>9837</v>
      </c>
      <c r="F473" s="365"/>
      <c r="G473" s="365">
        <v>2023</v>
      </c>
      <c r="H473" s="373" t="s">
        <v>1149</v>
      </c>
      <c r="I473" s="365">
        <v>2</v>
      </c>
    </row>
    <row r="474" spans="2:9">
      <c r="B474" s="365">
        <v>455</v>
      </c>
      <c r="C474" s="373" t="s">
        <v>288</v>
      </c>
      <c r="D474" s="365">
        <v>2003</v>
      </c>
      <c r="E474" s="367">
        <v>18238</v>
      </c>
      <c r="F474" s="365"/>
      <c r="G474" s="365">
        <v>2023</v>
      </c>
      <c r="H474" s="373" t="s">
        <v>1149</v>
      </c>
      <c r="I474" s="365">
        <v>2</v>
      </c>
    </row>
    <row r="475" spans="2:9">
      <c r="B475" s="365">
        <v>456</v>
      </c>
      <c r="C475" s="373" t="s">
        <v>288</v>
      </c>
      <c r="D475" s="365">
        <v>2005</v>
      </c>
      <c r="E475" s="367">
        <v>24460</v>
      </c>
      <c r="F475" s="365"/>
      <c r="G475" s="365">
        <v>2023</v>
      </c>
      <c r="H475" s="373" t="s">
        <v>1149</v>
      </c>
      <c r="I475" s="365">
        <v>2</v>
      </c>
    </row>
    <row r="476" spans="2:9">
      <c r="B476" s="365">
        <v>457</v>
      </c>
      <c r="C476" s="373" t="s">
        <v>288</v>
      </c>
      <c r="D476" s="365">
        <v>2007</v>
      </c>
      <c r="E476" s="367">
        <v>58086</v>
      </c>
      <c r="F476" s="365"/>
      <c r="G476" s="365">
        <v>2023</v>
      </c>
      <c r="H476" s="373" t="s">
        <v>1149</v>
      </c>
      <c r="I476" s="365">
        <v>2</v>
      </c>
    </row>
    <row r="477" spans="2:9">
      <c r="B477" s="365">
        <v>458</v>
      </c>
      <c r="C477" s="373" t="s">
        <v>288</v>
      </c>
      <c r="D477" s="365">
        <v>2009</v>
      </c>
      <c r="E477" s="367">
        <v>26309</v>
      </c>
      <c r="F477" s="365"/>
      <c r="G477" s="365">
        <v>2023</v>
      </c>
      <c r="H477" s="373" t="s">
        <v>1149</v>
      </c>
      <c r="I477" s="365">
        <v>2</v>
      </c>
    </row>
    <row r="478" spans="2:9">
      <c r="B478" s="365">
        <v>459</v>
      </c>
      <c r="C478" s="373" t="s">
        <v>297</v>
      </c>
      <c r="D478" s="365">
        <v>2007</v>
      </c>
      <c r="E478" s="367">
        <v>70174</v>
      </c>
      <c r="F478" s="365"/>
      <c r="G478" s="365">
        <v>2023</v>
      </c>
      <c r="H478" s="373" t="s">
        <v>1149</v>
      </c>
      <c r="I478" s="365">
        <v>2</v>
      </c>
    </row>
    <row r="479" spans="2:9">
      <c r="B479" s="365">
        <v>460</v>
      </c>
      <c r="C479" s="373" t="s">
        <v>302</v>
      </c>
      <c r="D479" s="365">
        <v>2003</v>
      </c>
      <c r="E479" s="367">
        <v>5550</v>
      </c>
      <c r="F479" s="365"/>
      <c r="G479" s="365">
        <v>2023</v>
      </c>
      <c r="H479" s="373" t="s">
        <v>1149</v>
      </c>
      <c r="I479" s="365">
        <v>2</v>
      </c>
    </row>
    <row r="480" spans="2:9">
      <c r="B480" s="365">
        <v>461</v>
      </c>
      <c r="C480" s="373" t="s">
        <v>319</v>
      </c>
      <c r="D480" s="365">
        <v>1970</v>
      </c>
      <c r="E480" s="367">
        <v>37182</v>
      </c>
      <c r="F480" s="365"/>
      <c r="G480" s="365">
        <v>2023</v>
      </c>
      <c r="H480" s="373" t="s">
        <v>1149</v>
      </c>
      <c r="I480" s="365">
        <v>2</v>
      </c>
    </row>
    <row r="481" spans="2:9">
      <c r="B481" s="365">
        <v>462</v>
      </c>
      <c r="C481" s="373" t="s">
        <v>319</v>
      </c>
      <c r="D481" s="365">
        <v>1971</v>
      </c>
      <c r="E481" s="367">
        <v>5302</v>
      </c>
      <c r="F481" s="365"/>
      <c r="G481" s="365">
        <v>2023</v>
      </c>
      <c r="H481" s="373" t="s">
        <v>1149</v>
      </c>
      <c r="I481" s="365">
        <v>2</v>
      </c>
    </row>
    <row r="482" spans="2:9">
      <c r="B482" s="365">
        <v>463</v>
      </c>
      <c r="C482" s="373" t="s">
        <v>317</v>
      </c>
      <c r="D482" s="365">
        <v>1970</v>
      </c>
      <c r="E482" s="367">
        <v>386046</v>
      </c>
      <c r="F482" s="365"/>
      <c r="G482" s="365">
        <v>2023</v>
      </c>
      <c r="H482" s="373" t="s">
        <v>1149</v>
      </c>
      <c r="I482" s="365">
        <v>2</v>
      </c>
    </row>
    <row r="483" spans="2:9">
      <c r="B483" s="365">
        <v>464</v>
      </c>
      <c r="C483" s="373" t="s">
        <v>317</v>
      </c>
      <c r="D483" s="365">
        <v>1971</v>
      </c>
      <c r="E483" s="367">
        <v>17164</v>
      </c>
      <c r="F483" s="365"/>
      <c r="G483" s="365">
        <v>2023</v>
      </c>
      <c r="H483" s="373" t="s">
        <v>1149</v>
      </c>
      <c r="I483" s="365">
        <v>2</v>
      </c>
    </row>
    <row r="484" spans="2:9">
      <c r="B484" s="365">
        <v>465</v>
      </c>
      <c r="C484" s="373" t="s">
        <v>317</v>
      </c>
      <c r="D484" s="365">
        <v>1973</v>
      </c>
      <c r="E484" s="367">
        <v>15941</v>
      </c>
      <c r="F484" s="365"/>
      <c r="G484" s="365">
        <v>2023</v>
      </c>
      <c r="H484" s="373" t="s">
        <v>1149</v>
      </c>
      <c r="I484" s="365">
        <v>2</v>
      </c>
    </row>
    <row r="485" spans="2:9">
      <c r="B485" s="365">
        <v>466</v>
      </c>
      <c r="C485" s="373" t="s">
        <v>317</v>
      </c>
      <c r="D485" s="365">
        <v>1974</v>
      </c>
      <c r="E485" s="367">
        <v>14358</v>
      </c>
      <c r="F485" s="365"/>
      <c r="G485" s="365">
        <v>2023</v>
      </c>
      <c r="H485" s="373" t="s">
        <v>1149</v>
      </c>
      <c r="I485" s="365">
        <v>2</v>
      </c>
    </row>
    <row r="486" spans="2:9">
      <c r="B486" s="365">
        <v>467</v>
      </c>
      <c r="C486" s="373" t="s">
        <v>317</v>
      </c>
      <c r="D486" s="365">
        <v>1977</v>
      </c>
      <c r="E486" s="367">
        <v>5493996</v>
      </c>
      <c r="F486" s="365"/>
      <c r="G486" s="365">
        <v>2023</v>
      </c>
      <c r="H486" s="373" t="s">
        <v>1149</v>
      </c>
      <c r="I486" s="365">
        <v>2</v>
      </c>
    </row>
    <row r="487" spans="2:9">
      <c r="B487" s="365">
        <v>468</v>
      </c>
      <c r="C487" s="373" t="s">
        <v>317</v>
      </c>
      <c r="D487" s="365">
        <v>1978</v>
      </c>
      <c r="E487" s="367">
        <v>488039</v>
      </c>
      <c r="F487" s="365"/>
      <c r="G487" s="365">
        <v>2023</v>
      </c>
      <c r="H487" s="373" t="s">
        <v>1149</v>
      </c>
      <c r="I487" s="365">
        <v>2</v>
      </c>
    </row>
    <row r="488" spans="2:9">
      <c r="B488" s="365">
        <v>469</v>
      </c>
      <c r="C488" s="373" t="s">
        <v>317</v>
      </c>
      <c r="D488" s="365">
        <v>1980</v>
      </c>
      <c r="E488" s="367">
        <v>1219567</v>
      </c>
      <c r="F488" s="365"/>
      <c r="G488" s="365">
        <v>2023</v>
      </c>
      <c r="H488" s="373" t="s">
        <v>1149</v>
      </c>
      <c r="I488" s="365">
        <v>2</v>
      </c>
    </row>
    <row r="489" spans="2:9">
      <c r="B489" s="365">
        <v>470</v>
      </c>
      <c r="C489" s="373" t="s">
        <v>317</v>
      </c>
      <c r="D489" s="365">
        <v>1989</v>
      </c>
      <c r="E489" s="367">
        <v>920373</v>
      </c>
      <c r="F489" s="365"/>
      <c r="G489" s="365">
        <v>2023</v>
      </c>
      <c r="H489" s="373" t="s">
        <v>1149</v>
      </c>
      <c r="I489" s="365">
        <v>2</v>
      </c>
    </row>
    <row r="490" spans="2:9">
      <c r="B490" s="365">
        <v>471</v>
      </c>
      <c r="C490" s="373" t="s">
        <v>317</v>
      </c>
      <c r="D490" s="365">
        <v>1990</v>
      </c>
      <c r="E490" s="367">
        <v>17770</v>
      </c>
      <c r="F490" s="365"/>
      <c r="G490" s="365">
        <v>2023</v>
      </c>
      <c r="H490" s="373" t="s">
        <v>1149</v>
      </c>
      <c r="I490" s="365">
        <v>2</v>
      </c>
    </row>
    <row r="491" spans="2:9">
      <c r="B491" s="365">
        <v>472</v>
      </c>
      <c r="C491" s="373" t="s">
        <v>317</v>
      </c>
      <c r="D491" s="365">
        <v>1992</v>
      </c>
      <c r="E491" s="367">
        <v>697451</v>
      </c>
      <c r="F491" s="365"/>
      <c r="G491" s="365">
        <v>2023</v>
      </c>
      <c r="H491" s="373" t="s">
        <v>1149</v>
      </c>
      <c r="I491" s="365">
        <v>2</v>
      </c>
    </row>
    <row r="492" spans="2:9">
      <c r="B492" s="365">
        <v>473</v>
      </c>
      <c r="C492" s="373" t="s">
        <v>317</v>
      </c>
      <c r="D492" s="365">
        <v>1998</v>
      </c>
      <c r="E492" s="367">
        <v>18065</v>
      </c>
      <c r="F492" s="365"/>
      <c r="G492" s="365">
        <v>2023</v>
      </c>
      <c r="H492" s="373" t="s">
        <v>1149</v>
      </c>
      <c r="I492" s="365">
        <v>2</v>
      </c>
    </row>
    <row r="493" spans="2:9">
      <c r="B493" s="365">
        <v>474</v>
      </c>
      <c r="C493" s="373" t="s">
        <v>317</v>
      </c>
      <c r="D493" s="365">
        <v>2002</v>
      </c>
      <c r="E493" s="367">
        <v>237214</v>
      </c>
      <c r="F493" s="365"/>
      <c r="G493" s="365">
        <v>2023</v>
      </c>
      <c r="H493" s="373" t="s">
        <v>1149</v>
      </c>
      <c r="I493" s="365">
        <v>2</v>
      </c>
    </row>
    <row r="494" spans="2:9">
      <c r="B494" s="365">
        <v>475</v>
      </c>
      <c r="C494" s="373" t="s">
        <v>317</v>
      </c>
      <c r="D494" s="365">
        <v>2004</v>
      </c>
      <c r="E494" s="367">
        <v>1858941</v>
      </c>
      <c r="F494" s="365"/>
      <c r="G494" s="365">
        <v>2023</v>
      </c>
      <c r="H494" s="373" t="s">
        <v>1149</v>
      </c>
      <c r="I494" s="365">
        <v>2</v>
      </c>
    </row>
    <row r="495" spans="2:9">
      <c r="B495" s="365">
        <v>476</v>
      </c>
      <c r="C495" s="373" t="s">
        <v>317</v>
      </c>
      <c r="D495" s="365">
        <v>2005</v>
      </c>
      <c r="E495" s="367">
        <v>189548</v>
      </c>
      <c r="F495" s="365"/>
      <c r="G495" s="365">
        <v>2023</v>
      </c>
      <c r="H495" s="373" t="s">
        <v>1149</v>
      </c>
      <c r="I495" s="365">
        <v>2</v>
      </c>
    </row>
    <row r="496" spans="2:9">
      <c r="B496" s="365">
        <v>477</v>
      </c>
      <c r="C496" s="373" t="s">
        <v>317</v>
      </c>
      <c r="D496" s="365">
        <v>2006</v>
      </c>
      <c r="E496" s="367">
        <v>43450</v>
      </c>
      <c r="F496" s="365"/>
      <c r="G496" s="365">
        <v>2023</v>
      </c>
      <c r="H496" s="373" t="s">
        <v>1149</v>
      </c>
      <c r="I496" s="365">
        <v>2</v>
      </c>
    </row>
    <row r="497" spans="2:9">
      <c r="B497" s="365">
        <v>478</v>
      </c>
      <c r="C497" s="373" t="s">
        <v>317</v>
      </c>
      <c r="D497" s="365">
        <v>2008</v>
      </c>
      <c r="E497" s="367">
        <v>2149449</v>
      </c>
      <c r="F497" s="365"/>
      <c r="G497" s="365">
        <v>2023</v>
      </c>
      <c r="H497" s="373" t="s">
        <v>1149</v>
      </c>
      <c r="I497" s="365">
        <v>2</v>
      </c>
    </row>
    <row r="498" spans="2:9">
      <c r="B498" s="365">
        <v>479</v>
      </c>
      <c r="C498" s="373" t="s">
        <v>317</v>
      </c>
      <c r="D498" s="365">
        <v>2009</v>
      </c>
      <c r="E498" s="367">
        <v>38325</v>
      </c>
      <c r="F498" s="365"/>
      <c r="G498" s="365">
        <v>2023</v>
      </c>
      <c r="H498" s="373" t="s">
        <v>1149</v>
      </c>
      <c r="I498" s="365">
        <v>2</v>
      </c>
    </row>
    <row r="499" spans="2:9">
      <c r="B499" s="365">
        <v>480</v>
      </c>
      <c r="C499" s="373" t="s">
        <v>317</v>
      </c>
      <c r="D499" s="365">
        <v>2010</v>
      </c>
      <c r="E499" s="367">
        <v>194639</v>
      </c>
      <c r="F499" s="365"/>
      <c r="G499" s="365">
        <v>2023</v>
      </c>
      <c r="H499" s="373" t="s">
        <v>1149</v>
      </c>
      <c r="I499" s="365">
        <v>2</v>
      </c>
    </row>
    <row r="500" spans="2:9">
      <c r="B500" s="365">
        <v>481</v>
      </c>
      <c r="C500" s="373" t="s">
        <v>317</v>
      </c>
      <c r="D500" s="365">
        <v>2011</v>
      </c>
      <c r="E500" s="367">
        <v>49243</v>
      </c>
      <c r="F500" s="365"/>
      <c r="G500" s="365">
        <v>2023</v>
      </c>
      <c r="H500" s="373" t="s">
        <v>1149</v>
      </c>
      <c r="I500" s="365">
        <v>2</v>
      </c>
    </row>
    <row r="501" spans="2:9">
      <c r="B501" s="365">
        <v>482</v>
      </c>
      <c r="C501" s="373" t="s">
        <v>317</v>
      </c>
      <c r="D501" s="365">
        <v>2012</v>
      </c>
      <c r="E501" s="367">
        <v>7253368</v>
      </c>
      <c r="F501" s="365"/>
      <c r="G501" s="365">
        <v>2023</v>
      </c>
      <c r="H501" s="373" t="s">
        <v>1149</v>
      </c>
      <c r="I501" s="365">
        <v>2</v>
      </c>
    </row>
    <row r="502" spans="2:9">
      <c r="B502" s="365">
        <v>483</v>
      </c>
      <c r="C502" s="373" t="s">
        <v>317</v>
      </c>
      <c r="D502" s="365">
        <v>2014</v>
      </c>
      <c r="E502" s="367">
        <v>746917</v>
      </c>
      <c r="F502" s="365"/>
      <c r="G502" s="365">
        <v>2023</v>
      </c>
      <c r="H502" s="373" t="s">
        <v>1149</v>
      </c>
      <c r="I502" s="365">
        <v>2</v>
      </c>
    </row>
    <row r="503" spans="2:9">
      <c r="B503" s="365">
        <v>484</v>
      </c>
      <c r="C503" s="373" t="s">
        <v>317</v>
      </c>
      <c r="D503" s="365">
        <v>2015</v>
      </c>
      <c r="E503" s="367">
        <v>411557</v>
      </c>
      <c r="F503" s="365"/>
      <c r="G503" s="365">
        <v>2023</v>
      </c>
      <c r="H503" s="373" t="s">
        <v>1149</v>
      </c>
      <c r="I503" s="365">
        <v>2</v>
      </c>
    </row>
    <row r="504" spans="2:9">
      <c r="B504" s="365">
        <v>485</v>
      </c>
      <c r="C504" s="373" t="s">
        <v>317</v>
      </c>
      <c r="D504" s="365">
        <v>2016</v>
      </c>
      <c r="E504" s="367">
        <v>136755</v>
      </c>
      <c r="F504" s="365"/>
      <c r="G504" s="365">
        <v>2023</v>
      </c>
      <c r="H504" s="373" t="s">
        <v>1149</v>
      </c>
      <c r="I504" s="365">
        <v>2</v>
      </c>
    </row>
    <row r="505" spans="2:9">
      <c r="B505" s="365">
        <v>486</v>
      </c>
      <c r="C505" s="373" t="s">
        <v>320</v>
      </c>
      <c r="D505" s="365">
        <v>1977</v>
      </c>
      <c r="E505" s="367">
        <v>804746</v>
      </c>
      <c r="F505" s="365"/>
      <c r="G505" s="365">
        <v>2023</v>
      </c>
      <c r="H505" s="373" t="s">
        <v>1149</v>
      </c>
      <c r="I505" s="365">
        <v>2</v>
      </c>
    </row>
    <row r="506" spans="2:9">
      <c r="B506" s="365">
        <v>487</v>
      </c>
      <c r="C506" s="373" t="s">
        <v>321</v>
      </c>
      <c r="D506" s="365">
        <v>1985</v>
      </c>
      <c r="E506" s="367">
        <v>7919770</v>
      </c>
      <c r="F506" s="365"/>
      <c r="G506" s="365">
        <v>2023</v>
      </c>
      <c r="H506" s="373" t="s">
        <v>1149</v>
      </c>
      <c r="I506" s="365">
        <v>2</v>
      </c>
    </row>
    <row r="507" spans="2:9">
      <c r="B507" s="365">
        <v>488</v>
      </c>
      <c r="C507" s="373" t="s">
        <v>321</v>
      </c>
      <c r="D507" s="365">
        <v>1988</v>
      </c>
      <c r="E507" s="367">
        <v>378309</v>
      </c>
      <c r="F507" s="365"/>
      <c r="G507" s="365">
        <v>2023</v>
      </c>
      <c r="H507" s="373" t="s">
        <v>1149</v>
      </c>
      <c r="I507" s="365">
        <v>2</v>
      </c>
    </row>
    <row r="508" spans="2:9">
      <c r="B508" s="365">
        <v>489</v>
      </c>
      <c r="C508" s="373" t="s">
        <v>321</v>
      </c>
      <c r="D508" s="365">
        <v>1990</v>
      </c>
      <c r="E508" s="367">
        <v>29867</v>
      </c>
      <c r="F508" s="365"/>
      <c r="G508" s="365">
        <v>2023</v>
      </c>
      <c r="H508" s="373" t="s">
        <v>1149</v>
      </c>
      <c r="I508" s="365">
        <v>2</v>
      </c>
    </row>
    <row r="509" spans="2:9">
      <c r="B509" s="365">
        <v>490</v>
      </c>
      <c r="C509" s="373" t="s">
        <v>321</v>
      </c>
      <c r="D509" s="365">
        <v>1992</v>
      </c>
      <c r="E509" s="367">
        <v>5605988</v>
      </c>
      <c r="F509" s="365"/>
      <c r="G509" s="365">
        <v>2023</v>
      </c>
      <c r="H509" s="373" t="s">
        <v>1149</v>
      </c>
      <c r="I509" s="365">
        <v>2</v>
      </c>
    </row>
    <row r="510" spans="2:9">
      <c r="B510" s="365">
        <v>491</v>
      </c>
      <c r="C510" s="373" t="s">
        <v>321</v>
      </c>
      <c r="D510" s="365">
        <v>1995</v>
      </c>
      <c r="E510" s="367">
        <v>2552054</v>
      </c>
      <c r="F510" s="365"/>
      <c r="G510" s="365">
        <v>2023</v>
      </c>
      <c r="H510" s="373" t="s">
        <v>1149</v>
      </c>
      <c r="I510" s="365">
        <v>2</v>
      </c>
    </row>
    <row r="511" spans="2:9">
      <c r="B511" s="365">
        <v>492</v>
      </c>
      <c r="C511" s="373" t="s">
        <v>321</v>
      </c>
      <c r="D511" s="365">
        <v>1996</v>
      </c>
      <c r="E511" s="367">
        <v>11549</v>
      </c>
      <c r="F511" s="365"/>
      <c r="G511" s="365">
        <v>2023</v>
      </c>
      <c r="H511" s="373" t="s">
        <v>1149</v>
      </c>
      <c r="I511" s="365">
        <v>2</v>
      </c>
    </row>
    <row r="512" spans="2:9">
      <c r="B512" s="365">
        <v>493</v>
      </c>
      <c r="C512" s="373" t="s">
        <v>321</v>
      </c>
      <c r="D512" s="365">
        <v>1998</v>
      </c>
      <c r="E512" s="367">
        <v>28291</v>
      </c>
      <c r="F512" s="365"/>
      <c r="G512" s="365">
        <v>2023</v>
      </c>
      <c r="H512" s="373" t="s">
        <v>1149</v>
      </c>
      <c r="I512" s="365">
        <v>2</v>
      </c>
    </row>
    <row r="513" spans="2:9">
      <c r="B513" s="365">
        <v>494</v>
      </c>
      <c r="C513" s="373" t="s">
        <v>321</v>
      </c>
      <c r="D513" s="365">
        <v>2001</v>
      </c>
      <c r="E513" s="367">
        <v>273838</v>
      </c>
      <c r="F513" s="365"/>
      <c r="G513" s="365">
        <v>2023</v>
      </c>
      <c r="H513" s="373" t="s">
        <v>1149</v>
      </c>
      <c r="I513" s="365">
        <v>2</v>
      </c>
    </row>
    <row r="514" spans="2:9">
      <c r="B514" s="365">
        <v>495</v>
      </c>
      <c r="C514" s="373" t="s">
        <v>321</v>
      </c>
      <c r="D514" s="365">
        <v>2003</v>
      </c>
      <c r="E514" s="367">
        <v>35370</v>
      </c>
      <c r="F514" s="365"/>
      <c r="G514" s="365">
        <v>2023</v>
      </c>
      <c r="H514" s="373" t="s">
        <v>1149</v>
      </c>
      <c r="I514" s="365">
        <v>2</v>
      </c>
    </row>
    <row r="515" spans="2:9">
      <c r="B515" s="365">
        <v>496</v>
      </c>
      <c r="C515" s="373" t="s">
        <v>321</v>
      </c>
      <c r="D515" s="365">
        <v>2004</v>
      </c>
      <c r="E515" s="367">
        <v>45503</v>
      </c>
      <c r="F515" s="365"/>
      <c r="G515" s="365">
        <v>2023</v>
      </c>
      <c r="H515" s="373" t="s">
        <v>1149</v>
      </c>
      <c r="I515" s="365">
        <v>2</v>
      </c>
    </row>
    <row r="516" spans="2:9">
      <c r="B516" s="365">
        <v>497</v>
      </c>
      <c r="C516" s="373" t="s">
        <v>321</v>
      </c>
      <c r="D516" s="365">
        <v>2005</v>
      </c>
      <c r="E516" s="367">
        <v>165266</v>
      </c>
      <c r="F516" s="365"/>
      <c r="G516" s="365">
        <v>2023</v>
      </c>
      <c r="H516" s="373" t="s">
        <v>1149</v>
      </c>
      <c r="I516" s="365">
        <v>2</v>
      </c>
    </row>
    <row r="517" spans="2:9">
      <c r="B517" s="365">
        <v>498</v>
      </c>
      <c r="C517" s="373" t="s">
        <v>321</v>
      </c>
      <c r="D517" s="365">
        <v>2006</v>
      </c>
      <c r="E517" s="367">
        <v>419198</v>
      </c>
      <c r="F517" s="365"/>
      <c r="G517" s="365">
        <v>2023</v>
      </c>
      <c r="H517" s="373" t="s">
        <v>1149</v>
      </c>
      <c r="I517" s="365">
        <v>2</v>
      </c>
    </row>
    <row r="518" spans="2:9">
      <c r="B518" s="365">
        <v>499</v>
      </c>
      <c r="C518" s="373" t="s">
        <v>321</v>
      </c>
      <c r="D518" s="365">
        <v>2007</v>
      </c>
      <c r="E518" s="367">
        <v>1086511</v>
      </c>
      <c r="F518" s="365"/>
      <c r="G518" s="365">
        <v>2023</v>
      </c>
      <c r="H518" s="373" t="s">
        <v>1149</v>
      </c>
      <c r="I518" s="365">
        <v>2</v>
      </c>
    </row>
    <row r="519" spans="2:9">
      <c r="B519" s="365">
        <v>500</v>
      </c>
      <c r="C519" s="373" t="s">
        <v>321</v>
      </c>
      <c r="D519" s="365">
        <v>2008</v>
      </c>
      <c r="E519" s="367">
        <v>1532964</v>
      </c>
      <c r="F519" s="365"/>
      <c r="G519" s="365">
        <v>2023</v>
      </c>
      <c r="H519" s="373" t="s">
        <v>1149</v>
      </c>
      <c r="I519" s="365">
        <v>2</v>
      </c>
    </row>
    <row r="520" spans="2:9">
      <c r="B520" s="365">
        <v>501</v>
      </c>
      <c r="C520" s="373" t="s">
        <v>321</v>
      </c>
      <c r="D520" s="365">
        <v>2009</v>
      </c>
      <c r="E520" s="367">
        <v>100227</v>
      </c>
      <c r="F520" s="365"/>
      <c r="G520" s="365">
        <v>2023</v>
      </c>
      <c r="H520" s="373" t="s">
        <v>1149</v>
      </c>
      <c r="I520" s="365">
        <v>2</v>
      </c>
    </row>
    <row r="521" spans="2:9">
      <c r="B521" s="365">
        <v>502</v>
      </c>
      <c r="C521" s="373" t="s">
        <v>321</v>
      </c>
      <c r="D521" s="365">
        <v>2010</v>
      </c>
      <c r="E521" s="367">
        <v>956327</v>
      </c>
      <c r="F521" s="365"/>
      <c r="G521" s="365">
        <v>2023</v>
      </c>
      <c r="H521" s="373" t="s">
        <v>1149</v>
      </c>
      <c r="I521" s="365">
        <v>2</v>
      </c>
    </row>
    <row r="522" spans="2:9">
      <c r="B522" s="365">
        <v>503</v>
      </c>
      <c r="C522" s="373" t="s">
        <v>321</v>
      </c>
      <c r="D522" s="365">
        <v>2011</v>
      </c>
      <c r="E522" s="367">
        <v>1338329</v>
      </c>
      <c r="F522" s="365"/>
      <c r="G522" s="365">
        <v>2023</v>
      </c>
      <c r="H522" s="373" t="s">
        <v>1149</v>
      </c>
      <c r="I522" s="365">
        <v>2</v>
      </c>
    </row>
    <row r="523" spans="2:9">
      <c r="B523" s="365">
        <v>504</v>
      </c>
      <c r="C523" s="373" t="s">
        <v>321</v>
      </c>
      <c r="D523" s="365">
        <v>2012</v>
      </c>
      <c r="E523" s="367">
        <v>479994</v>
      </c>
      <c r="F523" s="365"/>
      <c r="G523" s="365">
        <v>2023</v>
      </c>
      <c r="H523" s="373" t="s">
        <v>1149</v>
      </c>
      <c r="I523" s="365">
        <v>2</v>
      </c>
    </row>
    <row r="524" spans="2:9">
      <c r="B524" s="365">
        <v>505</v>
      </c>
      <c r="C524" s="373" t="s">
        <v>321</v>
      </c>
      <c r="D524" s="365">
        <v>2013</v>
      </c>
      <c r="E524" s="367">
        <v>640497</v>
      </c>
      <c r="F524" s="365"/>
      <c r="G524" s="365">
        <v>2023</v>
      </c>
      <c r="H524" s="373" t="s">
        <v>1149</v>
      </c>
      <c r="I524" s="365">
        <v>2</v>
      </c>
    </row>
    <row r="525" spans="2:9">
      <c r="B525" s="365">
        <v>506</v>
      </c>
      <c r="C525" s="373" t="s">
        <v>321</v>
      </c>
      <c r="D525" s="365">
        <v>2014</v>
      </c>
      <c r="E525" s="367">
        <v>1591</v>
      </c>
      <c r="F525" s="365"/>
      <c r="G525" s="365">
        <v>2023</v>
      </c>
      <c r="H525" s="373" t="s">
        <v>1149</v>
      </c>
      <c r="I525" s="365">
        <v>2</v>
      </c>
    </row>
    <row r="526" spans="2:9">
      <c r="B526" s="365">
        <v>507</v>
      </c>
      <c r="C526" s="373" t="s">
        <v>321</v>
      </c>
      <c r="D526" s="365">
        <v>2016</v>
      </c>
      <c r="E526" s="367">
        <v>36980</v>
      </c>
      <c r="F526" s="365"/>
      <c r="G526" s="365">
        <v>2023</v>
      </c>
      <c r="H526" s="373" t="s">
        <v>1149</v>
      </c>
      <c r="I526" s="365">
        <v>2</v>
      </c>
    </row>
    <row r="527" spans="2:9">
      <c r="B527" s="365">
        <v>508</v>
      </c>
      <c r="C527" s="373" t="s">
        <v>325</v>
      </c>
      <c r="D527" s="365">
        <v>1964</v>
      </c>
      <c r="E527" s="367">
        <v>3025</v>
      </c>
      <c r="F527" s="365"/>
      <c r="G527" s="365">
        <v>2023</v>
      </c>
      <c r="H527" s="373" t="s">
        <v>1149</v>
      </c>
      <c r="I527" s="365">
        <v>2</v>
      </c>
    </row>
    <row r="528" spans="2:9">
      <c r="B528" s="365">
        <v>509</v>
      </c>
      <c r="C528" s="373" t="s">
        <v>325</v>
      </c>
      <c r="D528" s="365">
        <v>1966</v>
      </c>
      <c r="E528" s="367">
        <v>70000</v>
      </c>
      <c r="F528" s="365"/>
      <c r="G528" s="365">
        <v>2023</v>
      </c>
      <c r="H528" s="373" t="s">
        <v>1149</v>
      </c>
      <c r="I528" s="365">
        <v>2</v>
      </c>
    </row>
    <row r="529" spans="2:9">
      <c r="B529" s="365">
        <v>510</v>
      </c>
      <c r="C529" s="373" t="s">
        <v>325</v>
      </c>
      <c r="D529" s="365">
        <v>1967</v>
      </c>
      <c r="E529" s="367">
        <v>7455</v>
      </c>
      <c r="F529" s="365"/>
      <c r="G529" s="365">
        <v>2023</v>
      </c>
      <c r="H529" s="373" t="s">
        <v>1149</v>
      </c>
      <c r="I529" s="365">
        <v>2</v>
      </c>
    </row>
    <row r="530" spans="2:9">
      <c r="B530" s="365">
        <v>511</v>
      </c>
      <c r="C530" s="373" t="s">
        <v>325</v>
      </c>
      <c r="D530" s="365">
        <v>1970</v>
      </c>
      <c r="E530" s="367">
        <v>18136</v>
      </c>
      <c r="F530" s="365"/>
      <c r="G530" s="365">
        <v>2023</v>
      </c>
      <c r="H530" s="373" t="s">
        <v>1149</v>
      </c>
      <c r="I530" s="365">
        <v>2</v>
      </c>
    </row>
    <row r="531" spans="2:9">
      <c r="B531" s="365">
        <v>512</v>
      </c>
      <c r="C531" s="373" t="s">
        <v>325</v>
      </c>
      <c r="D531" s="365">
        <v>1971</v>
      </c>
      <c r="E531" s="367">
        <v>9848</v>
      </c>
      <c r="F531" s="365"/>
      <c r="G531" s="365">
        <v>2023</v>
      </c>
      <c r="H531" s="373" t="s">
        <v>1149</v>
      </c>
      <c r="I531" s="365">
        <v>2</v>
      </c>
    </row>
    <row r="532" spans="2:9">
      <c r="B532" s="365">
        <v>513</v>
      </c>
      <c r="C532" s="373" t="s">
        <v>325</v>
      </c>
      <c r="D532" s="365">
        <v>1975</v>
      </c>
      <c r="E532" s="367">
        <v>126847</v>
      </c>
      <c r="F532" s="365"/>
      <c r="G532" s="365">
        <v>2023</v>
      </c>
      <c r="H532" s="373" t="s">
        <v>1149</v>
      </c>
      <c r="I532" s="365">
        <v>2</v>
      </c>
    </row>
    <row r="533" spans="2:9">
      <c r="B533" s="365">
        <v>514</v>
      </c>
      <c r="C533" s="373" t="s">
        <v>325</v>
      </c>
      <c r="D533" s="365">
        <v>1976</v>
      </c>
      <c r="E533" s="367">
        <v>34143</v>
      </c>
      <c r="F533" s="365"/>
      <c r="G533" s="365">
        <v>2023</v>
      </c>
      <c r="H533" s="373" t="s">
        <v>1149</v>
      </c>
      <c r="I533" s="365">
        <v>2</v>
      </c>
    </row>
    <row r="534" spans="2:9">
      <c r="B534" s="365">
        <v>515</v>
      </c>
      <c r="C534" s="373" t="s">
        <v>325</v>
      </c>
      <c r="D534" s="365">
        <v>1978</v>
      </c>
      <c r="E534" s="367">
        <v>16987</v>
      </c>
      <c r="F534" s="365"/>
      <c r="G534" s="365">
        <v>2023</v>
      </c>
      <c r="H534" s="373" t="s">
        <v>1149</v>
      </c>
      <c r="I534" s="365">
        <v>2</v>
      </c>
    </row>
    <row r="535" spans="2:9">
      <c r="B535" s="365">
        <v>516</v>
      </c>
      <c r="C535" s="373" t="s">
        <v>325</v>
      </c>
      <c r="D535" s="365">
        <v>1980</v>
      </c>
      <c r="E535" s="367">
        <v>18508</v>
      </c>
      <c r="F535" s="365"/>
      <c r="G535" s="365">
        <v>2023</v>
      </c>
      <c r="H535" s="373" t="s">
        <v>1149</v>
      </c>
      <c r="I535" s="365">
        <v>2</v>
      </c>
    </row>
    <row r="536" spans="2:9">
      <c r="B536" s="365">
        <v>517</v>
      </c>
      <c r="C536" s="373" t="s">
        <v>325</v>
      </c>
      <c r="D536" s="365">
        <v>1982</v>
      </c>
      <c r="E536" s="367">
        <v>28372</v>
      </c>
      <c r="F536" s="365"/>
      <c r="G536" s="365">
        <v>2023</v>
      </c>
      <c r="H536" s="373" t="s">
        <v>1149</v>
      </c>
      <c r="I536" s="365">
        <v>2</v>
      </c>
    </row>
    <row r="537" spans="2:9">
      <c r="B537" s="365">
        <v>518</v>
      </c>
      <c r="C537" s="373" t="s">
        <v>325</v>
      </c>
      <c r="D537" s="365">
        <v>1986</v>
      </c>
      <c r="E537" s="367">
        <v>22360</v>
      </c>
      <c r="F537" s="365"/>
      <c r="G537" s="365">
        <v>2023</v>
      </c>
      <c r="H537" s="373" t="s">
        <v>1149</v>
      </c>
      <c r="I537" s="365">
        <v>2</v>
      </c>
    </row>
    <row r="538" spans="2:9">
      <c r="B538" s="365">
        <v>519</v>
      </c>
      <c r="C538" s="373" t="s">
        <v>325</v>
      </c>
      <c r="D538" s="365">
        <v>1987</v>
      </c>
      <c r="E538" s="367">
        <v>22132</v>
      </c>
      <c r="F538" s="365"/>
      <c r="G538" s="365">
        <v>2023</v>
      </c>
      <c r="H538" s="373" t="s">
        <v>1149</v>
      </c>
      <c r="I538" s="365">
        <v>2</v>
      </c>
    </row>
    <row r="539" spans="2:9">
      <c r="B539" s="365">
        <v>520</v>
      </c>
      <c r="C539" s="373" t="s">
        <v>325</v>
      </c>
      <c r="D539" s="365">
        <v>1993</v>
      </c>
      <c r="E539" s="367">
        <v>24502</v>
      </c>
      <c r="F539" s="365"/>
      <c r="G539" s="365">
        <v>2023</v>
      </c>
      <c r="H539" s="373" t="s">
        <v>1149</v>
      </c>
      <c r="I539" s="365">
        <v>2</v>
      </c>
    </row>
    <row r="540" spans="2:9">
      <c r="B540" s="365">
        <v>521</v>
      </c>
      <c r="C540" s="373" t="s">
        <v>325</v>
      </c>
      <c r="D540" s="365">
        <v>1996</v>
      </c>
      <c r="E540" s="367">
        <v>67710</v>
      </c>
      <c r="F540" s="365"/>
      <c r="G540" s="365">
        <v>2023</v>
      </c>
      <c r="H540" s="373" t="s">
        <v>1149</v>
      </c>
      <c r="I540" s="365">
        <v>2</v>
      </c>
    </row>
    <row r="541" spans="2:9">
      <c r="B541" s="365">
        <v>522</v>
      </c>
      <c r="C541" s="373" t="s">
        <v>325</v>
      </c>
      <c r="D541" s="365">
        <v>2002</v>
      </c>
      <c r="E541" s="367">
        <v>278598</v>
      </c>
      <c r="F541" s="365"/>
      <c r="G541" s="365">
        <v>2023</v>
      </c>
      <c r="H541" s="373" t="s">
        <v>1149</v>
      </c>
      <c r="I541" s="365">
        <v>2</v>
      </c>
    </row>
    <row r="542" spans="2:9">
      <c r="B542" s="365">
        <v>523</v>
      </c>
      <c r="C542" s="373" t="s">
        <v>325</v>
      </c>
      <c r="D542" s="365">
        <v>2008</v>
      </c>
      <c r="E542" s="367">
        <v>34070</v>
      </c>
      <c r="F542" s="365"/>
      <c r="G542" s="365">
        <v>2023</v>
      </c>
      <c r="H542" s="373" t="s">
        <v>1149</v>
      </c>
      <c r="I542" s="365">
        <v>2</v>
      </c>
    </row>
    <row r="543" spans="2:9">
      <c r="B543" s="365">
        <v>524</v>
      </c>
      <c r="C543" s="373" t="s">
        <v>331</v>
      </c>
      <c r="D543" s="365">
        <v>1974</v>
      </c>
      <c r="E543" s="367">
        <v>91446</v>
      </c>
      <c r="F543" s="365"/>
      <c r="G543" s="365">
        <v>2023</v>
      </c>
      <c r="H543" s="373" t="s">
        <v>1149</v>
      </c>
      <c r="I543" s="365">
        <v>2</v>
      </c>
    </row>
    <row r="544" spans="2:9">
      <c r="B544" s="365">
        <v>525</v>
      </c>
      <c r="C544" s="373" t="s">
        <v>334</v>
      </c>
      <c r="D544" s="365">
        <v>1966</v>
      </c>
      <c r="E544" s="367">
        <v>5667</v>
      </c>
      <c r="F544" s="365"/>
      <c r="G544" s="365">
        <v>2023</v>
      </c>
      <c r="H544" s="373" t="s">
        <v>1149</v>
      </c>
      <c r="I544" s="365">
        <v>2</v>
      </c>
    </row>
    <row r="545" spans="2:9">
      <c r="B545" s="365">
        <v>526</v>
      </c>
      <c r="C545" s="373" t="s">
        <v>334</v>
      </c>
      <c r="D545" s="365">
        <v>1967</v>
      </c>
      <c r="E545" s="367">
        <v>13495</v>
      </c>
      <c r="F545" s="365"/>
      <c r="G545" s="365">
        <v>2023</v>
      </c>
      <c r="H545" s="373" t="s">
        <v>1149</v>
      </c>
      <c r="I545" s="365">
        <v>2</v>
      </c>
    </row>
    <row r="546" spans="2:9">
      <c r="B546" s="365">
        <v>527</v>
      </c>
      <c r="C546" s="373" t="s">
        <v>334</v>
      </c>
      <c r="D546" s="365">
        <v>1972</v>
      </c>
      <c r="E546" s="367">
        <v>7627</v>
      </c>
      <c r="F546" s="365"/>
      <c r="G546" s="365">
        <v>2023</v>
      </c>
      <c r="H546" s="373" t="s">
        <v>1149</v>
      </c>
      <c r="I546" s="365">
        <v>2</v>
      </c>
    </row>
    <row r="547" spans="2:9">
      <c r="B547" s="365">
        <v>528</v>
      </c>
      <c r="C547" s="373" t="s">
        <v>334</v>
      </c>
      <c r="D547" s="365">
        <v>1974</v>
      </c>
      <c r="E547" s="367">
        <v>12366</v>
      </c>
      <c r="F547" s="365"/>
      <c r="G547" s="365">
        <v>2023</v>
      </c>
      <c r="H547" s="373" t="s">
        <v>1149</v>
      </c>
      <c r="I547" s="365">
        <v>2</v>
      </c>
    </row>
    <row r="548" spans="2:9">
      <c r="B548" s="365">
        <v>529</v>
      </c>
      <c r="C548" s="373" t="s">
        <v>334</v>
      </c>
      <c r="D548" s="365">
        <v>1975</v>
      </c>
      <c r="E548" s="367">
        <v>28804</v>
      </c>
      <c r="F548" s="365"/>
      <c r="G548" s="365">
        <v>2023</v>
      </c>
      <c r="H548" s="373" t="s">
        <v>1149</v>
      </c>
      <c r="I548" s="365">
        <v>2</v>
      </c>
    </row>
    <row r="549" spans="2:9">
      <c r="B549" s="365">
        <v>530</v>
      </c>
      <c r="C549" s="373" t="s">
        <v>336</v>
      </c>
      <c r="D549" s="365">
        <v>1979</v>
      </c>
      <c r="E549" s="367">
        <v>1824</v>
      </c>
      <c r="F549" s="365"/>
      <c r="G549" s="365">
        <v>2023</v>
      </c>
      <c r="H549" s="373" t="s">
        <v>1149</v>
      </c>
      <c r="I549" s="365">
        <v>2</v>
      </c>
    </row>
    <row r="550" spans="2:9">
      <c r="B550" s="365">
        <v>531</v>
      </c>
      <c r="C550" s="373" t="s">
        <v>340</v>
      </c>
      <c r="D550" s="365">
        <v>2007</v>
      </c>
      <c r="E550" s="367">
        <v>4508703</v>
      </c>
      <c r="F550" s="365"/>
      <c r="G550" s="365">
        <v>2023</v>
      </c>
      <c r="H550" s="373" t="s">
        <v>1149</v>
      </c>
      <c r="I550" s="365">
        <v>2</v>
      </c>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A1:N23"/>
  <sheetViews>
    <sheetView showGridLines="0" zoomScale="90" zoomScaleNormal="90" workbookViewId="0"/>
  </sheetViews>
  <sheetFormatPr defaultRowHeight="12.75"/>
  <cols>
    <col min="1" max="1" width="2.5703125" customWidth="1"/>
    <col min="2" max="2" width="61.7109375" bestFit="1" customWidth="1"/>
    <col min="3" max="3" width="67.140625" bestFit="1" customWidth="1"/>
    <col min="4" max="4" width="7.7109375" bestFit="1" customWidth="1"/>
    <col min="5" max="5" width="35.7109375" bestFit="1" customWidth="1"/>
    <col min="6" max="6" width="33.42578125" bestFit="1" customWidth="1"/>
    <col min="7" max="7" width="16.140625" bestFit="1" customWidth="1"/>
    <col min="8" max="8" width="32.7109375" bestFit="1" customWidth="1"/>
    <col min="9" max="9" width="76.42578125" bestFit="1" customWidth="1"/>
    <col min="10" max="10" width="9.5703125" bestFit="1" customWidth="1"/>
  </cols>
  <sheetData>
    <row r="1" spans="1:14" s="3" customFormat="1">
      <c r="A1" s="357"/>
    </row>
    <row r="2" spans="1:14" s="12" customFormat="1" ht="18">
      <c r="B2" s="12" t="s">
        <v>821</v>
      </c>
    </row>
    <row r="3" spans="1:14" s="3" customFormat="1">
      <c r="A3" s="357"/>
    </row>
    <row r="4" spans="1:14" s="3" customFormat="1">
      <c r="A4" s="357"/>
      <c r="B4" s="2" t="s">
        <v>192</v>
      </c>
    </row>
    <row r="5" spans="1:14" s="3" customFormat="1" ht="38.25" customHeight="1">
      <c r="A5" s="357"/>
      <c r="B5" s="379" t="s">
        <v>822</v>
      </c>
      <c r="C5" s="379"/>
      <c r="D5" s="379"/>
    </row>
    <row r="6" spans="1:14" s="3" customFormat="1">
      <c r="A6" s="357"/>
    </row>
    <row r="7" spans="1:14" s="3" customFormat="1">
      <c r="A7" s="357"/>
      <c r="B7" s="16" t="s">
        <v>796</v>
      </c>
      <c r="C7" s="193"/>
      <c r="D7" s="2"/>
    </row>
    <row r="8" spans="1:14" s="3" customFormat="1" ht="16.5" customHeight="1">
      <c r="A8" s="357"/>
      <c r="B8" s="382" t="s">
        <v>823</v>
      </c>
      <c r="C8" s="382"/>
      <c r="D8" s="382"/>
      <c r="E8" s="382"/>
      <c r="F8" s="382"/>
      <c r="G8" s="382"/>
      <c r="H8" s="382"/>
      <c r="I8" s="382"/>
      <c r="J8" s="382"/>
      <c r="K8" s="382"/>
      <c r="L8" s="382"/>
      <c r="M8" s="382"/>
    </row>
    <row r="9" spans="1:14" s="3" customFormat="1">
      <c r="A9" s="357"/>
      <c r="B9" s="4"/>
      <c r="C9" s="193"/>
    </row>
    <row r="10" spans="1:14" s="3" customFormat="1">
      <c r="A10" s="357"/>
      <c r="B10" s="188" t="s">
        <v>798</v>
      </c>
      <c r="C10" s="193"/>
    </row>
    <row r="11" spans="1:14" s="3" customFormat="1">
      <c r="A11" s="357"/>
      <c r="B11" s="388">
        <v>45050</v>
      </c>
      <c r="C11" s="388"/>
      <c r="D11" s="388"/>
      <c r="E11" s="128"/>
    </row>
    <row r="12" spans="1:14">
      <c r="A12" s="364"/>
    </row>
    <row r="13" spans="1:14">
      <c r="A13" s="364"/>
      <c r="B13" s="188" t="s">
        <v>799</v>
      </c>
      <c r="C13" s="3"/>
      <c r="D13" s="3"/>
      <c r="E13" s="3"/>
      <c r="F13" s="3"/>
      <c r="G13" s="3"/>
      <c r="H13" s="3"/>
      <c r="I13" s="3"/>
      <c r="J13" s="3"/>
      <c r="K13" s="3"/>
      <c r="L13" s="3"/>
      <c r="M13" s="3"/>
      <c r="N13" s="3"/>
    </row>
    <row r="14" spans="1:14" ht="25.5" customHeight="1">
      <c r="A14" s="364"/>
      <c r="B14" s="388" t="s">
        <v>824</v>
      </c>
      <c r="C14" s="379"/>
      <c r="D14" s="379"/>
      <c r="E14" s="1"/>
      <c r="F14" s="1"/>
      <c r="G14" s="1"/>
      <c r="H14" s="1"/>
      <c r="I14" s="1"/>
      <c r="J14" s="1"/>
      <c r="K14" s="1"/>
      <c r="L14" s="1"/>
      <c r="M14" s="1"/>
      <c r="N14" s="1"/>
    </row>
    <row r="15" spans="1:14">
      <c r="A15" s="364"/>
    </row>
    <row r="16" spans="1:14">
      <c r="A16" s="364"/>
      <c r="B16" s="189" t="s">
        <v>801</v>
      </c>
    </row>
    <row r="17" spans="1:10">
      <c r="A17" s="364"/>
      <c r="B17" s="135">
        <f>SUBTOTAL(103,B20:B460)</f>
        <v>4</v>
      </c>
    </row>
    <row r="18" spans="1:10" ht="14.25" customHeight="1">
      <c r="A18" s="364"/>
    </row>
    <row r="19" spans="1:10" s="8" customFormat="1">
      <c r="A19" s="360"/>
      <c r="B19" s="8" t="s">
        <v>825</v>
      </c>
      <c r="C19" s="8" t="s">
        <v>826</v>
      </c>
      <c r="D19" s="8" t="s">
        <v>158</v>
      </c>
      <c r="E19" s="8" t="s">
        <v>827</v>
      </c>
      <c r="F19" s="8" t="s">
        <v>828</v>
      </c>
      <c r="G19" s="8" t="s">
        <v>829</v>
      </c>
      <c r="H19" s="8" t="s">
        <v>830</v>
      </c>
      <c r="I19" s="8" t="s">
        <v>807</v>
      </c>
      <c r="J19" s="8" t="s">
        <v>814</v>
      </c>
    </row>
    <row r="20" spans="1:10">
      <c r="A20" s="364"/>
      <c r="B20" t="s">
        <v>831</v>
      </c>
      <c r="C20" t="s">
        <v>832</v>
      </c>
      <c r="D20">
        <v>2020</v>
      </c>
      <c r="E20" s="190">
        <v>909823616.24000001</v>
      </c>
      <c r="F20" s="190">
        <v>7382022.1000000006</v>
      </c>
      <c r="G20" s="190">
        <v>1408616.89</v>
      </c>
      <c r="H20" s="190">
        <v>-7141324.5900000008</v>
      </c>
      <c r="I20" t="s">
        <v>809</v>
      </c>
      <c r="J20">
        <v>1</v>
      </c>
    </row>
    <row r="21" spans="1:10">
      <c r="A21" s="364"/>
      <c r="B21" t="s">
        <v>831</v>
      </c>
      <c r="C21" t="s">
        <v>832</v>
      </c>
      <c r="D21">
        <v>2021</v>
      </c>
      <c r="E21" s="190">
        <v>922405562.78000021</v>
      </c>
      <c r="F21" s="190">
        <v>13494084.869999999</v>
      </c>
      <c r="G21" s="190">
        <v>1093413.33</v>
      </c>
      <c r="H21" s="190">
        <v>-21856587.380000003</v>
      </c>
      <c r="I21" t="s">
        <v>815</v>
      </c>
      <c r="J21">
        <v>1</v>
      </c>
    </row>
    <row r="22" spans="1:10">
      <c r="A22" s="364"/>
      <c r="B22" t="s">
        <v>831</v>
      </c>
      <c r="C22" t="s">
        <v>832</v>
      </c>
      <c r="D22">
        <v>2022</v>
      </c>
      <c r="E22" s="190">
        <v>1354081798.3900001</v>
      </c>
      <c r="F22" s="190">
        <v>33326739.559999999</v>
      </c>
      <c r="G22" s="190">
        <v>221359938.30000001</v>
      </c>
      <c r="H22" s="190">
        <v>-2234578.129999999</v>
      </c>
      <c r="I22" t="s">
        <v>810</v>
      </c>
      <c r="J22">
        <v>2</v>
      </c>
    </row>
    <row r="23" spans="1:10">
      <c r="A23" s="364"/>
      <c r="B23" s="365" t="s">
        <v>831</v>
      </c>
      <c r="C23" s="365" t="s">
        <v>832</v>
      </c>
      <c r="D23" s="365">
        <v>2023</v>
      </c>
      <c r="E23" s="368">
        <v>1053217263.61</v>
      </c>
      <c r="F23" s="368">
        <v>36546798.390000001</v>
      </c>
      <c r="G23" s="368">
        <v>161390059.07999998</v>
      </c>
      <c r="H23" s="368">
        <v>-76372358.110525161</v>
      </c>
      <c r="I23" s="365" t="s">
        <v>1137</v>
      </c>
      <c r="J23" s="365">
        <v>1</v>
      </c>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 activePane="bottomLeft" state="frozen"/>
      <selection activeCell="C40" sqref="C40"/>
      <selection pane="bottomLeft"/>
    </sheetView>
  </sheetViews>
  <sheetFormatPr defaultColWidth="9.140625" defaultRowHeight="12.75"/>
  <cols>
    <col min="1" max="1" width="2.5703125" style="3" customWidth="1"/>
    <col min="2" max="2" width="19.140625" style="3" customWidth="1"/>
    <col min="3" max="3" width="2.5703125" style="3" customWidth="1"/>
    <col min="4" max="4" width="35.5703125" style="3" customWidth="1"/>
    <col min="5" max="5" width="2.5703125" style="3" customWidth="1"/>
    <col min="6" max="6" width="10.5703125" style="3" customWidth="1"/>
    <col min="7" max="7" width="2.5703125" style="3" customWidth="1"/>
    <col min="8" max="8" width="37.85546875" style="3" customWidth="1"/>
    <col min="9" max="9" width="2.5703125" style="3" customWidth="1"/>
    <col min="10" max="10" width="10.5703125" style="3" customWidth="1"/>
    <col min="11" max="11" width="2.5703125" style="3" customWidth="1"/>
    <col min="12" max="12" width="25.5703125" style="3" customWidth="1"/>
    <col min="13" max="13" width="2.5703125" style="3" customWidth="1"/>
    <col min="14" max="14" width="10.5703125" style="3" customWidth="1"/>
    <col min="15" max="15" width="2.5703125" style="3" customWidth="1"/>
    <col min="16" max="16" width="25.5703125" style="3" customWidth="1"/>
    <col min="17" max="17" width="2.5703125" style="3" customWidth="1"/>
    <col min="18" max="18" width="10.5703125" style="3" customWidth="1"/>
    <col min="19" max="19" width="2.5703125" style="3" customWidth="1"/>
    <col min="20" max="20" width="25.5703125" style="3" customWidth="1"/>
    <col min="21" max="21" width="2.5703125" style="3" customWidth="1"/>
    <col min="22" max="22" width="10.5703125" style="3" customWidth="1"/>
    <col min="23" max="23" width="2.5703125" style="3" customWidth="1"/>
    <col min="24" max="24" width="25.5703125" style="3" customWidth="1"/>
    <col min="25" max="25" width="2.5703125" style="3" customWidth="1"/>
    <col min="26" max="16384" width="9.140625" style="3"/>
  </cols>
  <sheetData>
    <row r="2" spans="2:26" s="7" customFormat="1" ht="18">
      <c r="B2" s="7" t="s">
        <v>27</v>
      </c>
    </row>
    <row r="4" spans="2:26" s="8" customFormat="1">
      <c r="B4" s="8" t="s">
        <v>28</v>
      </c>
    </row>
    <row r="6" spans="2:26">
      <c r="B6" s="3" t="s">
        <v>29</v>
      </c>
    </row>
    <row r="7" spans="2:26">
      <c r="B7" s="3" t="s">
        <v>30</v>
      </c>
      <c r="H7" s="19"/>
    </row>
    <row r="9" spans="2:26" s="8" customFormat="1">
      <c r="B9" s="8" t="s">
        <v>31</v>
      </c>
    </row>
    <row r="11" spans="2:26" s="66" customFormat="1">
      <c r="B11" s="66" t="s">
        <v>32</v>
      </c>
    </row>
    <row r="12" spans="2:26" s="66" customFormat="1"/>
    <row r="13" spans="2:26" s="66" customFormat="1">
      <c r="B13" s="83"/>
      <c r="C13" s="83"/>
      <c r="D13" s="84" t="s">
        <v>33</v>
      </c>
      <c r="E13" s="83"/>
      <c r="F13" s="83"/>
      <c r="G13" s="83"/>
      <c r="H13" s="84" t="s">
        <v>34</v>
      </c>
      <c r="I13" s="83"/>
      <c r="J13" s="83"/>
      <c r="K13" s="83"/>
      <c r="L13" s="83"/>
      <c r="M13" s="83"/>
      <c r="N13" s="83"/>
      <c r="O13" s="83"/>
      <c r="P13" s="83"/>
      <c r="Q13" s="83"/>
      <c r="R13" s="83"/>
      <c r="S13" s="83"/>
      <c r="T13" s="84"/>
      <c r="U13" s="83"/>
      <c r="V13" s="83"/>
      <c r="W13" s="83"/>
      <c r="X13" s="84" t="s">
        <v>35</v>
      </c>
      <c r="Y13" s="83"/>
      <c r="Z13" s="83"/>
    </row>
    <row r="14" spans="2:26" s="66" customFormat="1" ht="14.25">
      <c r="B14" s="67"/>
      <c r="C14" s="67"/>
      <c r="D14" s="67"/>
      <c r="E14" s="67"/>
      <c r="F14" s="67"/>
      <c r="G14" s="67"/>
      <c r="H14" s="67"/>
      <c r="I14" s="67"/>
      <c r="J14" s="67"/>
      <c r="K14" s="67"/>
      <c r="L14" s="67"/>
      <c r="M14" s="67"/>
      <c r="N14" s="67"/>
      <c r="O14" s="67"/>
      <c r="P14" s="67"/>
      <c r="Q14" s="67"/>
      <c r="R14" s="67"/>
      <c r="S14" s="67"/>
      <c r="T14" s="67"/>
      <c r="V14" s="67"/>
      <c r="W14" s="67"/>
      <c r="X14" s="67"/>
      <c r="Z14" s="67"/>
    </row>
    <row r="15" spans="2:26" s="66" customFormat="1" ht="14.25">
      <c r="B15" s="67"/>
      <c r="C15" s="68"/>
      <c r="D15" s="69"/>
      <c r="E15" s="70"/>
      <c r="F15" s="71"/>
      <c r="G15" s="68"/>
      <c r="H15" s="69"/>
      <c r="I15" s="70"/>
      <c r="J15" s="71"/>
      <c r="K15" s="71"/>
      <c r="M15" s="71"/>
      <c r="N15" s="71"/>
      <c r="O15" s="71"/>
      <c r="Q15" s="71"/>
      <c r="R15" s="71"/>
      <c r="S15" s="67"/>
      <c r="V15" s="71"/>
      <c r="W15" s="67"/>
      <c r="Z15" s="71"/>
    </row>
    <row r="16" spans="2:26" s="66" customFormat="1" ht="14.25">
      <c r="B16" s="67"/>
      <c r="C16" s="72"/>
      <c r="D16" s="73" t="s">
        <v>36</v>
      </c>
      <c r="E16" s="74"/>
      <c r="F16" s="71"/>
      <c r="G16" s="72"/>
      <c r="H16" s="80" t="s">
        <v>37</v>
      </c>
      <c r="I16" s="74"/>
      <c r="J16" s="71"/>
      <c r="S16" s="67"/>
      <c r="W16" s="67"/>
    </row>
    <row r="17" spans="2:28" s="66" customFormat="1" ht="14.25">
      <c r="B17" s="67"/>
      <c r="C17" s="75"/>
      <c r="D17" s="76"/>
      <c r="E17" s="77"/>
      <c r="F17" s="71"/>
      <c r="G17" s="75"/>
      <c r="H17" s="76"/>
      <c r="I17" s="77"/>
      <c r="J17" s="71"/>
      <c r="S17" s="67"/>
      <c r="W17" s="67"/>
      <c r="AB17" s="78"/>
    </row>
    <row r="18" spans="2:28" s="66" customFormat="1" ht="14.25">
      <c r="B18" s="67"/>
      <c r="F18" s="71"/>
      <c r="J18" s="71"/>
      <c r="S18" s="67"/>
      <c r="W18" s="67"/>
    </row>
    <row r="19" spans="2:28" s="66" customFormat="1" ht="14.25">
      <c r="B19" s="67"/>
      <c r="F19" s="71"/>
      <c r="J19" s="71"/>
      <c r="S19" s="67"/>
      <c r="W19" s="67"/>
    </row>
    <row r="20" spans="2:28" s="66" customFormat="1" ht="14.25">
      <c r="B20" s="67"/>
      <c r="C20" s="68"/>
      <c r="D20" s="69"/>
      <c r="E20" s="70"/>
      <c r="F20" s="71"/>
      <c r="J20" s="71"/>
      <c r="S20" s="67"/>
      <c r="W20" s="67"/>
    </row>
    <row r="21" spans="2:28" s="66" customFormat="1" ht="14.25">
      <c r="B21" s="67"/>
      <c r="C21" s="72"/>
      <c r="D21" s="73" t="s">
        <v>38</v>
      </c>
      <c r="E21" s="74"/>
      <c r="F21" s="71"/>
      <c r="J21" s="71"/>
      <c r="S21" s="67"/>
      <c r="W21" s="67"/>
    </row>
    <row r="22" spans="2:28" s="66" customFormat="1" ht="14.25">
      <c r="B22" s="67"/>
      <c r="C22" s="75"/>
      <c r="D22" s="76"/>
      <c r="E22" s="77"/>
      <c r="F22" s="71"/>
      <c r="J22" s="71"/>
      <c r="S22" s="67"/>
      <c r="W22" s="67"/>
    </row>
    <row r="23" spans="2:28" s="66" customFormat="1" ht="14.25">
      <c r="B23" s="67"/>
      <c r="C23" s="71"/>
      <c r="D23" s="71"/>
      <c r="E23" s="71"/>
      <c r="F23" s="71"/>
      <c r="J23" s="71"/>
      <c r="S23" s="67"/>
      <c r="W23" s="67"/>
    </row>
    <row r="24" spans="2:28" s="66" customFormat="1" ht="14.25">
      <c r="B24" s="67"/>
      <c r="C24" s="68"/>
      <c r="D24" s="69"/>
      <c r="E24" s="70"/>
      <c r="F24" s="71"/>
      <c r="G24" s="68"/>
      <c r="H24" s="69"/>
      <c r="I24" s="70"/>
      <c r="J24" s="71"/>
      <c r="S24" s="67"/>
      <c r="W24" s="67"/>
    </row>
    <row r="25" spans="2:28" s="66" customFormat="1" ht="14.25">
      <c r="B25" s="67"/>
      <c r="C25" s="72"/>
      <c r="D25" s="73" t="s">
        <v>39</v>
      </c>
      <c r="E25" s="74"/>
      <c r="F25" s="71"/>
      <c r="G25" s="72"/>
      <c r="H25" s="92" t="s">
        <v>40</v>
      </c>
      <c r="I25" s="74"/>
      <c r="J25" s="71"/>
      <c r="S25" s="67"/>
      <c r="W25" s="67"/>
    </row>
    <row r="26" spans="2:28" s="66" customFormat="1" ht="14.25">
      <c r="B26" s="67"/>
      <c r="C26" s="75"/>
      <c r="D26" s="76"/>
      <c r="E26" s="77"/>
      <c r="F26" s="71"/>
      <c r="G26" s="75"/>
      <c r="H26" s="76"/>
      <c r="I26" s="77"/>
      <c r="J26" s="71"/>
      <c r="S26" s="67"/>
      <c r="W26" s="67"/>
    </row>
    <row r="27" spans="2:28" s="66" customFormat="1" ht="14.25">
      <c r="B27" s="67"/>
      <c r="C27" s="71"/>
      <c r="D27" s="71"/>
      <c r="E27" s="71"/>
      <c r="F27" s="71"/>
      <c r="J27" s="71"/>
      <c r="S27" s="67"/>
      <c r="W27" s="67"/>
    </row>
    <row r="28" spans="2:28" s="66" customFormat="1" ht="14.25">
      <c r="B28" s="67"/>
      <c r="C28" s="68"/>
      <c r="D28" s="69"/>
      <c r="E28" s="70"/>
      <c r="F28" s="71"/>
      <c r="G28" s="68"/>
      <c r="H28" s="69"/>
      <c r="I28" s="70"/>
      <c r="J28" s="71"/>
      <c r="S28" s="67"/>
      <c r="W28" s="67"/>
    </row>
    <row r="29" spans="2:28" s="66" customFormat="1" ht="14.25">
      <c r="B29" s="67"/>
      <c r="C29" s="72"/>
      <c r="D29" s="73" t="s">
        <v>41</v>
      </c>
      <c r="E29" s="74"/>
      <c r="F29" s="71"/>
      <c r="G29" s="72"/>
      <c r="H29" s="92" t="s">
        <v>42</v>
      </c>
      <c r="I29" s="74"/>
      <c r="J29" s="71"/>
      <c r="S29" s="67"/>
      <c r="W29" s="67"/>
    </row>
    <row r="30" spans="2:28" s="66" customFormat="1" ht="14.25">
      <c r="B30" s="67"/>
      <c r="C30" s="75"/>
      <c r="D30" s="76"/>
      <c r="E30" s="77"/>
      <c r="F30" s="71"/>
      <c r="G30" s="75"/>
      <c r="H30" s="76"/>
      <c r="I30" s="77"/>
      <c r="J30" s="71"/>
      <c r="S30" s="67"/>
      <c r="W30" s="67"/>
    </row>
    <row r="31" spans="2:28" s="66" customFormat="1" ht="14.25">
      <c r="B31" s="67"/>
      <c r="C31" s="71"/>
      <c r="D31" s="71"/>
      <c r="E31" s="71"/>
      <c r="F31" s="71"/>
      <c r="G31" s="67"/>
      <c r="H31" s="67"/>
      <c r="J31" s="71"/>
      <c r="S31" s="67"/>
      <c r="W31" s="67"/>
    </row>
    <row r="32" spans="2:28" s="66" customFormat="1" ht="14.25">
      <c r="B32" s="67"/>
      <c r="C32" s="68"/>
      <c r="D32" s="69"/>
      <c r="E32" s="70"/>
      <c r="F32" s="71"/>
      <c r="G32" s="68"/>
      <c r="H32" s="69"/>
      <c r="I32" s="70"/>
      <c r="J32" s="71"/>
      <c r="S32" s="67"/>
      <c r="W32" s="67"/>
    </row>
    <row r="33" spans="2:25" s="66" customFormat="1" ht="14.25">
      <c r="B33" s="67"/>
      <c r="C33" s="72"/>
      <c r="D33" s="73" t="s">
        <v>43</v>
      </c>
      <c r="E33" s="74"/>
      <c r="F33" s="71"/>
      <c r="G33" s="72"/>
      <c r="H33" s="92" t="s">
        <v>44</v>
      </c>
      <c r="I33" s="74"/>
      <c r="J33" s="71"/>
    </row>
    <row r="34" spans="2:25" s="66" customFormat="1" ht="14.25">
      <c r="B34" s="67"/>
      <c r="C34" s="75"/>
      <c r="D34" s="76"/>
      <c r="E34" s="77"/>
      <c r="F34" s="71"/>
      <c r="G34" s="75"/>
      <c r="H34" s="76"/>
      <c r="I34" s="77"/>
      <c r="J34" s="71"/>
      <c r="K34" s="68"/>
      <c r="L34" s="69"/>
      <c r="M34" s="70"/>
      <c r="O34" s="68"/>
      <c r="P34" s="69"/>
      <c r="Q34" s="70"/>
      <c r="S34" s="68"/>
      <c r="T34" s="69"/>
      <c r="U34" s="70"/>
      <c r="W34" s="68"/>
      <c r="X34" s="69"/>
      <c r="Y34" s="70"/>
    </row>
    <row r="35" spans="2:25" s="66" customFormat="1" ht="14.25">
      <c r="B35" s="67"/>
      <c r="F35" s="71"/>
      <c r="J35" s="71"/>
      <c r="K35" s="72"/>
      <c r="L35" s="92" t="s">
        <v>45</v>
      </c>
      <c r="M35" s="74"/>
      <c r="O35" s="72"/>
      <c r="P35" s="92" t="s">
        <v>46</v>
      </c>
      <c r="Q35" s="74"/>
      <c r="S35" s="72"/>
      <c r="T35" s="92" t="s">
        <v>47</v>
      </c>
      <c r="U35" s="74"/>
      <c r="W35" s="72"/>
      <c r="X35" s="79" t="s">
        <v>48</v>
      </c>
      <c r="Y35" s="74"/>
    </row>
    <row r="36" spans="2:25" s="66" customFormat="1" ht="14.25">
      <c r="B36" s="67"/>
      <c r="C36" s="68"/>
      <c r="D36" s="69"/>
      <c r="E36" s="70"/>
      <c r="F36" s="71"/>
      <c r="G36" s="68"/>
      <c r="H36" s="69"/>
      <c r="I36" s="70"/>
      <c r="J36" s="71"/>
      <c r="K36" s="75"/>
      <c r="L36" s="76"/>
      <c r="M36" s="77"/>
      <c r="O36" s="75"/>
      <c r="P36" s="76"/>
      <c r="Q36" s="77"/>
      <c r="S36" s="75"/>
      <c r="T36" s="76"/>
      <c r="U36" s="77"/>
      <c r="W36" s="75"/>
      <c r="X36" s="76"/>
      <c r="Y36" s="77"/>
    </row>
    <row r="37" spans="2:25" s="66" customFormat="1" ht="14.25">
      <c r="B37" s="67"/>
      <c r="C37" s="72"/>
      <c r="D37" s="73" t="s">
        <v>49</v>
      </c>
      <c r="E37" s="74"/>
      <c r="F37" s="71"/>
      <c r="G37" s="72"/>
      <c r="H37" s="92" t="s">
        <v>50</v>
      </c>
      <c r="I37" s="74"/>
      <c r="J37" s="71"/>
      <c r="K37" s="81"/>
      <c r="L37" s="82"/>
      <c r="M37" s="81"/>
      <c r="O37" s="81"/>
      <c r="P37" s="82"/>
      <c r="Q37" s="81"/>
      <c r="S37" s="67"/>
      <c r="W37" s="67"/>
    </row>
    <row r="38" spans="2:25" s="66" customFormat="1" ht="14.25">
      <c r="B38" s="67"/>
      <c r="C38" s="75"/>
      <c r="D38" s="76"/>
      <c r="E38" s="77"/>
      <c r="F38" s="71"/>
      <c r="G38" s="75"/>
      <c r="H38" s="76"/>
      <c r="I38" s="77"/>
      <c r="J38" s="71"/>
      <c r="K38" s="81"/>
      <c r="L38" s="81"/>
      <c r="M38" s="81"/>
      <c r="O38" s="81"/>
      <c r="P38" s="81"/>
      <c r="Q38" s="81"/>
      <c r="S38" s="67"/>
      <c r="W38" s="67"/>
    </row>
    <row r="39" spans="2:25" s="66" customFormat="1" ht="14.25">
      <c r="B39" s="337"/>
      <c r="C39" s="71"/>
      <c r="D39" s="71"/>
      <c r="E39" s="71"/>
      <c r="F39" s="71"/>
      <c r="J39" s="71"/>
      <c r="S39" s="67"/>
      <c r="W39" s="67"/>
    </row>
    <row r="40" spans="2:25" s="66" customFormat="1" ht="14.25">
      <c r="B40" s="67"/>
      <c r="C40" s="68"/>
      <c r="D40" s="69"/>
      <c r="E40" s="70"/>
      <c r="F40" s="71"/>
      <c r="G40" s="68"/>
      <c r="H40" s="69"/>
      <c r="I40" s="70"/>
      <c r="J40" s="71"/>
      <c r="K40" s="81"/>
      <c r="L40" s="81"/>
      <c r="M40" s="81"/>
      <c r="O40" s="81"/>
      <c r="P40" s="81"/>
      <c r="Q40" s="81"/>
    </row>
    <row r="41" spans="2:25" s="66" customFormat="1" ht="14.25">
      <c r="B41" s="67"/>
      <c r="C41" s="72"/>
      <c r="D41" s="73" t="s">
        <v>51</v>
      </c>
      <c r="E41" s="74"/>
      <c r="F41" s="71"/>
      <c r="G41" s="72"/>
      <c r="H41" s="92" t="s">
        <v>52</v>
      </c>
      <c r="I41" s="74"/>
      <c r="J41" s="71"/>
      <c r="K41" s="81"/>
      <c r="L41" s="82"/>
      <c r="M41" s="81"/>
      <c r="O41" s="81"/>
      <c r="P41" s="82"/>
      <c r="Q41" s="81"/>
    </row>
    <row r="42" spans="2:25" s="66" customFormat="1" ht="14.25">
      <c r="B42" s="67"/>
      <c r="C42" s="75"/>
      <c r="D42" s="76"/>
      <c r="E42" s="77"/>
      <c r="F42" s="71"/>
      <c r="G42" s="75"/>
      <c r="H42" s="76"/>
      <c r="I42" s="77"/>
      <c r="J42" s="71"/>
      <c r="K42" s="81"/>
      <c r="L42" s="81"/>
      <c r="M42" s="81"/>
      <c r="O42" s="81"/>
      <c r="P42" s="81"/>
      <c r="Q42" s="81"/>
    </row>
    <row r="43" spans="2:25" s="66" customFormat="1" ht="14.25">
      <c r="B43" s="67"/>
      <c r="C43" s="71"/>
      <c r="D43" s="71"/>
      <c r="E43" s="71"/>
      <c r="F43" s="71"/>
      <c r="G43" s="71"/>
      <c r="H43" s="71"/>
      <c r="I43" s="71"/>
      <c r="J43" s="71"/>
      <c r="K43" s="81"/>
      <c r="L43" s="81"/>
      <c r="M43" s="81"/>
      <c r="O43" s="81"/>
      <c r="P43" s="81"/>
      <c r="Q43" s="81"/>
    </row>
    <row r="44" spans="2:25" s="66" customFormat="1" ht="14.25">
      <c r="B44" s="67"/>
      <c r="C44" s="68"/>
      <c r="D44" s="69"/>
      <c r="E44" s="70"/>
      <c r="F44" s="71"/>
      <c r="G44" s="68"/>
      <c r="H44" s="69"/>
      <c r="I44" s="70"/>
      <c r="J44" s="71"/>
      <c r="K44" s="81"/>
      <c r="L44" s="81"/>
      <c r="M44" s="81"/>
      <c r="O44" s="81"/>
      <c r="P44" s="81"/>
      <c r="Q44" s="81"/>
    </row>
    <row r="45" spans="2:25" s="66" customFormat="1" ht="14.25">
      <c r="B45" s="67"/>
      <c r="C45" s="72"/>
      <c r="D45" s="73" t="s">
        <v>53</v>
      </c>
      <c r="E45" s="74"/>
      <c r="F45" s="71"/>
      <c r="G45" s="72"/>
      <c r="H45" s="92" t="s">
        <v>54</v>
      </c>
      <c r="I45" s="74"/>
      <c r="J45" s="71"/>
      <c r="K45" s="81"/>
      <c r="L45" s="81"/>
      <c r="M45" s="81"/>
      <c r="O45" s="81"/>
      <c r="P45" s="81"/>
      <c r="Q45" s="81"/>
    </row>
    <row r="46" spans="2:25" s="66" customFormat="1" ht="14.25">
      <c r="B46" s="67"/>
      <c r="C46" s="75"/>
      <c r="D46" s="76"/>
      <c r="E46" s="77"/>
      <c r="F46" s="71"/>
      <c r="G46" s="75"/>
      <c r="H46" s="76"/>
      <c r="I46" s="77"/>
      <c r="J46" s="71"/>
      <c r="K46" s="81"/>
      <c r="L46" s="81"/>
      <c r="M46" s="81"/>
      <c r="O46" s="81"/>
      <c r="P46" s="81"/>
      <c r="Q46" s="81"/>
    </row>
    <row r="47" spans="2:25" s="66" customFormat="1" ht="14.25">
      <c r="B47" s="67"/>
      <c r="F47" s="71"/>
      <c r="J47" s="71"/>
      <c r="S47" s="67"/>
      <c r="W47" s="67"/>
    </row>
    <row r="48" spans="2:25" s="66" customFormat="1" ht="14.25">
      <c r="B48" s="67"/>
      <c r="C48" s="68"/>
      <c r="D48" s="69"/>
      <c r="E48" s="70"/>
      <c r="G48" s="68"/>
      <c r="H48" s="69"/>
      <c r="I48" s="70"/>
      <c r="K48" s="81"/>
      <c r="L48" s="81"/>
      <c r="M48" s="81"/>
      <c r="O48" s="81"/>
    </row>
    <row r="49" spans="2:25" s="66" customFormat="1" ht="14.25">
      <c r="B49" s="67"/>
      <c r="C49" s="72"/>
      <c r="D49" s="73" t="s">
        <v>55</v>
      </c>
      <c r="E49" s="74"/>
      <c r="G49" s="72"/>
      <c r="H49" s="92" t="s">
        <v>56</v>
      </c>
      <c r="I49" s="74"/>
      <c r="K49" s="81"/>
      <c r="L49" s="82"/>
      <c r="M49" s="81"/>
      <c r="O49" s="81"/>
    </row>
    <row r="50" spans="2:25" s="66" customFormat="1" ht="14.25">
      <c r="B50" s="67"/>
      <c r="C50" s="75"/>
      <c r="D50" s="76"/>
      <c r="E50" s="77"/>
      <c r="G50" s="75"/>
      <c r="H50" s="76"/>
      <c r="I50" s="77"/>
      <c r="K50" s="81"/>
      <c r="L50" s="81"/>
      <c r="M50" s="81"/>
      <c r="N50" s="81"/>
      <c r="O50" s="81"/>
    </row>
    <row r="51" spans="2:25" s="66" customFormat="1" ht="14.25">
      <c r="C51" s="71"/>
      <c r="D51" s="71"/>
      <c r="E51" s="71"/>
      <c r="F51" s="67"/>
      <c r="J51" s="67"/>
      <c r="N51" s="82"/>
      <c r="O51" s="81"/>
      <c r="Y51" s="81"/>
    </row>
    <row r="52" spans="2:25" s="66" customFormat="1" ht="14.25">
      <c r="B52" s="67"/>
      <c r="C52" s="68"/>
      <c r="D52" s="69"/>
      <c r="E52" s="70"/>
      <c r="G52" s="68"/>
      <c r="H52" s="69"/>
      <c r="I52" s="70"/>
      <c r="N52" s="81"/>
      <c r="O52" s="81"/>
      <c r="Y52" s="81"/>
    </row>
    <row r="53" spans="2:25" s="66" customFormat="1" ht="14.25">
      <c r="B53" s="67"/>
      <c r="C53" s="72"/>
      <c r="D53" s="199" t="s">
        <v>57</v>
      </c>
      <c r="E53" s="74"/>
      <c r="G53" s="72"/>
      <c r="H53" s="92" t="s">
        <v>58</v>
      </c>
      <c r="I53" s="74"/>
      <c r="S53" s="81"/>
      <c r="U53" s="81"/>
      <c r="V53" s="81"/>
      <c r="Y53" s="81"/>
    </row>
    <row r="54" spans="2:25" s="66" customFormat="1" ht="14.25">
      <c r="B54" s="67"/>
      <c r="C54" s="75"/>
      <c r="D54" s="76"/>
      <c r="E54" s="77"/>
      <c r="G54" s="75"/>
      <c r="H54" s="76"/>
      <c r="I54" s="77"/>
      <c r="S54" s="81"/>
      <c r="U54" s="81"/>
      <c r="V54" s="81"/>
      <c r="W54" s="81"/>
      <c r="X54" s="82"/>
      <c r="Y54" s="81"/>
    </row>
    <row r="55" spans="2:25" s="66" customFormat="1" ht="14.25">
      <c r="B55" s="67"/>
      <c r="E55" s="67"/>
      <c r="S55" s="81"/>
      <c r="U55" s="81"/>
      <c r="V55" s="81"/>
      <c r="W55" s="81"/>
      <c r="X55" s="81"/>
      <c r="Y55" s="81"/>
    </row>
    <row r="56" spans="2:25" s="66" customFormat="1" ht="14.25">
      <c r="B56" s="67"/>
      <c r="C56" s="68"/>
      <c r="D56" s="69"/>
      <c r="E56" s="70"/>
      <c r="G56" s="68"/>
      <c r="H56" s="69"/>
      <c r="I56" s="70"/>
      <c r="S56" s="81"/>
      <c r="T56" s="81"/>
      <c r="U56" s="81"/>
      <c r="W56" s="81"/>
      <c r="X56" s="81"/>
      <c r="Y56" s="81"/>
    </row>
    <row r="57" spans="2:25" s="66" customFormat="1" ht="14.25">
      <c r="B57" s="67"/>
      <c r="C57" s="72"/>
      <c r="D57" s="199" t="s">
        <v>59</v>
      </c>
      <c r="E57" s="74"/>
      <c r="G57" s="72"/>
      <c r="H57" s="92" t="s">
        <v>1152</v>
      </c>
      <c r="I57" s="74"/>
      <c r="Q57" s="81"/>
      <c r="R57" s="81"/>
      <c r="S57" s="81"/>
      <c r="T57" s="81"/>
      <c r="U57" s="81"/>
      <c r="W57" s="81"/>
      <c r="X57" s="81"/>
      <c r="Y57" s="81"/>
    </row>
    <row r="58" spans="2:25" s="66" customFormat="1" ht="14.25">
      <c r="B58" s="67"/>
      <c r="C58" s="75"/>
      <c r="D58" s="76"/>
      <c r="E58" s="77"/>
      <c r="G58" s="75"/>
      <c r="H58" s="76"/>
      <c r="I58" s="77"/>
      <c r="Q58" s="81"/>
      <c r="R58" s="81"/>
      <c r="S58" s="81"/>
      <c r="T58" s="81"/>
      <c r="U58" s="81"/>
      <c r="W58" s="81"/>
      <c r="X58" s="81"/>
      <c r="Y58" s="81"/>
    </row>
    <row r="59" spans="2:25" s="66" customFormat="1" ht="14.25">
      <c r="B59" s="67"/>
      <c r="S59" s="81"/>
      <c r="T59" s="81"/>
      <c r="U59" s="81"/>
      <c r="W59" s="81"/>
      <c r="X59" s="81"/>
      <c r="Y59" s="81"/>
    </row>
    <row r="60" spans="2:25" s="66" customFormat="1" ht="14.25">
      <c r="B60" s="67"/>
      <c r="C60" s="68"/>
      <c r="D60" s="69"/>
      <c r="E60" s="70"/>
      <c r="G60" s="68"/>
      <c r="H60" s="69"/>
      <c r="I60" s="70"/>
      <c r="S60" s="81"/>
      <c r="T60" s="81"/>
      <c r="U60" s="81"/>
      <c r="W60" s="81"/>
      <c r="X60" s="81"/>
      <c r="Y60" s="81"/>
    </row>
    <row r="61" spans="2:25" s="66" customFormat="1" ht="14.25">
      <c r="B61" s="67"/>
      <c r="C61" s="72"/>
      <c r="D61" s="199" t="s">
        <v>60</v>
      </c>
      <c r="E61" s="74"/>
      <c r="G61" s="72"/>
      <c r="H61" s="92" t="s">
        <v>61</v>
      </c>
      <c r="I61" s="74"/>
      <c r="S61" s="81"/>
      <c r="T61" s="81"/>
      <c r="U61" s="81"/>
      <c r="W61" s="81"/>
      <c r="X61" s="81"/>
      <c r="Y61" s="81"/>
    </row>
    <row r="62" spans="2:25" s="66" customFormat="1" ht="14.25">
      <c r="B62" s="67"/>
      <c r="C62" s="75"/>
      <c r="D62" s="76"/>
      <c r="E62" s="77"/>
      <c r="G62" s="75"/>
      <c r="H62" s="76"/>
      <c r="I62" s="77"/>
      <c r="S62" s="81"/>
      <c r="T62" s="81"/>
      <c r="U62" s="81"/>
      <c r="W62" s="81"/>
      <c r="X62" s="81"/>
      <c r="Y62" s="81"/>
    </row>
    <row r="63" spans="2:25" s="66" customFormat="1" ht="14.25">
      <c r="B63" s="67"/>
      <c r="S63" s="81"/>
      <c r="T63" s="81"/>
      <c r="U63" s="81"/>
      <c r="W63" s="81"/>
      <c r="X63" s="81"/>
      <c r="Y63" s="81"/>
    </row>
    <row r="64" spans="2:25" s="66" customFormat="1" ht="14.25">
      <c r="B64" s="67"/>
      <c r="C64" s="68"/>
      <c r="D64" s="69"/>
      <c r="E64" s="70"/>
      <c r="S64" s="81"/>
      <c r="T64" s="81"/>
      <c r="U64" s="81"/>
      <c r="W64" s="81"/>
      <c r="X64" s="81"/>
      <c r="Y64" s="81"/>
    </row>
    <row r="65" spans="2:25" s="66" customFormat="1" ht="14.25">
      <c r="B65" s="67"/>
      <c r="C65" s="72"/>
      <c r="D65" s="199" t="s">
        <v>62</v>
      </c>
      <c r="E65" s="74"/>
      <c r="S65" s="81"/>
      <c r="T65" s="81"/>
      <c r="U65" s="81"/>
      <c r="W65" s="81"/>
      <c r="X65" s="81"/>
      <c r="Y65" s="81"/>
    </row>
    <row r="66" spans="2:25" s="66" customFormat="1" ht="14.25">
      <c r="B66" s="67"/>
      <c r="C66" s="75"/>
      <c r="D66" s="76"/>
      <c r="E66" s="77"/>
      <c r="S66" s="81"/>
      <c r="T66" s="81"/>
      <c r="U66" s="81"/>
      <c r="W66" s="81"/>
      <c r="X66" s="81"/>
      <c r="Y66" s="81"/>
    </row>
    <row r="67" spans="2:25" s="66" customFormat="1" ht="14.25">
      <c r="B67" s="67"/>
      <c r="S67" s="81"/>
      <c r="T67" s="81"/>
      <c r="U67" s="81"/>
      <c r="W67" s="81"/>
      <c r="X67" s="81"/>
      <c r="Y67" s="81"/>
    </row>
    <row r="68" spans="2:25" s="66" customFormat="1" ht="14.25">
      <c r="B68" s="67"/>
      <c r="C68" s="68"/>
      <c r="D68" s="69"/>
      <c r="E68" s="70"/>
      <c r="S68" s="81"/>
      <c r="T68" s="81"/>
      <c r="U68" s="81"/>
      <c r="W68" s="81"/>
      <c r="X68" s="81"/>
      <c r="Y68" s="81"/>
    </row>
    <row r="69" spans="2:25" s="66" customFormat="1" ht="14.25">
      <c r="B69" s="67"/>
      <c r="C69" s="72"/>
      <c r="D69" s="199" t="s">
        <v>63</v>
      </c>
      <c r="E69" s="74"/>
      <c r="S69" s="81"/>
      <c r="T69" s="81"/>
      <c r="U69" s="81"/>
      <c r="W69" s="81"/>
      <c r="X69" s="81"/>
      <c r="Y69" s="81"/>
    </row>
    <row r="70" spans="2:25" s="66" customFormat="1" ht="14.25">
      <c r="B70" s="67"/>
      <c r="C70" s="75"/>
      <c r="D70" s="76"/>
      <c r="E70" s="77"/>
      <c r="S70" s="81"/>
      <c r="T70" s="81"/>
      <c r="U70" s="81"/>
      <c r="W70" s="81"/>
      <c r="X70" s="81"/>
      <c r="Y70" s="81"/>
    </row>
    <row r="71" spans="2:25" s="66" customFormat="1" ht="14.25">
      <c r="B71" s="67"/>
      <c r="C71" s="71"/>
      <c r="D71" s="71"/>
      <c r="E71" s="71"/>
      <c r="S71" s="81"/>
      <c r="T71" s="81"/>
      <c r="U71" s="81"/>
      <c r="W71" s="81"/>
      <c r="X71" s="81"/>
      <c r="Y71" s="81"/>
    </row>
    <row r="72" spans="2:25" s="66" customFormat="1" ht="14.25">
      <c r="B72" s="67"/>
      <c r="C72" s="71"/>
      <c r="D72" s="71"/>
      <c r="E72" s="71"/>
      <c r="S72" s="81"/>
      <c r="T72" s="81"/>
      <c r="U72" s="81"/>
      <c r="W72" s="81"/>
      <c r="X72" s="81"/>
      <c r="Y72" s="81"/>
    </row>
    <row r="73" spans="2:25" s="66" customFormat="1" ht="14.25">
      <c r="B73" s="67"/>
      <c r="C73" s="71"/>
      <c r="D73" s="71"/>
      <c r="E73" s="71"/>
      <c r="S73" s="81"/>
      <c r="T73" s="81"/>
      <c r="U73" s="81"/>
      <c r="W73" s="81"/>
      <c r="X73" s="81"/>
      <c r="Y73" s="81"/>
    </row>
    <row r="74" spans="2:25" s="66" customFormat="1" ht="14.25">
      <c r="B74" s="67"/>
      <c r="C74" s="71"/>
      <c r="D74" s="71"/>
      <c r="E74" s="71"/>
      <c r="S74" s="81"/>
      <c r="T74" s="81"/>
      <c r="U74" s="81"/>
      <c r="W74" s="81"/>
      <c r="X74" s="81"/>
      <c r="Y74" s="81"/>
    </row>
    <row r="75" spans="2:25" s="66" customFormat="1" ht="14.25">
      <c r="B75" s="67"/>
      <c r="C75" s="71"/>
      <c r="D75" s="71"/>
      <c r="E75" s="71"/>
      <c r="S75" s="81"/>
      <c r="T75" s="81"/>
      <c r="U75" s="81"/>
      <c r="W75" s="81"/>
      <c r="X75" s="81"/>
      <c r="Y75" s="81"/>
    </row>
    <row r="76" spans="2:25" s="66" customFormat="1" ht="14.25">
      <c r="B76" s="67"/>
      <c r="C76" s="71"/>
      <c r="D76" s="71"/>
      <c r="E76" s="71"/>
      <c r="S76" s="81"/>
      <c r="T76" s="81"/>
      <c r="U76" s="81"/>
      <c r="W76" s="81"/>
      <c r="X76" s="81"/>
      <c r="Y76" s="81"/>
    </row>
    <row r="77" spans="2:25" s="66" customFormat="1" ht="14.25">
      <c r="B77" s="67"/>
      <c r="C77" s="71"/>
      <c r="D77" s="71"/>
      <c r="E77" s="71"/>
      <c r="S77" s="81"/>
      <c r="T77" s="81"/>
      <c r="U77" s="81"/>
      <c r="W77" s="81"/>
      <c r="X77" s="81"/>
      <c r="Y77" s="81"/>
    </row>
    <row r="78" spans="2:25" s="66" customFormat="1" ht="14.25">
      <c r="B78" s="67"/>
      <c r="C78" s="67"/>
      <c r="D78" s="67"/>
      <c r="E78" s="67"/>
      <c r="F78" s="67"/>
      <c r="G78" s="67"/>
      <c r="S78" s="81"/>
      <c r="T78" s="81"/>
      <c r="U78" s="81"/>
      <c r="W78" s="81"/>
      <c r="X78" s="81"/>
      <c r="Y78" s="81"/>
    </row>
    <row r="79" spans="2:25" s="66" customFormat="1" ht="14.25">
      <c r="B79" s="67"/>
      <c r="S79" s="81"/>
      <c r="T79" s="81"/>
      <c r="U79" s="81"/>
      <c r="W79" s="81"/>
      <c r="X79" s="81"/>
      <c r="Y79" s="81"/>
    </row>
    <row r="80" spans="2:25" s="8" customFormat="1">
      <c r="B80" s="8" t="s">
        <v>64</v>
      </c>
    </row>
    <row r="82" spans="2:10">
      <c r="B82" s="16" t="s">
        <v>65</v>
      </c>
      <c r="D82" s="16" t="s">
        <v>66</v>
      </c>
      <c r="F82" s="5"/>
      <c r="J82" s="5"/>
    </row>
    <row r="83" spans="2:10">
      <c r="F83" s="5"/>
      <c r="J83" s="5"/>
    </row>
    <row r="84" spans="2:10">
      <c r="B84" s="166">
        <v>123</v>
      </c>
      <c r="D84" s="3" t="s">
        <v>67</v>
      </c>
    </row>
    <row r="85" spans="2:10">
      <c r="B85" s="167">
        <f>B84</f>
        <v>123</v>
      </c>
      <c r="D85" s="3" t="s">
        <v>68</v>
      </c>
    </row>
    <row r="86" spans="2:10">
      <c r="B86" s="168">
        <f>B85+B84</f>
        <v>246</v>
      </c>
      <c r="D86" s="3" t="s">
        <v>69</v>
      </c>
    </row>
    <row r="87" spans="2:10">
      <c r="B87" s="18">
        <f>B85+B86</f>
        <v>369</v>
      </c>
      <c r="D87" s="3" t="s">
        <v>70</v>
      </c>
    </row>
    <row r="88" spans="2:10">
      <c r="B88" s="200">
        <v>123</v>
      </c>
      <c r="D88" s="3" t="s">
        <v>71</v>
      </c>
    </row>
    <row r="89" spans="2:10">
      <c r="B89" s="169"/>
      <c r="D89" s="3" t="s">
        <v>72</v>
      </c>
      <c r="E89" s="5"/>
      <c r="F89" s="5"/>
      <c r="J89" s="5"/>
    </row>
    <row r="90" spans="2:10">
      <c r="E90" s="5"/>
    </row>
    <row r="91" spans="2:10">
      <c r="B91" s="17" t="s">
        <v>73</v>
      </c>
      <c r="E91" s="5"/>
    </row>
    <row r="92" spans="2:10">
      <c r="B92" s="20">
        <f>B87+16</f>
        <v>385</v>
      </c>
      <c r="D92" s="3" t="s">
        <v>74</v>
      </c>
    </row>
    <row r="93" spans="2:10">
      <c r="B93" s="243">
        <v>385</v>
      </c>
      <c r="D93" t="s">
        <v>75</v>
      </c>
    </row>
    <row r="94" spans="2:10">
      <c r="B94" s="170"/>
      <c r="C94" s="170"/>
    </row>
    <row r="95" spans="2:10">
      <c r="B95" s="17" t="s">
        <v>76</v>
      </c>
      <c r="C95" s="171"/>
    </row>
    <row r="96" spans="2:10">
      <c r="B96" s="172">
        <v>123</v>
      </c>
      <c r="C96" s="171"/>
      <c r="D96" s="3" t="s">
        <v>77</v>
      </c>
    </row>
    <row r="97" spans="2:7">
      <c r="B97" s="21">
        <v>124</v>
      </c>
      <c r="C97" s="171"/>
      <c r="D97" s="3" t="s">
        <v>78</v>
      </c>
    </row>
    <row r="98" spans="2:7">
      <c r="B98" s="22">
        <f>B96-B97</f>
        <v>-1</v>
      </c>
      <c r="C98" s="173"/>
      <c r="D98" s="3" t="s">
        <v>79</v>
      </c>
      <c r="G98" s="5"/>
    </row>
    <row r="101" spans="2:7">
      <c r="B101" s="16" t="s">
        <v>80</v>
      </c>
    </row>
    <row r="102" spans="2:7">
      <c r="B102" s="2"/>
    </row>
    <row r="103" spans="2:7">
      <c r="B103" s="17" t="s">
        <v>81</v>
      </c>
    </row>
    <row r="104" spans="2:7">
      <c r="B104" s="18" t="s">
        <v>82</v>
      </c>
      <c r="D104" s="3" t="s">
        <v>83</v>
      </c>
    </row>
    <row r="105" spans="2:7">
      <c r="B105" s="166" t="s">
        <v>84</v>
      </c>
      <c r="D105" s="3" t="s">
        <v>85</v>
      </c>
    </row>
    <row r="106" spans="2:7">
      <c r="B106" s="201" t="s">
        <v>86</v>
      </c>
      <c r="D106" s="3" t="s">
        <v>87</v>
      </c>
    </row>
    <row r="107" spans="2:7">
      <c r="B107" s="168" t="s">
        <v>88</v>
      </c>
      <c r="D107" s="3" t="s">
        <v>89</v>
      </c>
    </row>
    <row r="109" spans="2:7">
      <c r="B109" s="17" t="s">
        <v>90</v>
      </c>
    </row>
    <row r="110" spans="2:7">
      <c r="B110" s="14" t="s">
        <v>91</v>
      </c>
      <c r="D110" s="3" t="s">
        <v>92</v>
      </c>
    </row>
    <row r="111" spans="2:7">
      <c r="B111" s="87" t="s">
        <v>93</v>
      </c>
      <c r="D111" s="3" t="s">
        <v>94</v>
      </c>
    </row>
    <row r="113" spans="2:2">
      <c r="B113" s="174"/>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A1:S25"/>
  <sheetViews>
    <sheetView showGridLines="0" zoomScale="90" zoomScaleNormal="90" workbookViewId="0"/>
  </sheetViews>
  <sheetFormatPr defaultRowHeight="12.75"/>
  <cols>
    <col min="1" max="1" width="2.5703125" style="364" customWidth="1"/>
    <col min="2" max="2" width="76.85546875" bestFit="1" customWidth="1"/>
    <col min="3" max="3" width="37" bestFit="1" customWidth="1"/>
    <col min="4" max="4" width="7.7109375" bestFit="1" customWidth="1"/>
    <col min="5" max="6" width="13" bestFit="1" customWidth="1"/>
    <col min="7" max="7" width="72.42578125" bestFit="1" customWidth="1"/>
    <col min="8" max="8" width="9.5703125" bestFit="1" customWidth="1"/>
    <col min="9" max="9" width="10.85546875" bestFit="1" customWidth="1"/>
    <col min="10" max="10" width="19.5703125" bestFit="1" customWidth="1"/>
    <col min="11" max="11" width="31" bestFit="1" customWidth="1"/>
    <col min="12" max="12" width="8.5703125" bestFit="1" customWidth="1"/>
    <col min="13" max="13" width="39" bestFit="1" customWidth="1"/>
    <col min="14" max="14" width="42.140625" bestFit="1" customWidth="1"/>
    <col min="15" max="15" width="28.42578125" bestFit="1" customWidth="1"/>
    <col min="16" max="16" width="80.5703125" bestFit="1" customWidth="1"/>
    <col min="17" max="17" width="66.5703125" bestFit="1" customWidth="1"/>
    <col min="18" max="18" width="37.85546875" bestFit="1" customWidth="1"/>
    <col min="19" max="19" width="8.42578125" bestFit="1" customWidth="1"/>
    <col min="20" max="20" width="13.42578125" bestFit="1" customWidth="1"/>
  </cols>
  <sheetData>
    <row r="1" spans="1:19" s="3" customFormat="1">
      <c r="A1" s="357"/>
    </row>
    <row r="2" spans="1:19" s="12" customFormat="1" ht="18">
      <c r="B2" s="12" t="s">
        <v>833</v>
      </c>
    </row>
    <row r="3" spans="1:19" s="3" customFormat="1">
      <c r="A3" s="357"/>
    </row>
    <row r="4" spans="1:19" s="3" customFormat="1">
      <c r="A4" s="357"/>
      <c r="B4" s="2" t="s">
        <v>192</v>
      </c>
    </row>
    <row r="5" spans="1:19" s="3" customFormat="1">
      <c r="A5" s="357"/>
      <c r="B5" s="3" t="s">
        <v>834</v>
      </c>
    </row>
    <row r="6" spans="1:19" s="3" customFormat="1">
      <c r="A6" s="357"/>
    </row>
    <row r="7" spans="1:19" s="3" customFormat="1">
      <c r="A7" s="357"/>
      <c r="B7" s="16" t="s">
        <v>796</v>
      </c>
      <c r="C7" s="193"/>
      <c r="D7" s="2"/>
    </row>
    <row r="8" spans="1:19" s="3" customFormat="1" ht="16.5" customHeight="1">
      <c r="A8" s="357"/>
      <c r="B8" s="382" t="s">
        <v>835</v>
      </c>
      <c r="C8" s="382"/>
      <c r="D8" s="382"/>
      <c r="E8" s="382"/>
      <c r="F8" s="382"/>
      <c r="G8" s="382"/>
      <c r="H8" s="382"/>
      <c r="I8" s="382"/>
      <c r="J8" s="382"/>
      <c r="K8" s="382"/>
      <c r="L8" s="382"/>
      <c r="M8" s="382"/>
    </row>
    <row r="9" spans="1:19" s="3" customFormat="1">
      <c r="A9" s="357"/>
      <c r="B9" s="4"/>
      <c r="C9" s="193"/>
    </row>
    <row r="10" spans="1:19" s="3" customFormat="1">
      <c r="A10" s="357"/>
      <c r="B10" s="188" t="s">
        <v>798</v>
      </c>
      <c r="C10" s="193"/>
    </row>
    <row r="11" spans="1:19" s="3" customFormat="1">
      <c r="A11" s="357"/>
      <c r="B11" s="388">
        <v>45050</v>
      </c>
      <c r="C11" s="388"/>
      <c r="D11" s="388"/>
      <c r="E11" s="128"/>
    </row>
    <row r="13" spans="1:19">
      <c r="B13" s="188" t="s">
        <v>799</v>
      </c>
      <c r="C13" s="3"/>
      <c r="D13" s="3"/>
      <c r="E13" s="3"/>
      <c r="F13" s="3"/>
      <c r="G13" s="3"/>
      <c r="H13" s="3"/>
      <c r="I13" s="3"/>
      <c r="J13" s="3"/>
      <c r="K13" s="3"/>
      <c r="L13" s="3"/>
      <c r="M13" s="3"/>
      <c r="N13" s="3"/>
      <c r="O13" s="3"/>
      <c r="P13" s="3"/>
      <c r="Q13" s="3"/>
      <c r="R13" s="3"/>
      <c r="S13" s="3"/>
    </row>
    <row r="14" spans="1:19" ht="12.75" customHeight="1">
      <c r="B14" s="388" t="s">
        <v>836</v>
      </c>
      <c r="C14" s="388"/>
      <c r="D14" s="388"/>
      <c r="E14" s="388"/>
      <c r="F14" s="388"/>
      <c r="G14" s="1"/>
      <c r="H14" s="1"/>
      <c r="I14" s="1"/>
      <c r="J14" s="1"/>
      <c r="K14" s="1"/>
      <c r="L14" s="1"/>
      <c r="M14" s="1"/>
      <c r="N14" s="1"/>
      <c r="O14" s="1"/>
      <c r="P14" s="1"/>
      <c r="Q14" s="1"/>
      <c r="R14" s="1"/>
      <c r="S14" s="1"/>
    </row>
    <row r="16" spans="1:19">
      <c r="B16" s="189" t="s">
        <v>801</v>
      </c>
    </row>
    <row r="17" spans="1:8">
      <c r="B17" s="135">
        <f>SUBTOTAL(103,B20:B460)</f>
        <v>6</v>
      </c>
    </row>
    <row r="18" spans="1:8" ht="14.25" customHeight="1"/>
    <row r="19" spans="1:8" s="8" customFormat="1">
      <c r="A19" s="360"/>
      <c r="B19" s="8" t="s">
        <v>825</v>
      </c>
      <c r="C19" s="8" t="s">
        <v>826</v>
      </c>
      <c r="D19" s="8" t="s">
        <v>158</v>
      </c>
      <c r="E19" s="8" t="s">
        <v>837</v>
      </c>
      <c r="F19" s="8" t="s">
        <v>838</v>
      </c>
      <c r="G19" s="8" t="s">
        <v>807</v>
      </c>
      <c r="H19" s="8" t="s">
        <v>814</v>
      </c>
    </row>
    <row r="20" spans="1:8">
      <c r="B20" t="s">
        <v>514</v>
      </c>
      <c r="C20" t="s">
        <v>839</v>
      </c>
      <c r="D20">
        <v>2022</v>
      </c>
      <c r="E20" s="190">
        <v>117613906.59917724</v>
      </c>
      <c r="F20" s="190">
        <v>255375350.92082277</v>
      </c>
      <c r="G20" t="s">
        <v>810</v>
      </c>
      <c r="H20">
        <v>2</v>
      </c>
    </row>
    <row r="21" spans="1:8">
      <c r="B21" t="s">
        <v>514</v>
      </c>
      <c r="C21" t="s">
        <v>840</v>
      </c>
      <c r="D21">
        <v>2022</v>
      </c>
      <c r="E21" s="190"/>
      <c r="F21" s="190">
        <v>4045629</v>
      </c>
      <c r="G21" t="s">
        <v>810</v>
      </c>
      <c r="H21">
        <v>2</v>
      </c>
    </row>
    <row r="22" spans="1:8">
      <c r="B22" t="s">
        <v>841</v>
      </c>
      <c r="C22" t="s">
        <v>842</v>
      </c>
      <c r="D22">
        <v>2022</v>
      </c>
      <c r="E22" s="190">
        <v>15909724.839999994</v>
      </c>
      <c r="F22" s="190">
        <v>194686.33000000002</v>
      </c>
      <c r="G22" t="s">
        <v>810</v>
      </c>
      <c r="H22">
        <v>2</v>
      </c>
    </row>
    <row r="23" spans="1:8">
      <c r="B23" s="365" t="s">
        <v>514</v>
      </c>
      <c r="C23" s="365" t="s">
        <v>839</v>
      </c>
      <c r="D23" s="365">
        <v>2023</v>
      </c>
      <c r="E23" s="369">
        <v>85777606.813960448</v>
      </c>
      <c r="F23" s="369">
        <v>235931593.58603954</v>
      </c>
      <c r="G23" s="365" t="s">
        <v>1137</v>
      </c>
      <c r="H23" s="365">
        <v>1</v>
      </c>
    </row>
    <row r="24" spans="1:8">
      <c r="B24" s="365" t="s">
        <v>514</v>
      </c>
      <c r="C24" s="365" t="s">
        <v>840</v>
      </c>
      <c r="D24" s="365">
        <v>2023</v>
      </c>
      <c r="E24" s="368"/>
      <c r="F24" s="368">
        <v>4280846.4400000004</v>
      </c>
      <c r="G24" s="365" t="s">
        <v>1137</v>
      </c>
      <c r="H24" s="365">
        <v>1</v>
      </c>
    </row>
    <row r="25" spans="1:8">
      <c r="B25" s="365" t="s">
        <v>841</v>
      </c>
      <c r="C25" s="365" t="s">
        <v>842</v>
      </c>
      <c r="D25" s="365">
        <v>2023</v>
      </c>
      <c r="E25" s="368">
        <v>17090064.669999968</v>
      </c>
      <c r="F25" s="368">
        <v>363492.70999999996</v>
      </c>
      <c r="G25" s="365" t="s">
        <v>1137</v>
      </c>
      <c r="H25" s="365">
        <v>1</v>
      </c>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BZ87"/>
  <sheetViews>
    <sheetView showGridLines="0" zoomScale="80" zoomScaleNormal="80" workbookViewId="0">
      <pane xSplit="2" topLeftCell="C1" activePane="topRight" state="frozen"/>
      <selection activeCell="A46" sqref="A46"/>
      <selection pane="topRight"/>
    </sheetView>
  </sheetViews>
  <sheetFormatPr defaultColWidth="13.5703125" defaultRowHeight="12.75"/>
  <cols>
    <col min="1" max="1" width="2.5703125" style="3" customWidth="1"/>
    <col min="2" max="2" width="63.42578125" style="3" customWidth="1"/>
    <col min="3" max="3" width="2.5703125" style="3" customWidth="1"/>
    <col min="4" max="4" width="54.5703125" style="3" customWidth="1"/>
    <col min="5" max="5" width="2.5703125" style="3" customWidth="1"/>
    <col min="6" max="6" width="15.5703125" style="3" customWidth="1"/>
    <col min="7" max="7" width="2.5703125" style="3" customWidth="1"/>
    <col min="8" max="8" width="15.5703125" style="3" customWidth="1"/>
    <col min="9" max="9" width="22" style="3" bestFit="1" customWidth="1"/>
    <col min="10" max="10" width="25.42578125" style="3" customWidth="1"/>
    <col min="11" max="11" width="27.42578125" style="3" bestFit="1" customWidth="1"/>
    <col min="12" max="12" width="24.85546875" style="3" customWidth="1"/>
    <col min="13" max="18" width="15.5703125" style="3" customWidth="1"/>
    <col min="19" max="19" width="18" style="3" bestFit="1" customWidth="1"/>
    <col min="20" max="20" width="13.5703125" style="3" customWidth="1"/>
    <col min="21" max="21" width="30.42578125" style="3" customWidth="1"/>
    <col min="22" max="22" width="40.140625" style="3" bestFit="1" customWidth="1"/>
    <col min="23" max="23" width="2.5703125" style="3" customWidth="1"/>
    <col min="24" max="24" width="25" style="3" bestFit="1" customWidth="1"/>
    <col min="25" max="28" width="15.5703125" style="3" customWidth="1"/>
    <col min="29" max="29" width="2.5703125" style="3" customWidth="1"/>
    <col min="30" max="30" width="25" style="3" bestFit="1" customWidth="1"/>
    <col min="31" max="34" width="15.5703125" style="3" customWidth="1"/>
    <col min="35" max="35" width="2.5703125" style="3" customWidth="1"/>
    <col min="36" max="36" width="25" style="3" bestFit="1" customWidth="1"/>
    <col min="37" max="40" width="15.5703125" style="3" customWidth="1"/>
    <col min="41" max="41" width="2.5703125" style="3" customWidth="1"/>
    <col min="42" max="42" width="22.42578125" style="3" bestFit="1" customWidth="1"/>
    <col min="43" max="46" width="15.5703125" style="3" customWidth="1"/>
    <col min="47" max="47" width="15.85546875" style="3" customWidth="1"/>
    <col min="48" max="48" width="15" style="3" bestFit="1" customWidth="1"/>
    <col min="49" max="54" width="13.5703125" style="3" customWidth="1"/>
    <col min="55" max="55" width="2.5703125" style="3" customWidth="1"/>
    <col min="56" max="56" width="15.85546875" style="3" customWidth="1"/>
    <col min="57" max="62" width="13.5703125" style="3" customWidth="1"/>
    <col min="63" max="63" width="2.5703125" style="3" customWidth="1"/>
    <col min="64" max="64" width="14.140625" style="3" bestFit="1" customWidth="1"/>
    <col min="65" max="68" width="13.5703125" style="3" customWidth="1"/>
    <col min="69" max="70" width="13.5703125" style="3"/>
    <col min="71" max="71" width="2.5703125" style="3" customWidth="1"/>
    <col min="72" max="72" width="12.42578125" style="3" bestFit="1" customWidth="1"/>
    <col min="73" max="79" width="13.5703125" style="3"/>
    <col min="80" max="80" width="15.5703125" style="3" customWidth="1"/>
    <col min="81" max="16384" width="13.5703125" style="3"/>
  </cols>
  <sheetData>
    <row r="2" spans="1:37" s="12" customFormat="1" ht="18">
      <c r="B2" s="12" t="s">
        <v>843</v>
      </c>
    </row>
    <row r="4" spans="1:37">
      <c r="B4" s="16" t="s">
        <v>844</v>
      </c>
    </row>
    <row r="5" spans="1:37" ht="27.75" customHeight="1">
      <c r="B5" s="379" t="s">
        <v>845</v>
      </c>
      <c r="C5" s="379"/>
      <c r="D5" s="379"/>
      <c r="F5" s="13"/>
    </row>
    <row r="6" spans="1:37">
      <c r="B6" s="1"/>
      <c r="C6" s="1"/>
      <c r="D6" s="1"/>
      <c r="F6" s="13"/>
    </row>
    <row r="7" spans="1:37">
      <c r="B7" s="387" t="s">
        <v>846</v>
      </c>
      <c r="C7" s="389"/>
      <c r="D7" s="389"/>
      <c r="F7" s="13"/>
    </row>
    <row r="8" spans="1:37" ht="27.75" customHeight="1">
      <c r="B8" s="379" t="s">
        <v>847</v>
      </c>
      <c r="C8" s="379"/>
      <c r="D8" s="379"/>
      <c r="F8" s="13"/>
    </row>
    <row r="10" spans="1:37" s="8" customFormat="1">
      <c r="B10" s="8" t="s">
        <v>152</v>
      </c>
      <c r="H10" s="59"/>
      <c r="I10" s="52"/>
      <c r="J10" s="59"/>
      <c r="K10" s="52"/>
      <c r="L10" s="59"/>
      <c r="M10" s="52"/>
      <c r="N10" s="52"/>
      <c r="O10" s="52"/>
      <c r="P10" s="52"/>
      <c r="Q10" s="52"/>
      <c r="R10" s="52"/>
      <c r="S10" s="52"/>
      <c r="T10" s="52"/>
    </row>
    <row r="12" spans="1:37" s="39" customFormat="1">
      <c r="A12" s="106"/>
      <c r="B12" s="39" t="s">
        <v>848</v>
      </c>
    </row>
    <row r="13" spans="1:37" s="40" customFormat="1">
      <c r="A13" s="107"/>
      <c r="B13" s="40" t="s">
        <v>152</v>
      </c>
      <c r="D13" s="40" t="s">
        <v>194</v>
      </c>
      <c r="F13" s="40" t="s">
        <v>195</v>
      </c>
      <c r="H13" s="108">
        <v>2020</v>
      </c>
      <c r="I13" s="109">
        <v>2021</v>
      </c>
      <c r="J13" s="109">
        <v>2022</v>
      </c>
      <c r="K13" s="109">
        <v>2023</v>
      </c>
      <c r="L13" s="109">
        <v>2024</v>
      </c>
      <c r="M13" s="109">
        <v>2025</v>
      </c>
      <c r="N13" s="109">
        <v>2026</v>
      </c>
    </row>
    <row r="14" spans="1:37" s="110" customFormat="1">
      <c r="H14" s="111"/>
      <c r="I14" s="112"/>
      <c r="J14" s="111"/>
      <c r="K14" s="112"/>
      <c r="L14" s="111"/>
      <c r="M14" s="112"/>
      <c r="N14" s="112"/>
      <c r="S14" s="112"/>
      <c r="T14" s="112"/>
      <c r="U14" s="112"/>
      <c r="V14" s="112"/>
      <c r="W14" s="112"/>
      <c r="X14" s="112"/>
      <c r="Y14" s="112"/>
      <c r="AC14" s="112"/>
      <c r="AD14" s="112"/>
      <c r="AE14" s="112"/>
      <c r="AI14" s="112"/>
      <c r="AJ14" s="112"/>
      <c r="AK14" s="112"/>
    </row>
    <row r="15" spans="1:37">
      <c r="B15" s="16" t="s">
        <v>206</v>
      </c>
    </row>
    <row r="16" spans="1:37">
      <c r="B16" s="158" t="s">
        <v>208</v>
      </c>
      <c r="D16" s="3" t="s">
        <v>199</v>
      </c>
      <c r="H16" s="149">
        <f>'2. Parameters'!K22</f>
        <v>3.3000000000000002E-2</v>
      </c>
      <c r="I16" s="149">
        <f>'2. Parameters'!L22</f>
        <v>0.03</v>
      </c>
      <c r="J16" s="10"/>
      <c r="K16" s="10"/>
      <c r="L16" s="10"/>
      <c r="M16" s="10"/>
      <c r="N16" s="10"/>
    </row>
    <row r="17" spans="1:14">
      <c r="B17" s="158" t="s">
        <v>849</v>
      </c>
      <c r="D17" s="3" t="s">
        <v>199</v>
      </c>
      <c r="H17" s="10"/>
      <c r="I17" s="10"/>
      <c r="J17" s="149">
        <f>'2. Parameters'!M24</f>
        <v>3.4000000000000002E-2</v>
      </c>
      <c r="K17" s="149">
        <f>'2. Parameters'!N24</f>
        <v>3.3000000000000002E-2</v>
      </c>
      <c r="L17" s="149">
        <f>'2. Parameters'!O24</f>
        <v>3.7999999999999999E-2</v>
      </c>
      <c r="M17" s="149">
        <f>'2. Parameters'!P24</f>
        <v>3.7999999999999999E-2</v>
      </c>
      <c r="N17" s="149">
        <f>'2. Parameters'!Q24</f>
        <v>3.7999999999999999E-2</v>
      </c>
    </row>
    <row r="19" spans="1:14">
      <c r="B19" s="16" t="s">
        <v>217</v>
      </c>
    </row>
    <row r="20" spans="1:14">
      <c r="B20" s="3" t="s">
        <v>217</v>
      </c>
      <c r="D20" s="3" t="s">
        <v>199</v>
      </c>
      <c r="F20" s="85">
        <f>'2. Parameters'!F32</f>
        <v>0.01</v>
      </c>
    </row>
    <row r="21" spans="1:14" s="98" customFormat="1">
      <c r="A21" s="3"/>
      <c r="F21" s="114"/>
    </row>
    <row r="22" spans="1:14" s="98" customFormat="1">
      <c r="A22" s="3"/>
      <c r="B22" s="115" t="s">
        <v>242</v>
      </c>
      <c r="F22" s="114"/>
    </row>
    <row r="23" spans="1:14">
      <c r="B23" s="3" t="s">
        <v>242</v>
      </c>
      <c r="F23" s="116">
        <f>'2. Parameters'!F88</f>
        <v>1.3</v>
      </c>
    </row>
    <row r="25" spans="1:14">
      <c r="B25" s="2" t="s">
        <v>243</v>
      </c>
    </row>
    <row r="26" spans="1:14">
      <c r="B26" s="3" t="s">
        <v>243</v>
      </c>
      <c r="D26" s="3" t="s">
        <v>199</v>
      </c>
      <c r="F26" s="86">
        <f>'2. Parameters'!F92</f>
        <v>0.1</v>
      </c>
    </row>
    <row r="28" spans="1:14">
      <c r="B28" s="16" t="s">
        <v>238</v>
      </c>
    </row>
    <row r="29" spans="1:14">
      <c r="B29" s="32" t="s">
        <v>226</v>
      </c>
      <c r="D29" s="3" t="s">
        <v>850</v>
      </c>
      <c r="H29" s="38">
        <f>'2. Parameters'!K74</f>
        <v>1</v>
      </c>
      <c r="I29" s="38">
        <f>'2. Parameters'!L74</f>
        <v>1.02</v>
      </c>
      <c r="J29" s="38">
        <f>'2. Parameters'!M74</f>
        <v>1.0404</v>
      </c>
      <c r="K29" s="38">
        <f>'2. Parameters'!N74</f>
        <v>1.0612079999999999</v>
      </c>
      <c r="L29" s="38">
        <f>'2. Parameters'!O74</f>
        <v>1.10365632</v>
      </c>
      <c r="M29" s="38">
        <f>'2. Parameters'!P74</f>
        <v>1.1809122624000001</v>
      </c>
      <c r="N29" s="38">
        <f>'2. Parameters'!Q74</f>
        <v>1.2635761207680003</v>
      </c>
    </row>
    <row r="30" spans="1:14">
      <c r="B30" s="32" t="s">
        <v>227</v>
      </c>
      <c r="D30" s="3" t="s">
        <v>850</v>
      </c>
      <c r="H30" s="10"/>
      <c r="I30" s="38">
        <f>'2. Parameters'!L75</f>
        <v>1</v>
      </c>
      <c r="J30" s="38">
        <f>'2. Parameters'!M75</f>
        <v>1.02</v>
      </c>
      <c r="K30" s="38">
        <f>'2. Parameters'!N75</f>
        <v>1.0404</v>
      </c>
      <c r="L30" s="38">
        <f>'2. Parameters'!O75</f>
        <v>1.0820160000000001</v>
      </c>
      <c r="M30" s="38">
        <f>'2. Parameters'!P75</f>
        <v>1.1577571200000001</v>
      </c>
      <c r="N30" s="38">
        <f>'2. Parameters'!Q75</f>
        <v>1.2388001184000001</v>
      </c>
    </row>
    <row r="31" spans="1:14">
      <c r="B31" s="32" t="s">
        <v>228</v>
      </c>
      <c r="D31" s="3" t="s">
        <v>850</v>
      </c>
      <c r="H31" s="10"/>
      <c r="I31" s="10"/>
      <c r="J31" s="38">
        <f>'2. Parameters'!M76</f>
        <v>1</v>
      </c>
      <c r="K31" s="38">
        <f>'2. Parameters'!N76</f>
        <v>1.02</v>
      </c>
      <c r="L31" s="38">
        <f>'2. Parameters'!O76</f>
        <v>1.0608</v>
      </c>
      <c r="M31" s="38">
        <f>'2. Parameters'!P76</f>
        <v>1.1350560000000001</v>
      </c>
      <c r="N31" s="38">
        <f>'2. Parameters'!Q76</f>
        <v>1.2145099200000002</v>
      </c>
    </row>
    <row r="32" spans="1:14">
      <c r="B32" s="32" t="s">
        <v>229</v>
      </c>
      <c r="D32" s="3" t="s">
        <v>850</v>
      </c>
      <c r="H32" s="10"/>
      <c r="I32" s="10"/>
      <c r="J32" s="10"/>
      <c r="K32" s="38">
        <f>'2. Parameters'!N77</f>
        <v>1</v>
      </c>
      <c r="L32" s="38">
        <f>'2. Parameters'!O77</f>
        <v>1.04</v>
      </c>
      <c r="M32" s="38">
        <f>'2. Parameters'!P77</f>
        <v>1.1128</v>
      </c>
      <c r="N32" s="38">
        <f>'2. Parameters'!Q77</f>
        <v>1.190696</v>
      </c>
    </row>
    <row r="33" spans="2:14">
      <c r="B33" s="32" t="s">
        <v>230</v>
      </c>
      <c r="D33" s="3" t="s">
        <v>850</v>
      </c>
      <c r="H33" s="10"/>
      <c r="I33" s="10"/>
      <c r="J33" s="10"/>
      <c r="K33" s="10"/>
      <c r="L33" s="38">
        <f>'2. Parameters'!O78</f>
        <v>1</v>
      </c>
      <c r="M33" s="38">
        <f>'2. Parameters'!P78</f>
        <v>1.07</v>
      </c>
      <c r="N33" s="38">
        <f>'2. Parameters'!Q78</f>
        <v>1.1449</v>
      </c>
    </row>
    <row r="34" spans="2:14">
      <c r="B34" s="32" t="s">
        <v>231</v>
      </c>
      <c r="D34" s="3" t="s">
        <v>850</v>
      </c>
      <c r="H34" s="10"/>
      <c r="I34" s="10"/>
      <c r="J34" s="10"/>
      <c r="K34" s="10"/>
      <c r="L34" s="10"/>
      <c r="M34" s="38">
        <f>'2. Parameters'!P79</f>
        <v>1</v>
      </c>
      <c r="N34" s="38">
        <f>'2. Parameters'!Q79</f>
        <v>1.07</v>
      </c>
    </row>
    <row r="35" spans="2:14">
      <c r="B35" s="32" t="s">
        <v>232</v>
      </c>
      <c r="D35" s="3" t="s">
        <v>850</v>
      </c>
      <c r="H35" s="10"/>
      <c r="I35" s="10"/>
      <c r="J35" s="10"/>
      <c r="K35" s="10"/>
      <c r="L35" s="10"/>
      <c r="M35" s="10"/>
      <c r="N35" s="38">
        <f>'2. Parameters'!Q80</f>
        <v>1</v>
      </c>
    </row>
    <row r="37" spans="2:14">
      <c r="B37" s="2" t="s">
        <v>218</v>
      </c>
    </row>
    <row r="38" spans="2:14">
      <c r="B38" s="3" t="s">
        <v>851</v>
      </c>
      <c r="D38" s="3" t="s">
        <v>223</v>
      </c>
      <c r="H38" s="38">
        <f>'2. Parameters'!K43</f>
        <v>1</v>
      </c>
      <c r="I38" s="38">
        <f>'2. Parameters'!L43</f>
        <v>1.016</v>
      </c>
      <c r="J38" s="38">
        <f>'2. Parameters'!M43</f>
        <v>1.0342880000000001</v>
      </c>
      <c r="K38" s="38">
        <f>'2. Parameters'!N43</f>
        <v>1.0984138560000001</v>
      </c>
      <c r="L38" s="38">
        <f>'2. Parameters'!O43</f>
        <v>1.1862869644800003</v>
      </c>
      <c r="M38" s="38">
        <f>'2. Parameters'!P43</f>
        <v>1.2195029994854403</v>
      </c>
      <c r="N38" s="38">
        <f>'2. Parameters'!Q43</f>
        <v>1.2402345504766927</v>
      </c>
    </row>
    <row r="39" spans="2:14">
      <c r="B39" s="3" t="s">
        <v>852</v>
      </c>
      <c r="D39" s="3" t="s">
        <v>223</v>
      </c>
      <c r="H39" s="10"/>
      <c r="I39" s="38">
        <f>'2. Parameters'!L44</f>
        <v>1</v>
      </c>
      <c r="J39" s="38">
        <f>'2. Parameters'!M44</f>
        <v>1.018</v>
      </c>
      <c r="K39" s="38">
        <f>'2. Parameters'!N44</f>
        <v>1.081116</v>
      </c>
      <c r="L39" s="38">
        <f>'2. Parameters'!O44</f>
        <v>1.1676052800000001</v>
      </c>
      <c r="M39" s="38">
        <f>'2. Parameters'!P44</f>
        <v>1.2002982278400001</v>
      </c>
      <c r="N39" s="38">
        <f>'2. Parameters'!Q44</f>
        <v>1.2207032977132799</v>
      </c>
    </row>
    <row r="40" spans="2:14">
      <c r="B40" s="3" t="s">
        <v>853</v>
      </c>
      <c r="D40" s="3" t="s">
        <v>223</v>
      </c>
      <c r="H40" s="10"/>
      <c r="I40" s="10"/>
      <c r="J40" s="38">
        <f>'2. Parameters'!M45</f>
        <v>1</v>
      </c>
      <c r="K40" s="38">
        <f>'2. Parameters'!N45</f>
        <v>1.0620000000000001</v>
      </c>
      <c r="L40" s="38">
        <f>'2. Parameters'!O45</f>
        <v>1.1469600000000002</v>
      </c>
      <c r="M40" s="38">
        <f>'2. Parameters'!P45</f>
        <v>1.1790748800000002</v>
      </c>
      <c r="N40" s="38">
        <f>'2. Parameters'!Q45</f>
        <v>1.19911915296</v>
      </c>
    </row>
    <row r="41" spans="2:14">
      <c r="B41" s="3" t="s">
        <v>854</v>
      </c>
      <c r="D41" s="3" t="s">
        <v>223</v>
      </c>
      <c r="H41" s="10"/>
      <c r="I41" s="10"/>
      <c r="J41" s="10"/>
      <c r="K41" s="38">
        <f>'2. Parameters'!N46</f>
        <v>1</v>
      </c>
      <c r="L41" s="38">
        <f>'2. Parameters'!O46</f>
        <v>1.08</v>
      </c>
      <c r="M41" s="38">
        <f>'2. Parameters'!P46</f>
        <v>1.1102400000000001</v>
      </c>
      <c r="N41" s="38">
        <f>'2. Parameters'!Q46</f>
        <v>1.1291140799999999</v>
      </c>
    </row>
    <row r="42" spans="2:14">
      <c r="B42" s="3" t="s">
        <v>855</v>
      </c>
      <c r="D42" s="3" t="s">
        <v>223</v>
      </c>
      <c r="H42" s="10"/>
      <c r="I42" s="10"/>
      <c r="J42" s="10"/>
      <c r="K42" s="10"/>
      <c r="L42" s="38">
        <f>'2. Parameters'!O47</f>
        <v>1</v>
      </c>
      <c r="M42" s="38">
        <f>'2. Parameters'!P47</f>
        <v>1.028</v>
      </c>
      <c r="N42" s="38">
        <f>'2. Parameters'!Q47</f>
        <v>1.0454759999999998</v>
      </c>
    </row>
    <row r="43" spans="2:14">
      <c r="B43" s="3" t="s">
        <v>856</v>
      </c>
      <c r="D43" s="3" t="s">
        <v>223</v>
      </c>
      <c r="H43" s="10"/>
      <c r="I43" s="10"/>
      <c r="J43" s="10"/>
      <c r="K43" s="10"/>
      <c r="L43" s="10"/>
      <c r="M43" s="38">
        <f>'2. Parameters'!P48</f>
        <v>1</v>
      </c>
      <c r="N43" s="38">
        <f>'2. Parameters'!Q48</f>
        <v>1.0169999999999999</v>
      </c>
    </row>
    <row r="44" spans="2:14">
      <c r="B44" s="3" t="s">
        <v>857</v>
      </c>
      <c r="D44" s="3" t="s">
        <v>223</v>
      </c>
      <c r="H44" s="10"/>
      <c r="I44" s="10"/>
      <c r="J44" s="10"/>
      <c r="K44" s="10"/>
      <c r="L44" s="10"/>
      <c r="M44" s="10"/>
      <c r="N44" s="38">
        <f>'2. Parameters'!Q49</f>
        <v>1</v>
      </c>
    </row>
    <row r="46" spans="2:14">
      <c r="B46" s="2" t="s">
        <v>233</v>
      </c>
    </row>
    <row r="47" spans="2:14">
      <c r="B47" s="32" t="s">
        <v>226</v>
      </c>
      <c r="D47" s="3" t="s">
        <v>237</v>
      </c>
      <c r="H47" s="38">
        <f>'2. Parameters'!K60</f>
        <v>1</v>
      </c>
      <c r="I47" s="38">
        <f>'2. Parameters'!L60</f>
        <v>0.999</v>
      </c>
      <c r="J47" s="38">
        <f>'2. Parameters'!M60</f>
        <v>0.995004</v>
      </c>
      <c r="K47" s="38">
        <f>'2. Parameters'!N60</f>
        <v>0.99102398400000002</v>
      </c>
      <c r="L47" s="38">
        <f>'2. Parameters'!O60</f>
        <v>0.98705988806400002</v>
      </c>
      <c r="M47" s="38">
        <f>'2. Parameters'!P60</f>
        <v>0.98311164851174404</v>
      </c>
      <c r="N47" s="38">
        <f>'2. Parameters'!Q60</f>
        <v>0.97917920191769703</v>
      </c>
    </row>
    <row r="48" spans="2:14">
      <c r="B48" s="32" t="s">
        <v>227</v>
      </c>
      <c r="D48" s="3" t="s">
        <v>237</v>
      </c>
      <c r="H48" s="10"/>
      <c r="I48" s="38">
        <f>'2. Parameters'!L61</f>
        <v>1</v>
      </c>
      <c r="J48" s="38">
        <f>'2. Parameters'!M61</f>
        <v>0.996</v>
      </c>
      <c r="K48" s="38">
        <f>'2. Parameters'!N61</f>
        <v>0.99201600000000001</v>
      </c>
      <c r="L48" s="38">
        <f>'2. Parameters'!O61</f>
        <v>0.98804793599999996</v>
      </c>
      <c r="M48" s="38">
        <f>'2. Parameters'!P61</f>
        <v>0.98409574425599999</v>
      </c>
      <c r="N48" s="38">
        <f>'2. Parameters'!Q61</f>
        <v>0.98015936127897596</v>
      </c>
    </row>
    <row r="49" spans="1:78">
      <c r="B49" s="32" t="s">
        <v>228</v>
      </c>
      <c r="D49" s="3" t="s">
        <v>237</v>
      </c>
      <c r="H49" s="10"/>
      <c r="I49" s="10"/>
      <c r="J49" s="38">
        <f>'2. Parameters'!M62</f>
        <v>1</v>
      </c>
      <c r="K49" s="38">
        <f>'2. Parameters'!N62</f>
        <v>0.996</v>
      </c>
      <c r="L49" s="38">
        <f>'2. Parameters'!O62</f>
        <v>0.99201600000000001</v>
      </c>
      <c r="M49" s="38">
        <f>'2. Parameters'!P62</f>
        <v>0.98804793599999996</v>
      </c>
      <c r="N49" s="38">
        <f>'2. Parameters'!Q62</f>
        <v>0.98409574425599999</v>
      </c>
    </row>
    <row r="50" spans="1:78">
      <c r="B50" s="32" t="s">
        <v>229</v>
      </c>
      <c r="D50" s="3" t="s">
        <v>237</v>
      </c>
      <c r="H50" s="10"/>
      <c r="I50" s="10"/>
      <c r="J50" s="10"/>
      <c r="K50" s="38">
        <f>'2. Parameters'!N63</f>
        <v>1</v>
      </c>
      <c r="L50" s="38">
        <f>'2. Parameters'!O63</f>
        <v>0.996</v>
      </c>
      <c r="M50" s="38">
        <f>'2. Parameters'!P63</f>
        <v>0.99201600000000001</v>
      </c>
      <c r="N50" s="38">
        <f>'2. Parameters'!Q63</f>
        <v>0.98804793599999996</v>
      </c>
    </row>
    <row r="51" spans="1:78">
      <c r="B51" s="32" t="s">
        <v>230</v>
      </c>
      <c r="D51" s="3" t="s">
        <v>237</v>
      </c>
      <c r="H51" s="10"/>
      <c r="I51" s="10"/>
      <c r="J51" s="10"/>
      <c r="K51" s="10"/>
      <c r="L51" s="38">
        <f>'2. Parameters'!O64</f>
        <v>1</v>
      </c>
      <c r="M51" s="38">
        <f>'2. Parameters'!P64</f>
        <v>0.996</v>
      </c>
      <c r="N51" s="38">
        <f>'2. Parameters'!Q64</f>
        <v>0.99201600000000001</v>
      </c>
    </row>
    <row r="52" spans="1:78">
      <c r="B52" s="32" t="s">
        <v>231</v>
      </c>
      <c r="D52" s="3" t="s">
        <v>237</v>
      </c>
      <c r="H52" s="10"/>
      <c r="I52" s="10"/>
      <c r="J52" s="10"/>
      <c r="K52" s="10"/>
      <c r="L52" s="10"/>
      <c r="M52" s="38">
        <f>'2. Parameters'!P65</f>
        <v>1</v>
      </c>
      <c r="N52" s="38">
        <f>'2. Parameters'!Q65</f>
        <v>0.996</v>
      </c>
    </row>
    <row r="53" spans="1:78" ht="15.75" customHeight="1">
      <c r="B53" s="32" t="s">
        <v>232</v>
      </c>
      <c r="D53" s="3" t="s">
        <v>237</v>
      </c>
      <c r="H53" s="10"/>
      <c r="I53" s="10"/>
      <c r="J53" s="10"/>
      <c r="K53" s="10"/>
      <c r="L53" s="10"/>
      <c r="M53" s="10"/>
      <c r="N53" s="38">
        <f>'2. Parameters'!Q66</f>
        <v>1</v>
      </c>
    </row>
    <row r="55" spans="1:78" s="39" customFormat="1">
      <c r="B55" s="39" t="s">
        <v>858</v>
      </c>
    </row>
    <row r="56" spans="1:78" s="42" customFormat="1">
      <c r="B56" s="117"/>
    </row>
    <row r="57" spans="1:78" s="42" customFormat="1">
      <c r="O57" s="42" t="s">
        <v>859</v>
      </c>
      <c r="R57" s="42" t="s">
        <v>860</v>
      </c>
      <c r="U57" s="42" t="s">
        <v>861</v>
      </c>
      <c r="X57" s="42" t="s">
        <v>862</v>
      </c>
      <c r="AD57" s="42" t="s">
        <v>863</v>
      </c>
      <c r="AJ57" s="42" t="s">
        <v>864</v>
      </c>
      <c r="AP57" s="42" t="s">
        <v>865</v>
      </c>
      <c r="AV57" s="42" t="s">
        <v>866</v>
      </c>
      <c r="BD57" s="42" t="s">
        <v>514</v>
      </c>
      <c r="BL57" s="42" t="s">
        <v>867</v>
      </c>
      <c r="BT57" s="42" t="s">
        <v>868</v>
      </c>
    </row>
    <row r="58" spans="1:78" s="45" customFormat="1">
      <c r="B58" s="45" t="s">
        <v>869</v>
      </c>
      <c r="F58" s="45" t="s">
        <v>359</v>
      </c>
      <c r="H58" s="46" t="s">
        <v>870</v>
      </c>
      <c r="I58" s="46" t="s">
        <v>871</v>
      </c>
      <c r="J58" s="46" t="s">
        <v>805</v>
      </c>
      <c r="K58" s="46" t="s">
        <v>806</v>
      </c>
      <c r="L58" s="45" t="s">
        <v>872</v>
      </c>
      <c r="M58" s="45" t="s">
        <v>873</v>
      </c>
      <c r="O58" s="51">
        <v>2020</v>
      </c>
      <c r="P58" s="51">
        <v>2021</v>
      </c>
      <c r="R58" s="51">
        <v>2020</v>
      </c>
      <c r="S58" s="51">
        <v>2021</v>
      </c>
      <c r="U58" s="45" t="s">
        <v>874</v>
      </c>
      <c r="V58" s="45" t="s">
        <v>875</v>
      </c>
      <c r="X58" s="51">
        <v>2022</v>
      </c>
      <c r="Y58" s="51">
        <v>2023</v>
      </c>
      <c r="Z58" s="51">
        <v>2024</v>
      </c>
      <c r="AA58" s="51">
        <v>2025</v>
      </c>
      <c r="AB58" s="51">
        <v>2026</v>
      </c>
      <c r="AD58" s="51">
        <v>2022</v>
      </c>
      <c r="AE58" s="51">
        <v>2023</v>
      </c>
      <c r="AF58" s="51">
        <v>2024</v>
      </c>
      <c r="AG58" s="51">
        <v>2025</v>
      </c>
      <c r="AH58" s="51">
        <v>2026</v>
      </c>
      <c r="AJ58" s="51">
        <v>2022</v>
      </c>
      <c r="AK58" s="51">
        <v>2023</v>
      </c>
      <c r="AL58" s="51">
        <v>2024</v>
      </c>
      <c r="AM58" s="51">
        <v>2025</v>
      </c>
      <c r="AN58" s="51">
        <v>2026</v>
      </c>
      <c r="AP58" s="51">
        <v>2022</v>
      </c>
      <c r="AQ58" s="51">
        <v>2023</v>
      </c>
      <c r="AR58" s="51">
        <v>2024</v>
      </c>
      <c r="AS58" s="51">
        <v>2025</v>
      </c>
      <c r="AT58" s="51">
        <v>2026</v>
      </c>
      <c r="AV58" s="51">
        <v>2020</v>
      </c>
      <c r="AW58" s="51">
        <v>2021</v>
      </c>
      <c r="AX58" s="51">
        <v>2022</v>
      </c>
      <c r="AY58" s="51">
        <v>2023</v>
      </c>
      <c r="AZ58" s="51">
        <v>2024</v>
      </c>
      <c r="BA58" s="51">
        <v>2025</v>
      </c>
      <c r="BB58" s="51">
        <v>2026</v>
      </c>
      <c r="BD58" s="51">
        <v>2020</v>
      </c>
      <c r="BE58" s="51">
        <v>2021</v>
      </c>
      <c r="BF58" s="51">
        <v>2022</v>
      </c>
      <c r="BG58" s="51">
        <v>2023</v>
      </c>
      <c r="BH58" s="51">
        <v>2024</v>
      </c>
      <c r="BI58" s="51">
        <v>2025</v>
      </c>
      <c r="BJ58" s="51">
        <v>2026</v>
      </c>
      <c r="BL58" s="51">
        <v>2020</v>
      </c>
      <c r="BM58" s="51">
        <v>2021</v>
      </c>
      <c r="BN58" s="51">
        <v>2022</v>
      </c>
      <c r="BO58" s="51">
        <v>2023</v>
      </c>
      <c r="BP58" s="51">
        <v>2024</v>
      </c>
      <c r="BQ58" s="51">
        <v>2025</v>
      </c>
      <c r="BR58" s="51">
        <v>2026</v>
      </c>
      <c r="BT58" s="51">
        <v>2020</v>
      </c>
      <c r="BU58" s="51">
        <v>2021</v>
      </c>
      <c r="BV58" s="51">
        <v>2022</v>
      </c>
      <c r="BW58" s="51">
        <v>2023</v>
      </c>
      <c r="BX58" s="51">
        <v>2024</v>
      </c>
      <c r="BY58" s="51">
        <v>2025</v>
      </c>
      <c r="BZ58" s="51">
        <v>2026</v>
      </c>
    </row>
    <row r="59" spans="1:78" s="54" customFormat="1">
      <c r="H59" s="55"/>
      <c r="I59" s="55"/>
    </row>
    <row r="60" spans="1:78">
      <c r="A60" s="54"/>
      <c r="B60" s="43">
        <f>'11. Investeringen (WUI+ombouw)'!B20</f>
        <v>1</v>
      </c>
      <c r="C60" s="54"/>
      <c r="D60" s="54"/>
      <c r="E60" s="54"/>
      <c r="F60" s="48">
        <f>'11. Investeringen (WUI+ombouw)'!C20</f>
        <v>560010.50868726079</v>
      </c>
      <c r="G60" s="54"/>
      <c r="H60" s="43">
        <f>'11. Investeringen (WUI+ombouw)'!D20</f>
        <v>2020</v>
      </c>
      <c r="I60" s="43" t="str">
        <f>'11. Investeringen (WUI+ombouw)'!E20</f>
        <v>02 Gasontvangststations</v>
      </c>
      <c r="J60" s="43" t="str">
        <f>'11. Investeringen (WUI+ombouw)'!F20</f>
        <v>VVI</v>
      </c>
      <c r="K60" s="43" t="str">
        <f>'11. Investeringen (WUI+ombouw)'!G20</f>
        <v>Ja</v>
      </c>
      <c r="L60" s="44">
        <f>H60+2</f>
        <v>2022</v>
      </c>
      <c r="M60" s="44">
        <f>_xlfn.XLOOKUP(I60,'3. Input (des)investeringen '!$B$11:$B$81,'3. Input (des)investeringen '!$D$11:$D$81,0)</f>
        <v>30</v>
      </c>
      <c r="O60" s="49">
        <f>IF($M60&gt;0, IF($H60&lt;=O$58, VDB($F60,0,$M60,MAX(0,O$58-$H60-0.5),MIN($M60,O$58-$H60+0.5),1)*INDEX(H$38:H$44,$H60-2019,1),0),0)</f>
        <v>9333.5084781210135</v>
      </c>
      <c r="P60" s="49">
        <f>IF($M60&gt;0, IF($H60&lt;=P$58, VDB($F60,0,$M60,MAX(0,P$58-$H60-0.5),MIN($M60,P$58-$H60+0.5),1)*INDEX(I$38:I$44,$H60-2019,1),0),0)</f>
        <v>18965.689227541901</v>
      </c>
      <c r="R60" s="49">
        <f>IF($O60=0,IF($H60=O$58,$F60,0),IF(OR($H60&gt;R$58,$H60+$M60&lt;=R$58),0,F60-O60))</f>
        <v>550677.00020913978</v>
      </c>
      <c r="S60" s="49">
        <f>IF($M60=0,IF($H60=P$58,$F60,$R60*I$38),IF(OR($H60&gt;S$58,$H60+$M60&lt;=S$58),0,
IF($H60=S$58,F60-P60,R60*I$38-P60)))</f>
        <v>540522.14298494416</v>
      </c>
      <c r="U60" s="49">
        <f>IF(H60&lt;=2021,S60,F60)</f>
        <v>540522.14298494416</v>
      </c>
      <c r="V60" s="44">
        <f>IF($M60&gt;0,IF(H60&lt;2022,M60-2021+H60-0.5,M60),0)</f>
        <v>28.5</v>
      </c>
      <c r="X60" s="49">
        <f>IF($M60&gt;0, IF(OR($H60&gt;X$58,$H60+$M60&lt;X$58),0,IF(OR($H60=2020,$H60=2021),VDB($U60,0,$V60,X$58-2022,MIN($V60,X$58-2021),$F$23,FALSE),
VDB($U60,0,$V60,MAX(0,X$58-$H60-0.5),MIN($V60,X$58-$H60+0.5),$F$23,FALSE)))*(1-$F$26), 0)</f>
        <v>22189.856396224026</v>
      </c>
      <c r="Y60" s="49">
        <f t="shared" ref="Y60:AB79" si="0">IF($M60&gt;0, IF(OR($H60&gt;Y$58,$H60+$M60&lt;Y$58),0,IF(OR($H60=2020,$H60=2021),VDB($U60,0,$V60,Y$58-2022,MIN($V60,Y$58-2021),$F$23,FALSE),
VDB($U60,0,$V60,MAX(0,Y$58-$H60-0.5),MIN($V60,Y$58-$H60+0.5),$F$23,FALSE)))*(1-$F$26), 0)</f>
        <v>21177.68750797521</v>
      </c>
      <c r="Z60" s="49">
        <f>IF($M60&gt;0, IF(OR($H60&gt;Z$58,$H60+$M60&lt;Z$58),0,IF(OR($H60=2020,$H60=2021),VDB($U60,0,$V60,Z$58-2022,MIN($V60,Z$58-2021),$F$23,FALSE),
VDB($U60,0,$V60,MAX(0,Z$58-$H60-0.5),MIN($V60,Z$58-$H60+0.5),$F$23,FALSE)))*(1-$F$26), 0)</f>
        <v>20211.687726909673</v>
      </c>
      <c r="AA60" s="49">
        <f t="shared" si="0"/>
        <v>19289.751093752395</v>
      </c>
      <c r="AB60" s="103">
        <f>IF($M60&gt;0, IF(OR($H60&gt;AB$58,$H60+$M60&lt;AB$58),0,IF(OR($H60=2020,$H60=2021),VDB($U60,0,$V60,AB$58-2022,MIN($V60,AB$58-2021),$F$23,FALSE),
VDB($U60,0,$V60,MAX(0,AB$58-$H60-0.5),MIN($V60,AB$58-$H60+0.5),$F$23,FALSE)))*(1-$F$26), 0)</f>
        <v>18409.867710528601</v>
      </c>
      <c r="AD60" s="49">
        <f>IF($M60&gt;0, IF(OR($H60&gt;AD$58,$H60+$M60&lt;AD$58),0,IF(OR($H60=2020,$H60=2021),VDB($U60,0,$V60,AD$58-2022,MIN($V60,AD$58-2021),1,FALSE),
VDB($U60,0,$V60,MAX(0,AD$58-$H60-0.5),MIN($V60,AD$58-$H60+0.5),1,FALSE)))*$F$26,0)</f>
        <v>1896.5689227541902</v>
      </c>
      <c r="AE60" s="49">
        <f t="shared" ref="AE60:AH79" si="1">IF($M60&gt;0, IF(OR($H60&gt;AE$58,$H60+$M60&lt;AE$58),0,IF(OR($H60=2020,$H60=2021),VDB($U60,0,$V60,AE$58-2022,MIN($V60,AE$58-2021),1,FALSE),
VDB($U60,0,$V60,MAX(0,AE$58-$H60-0.5),MIN($V60,AE$58-$H60+0.5),1,FALSE)))*$F$26,0)</f>
        <v>1896.5689227541902</v>
      </c>
      <c r="AF60" s="49">
        <f t="shared" si="1"/>
        <v>1896.5689227541902</v>
      </c>
      <c r="AG60" s="49">
        <f t="shared" si="1"/>
        <v>1896.5689227541902</v>
      </c>
      <c r="AH60" s="103">
        <f t="shared" si="1"/>
        <v>1896.5689227541902</v>
      </c>
      <c r="AJ60" s="49">
        <f>X60+AD60</f>
        <v>24086.425318978218</v>
      </c>
      <c r="AK60" s="49">
        <f>Y60+AE60</f>
        <v>23074.256430729401</v>
      </c>
      <c r="AL60" s="49">
        <f>Z60+AF60</f>
        <v>22108.256649663865</v>
      </c>
      <c r="AM60" s="49">
        <f t="shared" ref="AM60:AN60" si="2">AA60+AG60</f>
        <v>21186.320016506586</v>
      </c>
      <c r="AN60" s="103">
        <f t="shared" si="2"/>
        <v>20306.436633282792</v>
      </c>
      <c r="AP60" s="49">
        <f>IF($M60=0, IF($H60&gt;AP$58,0, $U60), IF(OR($H60&gt;AP$58,$H60+$M60&lt;=AP$58),0,
IF($H60=AP$58,$U60-AJ60,
U60-AJ60)))</f>
        <v>516435.71766596596</v>
      </c>
      <c r="AQ60" s="49">
        <f>IF($M60=0, IF($H60 &gt; AQ$58, 0, IF($H60=AQ$58, $F60, AP60)), IF(OR($H60&gt;AQ$58,$H60+$M60&lt;=AQ$58),0,
IF($H60=AQ$58,$U60-AK60,
AP60-AK60)))</f>
        <v>493361.46123523655</v>
      </c>
      <c r="AR60" s="49">
        <f t="shared" ref="AR60:AT75" si="3">IF($M60=0, IF($H60 &gt; AR$58, 0, IF($H60=AR$58, $F60, AQ60)), IF(OR($H60&gt;AR$58,$H60+$M60&lt;=AR$58),0,
IF($H60=AR$58,$U60-AL60,
AQ60-AL60)))</f>
        <v>471253.2045855727</v>
      </c>
      <c r="AS60" s="49">
        <f t="shared" si="3"/>
        <v>450066.88456906611</v>
      </c>
      <c r="AT60" s="103">
        <f t="shared" si="3"/>
        <v>429760.4479357833</v>
      </c>
      <c r="AV60" s="53">
        <f>O60+R60*H$16</f>
        <v>27505.849485022627</v>
      </c>
      <c r="AW60" s="53">
        <f>P60+S60*I$16</f>
        <v>35181.353517090225</v>
      </c>
      <c r="AX60" s="53">
        <f>AJ60+AP60*J$17</f>
        <v>41645.239719621066</v>
      </c>
      <c r="AY60" s="53">
        <f>AK60+AQ60*K$17</f>
        <v>39355.184651492207</v>
      </c>
      <c r="AZ60" s="53">
        <f>AL60+AR60*L$17</f>
        <v>40015.878423915623</v>
      </c>
      <c r="BA60" s="49">
        <f>AM60+AS60*M$17</f>
        <v>38288.861630131098</v>
      </c>
      <c r="BB60" s="103">
        <f>AN60+AT60*N$17</f>
        <v>36637.333654842558</v>
      </c>
      <c r="BD60" s="49">
        <f>IF(O60&gt;0,$F60*$F$20*INDEX($H$38:$N$44,$H60-2019,BD$58-2019)*INDEX($H$47:$N$53,$H60-2019,BD$58-2019)* IF(OR(BD$58=$H60,BD$58=$H60+$M60),0.5,1),0)</f>
        <v>2800.0525434363039</v>
      </c>
      <c r="BE60" s="49">
        <f>IF(P60&gt;0,$F60*$F$20*INDEX($H$38:$N$44,$H60-2019,BE$58-2019)*INDEX($H$47:$N$53,$H60-2019,BE$58-2019)*
 IF(OR(BE$58=$H60,BE$58=$H60+$M60),0.5,1),0)</f>
        <v>5684.0170614943063</v>
      </c>
      <c r="BF60" s="49">
        <f>IF(AJ60&gt;0,
$F60*$F$20*INDEX($H$38:$N$44,$H60-2019,BF$58-2019)*INDEX($H$47:$N$53,$H60-2019,BF$58-2019)*
 IF(OR(BF$58=$H60,BF$58=$H60+$M60),0.5,1),0)</f>
        <v>5763.1840511268001</v>
      </c>
      <c r="BG60" s="49">
        <f>IF(AK60&gt;0,
$F60*$F$20*INDEX($H$38:$N$44,$H60-2019,BG$58-2019)*INDEX($H$47:$N$53,$H60-2019,BG$58-2019)*
 IF(OR(BG$58=$H60,BG$58=$H60+$M60),0.5,1),0)</f>
        <v>6096.019456447475</v>
      </c>
      <c r="BH60" s="49">
        <f>IF(AL60&gt;0,
$F60*$F$20*INDEX($H$38:$N$44,$H60-2019,BH$58-2019)*INDEX($H$47:$N$53,$H60-2019,BH$58-2019)*
 IF(OR(BH$58=$H60,BH$58=$H60+$M60),0.5,1),0)</f>
        <v>6557.3662089114214</v>
      </c>
      <c r="BI60" s="49">
        <f>IF(AM60&gt;0,
$F60*$F$20*INDEX($H$38:$N$44,$H60-2019,BI$58-2019)*INDEX($H$47:$N$53,$H60-2019,BI$58-2019)*
 IF(OR(BI$58=$H60,BI$58=$H60+$M60),0.5,1),0)</f>
        <v>6714.0085729098973</v>
      </c>
      <c r="BJ60" s="103">
        <f>IF(AN60&gt;0,
$F60*$F$20*INDEX($H$38:$N$44,$H60-2019,BJ$58-2019)*INDEX($H$47:$N$53,$H60-2019,BJ$58-2019)*
 IF(OR(BJ$58=$H60,BJ$58=$H60+$M60),0.5,1),0)</f>
        <v>6800.8341317747672</v>
      </c>
      <c r="BL60" s="49">
        <f>AV60+BD60</f>
        <v>30305.902028458931</v>
      </c>
      <c r="BM60" s="49">
        <f t="shared" ref="BM60:BR60" si="4">AW60+BE60</f>
        <v>40865.37057858453</v>
      </c>
      <c r="BN60" s="49">
        <f t="shared" si="4"/>
        <v>47408.423770747868</v>
      </c>
      <c r="BO60" s="49">
        <f t="shared" si="4"/>
        <v>45451.20410793968</v>
      </c>
      <c r="BP60" s="49">
        <f t="shared" si="4"/>
        <v>46573.244632827045</v>
      </c>
      <c r="BQ60" s="49">
        <f t="shared" si="4"/>
        <v>45002.870203040991</v>
      </c>
      <c r="BR60" s="103">
        <f t="shared" si="4"/>
        <v>43438.167786617327</v>
      </c>
      <c r="BT60" s="10"/>
      <c r="BU60" s="10"/>
      <c r="BV60" s="57">
        <f>IF($L60&gt;BV$58,0,
IF($L60=BV$58,BL60*INDEX(J$29:J$35,BV$58-2021)+BM60*INDEX(J$29:J$35,BV$58-2020)+BN60,BN60))</f>
        <v>120621.36223131276</v>
      </c>
      <c r="BW60" s="57">
        <f>IF($L60&gt;BW$58,0,
IF($L60=BW$58,BM60*INDEX(K$29:K$35,BW$58-2021)+BN60*INDEX(K$29:K$35,BW$58-2020)+BO60,BO60))</f>
        <v>45451.20410793968</v>
      </c>
      <c r="BX60" s="57">
        <f>IF($L60&gt;BX$58,0,
IF($L60=BX$58,BN60*INDEX(L$29:L$35,BX$58-2021)+BO60*INDEX(L$29:L$35,BX$58-2020)+BP60,BP60))</f>
        <v>46573.244632827045</v>
      </c>
      <c r="BY60" s="57">
        <f>IF($L60&gt;BY$58,0,
IF($L60=BY$58,BO60*INDEX(M$29:M$35,BY$58-2021)+BP60*INDEX(M$29:M$35,BY$58-2020)+BQ60,BQ60))</f>
        <v>45002.870203040991</v>
      </c>
      <c r="BZ60" s="103">
        <f>IF($L60&gt;BZ$58,0,
IF($L60=BZ$58,BP60*INDEX(N$29:N$35,BZ$58-2021)+BQ60*INDEX(N$29:N$35,BZ$58-2020)+BR60,BR60))</f>
        <v>43438.167786617327</v>
      </c>
    </row>
    <row r="61" spans="1:78">
      <c r="A61" s="54"/>
      <c r="B61" s="43">
        <f>'11. Investeringen (WUI+ombouw)'!B21</f>
        <v>2</v>
      </c>
      <c r="C61" s="54"/>
      <c r="D61" s="54"/>
      <c r="E61" s="54"/>
      <c r="F61" s="48">
        <f>'11. Investeringen (WUI+ombouw)'!C21</f>
        <v>1887912.8589451036</v>
      </c>
      <c r="G61" s="54"/>
      <c r="H61" s="43">
        <f>'11. Investeringen (WUI+ombouw)'!D21</f>
        <v>2022</v>
      </c>
      <c r="I61" s="43" t="str">
        <f>'11. Investeringen (WUI+ombouw)'!E21</f>
        <v>01 Regionale leidingen</v>
      </c>
      <c r="J61" s="43" t="str">
        <f>'11. Investeringen (WUI+ombouw)'!F21</f>
        <v>VVI</v>
      </c>
      <c r="K61" s="43" t="str">
        <f>'11. Investeringen (WUI+ombouw)'!G21</f>
        <v>Ja</v>
      </c>
      <c r="L61" s="44">
        <f t="shared" ref="L61:L64" si="5">H61+2</f>
        <v>2024</v>
      </c>
      <c r="M61" s="44">
        <f>_xlfn.XLOOKUP(I61,'3. Input (des)investeringen '!$B$11:$B$81,'3. Input (des)investeringen '!$D$11:$D$81,0)</f>
        <v>55</v>
      </c>
      <c r="O61" s="49">
        <f t="shared" ref="O61:O64" si="6">IF($M61&gt;0, IF($H61&lt;=O$58, VDB($F61,0,$M61,MAX(0,O$58-$H61-0.5),MIN($M61,O$58-$H61+0.5),1)*INDEX(H$38:H$44,$H61-2019,1),0),0)</f>
        <v>0</v>
      </c>
      <c r="P61" s="49">
        <f t="shared" ref="P61:P65" si="7">IF($M61&gt;0, IF($H61&lt;=P$58, VDB($F61,0,$M61,MAX(0,P$58-$H61-0.5),MIN($M61,P$58-$H61+0.5),1)*INDEX(I$38:I$44,$H61-2019,1),0),0)</f>
        <v>0</v>
      </c>
      <c r="R61" s="49">
        <f t="shared" ref="R61:R79" si="8">IF($O61=0,IF($H61=O$58,$F61,0),IF(OR($H61&gt;R$58,$H61+$M61&lt;=R$58),0,F61-O61))</f>
        <v>0</v>
      </c>
      <c r="S61" s="49">
        <f t="shared" ref="S61:S79" si="9">IF($M61=0,IF($H61=P$58,$F61,$R61*I$38),IF(OR($H61&gt;S$58,$H61+$M61&lt;=S$58),0,
IF($H61=S$58,F61-P61,R61*I$38-P61)))</f>
        <v>0</v>
      </c>
      <c r="U61" s="49">
        <f t="shared" ref="U61:U64" si="10">IF(H61&lt;=2021,S61,F61)</f>
        <v>1887912.8589451036</v>
      </c>
      <c r="V61" s="44">
        <f t="shared" ref="V61:V65" si="11">IF($M61&gt;0,IF(H61&lt;2022,M61-2021+H61-0.5,M61),0)</f>
        <v>55</v>
      </c>
      <c r="X61" s="49">
        <f t="shared" ref="X61:X64" si="12">IF($M61&gt;0, IF(OR($H61&gt;X$58,$H61+$M61&lt;X$58),0,IF(OR($H61=2020,$H61=2021),VDB($U61,0,$V61,X$58-2022,MIN($V61,X$58-2021),$F$23,FALSE),
VDB($U61,0,$V61,MAX(0,X$58-$H61-0.5),MIN($V61,X$58-$H61+0.5),$F$23,FALSE)))*(1-$F$26), 0)</f>
        <v>20080.527681507014</v>
      </c>
      <c r="Y61" s="49">
        <f t="shared" si="0"/>
        <v>39686.424708723855</v>
      </c>
      <c r="Z61" s="49">
        <f t="shared" si="0"/>
        <v>38748.381942881293</v>
      </c>
      <c r="AA61" s="49">
        <f t="shared" si="0"/>
        <v>37832.511096958646</v>
      </c>
      <c r="AB61" s="103">
        <f t="shared" si="0"/>
        <v>36938.288107394168</v>
      </c>
      <c r="AD61" s="49">
        <f t="shared" ref="AD61:AD79" si="13">IF($M61&gt;0, IF(OR($H61&gt;AD$58,$H61+$M61&lt;AD$58),0,IF(OR($H61=2020,$H61=2021),VDB($U61,0,$V61,AD$58-2022,MIN($V61,AD$58-2021),1,FALSE),
VDB($U61,0,$V61,MAX(0,AD$58-$H61-0.5),MIN($V61,AD$58-$H61+0.5),1,FALSE)))*$F$26,0)</f>
        <v>1716.2844172228215</v>
      </c>
      <c r="AE61" s="49">
        <f t="shared" si="1"/>
        <v>3432.568834445643</v>
      </c>
      <c r="AF61" s="49">
        <f t="shared" si="1"/>
        <v>3432.568834445643</v>
      </c>
      <c r="AG61" s="49">
        <f t="shared" si="1"/>
        <v>3432.568834445643</v>
      </c>
      <c r="AH61" s="103">
        <f t="shared" si="1"/>
        <v>3432.568834445643</v>
      </c>
      <c r="AJ61" s="49">
        <f t="shared" ref="AJ61:AJ65" si="14">X61+AD61</f>
        <v>21796.812098729835</v>
      </c>
      <c r="AK61" s="49">
        <f t="shared" ref="AK61:AK65" si="15">Y61+AE61</f>
        <v>43118.993543169498</v>
      </c>
      <c r="AL61" s="49">
        <f t="shared" ref="AL61:AL65" si="16">Z61+AF61</f>
        <v>42180.950777326936</v>
      </c>
      <c r="AM61" s="49">
        <f t="shared" ref="AM61:AM65" si="17">AA61+AG61</f>
        <v>41265.079931404289</v>
      </c>
      <c r="AN61" s="103">
        <f t="shared" ref="AN61:AN65" si="18">AB61+AH61</f>
        <v>40370.856941839811</v>
      </c>
      <c r="AP61" s="49">
        <f t="shared" ref="AP61:AP79" si="19">IF($M61=0, IF($H61&gt;AP$58,0, $U61), IF(OR($H61&gt;AP$58,$H61+$M61&lt;=AP$58),0,
IF($H61=AP$58,$U61-AJ61,
U61-AJ61)))</f>
        <v>1866116.0468463737</v>
      </c>
      <c r="AQ61" s="49">
        <f t="shared" ref="AQ61:AQ79" si="20">IF($M61=0, IF($H61 &gt; AQ$58, 0, IF($H61=AQ$58, $F61, AP61)), IF(OR($H61&gt;AQ$58,$H61+$M61&lt;=AQ$58),0,
IF($H61=AQ$58,$U61-AK61,
AP61-AK61)))</f>
        <v>1822997.0533032042</v>
      </c>
      <c r="AR61" s="49">
        <f t="shared" si="3"/>
        <v>1780816.1025258773</v>
      </c>
      <c r="AS61" s="49">
        <f t="shared" si="3"/>
        <v>1739551.0225944731</v>
      </c>
      <c r="AT61" s="103">
        <f t="shared" si="3"/>
        <v>1699180.1656526332</v>
      </c>
      <c r="AV61" s="53">
        <f t="shared" ref="AV61:AV64" si="21">O61+R61*H$16</f>
        <v>0</v>
      </c>
      <c r="AW61" s="53">
        <f t="shared" ref="AW61:AW65" si="22">P61+S61*I$16</f>
        <v>0</v>
      </c>
      <c r="AX61" s="53">
        <f t="shared" ref="AX61:AX64" si="23">AJ61+AP61*J$17</f>
        <v>85244.757691506544</v>
      </c>
      <c r="AY61" s="53">
        <f t="shared" ref="AY61:AY65" si="24">AK61+AQ61*K$17</f>
        <v>103277.89630217524</v>
      </c>
      <c r="AZ61" s="53">
        <f t="shared" ref="AZ61:AZ65" si="25">AL61+AR61*L$17</f>
        <v>109851.96267331028</v>
      </c>
      <c r="BA61" s="49">
        <f t="shared" ref="BA61:BA65" si="26">AM61+AS61*M$17</f>
        <v>107368.01878999427</v>
      </c>
      <c r="BB61" s="103">
        <f t="shared" ref="BB61:BB65" si="27">AN61+AT61*N$17</f>
        <v>104939.70323663988</v>
      </c>
      <c r="BD61" s="49">
        <f t="shared" ref="BD61:BD65" si="28">IF(O61&gt;0,$F61*$F$20*INDEX($H$38:$N$44,$H61-2019,BD$58-2019)*INDEX($H$47:$N$53,$H61-2019,BD$58-2019)* IF(OR(BD$58=$H61,BD$58=$H61+$M61),0.5,1),0)</f>
        <v>0</v>
      </c>
      <c r="BE61" s="49">
        <f t="shared" ref="BE61:BE65" si="29">IF(P61&gt;0,$F61*$F$20*INDEX($H$38:$N$44,$H61-2019,BE$58-2019)*INDEX($H$47:$N$53,$H61-2019,BE$58-2019)*
 IF(OR(BE$58=$H61,BE$58=$H61+$M61),0.5,1),0)</f>
        <v>0</v>
      </c>
      <c r="BF61" s="49">
        <f t="shared" ref="BF61:BF65" si="30">IF(AJ61&gt;0,
$F61*$F$20*INDEX($H$38:$N$44,$H61-2019,BF$58-2019)*INDEX($H$47:$N$53,$H61-2019,BF$58-2019)*
 IF(OR(BF$58=$H61,BF$58=$H61+$M61),0.5,1),0)</f>
        <v>9439.5642947255183</v>
      </c>
      <c r="BG61" s="49">
        <f t="shared" ref="BG61:BG65" si="31">IF(AK61&gt;0,
$F61*$F$20*INDEX($H$38:$N$44,$H61-2019,BG$58-2019)*INDEX($H$47:$N$53,$H61-2019,BG$58-2019)*
 IF(OR(BG$58=$H61,BG$58=$H61+$M61),0.5,1),0)</f>
        <v>19969.436023749015</v>
      </c>
      <c r="BH61" s="49">
        <f t="shared" ref="BH61:BH65" si="32">IF(AL61&gt;0,
$F61*$F$20*INDEX($H$38:$N$44,$H61-2019,BH$58-2019)*INDEX($H$47:$N$53,$H61-2019,BH$58-2019)*
 IF(OR(BH$58=$H61,BH$58=$H61+$M61),0.5,1),0)</f>
        <v>21480.722942026343</v>
      </c>
      <c r="BI61" s="49">
        <f t="shared" ref="BI61:BI65" si="33">IF(AM61&gt;0,
$F61*$F$20*INDEX($H$38:$N$44,$H61-2019,BI$58-2019)*INDEX($H$47:$N$53,$H61-2019,BI$58-2019)*
 IF(OR(BI$58=$H61,BI$58=$H61+$M61),0.5,1),0)</f>
        <v>21993.854451665466</v>
      </c>
      <c r="BJ61" s="103">
        <f t="shared" ref="BJ61:BJ65" si="34">IF(AN61&gt;0,
$F61*$F$20*INDEX($H$38:$N$44,$H61-2019,BJ$58-2019)*INDEX($H$47:$N$53,$H61-2019,BJ$58-2019)*
 IF(OR(BJ$58=$H61,BJ$58=$H61+$M61),0.5,1),0)</f>
        <v>22278.278977434402</v>
      </c>
      <c r="BL61" s="49">
        <f t="shared" ref="BL61:BL65" si="35">AV61+BD61</f>
        <v>0</v>
      </c>
      <c r="BM61" s="49">
        <f t="shared" ref="BM61:BM65" si="36">AW61+BE61</f>
        <v>0</v>
      </c>
      <c r="BN61" s="49">
        <f t="shared" ref="BN61:BN65" si="37">AX61+BF61</f>
        <v>94684.321986232069</v>
      </c>
      <c r="BO61" s="49">
        <f t="shared" ref="BO61:BO65" si="38">AY61+BG61</f>
        <v>123247.33232592426</v>
      </c>
      <c r="BP61" s="49">
        <f t="shared" ref="BP61:BP65" si="39">AZ61+BH61</f>
        <v>131332.68561533661</v>
      </c>
      <c r="BQ61" s="49">
        <f t="shared" ref="BQ61:BQ65" si="40">BA61+BI61</f>
        <v>129361.87324165973</v>
      </c>
      <c r="BR61" s="103">
        <f t="shared" ref="BR61:BR65" si="41">BB61+BJ61</f>
        <v>127217.98221407428</v>
      </c>
      <c r="BT61" s="10"/>
      <c r="BU61" s="10"/>
      <c r="BV61" s="57">
        <f t="shared" ref="BV61:BV65" si="42">IF($L61&gt;BV$58,0,
IF($L61=BV$58,BL61*INDEX(J$29:J$35,BV$58-2021)+BM61*INDEX(J$29:J$35,BV$58-2020)+BN61,BN61))</f>
        <v>0</v>
      </c>
      <c r="BW61" s="57">
        <f t="shared" ref="BW61:BW65" si="43">IF($L61&gt;BW$58,0,
IF($L61=BW$58,BM61*INDEX(K$29:K$35,BW$58-2021)+BN61*INDEX(K$29:K$35,BW$58-2020)+BO61,BO61))</f>
        <v>0</v>
      </c>
      <c r="BX61" s="57">
        <f t="shared" ref="BX61:BX65" si="44">IF($L61&gt;BX$58,0,
IF($L61=BX$58,BN61*INDEX(L$29:L$35,BX$58-2021)+BO61*INDEX(L$29:L$35,BX$58-2020)+BP61,BP61))</f>
        <v>359951.0399972928</v>
      </c>
      <c r="BY61" s="57">
        <f t="shared" ref="BY61:BY65" si="45">IF($L61&gt;BY$58,0,
IF($L61=BY$58,BO61*INDEX(M$29:M$35,BY$58-2021)+BP61*INDEX(M$29:M$35,BY$58-2020)+BQ61,BQ61))</f>
        <v>129361.87324165973</v>
      </c>
      <c r="BZ61" s="103">
        <f t="shared" ref="BZ61:BZ65" si="46">IF($L61&gt;BZ$58,0,
IF($L61=BZ$58,BP61*INDEX(N$29:N$35,BZ$58-2021)+BQ61*INDEX(N$29:N$35,BZ$58-2020)+BR61,BR61))</f>
        <v>127217.98221407428</v>
      </c>
    </row>
    <row r="62" spans="1:78">
      <c r="A62" s="54"/>
      <c r="B62" s="43">
        <f>'11. Investeringen (WUI+ombouw)'!B22</f>
        <v>3</v>
      </c>
      <c r="C62" s="54"/>
      <c r="D62" s="54"/>
      <c r="E62" s="54"/>
      <c r="F62" s="48">
        <f>'11. Investeringen (WUI+ombouw)'!C22</f>
        <v>2724356.4622969897</v>
      </c>
      <c r="G62" s="54"/>
      <c r="H62" s="43">
        <f>'11. Investeringen (WUI+ombouw)'!D22</f>
        <v>2022</v>
      </c>
      <c r="I62" s="43" t="str">
        <f>'11. Investeringen (WUI+ombouw)'!E22</f>
        <v>02 Gasontvangststations</v>
      </c>
      <c r="J62" s="43" t="str">
        <f>'11. Investeringen (WUI+ombouw)'!F22</f>
        <v>VVI</v>
      </c>
      <c r="K62" s="43" t="str">
        <f>'11. Investeringen (WUI+ombouw)'!G22</f>
        <v>Ja</v>
      </c>
      <c r="L62" s="44">
        <f t="shared" si="5"/>
        <v>2024</v>
      </c>
      <c r="M62" s="44">
        <f>_xlfn.XLOOKUP(I62,'3. Input (des)investeringen '!$B$11:$B$81,'3. Input (des)investeringen '!$D$11:$D$81,0)</f>
        <v>30</v>
      </c>
      <c r="O62" s="49">
        <f t="shared" si="6"/>
        <v>0</v>
      </c>
      <c r="P62" s="49">
        <f t="shared" si="7"/>
        <v>0</v>
      </c>
      <c r="R62" s="49">
        <f t="shared" si="8"/>
        <v>0</v>
      </c>
      <c r="S62" s="49">
        <f t="shared" si="9"/>
        <v>0</v>
      </c>
      <c r="U62" s="49">
        <f t="shared" si="10"/>
        <v>2724356.4622969897</v>
      </c>
      <c r="V62" s="44">
        <f t="shared" si="11"/>
        <v>30</v>
      </c>
      <c r="X62" s="49">
        <f t="shared" si="12"/>
        <v>53124.951014791302</v>
      </c>
      <c r="Y62" s="49">
        <f t="shared" si="0"/>
        <v>103947.82081894165</v>
      </c>
      <c r="Z62" s="49">
        <f t="shared" si="0"/>
        <v>99443.415250120845</v>
      </c>
      <c r="AA62" s="49">
        <f t="shared" si="0"/>
        <v>95134.200589282264</v>
      </c>
      <c r="AB62" s="103">
        <f t="shared" si="0"/>
        <v>91011.71856374669</v>
      </c>
      <c r="AD62" s="49">
        <f t="shared" si="13"/>
        <v>4540.5941038283163</v>
      </c>
      <c r="AE62" s="49">
        <f t="shared" si="1"/>
        <v>9081.1882076566326</v>
      </c>
      <c r="AF62" s="49">
        <f t="shared" si="1"/>
        <v>9081.1882076566326</v>
      </c>
      <c r="AG62" s="49">
        <f t="shared" si="1"/>
        <v>9081.1882076566326</v>
      </c>
      <c r="AH62" s="103">
        <f t="shared" si="1"/>
        <v>9081.1882076566326</v>
      </c>
      <c r="AJ62" s="49">
        <f t="shared" si="14"/>
        <v>57665.545118619615</v>
      </c>
      <c r="AK62" s="49">
        <f t="shared" si="15"/>
        <v>113029.00902659827</v>
      </c>
      <c r="AL62" s="49">
        <f t="shared" si="16"/>
        <v>108524.60345777747</v>
      </c>
      <c r="AM62" s="49">
        <f t="shared" si="17"/>
        <v>104215.3887969389</v>
      </c>
      <c r="AN62" s="103">
        <f t="shared" si="18"/>
        <v>100092.90677140333</v>
      </c>
      <c r="AP62" s="49">
        <f t="shared" si="19"/>
        <v>2666690.9171783701</v>
      </c>
      <c r="AQ62" s="49">
        <f t="shared" si="20"/>
        <v>2553661.9081517719</v>
      </c>
      <c r="AR62" s="49">
        <f t="shared" si="3"/>
        <v>2445137.3046939946</v>
      </c>
      <c r="AS62" s="49">
        <f t="shared" si="3"/>
        <v>2340921.9158970555</v>
      </c>
      <c r="AT62" s="103">
        <f t="shared" si="3"/>
        <v>2240829.0091256523</v>
      </c>
      <c r="AV62" s="53">
        <f t="shared" si="21"/>
        <v>0</v>
      </c>
      <c r="AW62" s="53">
        <f t="shared" si="22"/>
        <v>0</v>
      </c>
      <c r="AX62" s="53">
        <f t="shared" si="23"/>
        <v>148333.03630268422</v>
      </c>
      <c r="AY62" s="53">
        <f t="shared" si="24"/>
        <v>197299.85199560673</v>
      </c>
      <c r="AZ62" s="53">
        <f t="shared" si="25"/>
        <v>201439.82103614928</v>
      </c>
      <c r="BA62" s="49">
        <f t="shared" si="26"/>
        <v>193170.42160102702</v>
      </c>
      <c r="BB62" s="103">
        <f t="shared" si="27"/>
        <v>185244.40911817813</v>
      </c>
      <c r="BD62" s="49">
        <f t="shared" si="28"/>
        <v>0</v>
      </c>
      <c r="BE62" s="49">
        <f t="shared" si="29"/>
        <v>0</v>
      </c>
      <c r="BF62" s="49">
        <f t="shared" si="30"/>
        <v>13621.782311484949</v>
      </c>
      <c r="BG62" s="49">
        <f t="shared" si="31"/>
        <v>28816.934967075656</v>
      </c>
      <c r="BH62" s="49">
        <f t="shared" si="32"/>
        <v>30997.800605383945</v>
      </c>
      <c r="BI62" s="49">
        <f t="shared" si="33"/>
        <v>31738.276066245355</v>
      </c>
      <c r="BJ62" s="103">
        <f t="shared" si="34"/>
        <v>32148.715452334036</v>
      </c>
      <c r="BL62" s="49">
        <f t="shared" si="35"/>
        <v>0</v>
      </c>
      <c r="BM62" s="49">
        <f t="shared" si="36"/>
        <v>0</v>
      </c>
      <c r="BN62" s="49">
        <f t="shared" si="37"/>
        <v>161954.81861416917</v>
      </c>
      <c r="BO62" s="49">
        <f t="shared" si="38"/>
        <v>226116.78696268238</v>
      </c>
      <c r="BP62" s="49">
        <f t="shared" si="39"/>
        <v>232437.62164153322</v>
      </c>
      <c r="BQ62" s="49">
        <f t="shared" si="40"/>
        <v>224908.69766727238</v>
      </c>
      <c r="BR62" s="103">
        <f t="shared" si="41"/>
        <v>217393.12457051215</v>
      </c>
      <c r="BT62" s="10"/>
      <c r="BU62" s="10"/>
      <c r="BV62" s="57">
        <f t="shared" si="42"/>
        <v>0</v>
      </c>
      <c r="BW62" s="57">
        <f t="shared" si="43"/>
        <v>0</v>
      </c>
      <c r="BX62" s="57">
        <f t="shared" si="44"/>
        <v>639400.75166863354</v>
      </c>
      <c r="BY62" s="57">
        <f t="shared" si="45"/>
        <v>224908.69766727238</v>
      </c>
      <c r="BZ62" s="103">
        <f t="shared" si="46"/>
        <v>217393.12457051215</v>
      </c>
    </row>
    <row r="63" spans="1:78">
      <c r="A63" s="54"/>
      <c r="B63" s="43">
        <f>'11. Investeringen (WUI+ombouw)'!B23</f>
        <v>4</v>
      </c>
      <c r="C63" s="54"/>
      <c r="D63" s="54"/>
      <c r="E63" s="54"/>
      <c r="F63" s="48">
        <f>'11. Investeringen (WUI+ombouw)'!C23</f>
        <v>226794.9736094765</v>
      </c>
      <c r="G63" s="54"/>
      <c r="H63" s="43">
        <f>'11. Investeringen (WUI+ombouw)'!D23</f>
        <v>2022</v>
      </c>
      <c r="I63" s="43" t="str">
        <f>'11. Investeringen (WUI+ombouw)'!E23</f>
        <v>06 Utiliteitsgebouwen</v>
      </c>
      <c r="J63" s="43" t="str">
        <f>'11. Investeringen (WUI+ombouw)'!F23</f>
        <v>VVI</v>
      </c>
      <c r="K63" s="43" t="str">
        <f>'11. Investeringen (WUI+ombouw)'!G23</f>
        <v>Ja</v>
      </c>
      <c r="L63" s="44">
        <f t="shared" si="5"/>
        <v>2024</v>
      </c>
      <c r="M63" s="44">
        <f>_xlfn.XLOOKUP(I63,'3. Input (des)investeringen '!$B$11:$B$81,'3. Input (des)investeringen '!$D$11:$D$81,0)</f>
        <v>30</v>
      </c>
      <c r="O63" s="49">
        <f t="shared" si="6"/>
        <v>0</v>
      </c>
      <c r="P63" s="49">
        <f t="shared" si="7"/>
        <v>0</v>
      </c>
      <c r="R63" s="49">
        <f t="shared" si="8"/>
        <v>0</v>
      </c>
      <c r="S63" s="49">
        <f t="shared" si="9"/>
        <v>0</v>
      </c>
      <c r="U63" s="49">
        <f t="shared" si="10"/>
        <v>226794.9736094765</v>
      </c>
      <c r="V63" s="44">
        <f t="shared" si="11"/>
        <v>30</v>
      </c>
      <c r="X63" s="49">
        <f t="shared" si="12"/>
        <v>4422.5019853847925</v>
      </c>
      <c r="Y63" s="49">
        <f t="shared" si="0"/>
        <v>8653.3622180695766</v>
      </c>
      <c r="Z63" s="49">
        <f t="shared" si="0"/>
        <v>8278.3831886198932</v>
      </c>
      <c r="AA63" s="49">
        <f t="shared" si="0"/>
        <v>7919.6532504463667</v>
      </c>
      <c r="AB63" s="103">
        <f t="shared" si="0"/>
        <v>7576.468276260357</v>
      </c>
      <c r="AD63" s="49">
        <f t="shared" si="13"/>
        <v>377.99162268246084</v>
      </c>
      <c r="AE63" s="49">
        <f t="shared" si="1"/>
        <v>755.98324536492169</v>
      </c>
      <c r="AF63" s="49">
        <f t="shared" si="1"/>
        <v>755.98324536492169</v>
      </c>
      <c r="AG63" s="49">
        <f t="shared" si="1"/>
        <v>755.98324536492169</v>
      </c>
      <c r="AH63" s="103">
        <f t="shared" si="1"/>
        <v>755.98324536492169</v>
      </c>
      <c r="AJ63" s="49">
        <f t="shared" si="14"/>
        <v>4800.4936080672533</v>
      </c>
      <c r="AK63" s="49">
        <f t="shared" si="15"/>
        <v>9409.345463434498</v>
      </c>
      <c r="AL63" s="49">
        <f t="shared" si="16"/>
        <v>9034.3664339848146</v>
      </c>
      <c r="AM63" s="49">
        <f t="shared" si="17"/>
        <v>8675.6364958112881</v>
      </c>
      <c r="AN63" s="103">
        <f t="shared" si="18"/>
        <v>8332.4515216252785</v>
      </c>
      <c r="AP63" s="49">
        <f t="shared" si="19"/>
        <v>221994.48000140925</v>
      </c>
      <c r="AQ63" s="49">
        <f t="shared" si="20"/>
        <v>212585.13453797475</v>
      </c>
      <c r="AR63" s="49">
        <f t="shared" si="3"/>
        <v>203550.76810398995</v>
      </c>
      <c r="AS63" s="49">
        <f t="shared" si="3"/>
        <v>194875.13160817866</v>
      </c>
      <c r="AT63" s="103">
        <f t="shared" si="3"/>
        <v>186542.68008655339</v>
      </c>
      <c r="AV63" s="53">
        <f t="shared" si="21"/>
        <v>0</v>
      </c>
      <c r="AW63" s="53">
        <f t="shared" si="22"/>
        <v>0</v>
      </c>
      <c r="AX63" s="53">
        <f t="shared" si="23"/>
        <v>12348.305928115169</v>
      </c>
      <c r="AY63" s="53">
        <f t="shared" si="24"/>
        <v>16424.654903187664</v>
      </c>
      <c r="AZ63" s="53">
        <f t="shared" si="25"/>
        <v>16769.295621936431</v>
      </c>
      <c r="BA63" s="49">
        <f t="shared" si="26"/>
        <v>16080.891496922077</v>
      </c>
      <c r="BB63" s="103">
        <f t="shared" si="27"/>
        <v>15421.073364914308</v>
      </c>
      <c r="BD63" s="49">
        <f t="shared" si="28"/>
        <v>0</v>
      </c>
      <c r="BE63" s="49">
        <f t="shared" si="29"/>
        <v>0</v>
      </c>
      <c r="BF63" s="49">
        <f t="shared" si="30"/>
        <v>1133.9748680473824</v>
      </c>
      <c r="BG63" s="49">
        <f>IF(AK63&gt;0,
$F63*$F$20*INDEX($H$38:$N$44,$H63-2019,BG$58-2019)*INDEX($H$47:$N$53,$H63-2019,BG$58-2019)*
 IF(OR(BG$58=$H63,BG$58=$H63+$M63),0.5,1),0)</f>
        <v>2398.9283692537101</v>
      </c>
      <c r="BH63" s="49">
        <f t="shared" si="32"/>
        <v>2580.4792682388306</v>
      </c>
      <c r="BI63" s="49">
        <f t="shared" si="33"/>
        <v>2642.1217569985201</v>
      </c>
      <c r="BJ63" s="103">
        <f t="shared" si="34"/>
        <v>2676.2896755600245</v>
      </c>
      <c r="BL63" s="49">
        <f t="shared" si="35"/>
        <v>0</v>
      </c>
      <c r="BM63" s="49">
        <f t="shared" si="36"/>
        <v>0</v>
      </c>
      <c r="BN63" s="49">
        <f t="shared" si="37"/>
        <v>13482.280796162551</v>
      </c>
      <c r="BO63" s="49">
        <f>AY63+BG63</f>
        <v>18823.583272441374</v>
      </c>
      <c r="BP63" s="49">
        <f t="shared" si="39"/>
        <v>19349.774890175264</v>
      </c>
      <c r="BQ63" s="49">
        <f t="shared" si="40"/>
        <v>18723.013253920595</v>
      </c>
      <c r="BR63" s="103">
        <f t="shared" si="41"/>
        <v>18097.363040474331</v>
      </c>
      <c r="BT63" s="10"/>
      <c r="BU63" s="10"/>
      <c r="BV63" s="57">
        <f t="shared" si="42"/>
        <v>0</v>
      </c>
      <c r="BW63" s="57">
        <f t="shared" si="43"/>
        <v>0</v>
      </c>
      <c r="BX63" s="57">
        <f t="shared" si="44"/>
        <v>53228.304962083523</v>
      </c>
      <c r="BY63" s="57">
        <f t="shared" si="45"/>
        <v>18723.013253920595</v>
      </c>
      <c r="BZ63" s="103">
        <f t="shared" si="46"/>
        <v>18097.363040474331</v>
      </c>
    </row>
    <row r="64" spans="1:78">
      <c r="A64" s="54"/>
      <c r="B64" s="43">
        <f>'11. Investeringen (WUI+ombouw)'!B24</f>
        <v>5</v>
      </c>
      <c r="C64" s="54"/>
      <c r="D64" s="54"/>
      <c r="E64" s="54"/>
      <c r="F64" s="48">
        <f>'11. Investeringen (WUI+ombouw)'!C24</f>
        <v>3824577.1209736457</v>
      </c>
      <c r="G64" s="54"/>
      <c r="H64" s="43">
        <f>'11. Investeringen (WUI+ombouw)'!D24</f>
        <v>2022</v>
      </c>
      <c r="I64" s="43" t="str">
        <f>'11. Investeringen (WUI+ombouw)'!E24</f>
        <v>21 Hoofdtransportleiding</v>
      </c>
      <c r="J64" s="43" t="str">
        <f>'11. Investeringen (WUI+ombouw)'!F24</f>
        <v>VVI</v>
      </c>
      <c r="K64" s="43" t="str">
        <f>'11. Investeringen (WUI+ombouw)'!G24</f>
        <v>Ja</v>
      </c>
      <c r="L64" s="44">
        <f t="shared" si="5"/>
        <v>2024</v>
      </c>
      <c r="M64" s="44">
        <f>_xlfn.XLOOKUP(I64,'3. Input (des)investeringen '!$B$11:$B$81,'3. Input (des)investeringen '!$D$11:$D$81,0)</f>
        <v>55</v>
      </c>
      <c r="O64" s="49">
        <f t="shared" si="6"/>
        <v>0</v>
      </c>
      <c r="P64" s="49">
        <f t="shared" si="7"/>
        <v>0</v>
      </c>
      <c r="R64" s="49">
        <f t="shared" si="8"/>
        <v>0</v>
      </c>
      <c r="S64" s="49">
        <f t="shared" si="9"/>
        <v>0</v>
      </c>
      <c r="U64" s="49">
        <f t="shared" si="10"/>
        <v>3824577.1209736457</v>
      </c>
      <c r="V64" s="44">
        <f t="shared" si="11"/>
        <v>55</v>
      </c>
      <c r="X64" s="49">
        <f t="shared" si="12"/>
        <v>40679.593013992417</v>
      </c>
      <c r="Y64" s="49">
        <f t="shared" si="0"/>
        <v>80397.668374926827</v>
      </c>
      <c r="Z64" s="49">
        <f t="shared" si="0"/>
        <v>78497.359849701272</v>
      </c>
      <c r="AA64" s="49">
        <f t="shared" si="0"/>
        <v>76641.967707799253</v>
      </c>
      <c r="AB64" s="103">
        <f t="shared" si="0"/>
        <v>74830.430289251264</v>
      </c>
      <c r="AD64" s="49">
        <f t="shared" si="13"/>
        <v>3476.8882917942233</v>
      </c>
      <c r="AE64" s="49">
        <f t="shared" si="1"/>
        <v>6953.7765835884484</v>
      </c>
      <c r="AF64" s="49">
        <f t="shared" si="1"/>
        <v>6953.7765835884484</v>
      </c>
      <c r="AG64" s="49">
        <f t="shared" si="1"/>
        <v>6953.7765835884484</v>
      </c>
      <c r="AH64" s="103">
        <f t="shared" si="1"/>
        <v>6953.7765835884484</v>
      </c>
      <c r="AJ64" s="49">
        <f t="shared" si="14"/>
        <v>44156.481305786641</v>
      </c>
      <c r="AK64" s="49">
        <f t="shared" si="15"/>
        <v>87351.444958515276</v>
      </c>
      <c r="AL64" s="49">
        <f t="shared" si="16"/>
        <v>85451.136433289721</v>
      </c>
      <c r="AM64" s="49">
        <f t="shared" si="17"/>
        <v>83595.744291387702</v>
      </c>
      <c r="AN64" s="103">
        <f t="shared" si="18"/>
        <v>81784.206872839713</v>
      </c>
      <c r="AP64" s="49">
        <f t="shared" si="19"/>
        <v>3780420.6396678593</v>
      </c>
      <c r="AQ64" s="49">
        <f t="shared" si="20"/>
        <v>3693069.1947093438</v>
      </c>
      <c r="AR64" s="49">
        <f t="shared" si="3"/>
        <v>3607618.058276054</v>
      </c>
      <c r="AS64" s="49">
        <f t="shared" si="3"/>
        <v>3524022.3139846665</v>
      </c>
      <c r="AT64" s="103">
        <f t="shared" si="3"/>
        <v>3442238.1071118265</v>
      </c>
      <c r="AV64" s="53">
        <f t="shared" si="21"/>
        <v>0</v>
      </c>
      <c r="AW64" s="53">
        <f t="shared" si="22"/>
        <v>0</v>
      </c>
      <c r="AX64" s="53">
        <f t="shared" si="23"/>
        <v>172690.78305449386</v>
      </c>
      <c r="AY64" s="53">
        <f t="shared" si="24"/>
        <v>209222.72838392365</v>
      </c>
      <c r="AZ64" s="53">
        <f t="shared" si="25"/>
        <v>222540.62264777976</v>
      </c>
      <c r="BA64" s="49">
        <f t="shared" si="26"/>
        <v>217508.59222280502</v>
      </c>
      <c r="BB64" s="103">
        <f t="shared" si="27"/>
        <v>212589.25494308912</v>
      </c>
      <c r="BD64" s="49">
        <f t="shared" si="28"/>
        <v>0</v>
      </c>
      <c r="BE64" s="49">
        <f t="shared" si="29"/>
        <v>0</v>
      </c>
      <c r="BF64" s="49">
        <f t="shared" si="30"/>
        <v>19122.885604868228</v>
      </c>
      <c r="BG64" s="49">
        <f t="shared" si="31"/>
        <v>40454.540988641158</v>
      </c>
      <c r="BH64" s="49">
        <f t="shared" si="32"/>
        <v>43516.140650661524</v>
      </c>
      <c r="BI64" s="49">
        <f t="shared" si="33"/>
        <v>44555.654218524527</v>
      </c>
      <c r="BJ64" s="103">
        <f t="shared" si="34"/>
        <v>45131.847938878484</v>
      </c>
      <c r="BL64" s="49">
        <f t="shared" si="35"/>
        <v>0</v>
      </c>
      <c r="BM64" s="49">
        <f t="shared" si="36"/>
        <v>0</v>
      </c>
      <c r="BN64" s="49">
        <f t="shared" si="37"/>
        <v>191813.6686593621</v>
      </c>
      <c r="BO64" s="49">
        <f t="shared" si="38"/>
        <v>249677.2693725648</v>
      </c>
      <c r="BP64" s="49">
        <f t="shared" si="39"/>
        <v>266056.76329844131</v>
      </c>
      <c r="BQ64" s="49">
        <f t="shared" si="40"/>
        <v>262064.24644132954</v>
      </c>
      <c r="BR64" s="103">
        <f t="shared" si="41"/>
        <v>257721.10288196761</v>
      </c>
      <c r="BT64" s="10"/>
      <c r="BU64" s="10"/>
      <c r="BV64" s="57">
        <f>IF($L64&gt;BV$58,0,
IF($L64=BV$58,BL64*INDEX(J$29:J$35,BV$58-2021)+BM64*INDEX(J$29:J$35,BV$58-2020)+BN64,BN64))</f>
        <v>0</v>
      </c>
      <c r="BW64" s="57">
        <f t="shared" si="43"/>
        <v>0</v>
      </c>
      <c r="BX64" s="57">
        <f t="shared" si="44"/>
        <v>729197.06315976009</v>
      </c>
      <c r="BY64" s="57">
        <f t="shared" si="45"/>
        <v>262064.24644132954</v>
      </c>
      <c r="BZ64" s="103">
        <f t="shared" si="46"/>
        <v>257721.10288196761</v>
      </c>
    </row>
    <row r="65" spans="1:78">
      <c r="A65" s="54"/>
      <c r="B65" s="43">
        <f>'11. Investeringen (WUI+ombouw)'!B25</f>
        <v>6</v>
      </c>
      <c r="C65" s="54"/>
      <c r="D65" s="54"/>
      <c r="E65" s="54"/>
      <c r="F65" s="48">
        <f>'11. Investeringen (WUI+ombouw)'!C25</f>
        <v>3150608.2540416676</v>
      </c>
      <c r="G65" s="54"/>
      <c r="H65" s="43">
        <f>'11. Investeringen (WUI+ombouw)'!D25</f>
        <v>2022</v>
      </c>
      <c r="I65" s="43" t="str">
        <f>'11. Investeringen (WUI+ombouw)'!E25</f>
        <v>32 M&amp;R stations</v>
      </c>
      <c r="J65" s="43" t="str">
        <f>'11. Investeringen (WUI+ombouw)'!F25</f>
        <v>VVI</v>
      </c>
      <c r="K65" s="43" t="str">
        <f>'11. Investeringen (WUI+ombouw)'!G25</f>
        <v>Ja</v>
      </c>
      <c r="L65" s="44">
        <f>H65+2</f>
        <v>2024</v>
      </c>
      <c r="M65" s="44">
        <f>_xlfn.XLOOKUP(I65,'3. Input (des)investeringen '!$B$11:$B$81,'3. Input (des)investeringen '!$D$11:$D$81,0)</f>
        <v>30</v>
      </c>
      <c r="O65" s="49">
        <f>IF($M65&gt;0, IF($H65&lt;=O$58, VDB($F65,0,$M65,MAX(0,O$58-$H65-0.5),MIN($M65,O$58-$H65+0.5),1)*INDEX(H$38:H$44,$H65-2019,1),0),0)</f>
        <v>0</v>
      </c>
      <c r="P65" s="49">
        <f t="shared" si="7"/>
        <v>0</v>
      </c>
      <c r="R65" s="49">
        <f t="shared" si="8"/>
        <v>0</v>
      </c>
      <c r="S65" s="49">
        <f t="shared" si="9"/>
        <v>0</v>
      </c>
      <c r="U65" s="49">
        <f>IF(H65&lt;=2021,S65,F65)</f>
        <v>3150608.2540416676</v>
      </c>
      <c r="V65" s="44">
        <f t="shared" si="11"/>
        <v>30</v>
      </c>
      <c r="X65" s="49">
        <f>IF($M65&gt;0, IF(OR($H65&gt;X$58,$H65+$M65&lt;X$58),0,IF(OR($H65=2020,$H65=2021),VDB($U65,0,$V65,X$58-2022,MIN($V65,X$58-2021),$F$23,FALSE),
VDB($U65,0,$V65,MAX(0,X$58-$H65-0.5),MIN($V65,X$58-$H65+0.5),$F$23,FALSE)))*(1-$F$26), 0)</f>
        <v>61436.860953812517</v>
      </c>
      <c r="Y65" s="49">
        <f>IF($M65&gt;0, IF(OR($H65&gt;Y$58,$H65+$M65&lt;Y$58),0,IF(OR($H65=2020,$H65=2021),VDB($U65,0,$V65,Y$58-2022,MIN($V65,Y$58-2021),$F$23,FALSE),
VDB($U65,0,$V65,MAX(0,Y$58-$H65-0.5),MIN($V65,Y$58-$H65+0.5),$F$23,FALSE)))*(1-$F$26), 0)</f>
        <v>120211.45793295982</v>
      </c>
      <c r="Z65" s="49">
        <f>IF($M65&gt;0, IF(OR($H65&gt;Z$58,$H65+$M65&lt;Z$58),0,IF(OR($H65=2020,$H65=2021),VDB($U65,0,$V65,Z$58-2022,MIN($V65,Z$58-2021),$F$23,FALSE),
VDB($U65,0,$V65,MAX(0,Z$58-$H65-0.5),MIN($V65,Z$58-$H65+0.5),$F$23,FALSE)))*(1-$F$26), 0)</f>
        <v>115002.29475586492</v>
      </c>
      <c r="AA65" s="49">
        <f t="shared" si="0"/>
        <v>110018.86198311076</v>
      </c>
      <c r="AB65" s="103">
        <f t="shared" si="0"/>
        <v>105251.37796384263</v>
      </c>
      <c r="AD65" s="49">
        <f t="shared" si="13"/>
        <v>5251.0137567361126</v>
      </c>
      <c r="AE65" s="49">
        <f t="shared" si="1"/>
        <v>10502.027513472225</v>
      </c>
      <c r="AF65" s="49">
        <f t="shared" si="1"/>
        <v>10502.027513472225</v>
      </c>
      <c r="AG65" s="49">
        <f t="shared" si="1"/>
        <v>10502.027513472225</v>
      </c>
      <c r="AH65" s="103">
        <f t="shared" si="1"/>
        <v>10502.027513472225</v>
      </c>
      <c r="AJ65" s="49">
        <f t="shared" si="14"/>
        <v>66687.874710548625</v>
      </c>
      <c r="AK65" s="49">
        <f t="shared" si="15"/>
        <v>130713.48544643205</v>
      </c>
      <c r="AL65" s="49">
        <f t="shared" si="16"/>
        <v>125504.32226933714</v>
      </c>
      <c r="AM65" s="49">
        <f t="shared" si="17"/>
        <v>120520.889496583</v>
      </c>
      <c r="AN65" s="103">
        <f t="shared" si="18"/>
        <v>115753.40547731487</v>
      </c>
      <c r="AP65" s="49">
        <f t="shared" si="19"/>
        <v>3083920.3793311189</v>
      </c>
      <c r="AQ65" s="49">
        <f t="shared" si="20"/>
        <v>2953206.8938846868</v>
      </c>
      <c r="AR65" s="49">
        <f t="shared" si="3"/>
        <v>2827702.5716153495</v>
      </c>
      <c r="AS65" s="49">
        <f t="shared" si="3"/>
        <v>2707181.6821187665</v>
      </c>
      <c r="AT65" s="103">
        <f t="shared" si="3"/>
        <v>2591428.2766414518</v>
      </c>
      <c r="AV65" s="53">
        <f>O65+R65*H$16</f>
        <v>0</v>
      </c>
      <c r="AW65" s="53">
        <f t="shared" si="22"/>
        <v>0</v>
      </c>
      <c r="AX65" s="53">
        <f>AJ65+AP65*J$17</f>
        <v>171541.16760780668</v>
      </c>
      <c r="AY65" s="53">
        <f t="shared" si="24"/>
        <v>228169.31294462673</v>
      </c>
      <c r="AZ65" s="53">
        <f t="shared" si="25"/>
        <v>232957.01999072041</v>
      </c>
      <c r="BA65" s="49">
        <f t="shared" si="26"/>
        <v>223393.79341709614</v>
      </c>
      <c r="BB65" s="103">
        <f t="shared" si="27"/>
        <v>214227.67998969002</v>
      </c>
      <c r="BD65" s="49">
        <f t="shared" si="28"/>
        <v>0</v>
      </c>
      <c r="BE65" s="49">
        <f t="shared" si="29"/>
        <v>0</v>
      </c>
      <c r="BF65" s="49">
        <f t="shared" si="30"/>
        <v>15753.041270208338</v>
      </c>
      <c r="BG65" s="49">
        <f t="shared" si="31"/>
        <v>33325.62181929082</v>
      </c>
      <c r="BH65" s="49">
        <f t="shared" si="32"/>
        <v>35847.704878574754</v>
      </c>
      <c r="BI65" s="49">
        <f t="shared" si="33"/>
        <v>36704.034852714147</v>
      </c>
      <c r="BJ65" s="103">
        <f t="shared" si="34"/>
        <v>37178.691431429448</v>
      </c>
      <c r="BL65" s="49">
        <f t="shared" si="35"/>
        <v>0</v>
      </c>
      <c r="BM65" s="49">
        <f t="shared" si="36"/>
        <v>0</v>
      </c>
      <c r="BN65" s="49">
        <f t="shared" si="37"/>
        <v>187294.20887801502</v>
      </c>
      <c r="BO65" s="49">
        <f t="shared" si="38"/>
        <v>261494.93476391755</v>
      </c>
      <c r="BP65" s="49">
        <f t="shared" si="39"/>
        <v>268804.72486929514</v>
      </c>
      <c r="BQ65" s="49">
        <f t="shared" si="40"/>
        <v>260097.8282698103</v>
      </c>
      <c r="BR65" s="103">
        <f t="shared" si="41"/>
        <v>251406.37142111946</v>
      </c>
      <c r="BT65" s="10"/>
      <c r="BU65" s="10"/>
      <c r="BV65" s="57">
        <f t="shared" si="42"/>
        <v>0</v>
      </c>
      <c r="BW65" s="57">
        <f t="shared" si="43"/>
        <v>0</v>
      </c>
      <c r="BX65" s="57">
        <f t="shared" si="44"/>
        <v>739441.15380156774</v>
      </c>
      <c r="BY65" s="57">
        <f t="shared" si="45"/>
        <v>260097.8282698103</v>
      </c>
      <c r="BZ65" s="103">
        <f t="shared" si="46"/>
        <v>251406.37142111946</v>
      </c>
    </row>
    <row r="66" spans="1:78" s="240" customFormat="1">
      <c r="A66" s="239"/>
      <c r="B66" s="43">
        <f>'11. Investeringen (WUI+ombouw)'!B26</f>
        <v>7</v>
      </c>
      <c r="C66" s="54"/>
      <c r="D66" s="54"/>
      <c r="E66" s="54"/>
      <c r="F66" s="48">
        <f>'11. Investeringen (WUI+ombouw)'!C26</f>
        <v>1821898.5094885458</v>
      </c>
      <c r="G66" s="54"/>
      <c r="H66" s="43">
        <f>'11. Investeringen (WUI+ombouw)'!D26</f>
        <v>2023</v>
      </c>
      <c r="I66" s="43" t="str">
        <f>'11. Investeringen (WUI+ombouw)'!E26</f>
        <v>04 Terreinen</v>
      </c>
      <c r="J66" s="43" t="str">
        <f>'11. Investeringen (WUI+ombouw)'!F26</f>
        <v>WUI</v>
      </c>
      <c r="K66" s="43" t="str">
        <f>'11. Investeringen (WUI+ombouw)'!G26</f>
        <v>Nee</v>
      </c>
      <c r="L66" s="44">
        <f t="shared" ref="L66:L79" si="47">H66+2</f>
        <v>2025</v>
      </c>
      <c r="M66" s="44">
        <f>_xlfn.XLOOKUP(I66,'3. Input (des)investeringen '!$B$11:$B$81,'3. Input (des)investeringen '!$D$11:$D$81,0)</f>
        <v>0</v>
      </c>
      <c r="N66" s="3"/>
      <c r="O66" s="49">
        <f>IF($M66&gt;0, IF($H66&lt;=O$58, VDB($F66,0,$M66,MAX(0,O$58-$H66-0.5),MIN($M66,O$58-$H66+0.5),1)*INDEX(H$38:H$44,$H66-2019,1),0),0)</f>
        <v>0</v>
      </c>
      <c r="P66" s="49">
        <f t="shared" ref="P66:P79" si="48">IF($M66&gt;0, IF($H66&lt;=P$58, VDB($F66,0,$M66,MAX(0,P$58-$H66-0.5),MIN($M66,P$58-$H66+0.5),1)*INDEX(I$38:I$44,$H66-2019,1),0),0)</f>
        <v>0</v>
      </c>
      <c r="Q66" s="3"/>
      <c r="R66" s="49">
        <f t="shared" si="8"/>
        <v>0</v>
      </c>
      <c r="S66" s="49">
        <f>IF($M66=0,IF($H66=P$58,$F66,$R66*I$38),IF(OR($H66&gt;S$58,$H66+$M66&lt;=S$58),0,
IF($H66=S$58,F66-P66,R66*I$38-P66)))</f>
        <v>0</v>
      </c>
      <c r="T66" s="3"/>
      <c r="U66" s="49">
        <f t="shared" ref="U66:U79" si="49">IF(H66&lt;=2021,S66,F66)</f>
        <v>1821898.5094885458</v>
      </c>
      <c r="V66" s="44">
        <f t="shared" ref="V66:V79" si="50">IF($M66&gt;0,IF(H66&lt;2022,M66-2021+H66-0.5,M66),0)</f>
        <v>0</v>
      </c>
      <c r="W66" s="3"/>
      <c r="X66" s="49">
        <f>IF($M66&gt;0, IF(OR($H66&gt;X$58,$H66+$M66&lt;X$58),0,IF(OR($H66=2020,$H66=2021),VDB($U66,0,$V66,X$58-2022,MIN($V66,X$58-2021),$F$23,FALSE),
VDB($U66,0,$V66,MAX(0,X$58-$H66-0.5),MIN($V66,X$58-$H66+0.5),$F$23,FALSE)))*(1-$F$26), 0)</f>
        <v>0</v>
      </c>
      <c r="Y66" s="49">
        <f>IF($M66&gt;0, IF(OR($H66&gt;Y$58,$H66+$M66&lt;Y$58),0,IF(OR($H66=2020,$H66=2021),VDB($U66,0,$V66,Y$58-2022,MIN($V66,Y$58-2021),$F$23,FALSE),
VDB($U66,0,$V66,MAX(0,Y$58-$H66-0.5),MIN($V66,Y$58-$H66+0.5),$F$23,FALSE)))*(1-$F$26), 0)</f>
        <v>0</v>
      </c>
      <c r="Z66" s="49">
        <f t="shared" ref="X66:Z79" si="51">IF($M66&gt;0, IF(OR($H66&gt;Z$58,$H66+$M66&lt;Z$58),0,IF(OR($H66=2020,$H66=2021),VDB($U66,0,$V66,Z$58-2022,MIN($V66,Z$58-2021),$F$23,FALSE),
VDB($U66,0,$V66,MAX(0,Z$58-$H66-0.5),MIN($V66,Z$58-$H66+0.5),$F$23,FALSE)))*(1-$F$26), 0)</f>
        <v>0</v>
      </c>
      <c r="AA66" s="49">
        <f t="shared" si="0"/>
        <v>0</v>
      </c>
      <c r="AB66" s="103">
        <f t="shared" si="0"/>
        <v>0</v>
      </c>
      <c r="AC66" s="3"/>
      <c r="AD66" s="49">
        <f t="shared" si="13"/>
        <v>0</v>
      </c>
      <c r="AE66" s="49">
        <f t="shared" si="1"/>
        <v>0</v>
      </c>
      <c r="AF66" s="49">
        <f t="shared" si="1"/>
        <v>0</v>
      </c>
      <c r="AG66" s="49">
        <f t="shared" si="1"/>
        <v>0</v>
      </c>
      <c r="AH66" s="103">
        <f t="shared" si="1"/>
        <v>0</v>
      </c>
      <c r="AI66" s="3"/>
      <c r="AJ66" s="49">
        <f t="shared" ref="AJ66:AJ79" si="52">X66+AD66</f>
        <v>0</v>
      </c>
      <c r="AK66" s="49">
        <f t="shared" ref="AK66:AK79" si="53">Y66+AE66</f>
        <v>0</v>
      </c>
      <c r="AL66" s="49">
        <f t="shared" ref="AL66:AL79" si="54">Z66+AF66</f>
        <v>0</v>
      </c>
      <c r="AM66" s="49">
        <f t="shared" ref="AM66:AM79" si="55">AA66+AG66</f>
        <v>0</v>
      </c>
      <c r="AN66" s="103">
        <f t="shared" ref="AN66:AN79" si="56">AB66+AH66</f>
        <v>0</v>
      </c>
      <c r="AO66" s="3"/>
      <c r="AP66" s="49">
        <f t="shared" si="19"/>
        <v>0</v>
      </c>
      <c r="AQ66" s="49">
        <f t="shared" si="20"/>
        <v>1821898.5094885458</v>
      </c>
      <c r="AR66" s="49">
        <f t="shared" si="3"/>
        <v>1821898.5094885458</v>
      </c>
      <c r="AS66" s="49">
        <f t="shared" si="3"/>
        <v>1821898.5094885458</v>
      </c>
      <c r="AT66" s="103">
        <f t="shared" si="3"/>
        <v>1821898.5094885458</v>
      </c>
      <c r="AU66" s="3"/>
      <c r="AV66" s="53">
        <f>O66+R66*H$16</f>
        <v>0</v>
      </c>
      <c r="AW66" s="53">
        <f t="shared" ref="AW66:AW79" si="57">P66+S66*I$16</f>
        <v>0</v>
      </c>
      <c r="AX66" s="53">
        <f>AJ66+AP66*J$17</f>
        <v>0</v>
      </c>
      <c r="AY66" s="53">
        <f t="shared" ref="AY66:AY79" si="58">AK66+AQ66*K$17</f>
        <v>60122.650813122018</v>
      </c>
      <c r="AZ66" s="53">
        <f t="shared" ref="AZ66:AZ79" si="59">AL66+AR66*L$17</f>
        <v>69232.143360564733</v>
      </c>
      <c r="BA66" s="49">
        <f t="shared" ref="BA66:BA79" si="60">AM66+AS66*M$17</f>
        <v>69232.143360564733</v>
      </c>
      <c r="BB66" s="103">
        <f t="shared" ref="BB66:BB79" si="61">AN66+AT66*N$17</f>
        <v>69232.143360564733</v>
      </c>
      <c r="BC66" s="3"/>
      <c r="BD66" s="49">
        <f t="shared" ref="BD66:BD79" si="62">IF(O66&gt;0,$F66*$F$20*INDEX($H$38:$N$44,$H66-2019,BD$58-2019)*INDEX($H$47:$N$53,$H66-2019,BD$58-2019)* IF(OR(BD$58=$H66,BD$58=$H66+$M66),0.5,1),0)</f>
        <v>0</v>
      </c>
      <c r="BE66" s="49">
        <f t="shared" ref="BE66:BE79" si="63">IF(P66&gt;0,$F66*$F$20*INDEX($H$38:$N$44,$H66-2019,BE$58-2019)*INDEX($H$47:$N$53,$H66-2019,BE$58-2019)*
 IF(OR(BE$58=$H66,BE$58=$H66+$M66),0.5,1),0)</f>
        <v>0</v>
      </c>
      <c r="BF66" s="49">
        <f t="shared" ref="BF66:BF79" si="64">IF(AJ66&gt;0,
$F66*$F$20*INDEX($H$38:$N$44,$H66-2019,BF$58-2019)*INDEX($H$47:$N$53,$H66-2019,BF$58-2019)*
 IF(OR(BF$58=$H66,BF$58=$H66+$M66),0.5,1),0)</f>
        <v>0</v>
      </c>
      <c r="BG66" s="49">
        <f t="shared" ref="BG66:BG79" si="65">IF(AK66&gt;0,
$F66*$F$20*INDEX($H$38:$N$44,$H66-2019,BG$58-2019)*INDEX($H$47:$N$53,$H66-2019,BG$58-2019)*
 IF(OR(BG$58=$H66,BG$58=$H66+$M66),0.5,1),0)</f>
        <v>0</v>
      </c>
      <c r="BH66" s="49">
        <f t="shared" ref="BH66:BH79" si="66">IF(AL66&gt;0,
$F66*$F$20*INDEX($H$38:$N$44,$H66-2019,BH$58-2019)*INDEX($H$47:$N$53,$H66-2019,BH$58-2019)*
 IF(OR(BH$58=$H66,BH$58=$H66+$M66),0.5,1),0)</f>
        <v>0</v>
      </c>
      <c r="BI66" s="49">
        <f t="shared" ref="BI66:BI79" si="67">IF(AM66&gt;0,
$F66*$F$20*INDEX($H$38:$N$44,$H66-2019,BI$58-2019)*INDEX($H$47:$N$53,$H66-2019,BI$58-2019)*
 IF(OR(BI$58=$H66,BI$58=$H66+$M66),0.5,1),0)</f>
        <v>0</v>
      </c>
      <c r="BJ66" s="103">
        <f t="shared" ref="BJ66:BJ79" si="68">IF(AN66&gt;0,
$F66*$F$20*INDEX($H$38:$N$44,$H66-2019,BJ$58-2019)*INDEX($H$47:$N$53,$H66-2019,BJ$58-2019)*
 IF(OR(BJ$58=$H66,BJ$58=$H66+$M66),0.5,1),0)</f>
        <v>0</v>
      </c>
      <c r="BK66" s="3"/>
      <c r="BL66" s="49">
        <f t="shared" ref="BL66:BL79" si="69">AV66+BD66</f>
        <v>0</v>
      </c>
      <c r="BM66" s="49">
        <f t="shared" ref="BM66:BM79" si="70">AW66+BE66</f>
        <v>0</v>
      </c>
      <c r="BN66" s="49">
        <f t="shared" ref="BN66:BN79" si="71">AX66+BF66</f>
        <v>0</v>
      </c>
      <c r="BO66" s="49">
        <f t="shared" ref="BO66:BO79" si="72">AY66+BG66</f>
        <v>60122.650813122018</v>
      </c>
      <c r="BP66" s="49">
        <f t="shared" ref="BP66:BP79" si="73">AZ66+BH66</f>
        <v>69232.143360564733</v>
      </c>
      <c r="BQ66" s="49">
        <f t="shared" ref="BQ66:BQ79" si="74">BA66+BI66</f>
        <v>69232.143360564733</v>
      </c>
      <c r="BR66" s="103">
        <f t="shared" ref="BR66:BR79" si="75">BB66+BJ66</f>
        <v>69232.143360564733</v>
      </c>
      <c r="BS66" s="3"/>
      <c r="BT66" s="10"/>
      <c r="BU66" s="10"/>
      <c r="BV66" s="57">
        <f t="shared" ref="BV66:BV79" si="76">IF($L66&gt;BV$58,0,
IF($L66=BV$58,BL66*INDEX(J$29:J$35,BV$58-2021)+BM66*INDEX(J$29:J$35,BV$58-2020)+BN66,BN66))</f>
        <v>0</v>
      </c>
      <c r="BW66" s="57">
        <f t="shared" ref="BW66:BW79" si="77">IF($L66&gt;BW$58,0,
IF($L66=BW$58,BM66*INDEX(K$29:K$35,BW$58-2021)+BN66*INDEX(K$29:K$35,BW$58-2020)+BO66,BO66))</f>
        <v>0</v>
      </c>
      <c r="BX66" s="57">
        <f>IF($L66&gt;BX$58,0,
IF($L66=BX$58,BN66*INDEX(L$29:L$35,BX$58-2021)+BO66*INDEX(L$29:L$35,BX$58-2020)+BP66,BP66))</f>
        <v>0</v>
      </c>
      <c r="BY66" s="350">
        <f t="shared" ref="BY66:BY79" si="78">IF($L66&gt;BY$58,0,
IF($L66=BY$58,BO66*INDEX(M$29:M$35,BY$58-2021)+BP66*INDEX(M$29:M$35,BY$58-2020)+BQ66,BQ66))</f>
        <v>210215.02258121117</v>
      </c>
      <c r="BZ66" s="103">
        <f t="shared" ref="BZ66:BZ79" si="79">IF($L66&gt;BZ$58,0,
IF($L66=BZ$58,BP66*INDEX(N$29:N$35,BZ$58-2021)+BQ66*INDEX(N$29:N$35,BZ$58-2020)+BR66,BR66))</f>
        <v>69232.143360564733</v>
      </c>
    </row>
    <row r="67" spans="1:78" s="240" customFormat="1">
      <c r="A67" s="239"/>
      <c r="B67" s="43">
        <f>'11. Investeringen (WUI+ombouw)'!B27</f>
        <v>8</v>
      </c>
      <c r="C67" s="54"/>
      <c r="D67" s="54"/>
      <c r="E67" s="54"/>
      <c r="F67" s="48">
        <f>'11. Investeringen (WUI+ombouw)'!C27</f>
        <v>41241409.443761975</v>
      </c>
      <c r="G67" s="54"/>
      <c r="H67" s="43">
        <f>'11. Investeringen (WUI+ombouw)'!D27</f>
        <v>2023</v>
      </c>
      <c r="I67" s="43" t="str">
        <f>'11. Investeringen (WUI+ombouw)'!E27</f>
        <v>05 Wegen en terreinvoorzieningen</v>
      </c>
      <c r="J67" s="43" t="str">
        <f>'11. Investeringen (WUI+ombouw)'!F27</f>
        <v>WUI</v>
      </c>
      <c r="K67" s="43" t="str">
        <f>'11. Investeringen (WUI+ombouw)'!G27</f>
        <v>Nee</v>
      </c>
      <c r="L67" s="44">
        <f t="shared" si="47"/>
        <v>2025</v>
      </c>
      <c r="M67" s="44">
        <f>_xlfn.XLOOKUP(I67,'3. Input (des)investeringen '!$B$11:$B$81,'3. Input (des)investeringen '!$D$11:$D$81,0)</f>
        <v>10</v>
      </c>
      <c r="N67" s="3"/>
      <c r="O67" s="49">
        <f t="shared" ref="O67:O79" si="80">IF($M67&gt;0, IF($H67&lt;=O$58, VDB($F67,0,$M67,MAX(0,O$58-$H67-0.5),MIN($M67,O$58-$H67+0.5),1)*INDEX(H$38:H$44,$H67-2019,1),0),0)</f>
        <v>0</v>
      </c>
      <c r="P67" s="49">
        <f t="shared" si="48"/>
        <v>0</v>
      </c>
      <c r="Q67" s="3"/>
      <c r="R67" s="49">
        <f t="shared" si="8"/>
        <v>0</v>
      </c>
      <c r="S67" s="49">
        <f t="shared" si="9"/>
        <v>0</v>
      </c>
      <c r="T67" s="3"/>
      <c r="U67" s="49">
        <f t="shared" si="49"/>
        <v>41241409.443761975</v>
      </c>
      <c r="V67" s="44">
        <f t="shared" si="50"/>
        <v>10</v>
      </c>
      <c r="W67" s="3"/>
      <c r="X67" s="49">
        <f t="shared" si="51"/>
        <v>0</v>
      </c>
      <c r="Y67" s="49">
        <f t="shared" si="51"/>
        <v>2412622.4524600757</v>
      </c>
      <c r="Z67" s="49">
        <f t="shared" si="51"/>
        <v>4511603.9861003421</v>
      </c>
      <c r="AA67" s="49">
        <f t="shared" si="0"/>
        <v>3925095.467907297</v>
      </c>
      <c r="AB67" s="103">
        <f t="shared" si="0"/>
        <v>3502392.8790557417</v>
      </c>
      <c r="AC67" s="3"/>
      <c r="AD67" s="49">
        <f t="shared" si="13"/>
        <v>0</v>
      </c>
      <c r="AE67" s="49">
        <f t="shared" si="1"/>
        <v>206207.04721880989</v>
      </c>
      <c r="AF67" s="49">
        <f t="shared" si="1"/>
        <v>412414.09443761973</v>
      </c>
      <c r="AG67" s="49">
        <f t="shared" si="1"/>
        <v>412414.09443761973</v>
      </c>
      <c r="AH67" s="103">
        <f t="shared" si="1"/>
        <v>412414.09443761973</v>
      </c>
      <c r="AI67" s="3"/>
      <c r="AJ67" s="49">
        <f t="shared" si="52"/>
        <v>0</v>
      </c>
      <c r="AK67" s="49">
        <f t="shared" si="53"/>
        <v>2618829.4996788856</v>
      </c>
      <c r="AL67" s="49">
        <f t="shared" si="54"/>
        <v>4924018.0805379618</v>
      </c>
      <c r="AM67" s="49">
        <f t="shared" si="55"/>
        <v>4337509.5623449171</v>
      </c>
      <c r="AN67" s="103">
        <f t="shared" si="56"/>
        <v>3914806.9734933614</v>
      </c>
      <c r="AO67" s="3"/>
      <c r="AP67" s="49">
        <f t="shared" si="19"/>
        <v>0</v>
      </c>
      <c r="AQ67" s="49">
        <f t="shared" si="20"/>
        <v>38622579.944083087</v>
      </c>
      <c r="AR67" s="49">
        <f t="shared" si="3"/>
        <v>33698561.863545127</v>
      </c>
      <c r="AS67" s="49">
        <f t="shared" si="3"/>
        <v>29361052.301200211</v>
      </c>
      <c r="AT67" s="103">
        <f t="shared" si="3"/>
        <v>25446245.327706851</v>
      </c>
      <c r="AU67" s="3"/>
      <c r="AV67" s="53">
        <f t="shared" ref="AV67:AV79" si="81">O67+R67*H$16</f>
        <v>0</v>
      </c>
      <c r="AW67" s="53">
        <f t="shared" si="57"/>
        <v>0</v>
      </c>
      <c r="AX67" s="53">
        <f t="shared" ref="AX67:AX79" si="82">AJ67+AP67*J$17</f>
        <v>0</v>
      </c>
      <c r="AY67" s="53">
        <f t="shared" si="58"/>
        <v>3893374.6378336274</v>
      </c>
      <c r="AZ67" s="53">
        <f t="shared" si="59"/>
        <v>6204563.4313526768</v>
      </c>
      <c r="BA67" s="49">
        <f t="shared" si="60"/>
        <v>5453229.5497905249</v>
      </c>
      <c r="BB67" s="103">
        <f t="shared" si="61"/>
        <v>4881764.2959462218</v>
      </c>
      <c r="BC67" s="3"/>
      <c r="BD67" s="49">
        <f t="shared" si="62"/>
        <v>0</v>
      </c>
      <c r="BE67" s="49">
        <f t="shared" si="63"/>
        <v>0</v>
      </c>
      <c r="BF67" s="49">
        <f t="shared" si="64"/>
        <v>0</v>
      </c>
      <c r="BG67" s="49">
        <f t="shared" si="65"/>
        <v>206207.04721880986</v>
      </c>
      <c r="BH67" s="49">
        <f t="shared" si="66"/>
        <v>443625.59310465882</v>
      </c>
      <c r="BI67" s="49">
        <f t="shared" si="67"/>
        <v>454222.92127274291</v>
      </c>
      <c r="BJ67" s="103">
        <f t="shared" si="68"/>
        <v>460096.93209064193</v>
      </c>
      <c r="BK67" s="3"/>
      <c r="BL67" s="49">
        <f t="shared" si="69"/>
        <v>0</v>
      </c>
      <c r="BM67" s="49">
        <f t="shared" si="70"/>
        <v>0</v>
      </c>
      <c r="BN67" s="49">
        <f t="shared" si="71"/>
        <v>0</v>
      </c>
      <c r="BO67" s="49">
        <f t="shared" si="72"/>
        <v>4099581.6850524372</v>
      </c>
      <c r="BP67" s="49">
        <f t="shared" si="73"/>
        <v>6648189.0244573355</v>
      </c>
      <c r="BQ67" s="49">
        <f t="shared" si="74"/>
        <v>5907452.4710632674</v>
      </c>
      <c r="BR67" s="103">
        <f t="shared" si="75"/>
        <v>5341861.2280368637</v>
      </c>
      <c r="BS67" s="3"/>
      <c r="BT67" s="10"/>
      <c r="BU67" s="10"/>
      <c r="BV67" s="57">
        <f t="shared" si="76"/>
        <v>0</v>
      </c>
      <c r="BW67" s="57">
        <f t="shared" si="77"/>
        <v>0</v>
      </c>
      <c r="BX67" s="57">
        <f t="shared" ref="BX67:BX79" si="83">IF($L67&gt;BX$58,0,
IF($L67=BX$58,BN67*INDEX(L$29:L$35,BX$58-2021)+BO67*INDEX(L$29:L$35,BX$58-2020)+BP67,BP67))</f>
        <v>0</v>
      </c>
      <c r="BY67" s="350">
        <f t="shared" si="78"/>
        <v>17583029.226358969</v>
      </c>
      <c r="BZ67" s="103">
        <f t="shared" si="79"/>
        <v>5341861.2280368637</v>
      </c>
    </row>
    <row r="68" spans="1:78" s="240" customFormat="1">
      <c r="A68" s="239"/>
      <c r="B68" s="43">
        <f>'11. Investeringen (WUI+ombouw)'!B28</f>
        <v>9</v>
      </c>
      <c r="C68" s="54"/>
      <c r="D68" s="54"/>
      <c r="E68" s="54"/>
      <c r="F68" s="48">
        <f>'11. Investeringen (WUI+ombouw)'!C28</f>
        <v>26179329.440538418</v>
      </c>
      <c r="G68" s="54"/>
      <c r="H68" s="43">
        <f>'11. Investeringen (WUI+ombouw)'!D28</f>
        <v>2023</v>
      </c>
      <c r="I68" s="43" t="str">
        <f>'11. Investeringen (WUI+ombouw)'!E28</f>
        <v>06 Utiliteitsgebouwen</v>
      </c>
      <c r="J68" s="43" t="str">
        <f>'11. Investeringen (WUI+ombouw)'!F28</f>
        <v>WUI</v>
      </c>
      <c r="K68" s="43" t="str">
        <f>'11. Investeringen (WUI+ombouw)'!G28</f>
        <v>Nee</v>
      </c>
      <c r="L68" s="44">
        <f t="shared" si="47"/>
        <v>2025</v>
      </c>
      <c r="M68" s="44">
        <f>_xlfn.XLOOKUP(I68,'3. Input (des)investeringen '!$B$11:$B$81,'3. Input (des)investeringen '!$D$11:$D$81,0)</f>
        <v>30</v>
      </c>
      <c r="N68" s="3"/>
      <c r="O68" s="49">
        <f t="shared" si="80"/>
        <v>0</v>
      </c>
      <c r="P68" s="49">
        <f t="shared" si="48"/>
        <v>0</v>
      </c>
      <c r="Q68" s="3"/>
      <c r="R68" s="49">
        <f t="shared" si="8"/>
        <v>0</v>
      </c>
      <c r="S68" s="49">
        <f>IF($M68=0,IF($H68=P$58,$F68,$R68*I$38),IF(OR($H68&gt;S$58,$H68+$M68&lt;=S$58),0,
IF($H68=S$58,F68-P68,R68*I$38-P68)))</f>
        <v>0</v>
      </c>
      <c r="T68" s="3"/>
      <c r="U68" s="49">
        <f t="shared" si="49"/>
        <v>26179329.440538418</v>
      </c>
      <c r="V68" s="44">
        <f t="shared" si="50"/>
        <v>30</v>
      </c>
      <c r="W68" s="3"/>
      <c r="X68" s="49">
        <f t="shared" si="51"/>
        <v>0</v>
      </c>
      <c r="Y68" s="49">
        <f t="shared" si="51"/>
        <v>510496.92409049912</v>
      </c>
      <c r="Z68" s="49">
        <f t="shared" si="51"/>
        <v>998872.31480374327</v>
      </c>
      <c r="AA68" s="49">
        <f t="shared" si="0"/>
        <v>955587.84782891441</v>
      </c>
      <c r="AB68" s="103">
        <f t="shared" si="0"/>
        <v>914179.04108966154</v>
      </c>
      <c r="AC68" s="3"/>
      <c r="AD68" s="49">
        <f t="shared" si="13"/>
        <v>0</v>
      </c>
      <c r="AE68" s="49">
        <f t="shared" si="1"/>
        <v>43632.215734230704</v>
      </c>
      <c r="AF68" s="49">
        <f t="shared" si="1"/>
        <v>87264.431468461407</v>
      </c>
      <c r="AG68" s="49">
        <f t="shared" si="1"/>
        <v>87264.431468461407</v>
      </c>
      <c r="AH68" s="103">
        <f t="shared" si="1"/>
        <v>87264.431468461407</v>
      </c>
      <c r="AI68" s="3"/>
      <c r="AJ68" s="49">
        <f t="shared" si="52"/>
        <v>0</v>
      </c>
      <c r="AK68" s="49">
        <f t="shared" si="53"/>
        <v>554129.13982472988</v>
      </c>
      <c r="AL68" s="49">
        <f t="shared" si="54"/>
        <v>1086136.7462722047</v>
      </c>
      <c r="AM68" s="49">
        <f t="shared" si="55"/>
        <v>1042852.2792973758</v>
      </c>
      <c r="AN68" s="103">
        <f t="shared" si="56"/>
        <v>1001443.4725581229</v>
      </c>
      <c r="AO68" s="3"/>
      <c r="AP68" s="49">
        <f t="shared" si="19"/>
        <v>0</v>
      </c>
      <c r="AQ68" s="49">
        <f t="shared" si="20"/>
        <v>25625200.300713688</v>
      </c>
      <c r="AR68" s="49">
        <f t="shared" si="3"/>
        <v>24539063.554441482</v>
      </c>
      <c r="AS68" s="49">
        <f t="shared" si="3"/>
        <v>23496211.275144108</v>
      </c>
      <c r="AT68" s="103">
        <f t="shared" si="3"/>
        <v>22494767.802585986</v>
      </c>
      <c r="AU68" s="3"/>
      <c r="AV68" s="53">
        <f t="shared" si="81"/>
        <v>0</v>
      </c>
      <c r="AW68" s="53">
        <f t="shared" si="57"/>
        <v>0</v>
      </c>
      <c r="AX68" s="53">
        <f t="shared" si="82"/>
        <v>0</v>
      </c>
      <c r="AY68" s="53">
        <f t="shared" si="58"/>
        <v>1399760.7497482817</v>
      </c>
      <c r="AZ68" s="53">
        <f t="shared" si="59"/>
        <v>2018621.1613409808</v>
      </c>
      <c r="BA68" s="49">
        <f t="shared" si="60"/>
        <v>1935708.3077528519</v>
      </c>
      <c r="BB68" s="103">
        <f t="shared" si="61"/>
        <v>1856244.6490563904</v>
      </c>
      <c r="BC68" s="3"/>
      <c r="BD68" s="49">
        <f t="shared" si="62"/>
        <v>0</v>
      </c>
      <c r="BE68" s="49">
        <f t="shared" si="63"/>
        <v>0</v>
      </c>
      <c r="BF68" s="49">
        <f t="shared" si="64"/>
        <v>0</v>
      </c>
      <c r="BG68" s="49">
        <f t="shared" si="65"/>
        <v>130896.6472026921</v>
      </c>
      <c r="BH68" s="49">
        <f t="shared" si="66"/>
        <v>281605.81092598371</v>
      </c>
      <c r="BI68" s="49">
        <f t="shared" si="67"/>
        <v>288332.8105373836</v>
      </c>
      <c r="BJ68" s="103">
        <f t="shared" si="68"/>
        <v>292061.53044325294</v>
      </c>
      <c r="BK68" s="3"/>
      <c r="BL68" s="49">
        <f t="shared" si="69"/>
        <v>0</v>
      </c>
      <c r="BM68" s="49">
        <f t="shared" si="70"/>
        <v>0</v>
      </c>
      <c r="BN68" s="49">
        <f t="shared" si="71"/>
        <v>0</v>
      </c>
      <c r="BO68" s="49">
        <f t="shared" si="72"/>
        <v>1530657.3969509737</v>
      </c>
      <c r="BP68" s="49">
        <f t="shared" si="73"/>
        <v>2300226.9722669646</v>
      </c>
      <c r="BQ68" s="49">
        <f t="shared" si="74"/>
        <v>2224041.1182902353</v>
      </c>
      <c r="BR68" s="103">
        <f t="shared" si="75"/>
        <v>2148306.1794996434</v>
      </c>
      <c r="BS68" s="3"/>
      <c r="BT68" s="10"/>
      <c r="BU68" s="10"/>
      <c r="BV68" s="57">
        <f t="shared" si="76"/>
        <v>0</v>
      </c>
      <c r="BW68" s="57">
        <f t="shared" si="77"/>
        <v>0</v>
      </c>
      <c r="BX68" s="57">
        <f t="shared" si="83"/>
        <v>0</v>
      </c>
      <c r="BY68" s="350">
        <f t="shared" si="78"/>
        <v>6388599.5299429307</v>
      </c>
      <c r="BZ68" s="103">
        <f t="shared" si="79"/>
        <v>2148306.1794996434</v>
      </c>
    </row>
    <row r="69" spans="1:78" s="240" customFormat="1">
      <c r="A69" s="239"/>
      <c r="B69" s="43">
        <f>'11. Investeringen (WUI+ombouw)'!B29</f>
        <v>10</v>
      </c>
      <c r="C69" s="54"/>
      <c r="D69" s="54"/>
      <c r="E69" s="54"/>
      <c r="F69" s="48">
        <f>'11. Investeringen (WUI+ombouw)'!C29</f>
        <v>324466.46385633486</v>
      </c>
      <c r="G69" s="54"/>
      <c r="H69" s="43">
        <f>'11. Investeringen (WUI+ombouw)'!D29</f>
        <v>2023</v>
      </c>
      <c r="I69" s="43" t="str">
        <f>'11. Investeringen (WUI+ombouw)'!E29</f>
        <v>08 Inrichting gebouwen</v>
      </c>
      <c r="J69" s="43" t="str">
        <f>'11. Investeringen (WUI+ombouw)'!F29</f>
        <v>WUI</v>
      </c>
      <c r="K69" s="43" t="str">
        <f>'11. Investeringen (WUI+ombouw)'!G29</f>
        <v>Nee</v>
      </c>
      <c r="L69" s="44">
        <f t="shared" si="47"/>
        <v>2025</v>
      </c>
      <c r="M69" s="44">
        <f>_xlfn.XLOOKUP(I69,'3. Input (des)investeringen '!$B$11:$B$81,'3. Input (des)investeringen '!$D$11:$D$81,0)</f>
        <v>10</v>
      </c>
      <c r="N69" s="3"/>
      <c r="O69" s="49">
        <f t="shared" si="80"/>
        <v>0</v>
      </c>
      <c r="P69" s="49">
        <f t="shared" si="48"/>
        <v>0</v>
      </c>
      <c r="Q69" s="3"/>
      <c r="R69" s="49">
        <f t="shared" si="8"/>
        <v>0</v>
      </c>
      <c r="S69" s="49">
        <f t="shared" si="9"/>
        <v>0</v>
      </c>
      <c r="T69" s="3"/>
      <c r="U69" s="49">
        <f t="shared" si="49"/>
        <v>324466.46385633486</v>
      </c>
      <c r="V69" s="44">
        <f t="shared" si="50"/>
        <v>10</v>
      </c>
      <c r="W69" s="3"/>
      <c r="X69" s="49">
        <f t="shared" si="51"/>
        <v>0</v>
      </c>
      <c r="Y69" s="49">
        <f t="shared" si="51"/>
        <v>18981.288135595591</v>
      </c>
      <c r="Z69" s="49">
        <f t="shared" si="51"/>
        <v>35495.008813563756</v>
      </c>
      <c r="AA69" s="49">
        <f t="shared" si="0"/>
        <v>30880.657667800471</v>
      </c>
      <c r="AB69" s="103">
        <f t="shared" si="0"/>
        <v>27555.04838049888</v>
      </c>
      <c r="AC69" s="3"/>
      <c r="AD69" s="49">
        <f t="shared" si="13"/>
        <v>0</v>
      </c>
      <c r="AE69" s="49">
        <f t="shared" si="1"/>
        <v>1622.3323192816745</v>
      </c>
      <c r="AF69" s="49">
        <f t="shared" si="1"/>
        <v>3244.6646385633485</v>
      </c>
      <c r="AG69" s="49">
        <f t="shared" si="1"/>
        <v>3244.6646385633485</v>
      </c>
      <c r="AH69" s="103">
        <f t="shared" si="1"/>
        <v>3244.6646385633485</v>
      </c>
      <c r="AI69" s="3"/>
      <c r="AJ69" s="49">
        <f t="shared" si="52"/>
        <v>0</v>
      </c>
      <c r="AK69" s="49">
        <f t="shared" si="53"/>
        <v>20603.620454877266</v>
      </c>
      <c r="AL69" s="49">
        <f t="shared" si="54"/>
        <v>38739.673452127106</v>
      </c>
      <c r="AM69" s="49">
        <f t="shared" si="55"/>
        <v>34125.322306363822</v>
      </c>
      <c r="AN69" s="103">
        <f t="shared" si="56"/>
        <v>30799.713019062227</v>
      </c>
      <c r="AO69" s="3"/>
      <c r="AP69" s="49">
        <f t="shared" si="19"/>
        <v>0</v>
      </c>
      <c r="AQ69" s="49">
        <f t="shared" si="20"/>
        <v>303862.84340145759</v>
      </c>
      <c r="AR69" s="49">
        <f t="shared" si="3"/>
        <v>265123.16994933051</v>
      </c>
      <c r="AS69" s="49">
        <f t="shared" si="3"/>
        <v>230997.84764296669</v>
      </c>
      <c r="AT69" s="103">
        <f t="shared" si="3"/>
        <v>200198.13462390448</v>
      </c>
      <c r="AU69" s="3"/>
      <c r="AV69" s="53">
        <f t="shared" si="81"/>
        <v>0</v>
      </c>
      <c r="AW69" s="53">
        <f t="shared" si="57"/>
        <v>0</v>
      </c>
      <c r="AX69" s="53">
        <f t="shared" si="82"/>
        <v>0</v>
      </c>
      <c r="AY69" s="53">
        <f t="shared" si="58"/>
        <v>30631.094287125365</v>
      </c>
      <c r="AZ69" s="53">
        <f t="shared" si="59"/>
        <v>48814.353910201666</v>
      </c>
      <c r="BA69" s="49">
        <f t="shared" si="60"/>
        <v>42903.240516796555</v>
      </c>
      <c r="BB69" s="103">
        <f t="shared" si="61"/>
        <v>38407.242134770597</v>
      </c>
      <c r="BC69" s="3"/>
      <c r="BD69" s="49">
        <f t="shared" si="62"/>
        <v>0</v>
      </c>
      <c r="BE69" s="49">
        <f t="shared" si="63"/>
        <v>0</v>
      </c>
      <c r="BF69" s="49">
        <f t="shared" si="64"/>
        <v>0</v>
      </c>
      <c r="BG69" s="49">
        <f t="shared" si="65"/>
        <v>1622.3323192816742</v>
      </c>
      <c r="BH69" s="49">
        <f t="shared" si="66"/>
        <v>3490.220858409823</v>
      </c>
      <c r="BI69" s="49">
        <f t="shared" si="67"/>
        <v>3573.5952542755167</v>
      </c>
      <c r="BJ69" s="103">
        <f t="shared" si="68"/>
        <v>3619.8089881038072</v>
      </c>
      <c r="BK69" s="3"/>
      <c r="BL69" s="49">
        <f t="shared" si="69"/>
        <v>0</v>
      </c>
      <c r="BM69" s="49">
        <f t="shared" si="70"/>
        <v>0</v>
      </c>
      <c r="BN69" s="49">
        <f t="shared" si="71"/>
        <v>0</v>
      </c>
      <c r="BO69" s="49">
        <f t="shared" si="72"/>
        <v>32253.42660640704</v>
      </c>
      <c r="BP69" s="49">
        <f t="shared" si="73"/>
        <v>52304.574768611492</v>
      </c>
      <c r="BQ69" s="49">
        <f t="shared" si="74"/>
        <v>46476.835771072074</v>
      </c>
      <c r="BR69" s="103">
        <f t="shared" si="75"/>
        <v>42027.051122874407</v>
      </c>
      <c r="BS69" s="3"/>
      <c r="BT69" s="10"/>
      <c r="BU69" s="10"/>
      <c r="BV69" s="57">
        <f t="shared" si="76"/>
        <v>0</v>
      </c>
      <c r="BW69" s="57">
        <f t="shared" si="77"/>
        <v>0</v>
      </c>
      <c r="BX69" s="57">
        <f t="shared" si="83"/>
        <v>0</v>
      </c>
      <c r="BY69" s="350">
        <f t="shared" si="78"/>
        <v>138334.34390109612</v>
      </c>
      <c r="BZ69" s="103">
        <f t="shared" si="79"/>
        <v>42027.051122874407</v>
      </c>
    </row>
    <row r="70" spans="1:78" s="240" customFormat="1">
      <c r="A70" s="239"/>
      <c r="B70" s="43">
        <f>'11. Investeringen (WUI+ombouw)'!B30</f>
        <v>11</v>
      </c>
      <c r="C70" s="54"/>
      <c r="D70" s="54"/>
      <c r="E70" s="54"/>
      <c r="F70" s="48">
        <f>'11. Investeringen (WUI+ombouw)'!C30</f>
        <v>358620.80849138752</v>
      </c>
      <c r="G70" s="54"/>
      <c r="H70" s="43">
        <f>'11. Investeringen (WUI+ombouw)'!D30</f>
        <v>2023</v>
      </c>
      <c r="I70" s="43" t="str">
        <f>'11. Investeringen (WUI+ombouw)'!E30</f>
        <v>09 Bedrijfsinventaris</v>
      </c>
      <c r="J70" s="43" t="str">
        <f>'11. Investeringen (WUI+ombouw)'!F30</f>
        <v>WUI</v>
      </c>
      <c r="K70" s="43" t="str">
        <f>'11. Investeringen (WUI+ombouw)'!G30</f>
        <v>Nee</v>
      </c>
      <c r="L70" s="44">
        <f t="shared" si="47"/>
        <v>2025</v>
      </c>
      <c r="M70" s="44">
        <f>_xlfn.XLOOKUP(I70,'3. Input (des)investeringen '!$B$11:$B$81,'3. Input (des)investeringen '!$D$11:$D$81,0)</f>
        <v>10</v>
      </c>
      <c r="N70" s="3"/>
      <c r="O70" s="49">
        <f t="shared" si="80"/>
        <v>0</v>
      </c>
      <c r="P70" s="49">
        <f t="shared" si="48"/>
        <v>0</v>
      </c>
      <c r="Q70" s="3"/>
      <c r="R70" s="49">
        <f t="shared" si="8"/>
        <v>0</v>
      </c>
      <c r="S70" s="49">
        <f t="shared" si="9"/>
        <v>0</v>
      </c>
      <c r="T70" s="3"/>
      <c r="U70" s="49">
        <f t="shared" si="49"/>
        <v>358620.80849138752</v>
      </c>
      <c r="V70" s="44">
        <f t="shared" si="50"/>
        <v>10</v>
      </c>
      <c r="W70" s="3"/>
      <c r="X70" s="49">
        <f t="shared" si="51"/>
        <v>0</v>
      </c>
      <c r="Y70" s="49">
        <f t="shared" si="51"/>
        <v>20979.317296746169</v>
      </c>
      <c r="Z70" s="49">
        <f t="shared" si="51"/>
        <v>39231.323344915341</v>
      </c>
      <c r="AA70" s="49">
        <f t="shared" si="0"/>
        <v>34131.251310076346</v>
      </c>
      <c r="AB70" s="103">
        <f t="shared" si="0"/>
        <v>30455.578092068125</v>
      </c>
      <c r="AC70" s="3"/>
      <c r="AD70" s="49">
        <f t="shared" si="13"/>
        <v>0</v>
      </c>
      <c r="AE70" s="49">
        <f t="shared" si="1"/>
        <v>1793.1040424569376</v>
      </c>
      <c r="AF70" s="49">
        <f t="shared" si="1"/>
        <v>3586.2080849138752</v>
      </c>
      <c r="AG70" s="49">
        <f t="shared" si="1"/>
        <v>3586.2080849138752</v>
      </c>
      <c r="AH70" s="103">
        <f t="shared" si="1"/>
        <v>3586.2080849138752</v>
      </c>
      <c r="AI70" s="3"/>
      <c r="AJ70" s="49">
        <f t="shared" si="52"/>
        <v>0</v>
      </c>
      <c r="AK70" s="49">
        <f t="shared" si="53"/>
        <v>22772.421339203105</v>
      </c>
      <c r="AL70" s="49">
        <f t="shared" si="54"/>
        <v>42817.531429829214</v>
      </c>
      <c r="AM70" s="49">
        <f t="shared" si="55"/>
        <v>37717.459394990219</v>
      </c>
      <c r="AN70" s="103">
        <f t="shared" si="56"/>
        <v>34041.786176982001</v>
      </c>
      <c r="AO70" s="3"/>
      <c r="AP70" s="49">
        <f t="shared" si="19"/>
        <v>0</v>
      </c>
      <c r="AQ70" s="49">
        <f t="shared" si="20"/>
        <v>335848.38715218444</v>
      </c>
      <c r="AR70" s="49">
        <f t="shared" si="3"/>
        <v>293030.85572235525</v>
      </c>
      <c r="AS70" s="49">
        <f t="shared" si="3"/>
        <v>255313.39632736502</v>
      </c>
      <c r="AT70" s="103">
        <f t="shared" si="3"/>
        <v>221271.61015038303</v>
      </c>
      <c r="AU70" s="3"/>
      <c r="AV70" s="53">
        <f t="shared" si="81"/>
        <v>0</v>
      </c>
      <c r="AW70" s="53">
        <f t="shared" si="57"/>
        <v>0</v>
      </c>
      <c r="AX70" s="53">
        <f t="shared" si="82"/>
        <v>0</v>
      </c>
      <c r="AY70" s="53">
        <f t="shared" si="58"/>
        <v>33855.418115225191</v>
      </c>
      <c r="AZ70" s="53">
        <f t="shared" si="59"/>
        <v>53952.703947278715</v>
      </c>
      <c r="BA70" s="49">
        <f t="shared" si="60"/>
        <v>47419.368455430085</v>
      </c>
      <c r="BB70" s="103">
        <f t="shared" si="61"/>
        <v>42450.107362696552</v>
      </c>
      <c r="BC70" s="3"/>
      <c r="BD70" s="49">
        <f t="shared" si="62"/>
        <v>0</v>
      </c>
      <c r="BE70" s="49">
        <f t="shared" si="63"/>
        <v>0</v>
      </c>
      <c r="BF70" s="49">
        <f t="shared" si="64"/>
        <v>0</v>
      </c>
      <c r="BG70" s="49">
        <f t="shared" si="65"/>
        <v>1793.1040424569376</v>
      </c>
      <c r="BH70" s="49">
        <f t="shared" si="66"/>
        <v>3857.6123127801575</v>
      </c>
      <c r="BI70" s="49">
        <f t="shared" si="67"/>
        <v>3949.7629557078499</v>
      </c>
      <c r="BJ70" s="103">
        <f t="shared" si="68"/>
        <v>4000.8412902510631</v>
      </c>
      <c r="BK70" s="3"/>
      <c r="BL70" s="49">
        <f t="shared" si="69"/>
        <v>0</v>
      </c>
      <c r="BM70" s="49">
        <f t="shared" si="70"/>
        <v>0</v>
      </c>
      <c r="BN70" s="49">
        <f t="shared" si="71"/>
        <v>0</v>
      </c>
      <c r="BO70" s="49">
        <f t="shared" si="72"/>
        <v>35648.522157682128</v>
      </c>
      <c r="BP70" s="49">
        <f t="shared" si="73"/>
        <v>57810.316260058869</v>
      </c>
      <c r="BQ70" s="49">
        <f t="shared" si="74"/>
        <v>51369.131411137932</v>
      </c>
      <c r="BR70" s="103">
        <f t="shared" si="75"/>
        <v>46450.948652947613</v>
      </c>
      <c r="BS70" s="3"/>
      <c r="BT70" s="10"/>
      <c r="BU70" s="10"/>
      <c r="BV70" s="57">
        <f t="shared" si="76"/>
        <v>0</v>
      </c>
      <c r="BW70" s="57">
        <f t="shared" si="77"/>
        <v>0</v>
      </c>
      <c r="BX70" s="57">
        <f t="shared" si="83"/>
        <v>0</v>
      </c>
      <c r="BY70" s="350">
        <f t="shared" si="78"/>
        <v>152895.84526646961</v>
      </c>
      <c r="BZ70" s="103">
        <f t="shared" si="79"/>
        <v>46450.948652947613</v>
      </c>
    </row>
    <row r="71" spans="1:78" s="240" customFormat="1">
      <c r="A71" s="239"/>
      <c r="B71" s="43">
        <f>'11. Investeringen (WUI+ombouw)'!B31</f>
        <v>12</v>
      </c>
      <c r="C71" s="54"/>
      <c r="D71" s="54"/>
      <c r="E71" s="54"/>
      <c r="F71" s="48">
        <f>'11. Investeringen (WUI+ombouw)'!C31</f>
        <v>77940287.016589478</v>
      </c>
      <c r="G71" s="54"/>
      <c r="H71" s="43">
        <f>'11. Investeringen (WUI+ombouw)'!D31</f>
        <v>2023</v>
      </c>
      <c r="I71" s="43" t="str">
        <f>'11. Investeringen (WUI+ombouw)'!E31</f>
        <v>17 Mengstations</v>
      </c>
      <c r="J71" s="43" t="str">
        <f>'11. Investeringen (WUI+ombouw)'!F31</f>
        <v>WUI</v>
      </c>
      <c r="K71" s="43" t="str">
        <f>'11. Investeringen (WUI+ombouw)'!G31</f>
        <v>Nee</v>
      </c>
      <c r="L71" s="44">
        <f t="shared" si="47"/>
        <v>2025</v>
      </c>
      <c r="M71" s="44">
        <f>_xlfn.XLOOKUP(I71,'3. Input (des)investeringen '!$B$11:$B$81,'3. Input (des)investeringen '!$D$11:$D$81,0)</f>
        <v>30</v>
      </c>
      <c r="N71" s="3"/>
      <c r="O71" s="49">
        <f t="shared" si="80"/>
        <v>0</v>
      </c>
      <c r="P71" s="49">
        <f t="shared" si="48"/>
        <v>0</v>
      </c>
      <c r="Q71" s="3"/>
      <c r="R71" s="49">
        <f t="shared" si="8"/>
        <v>0</v>
      </c>
      <c r="S71" s="49">
        <f t="shared" si="9"/>
        <v>0</v>
      </c>
      <c r="T71" s="3"/>
      <c r="U71" s="49">
        <f t="shared" si="49"/>
        <v>77940287.016589478</v>
      </c>
      <c r="V71" s="44">
        <f t="shared" si="50"/>
        <v>30</v>
      </c>
      <c r="W71" s="3"/>
      <c r="X71" s="49">
        <f t="shared" si="51"/>
        <v>0</v>
      </c>
      <c r="Y71" s="49">
        <f t="shared" si="51"/>
        <v>1519835.5968234949</v>
      </c>
      <c r="Z71" s="49">
        <f t="shared" si="51"/>
        <v>2973811.6511179721</v>
      </c>
      <c r="AA71" s="49">
        <f t="shared" si="0"/>
        <v>2844946.4795695264</v>
      </c>
      <c r="AB71" s="103">
        <f t="shared" si="0"/>
        <v>2721665.4654548471</v>
      </c>
      <c r="AC71" s="3"/>
      <c r="AD71" s="49">
        <f t="shared" si="13"/>
        <v>0</v>
      </c>
      <c r="AE71" s="49">
        <f t="shared" si="1"/>
        <v>129900.47836098248</v>
      </c>
      <c r="AF71" s="49">
        <f t="shared" si="1"/>
        <v>259800.95672196496</v>
      </c>
      <c r="AG71" s="49">
        <f t="shared" si="1"/>
        <v>259800.95672196496</v>
      </c>
      <c r="AH71" s="103">
        <f t="shared" si="1"/>
        <v>259800.95672196496</v>
      </c>
      <c r="AI71" s="3"/>
      <c r="AJ71" s="49">
        <f t="shared" si="52"/>
        <v>0</v>
      </c>
      <c r="AK71" s="49">
        <f t="shared" si="53"/>
        <v>1649736.0751844773</v>
      </c>
      <c r="AL71" s="49">
        <f t="shared" si="54"/>
        <v>3233612.6078399369</v>
      </c>
      <c r="AM71" s="49">
        <f t="shared" si="55"/>
        <v>3104747.4362914911</v>
      </c>
      <c r="AN71" s="103">
        <f t="shared" si="56"/>
        <v>2981466.4221768118</v>
      </c>
      <c r="AO71" s="3"/>
      <c r="AP71" s="49">
        <f t="shared" si="19"/>
        <v>0</v>
      </c>
      <c r="AQ71" s="49">
        <f t="shared" si="20"/>
        <v>76290550.941404998</v>
      </c>
      <c r="AR71" s="49">
        <f t="shared" si="3"/>
        <v>73056938.333565056</v>
      </c>
      <c r="AS71" s="49">
        <f t="shared" si="3"/>
        <v>69952190.89727357</v>
      </c>
      <c r="AT71" s="103">
        <f t="shared" si="3"/>
        <v>66970724.475096762</v>
      </c>
      <c r="AU71" s="3"/>
      <c r="AV71" s="53">
        <f t="shared" si="81"/>
        <v>0</v>
      </c>
      <c r="AW71" s="53">
        <f t="shared" si="57"/>
        <v>0</v>
      </c>
      <c r="AX71" s="53">
        <f t="shared" si="82"/>
        <v>0</v>
      </c>
      <c r="AY71" s="53">
        <f t="shared" si="58"/>
        <v>4167324.2562508425</v>
      </c>
      <c r="AZ71" s="53">
        <f t="shared" si="59"/>
        <v>6009776.2645154092</v>
      </c>
      <c r="BA71" s="49">
        <f t="shared" si="60"/>
        <v>5762930.6903878869</v>
      </c>
      <c r="BB71" s="103">
        <f t="shared" si="61"/>
        <v>5526353.9522304889</v>
      </c>
      <c r="BC71" s="3"/>
      <c r="BD71" s="49">
        <f t="shared" si="62"/>
        <v>0</v>
      </c>
      <c r="BE71" s="49">
        <f t="shared" si="63"/>
        <v>0</v>
      </c>
      <c r="BF71" s="49">
        <f t="shared" si="64"/>
        <v>0</v>
      </c>
      <c r="BG71" s="49">
        <f t="shared" si="65"/>
        <v>389701.43508294737</v>
      </c>
      <c r="BH71" s="49">
        <f t="shared" si="66"/>
        <v>838388.07938004972</v>
      </c>
      <c r="BI71" s="49">
        <f t="shared" si="67"/>
        <v>858415.4938202803</v>
      </c>
      <c r="BJ71" s="103">
        <f t="shared" si="68"/>
        <v>869516.52298636409</v>
      </c>
      <c r="BK71" s="3"/>
      <c r="BL71" s="49">
        <f t="shared" si="69"/>
        <v>0</v>
      </c>
      <c r="BM71" s="49">
        <f t="shared" si="70"/>
        <v>0</v>
      </c>
      <c r="BN71" s="49">
        <f t="shared" si="71"/>
        <v>0</v>
      </c>
      <c r="BO71" s="49">
        <f t="shared" si="72"/>
        <v>4557025.6913337894</v>
      </c>
      <c r="BP71" s="49">
        <f t="shared" si="73"/>
        <v>6848164.3438954586</v>
      </c>
      <c r="BQ71" s="49">
        <f t="shared" si="74"/>
        <v>6621346.1842081677</v>
      </c>
      <c r="BR71" s="103">
        <f t="shared" si="75"/>
        <v>6395870.4752168525</v>
      </c>
      <c r="BS71" s="3"/>
      <c r="BT71" s="10"/>
      <c r="BU71" s="10"/>
      <c r="BV71" s="57">
        <f t="shared" si="76"/>
        <v>0</v>
      </c>
      <c r="BW71" s="57">
        <f t="shared" si="77"/>
        <v>0</v>
      </c>
      <c r="BX71" s="57">
        <f t="shared" si="83"/>
        <v>0</v>
      </c>
      <c r="BY71" s="350">
        <f t="shared" si="78"/>
        <v>19019940.221492551</v>
      </c>
      <c r="BZ71" s="103">
        <f t="shared" si="79"/>
        <v>6395870.4752168525</v>
      </c>
    </row>
    <row r="72" spans="1:78" s="240" customFormat="1">
      <c r="A72" s="239"/>
      <c r="B72" s="43">
        <f>'11. Investeringen (WUI+ombouw)'!B32</f>
        <v>13</v>
      </c>
      <c r="C72" s="54"/>
      <c r="D72" s="54"/>
      <c r="E72" s="54"/>
      <c r="F72" s="48">
        <f>'11. Investeringen (WUI+ombouw)'!C32</f>
        <v>21107403.53252615</v>
      </c>
      <c r="G72" s="54"/>
      <c r="H72" s="43">
        <f>'11. Investeringen (WUI+ombouw)'!D32</f>
        <v>2023</v>
      </c>
      <c r="I72" s="43" t="str">
        <f>'11. Investeringen (WUI+ombouw)'!E32</f>
        <v>21 Hoofdtransportleiding</v>
      </c>
      <c r="J72" s="43" t="str">
        <f>'11. Investeringen (WUI+ombouw)'!F32</f>
        <v>WUI</v>
      </c>
      <c r="K72" s="43" t="str">
        <f>'11. Investeringen (WUI+ombouw)'!G32</f>
        <v>Nee</v>
      </c>
      <c r="L72" s="44">
        <f t="shared" si="47"/>
        <v>2025</v>
      </c>
      <c r="M72" s="44">
        <f>_xlfn.XLOOKUP(I72,'3. Input (des)investeringen '!$B$11:$B$81,'3. Input (des)investeringen '!$D$11:$D$81,0)</f>
        <v>55</v>
      </c>
      <c r="N72" s="3"/>
      <c r="O72" s="49">
        <f t="shared" si="80"/>
        <v>0</v>
      </c>
      <c r="P72" s="49">
        <f t="shared" si="48"/>
        <v>0</v>
      </c>
      <c r="Q72" s="3"/>
      <c r="R72" s="49">
        <f t="shared" si="8"/>
        <v>0</v>
      </c>
      <c r="S72" s="49">
        <f>IF($M72=0,IF($H72=P$58,$F72,$R72*I$38),IF(OR($H72&gt;S$58,$H72+$M72&lt;=S$58),0,
IF($H72=S$58,F72-P72,R72*I$38-P72)))</f>
        <v>0</v>
      </c>
      <c r="T72" s="3"/>
      <c r="U72" s="49">
        <f t="shared" si="49"/>
        <v>21107403.53252615</v>
      </c>
      <c r="V72" s="44">
        <f t="shared" si="50"/>
        <v>55</v>
      </c>
      <c r="W72" s="3"/>
      <c r="X72" s="49">
        <f t="shared" si="51"/>
        <v>0</v>
      </c>
      <c r="Y72" s="49">
        <f t="shared" si="51"/>
        <v>224506.01939141451</v>
      </c>
      <c r="Z72" s="49">
        <f t="shared" si="51"/>
        <v>443705.53286994109</v>
      </c>
      <c r="AA72" s="49">
        <f t="shared" si="0"/>
        <v>433217.94754756062</v>
      </c>
      <c r="AB72" s="103">
        <f t="shared" si="0"/>
        <v>422978.25060552737</v>
      </c>
      <c r="AC72" s="3"/>
      <c r="AD72" s="49">
        <f t="shared" si="13"/>
        <v>0</v>
      </c>
      <c r="AE72" s="49">
        <f t="shared" si="1"/>
        <v>19188.548665932864</v>
      </c>
      <c r="AF72" s="49">
        <f t="shared" si="1"/>
        <v>38377.097331865727</v>
      </c>
      <c r="AG72" s="49">
        <f t="shared" si="1"/>
        <v>38377.097331865727</v>
      </c>
      <c r="AH72" s="103">
        <f t="shared" si="1"/>
        <v>38377.097331865727</v>
      </c>
      <c r="AI72" s="3"/>
      <c r="AJ72" s="49">
        <f t="shared" si="52"/>
        <v>0</v>
      </c>
      <c r="AK72" s="49">
        <f t="shared" si="53"/>
        <v>243694.56805734738</v>
      </c>
      <c r="AL72" s="49">
        <f t="shared" si="54"/>
        <v>482082.63020180684</v>
      </c>
      <c r="AM72" s="49">
        <f t="shared" si="55"/>
        <v>471595.04487942636</v>
      </c>
      <c r="AN72" s="103">
        <f t="shared" si="56"/>
        <v>461355.34793739312</v>
      </c>
      <c r="AO72" s="3"/>
      <c r="AP72" s="49">
        <f t="shared" si="19"/>
        <v>0</v>
      </c>
      <c r="AQ72" s="49">
        <f t="shared" si="20"/>
        <v>20863708.964468803</v>
      </c>
      <c r="AR72" s="49">
        <f t="shared" si="3"/>
        <v>20381626.334266998</v>
      </c>
      <c r="AS72" s="49">
        <f t="shared" si="3"/>
        <v>19910031.289387573</v>
      </c>
      <c r="AT72" s="103">
        <f t="shared" si="3"/>
        <v>19448675.941450179</v>
      </c>
      <c r="AU72" s="3"/>
      <c r="AV72" s="53">
        <f t="shared" si="81"/>
        <v>0</v>
      </c>
      <c r="AW72" s="53">
        <f t="shared" si="57"/>
        <v>0</v>
      </c>
      <c r="AX72" s="53">
        <f t="shared" si="82"/>
        <v>0</v>
      </c>
      <c r="AY72" s="53">
        <f t="shared" si="58"/>
        <v>932196.9638848179</v>
      </c>
      <c r="AZ72" s="53">
        <f t="shared" si="59"/>
        <v>1256584.4309039528</v>
      </c>
      <c r="BA72" s="49">
        <f t="shared" si="60"/>
        <v>1228176.2338761541</v>
      </c>
      <c r="BB72" s="103">
        <f t="shared" si="61"/>
        <v>1200405.0337124998</v>
      </c>
      <c r="BC72" s="3"/>
      <c r="BD72" s="49">
        <f t="shared" si="62"/>
        <v>0</v>
      </c>
      <c r="BE72" s="49">
        <f t="shared" si="63"/>
        <v>0</v>
      </c>
      <c r="BF72" s="49">
        <f t="shared" si="64"/>
        <v>0</v>
      </c>
      <c r="BG72" s="49">
        <f t="shared" si="65"/>
        <v>105537.01766263075</v>
      </c>
      <c r="BH72" s="49">
        <f t="shared" si="66"/>
        <v>227048.11831867733</v>
      </c>
      <c r="BI72" s="49">
        <f t="shared" si="67"/>
        <v>232471.84376907389</v>
      </c>
      <c r="BJ72" s="103">
        <f t="shared" si="68"/>
        <v>235478.16965269551</v>
      </c>
      <c r="BK72" s="3"/>
      <c r="BL72" s="49">
        <f t="shared" si="69"/>
        <v>0</v>
      </c>
      <c r="BM72" s="49">
        <f t="shared" si="70"/>
        <v>0</v>
      </c>
      <c r="BN72" s="49">
        <f t="shared" si="71"/>
        <v>0</v>
      </c>
      <c r="BO72" s="49">
        <f t="shared" si="72"/>
        <v>1037733.9815474487</v>
      </c>
      <c r="BP72" s="49">
        <f t="shared" si="73"/>
        <v>1483632.5492226302</v>
      </c>
      <c r="BQ72" s="49">
        <f t="shared" si="74"/>
        <v>1460648.077645228</v>
      </c>
      <c r="BR72" s="103">
        <f t="shared" si="75"/>
        <v>1435883.2033651953</v>
      </c>
      <c r="BS72" s="3"/>
      <c r="BT72" s="10"/>
      <c r="BU72" s="10"/>
      <c r="BV72" s="57">
        <f t="shared" si="76"/>
        <v>0</v>
      </c>
      <c r="BW72" s="57">
        <f t="shared" si="77"/>
        <v>0</v>
      </c>
      <c r="BX72" s="57">
        <f t="shared" si="83"/>
        <v>0</v>
      </c>
      <c r="BY72" s="350">
        <f t="shared" si="78"/>
        <v>4202925.2799794432</v>
      </c>
      <c r="BZ72" s="103">
        <f t="shared" si="79"/>
        <v>1435883.2033651953</v>
      </c>
    </row>
    <row r="73" spans="1:78" s="240" customFormat="1">
      <c r="A73" s="239"/>
      <c r="B73" s="43">
        <f>'11. Investeringen (WUI+ombouw)'!B33</f>
        <v>14</v>
      </c>
      <c r="C73" s="54"/>
      <c r="D73" s="54"/>
      <c r="E73" s="54"/>
      <c r="F73" s="48">
        <f>'11. Investeringen (WUI+ombouw)'!C33</f>
        <v>18334898.10779709</v>
      </c>
      <c r="G73" s="54"/>
      <c r="H73" s="43">
        <f>'11. Investeringen (WUI+ombouw)'!D33</f>
        <v>2023</v>
      </c>
      <c r="I73" s="43" t="str">
        <f>'11. Investeringen (WUI+ombouw)'!E33</f>
        <v>36 Luchtscheidingsunit</v>
      </c>
      <c r="J73" s="43" t="str">
        <f>'11. Investeringen (WUI+ombouw)'!F33</f>
        <v>WUI</v>
      </c>
      <c r="K73" s="43" t="str">
        <f>'11. Investeringen (WUI+ombouw)'!G33</f>
        <v>Nee</v>
      </c>
      <c r="L73" s="44">
        <f t="shared" si="47"/>
        <v>2025</v>
      </c>
      <c r="M73" s="44">
        <f>_xlfn.XLOOKUP(I73,'3. Input (des)investeringen '!$B$11:$B$81,'3. Input (des)investeringen '!$D$11:$D$81,0)</f>
        <v>30</v>
      </c>
      <c r="N73" s="3"/>
      <c r="O73" s="49">
        <f t="shared" si="80"/>
        <v>0</v>
      </c>
      <c r="P73" s="49">
        <f t="shared" si="48"/>
        <v>0</v>
      </c>
      <c r="Q73" s="3"/>
      <c r="R73" s="49">
        <f t="shared" si="8"/>
        <v>0</v>
      </c>
      <c r="S73" s="49">
        <f t="shared" si="9"/>
        <v>0</v>
      </c>
      <c r="T73" s="3"/>
      <c r="U73" s="49">
        <f t="shared" si="49"/>
        <v>18334898.10779709</v>
      </c>
      <c r="V73" s="44">
        <f t="shared" si="50"/>
        <v>30</v>
      </c>
      <c r="W73" s="3"/>
      <c r="X73" s="49">
        <f t="shared" si="51"/>
        <v>0</v>
      </c>
      <c r="Y73" s="49">
        <f t="shared" si="51"/>
        <v>357530.5131020433</v>
      </c>
      <c r="Z73" s="49">
        <f t="shared" si="51"/>
        <v>699568.03730299813</v>
      </c>
      <c r="AA73" s="49">
        <f t="shared" si="0"/>
        <v>669253.42235320143</v>
      </c>
      <c r="AB73" s="103">
        <f t="shared" si="0"/>
        <v>640252.44071789621</v>
      </c>
      <c r="AC73" s="3"/>
      <c r="AD73" s="49">
        <f t="shared" si="13"/>
        <v>0</v>
      </c>
      <c r="AE73" s="49">
        <f t="shared" si="1"/>
        <v>30558.163512995154</v>
      </c>
      <c r="AF73" s="49">
        <f t="shared" si="1"/>
        <v>61116.327025990307</v>
      </c>
      <c r="AG73" s="49">
        <f t="shared" si="1"/>
        <v>61116.327025990307</v>
      </c>
      <c r="AH73" s="103">
        <f t="shared" si="1"/>
        <v>61116.327025990307</v>
      </c>
      <c r="AI73" s="3"/>
      <c r="AJ73" s="49">
        <f t="shared" si="52"/>
        <v>0</v>
      </c>
      <c r="AK73" s="49">
        <f t="shared" si="53"/>
        <v>388088.67661503848</v>
      </c>
      <c r="AL73" s="49">
        <f t="shared" si="54"/>
        <v>760684.36432898848</v>
      </c>
      <c r="AM73" s="49">
        <f t="shared" si="55"/>
        <v>730369.74937919178</v>
      </c>
      <c r="AN73" s="103">
        <f t="shared" si="56"/>
        <v>701368.76774388656</v>
      </c>
      <c r="AO73" s="3"/>
      <c r="AP73" s="49">
        <f t="shared" si="19"/>
        <v>0</v>
      </c>
      <c r="AQ73" s="49">
        <f t="shared" si="20"/>
        <v>17946809.431182053</v>
      </c>
      <c r="AR73" s="49">
        <f t="shared" si="3"/>
        <v>17186125.066853065</v>
      </c>
      <c r="AS73" s="49">
        <f t="shared" si="3"/>
        <v>16455755.317473873</v>
      </c>
      <c r="AT73" s="103">
        <f t="shared" si="3"/>
        <v>15754386.549729986</v>
      </c>
      <c r="AU73" s="3"/>
      <c r="AV73" s="53">
        <f t="shared" si="81"/>
        <v>0</v>
      </c>
      <c r="AW73" s="53">
        <f t="shared" si="57"/>
        <v>0</v>
      </c>
      <c r="AX73" s="53">
        <f t="shared" si="82"/>
        <v>0</v>
      </c>
      <c r="AY73" s="53">
        <f t="shared" si="58"/>
        <v>980333.38784404634</v>
      </c>
      <c r="AZ73" s="53">
        <f t="shared" si="59"/>
        <v>1413757.1168694049</v>
      </c>
      <c r="BA73" s="49">
        <f t="shared" si="60"/>
        <v>1355688.4514431991</v>
      </c>
      <c r="BB73" s="103">
        <f t="shared" si="61"/>
        <v>1300035.456633626</v>
      </c>
      <c r="BC73" s="3"/>
      <c r="BD73" s="49">
        <f t="shared" si="62"/>
        <v>0</v>
      </c>
      <c r="BE73" s="49">
        <f t="shared" si="63"/>
        <v>0</v>
      </c>
      <c r="BF73" s="49">
        <f t="shared" si="64"/>
        <v>0</v>
      </c>
      <c r="BG73" s="49">
        <f t="shared" si="65"/>
        <v>91674.490538985454</v>
      </c>
      <c r="BH73" s="49">
        <f t="shared" si="66"/>
        <v>197224.83196595174</v>
      </c>
      <c r="BI73" s="49">
        <f t="shared" si="67"/>
        <v>201936.13875195442</v>
      </c>
      <c r="BJ73" s="103">
        <f t="shared" si="68"/>
        <v>204547.57689829465</v>
      </c>
      <c r="BK73" s="3"/>
      <c r="BL73" s="49">
        <f t="shared" si="69"/>
        <v>0</v>
      </c>
      <c r="BM73" s="49">
        <f t="shared" si="70"/>
        <v>0</v>
      </c>
      <c r="BN73" s="49">
        <f t="shared" si="71"/>
        <v>0</v>
      </c>
      <c r="BO73" s="49">
        <f t="shared" si="72"/>
        <v>1072007.8783830318</v>
      </c>
      <c r="BP73" s="49">
        <f t="shared" si="73"/>
        <v>1610981.9488353566</v>
      </c>
      <c r="BQ73" s="49">
        <f t="shared" si="74"/>
        <v>1557624.5901951534</v>
      </c>
      <c r="BR73" s="103">
        <f t="shared" si="75"/>
        <v>1504583.0335319208</v>
      </c>
      <c r="BS73" s="3"/>
      <c r="BT73" s="10"/>
      <c r="BU73" s="10"/>
      <c r="BV73" s="57">
        <f t="shared" si="76"/>
        <v>0</v>
      </c>
      <c r="BW73" s="57">
        <f t="shared" si="77"/>
        <v>0</v>
      </c>
      <c r="BX73" s="57">
        <f t="shared" si="83"/>
        <v>0</v>
      </c>
      <c r="BY73" s="350">
        <f t="shared" si="78"/>
        <v>4474305.6425136235</v>
      </c>
      <c r="BZ73" s="103">
        <f t="shared" si="79"/>
        <v>1504583.0335319208</v>
      </c>
    </row>
    <row r="74" spans="1:78" s="240" customFormat="1">
      <c r="A74" s="239"/>
      <c r="B74" s="43">
        <f>'11. Investeringen (WUI+ombouw)'!B34</f>
        <v>15</v>
      </c>
      <c r="C74" s="54"/>
      <c r="D74" s="54"/>
      <c r="E74" s="54"/>
      <c r="F74" s="48">
        <f>'11. Investeringen (WUI+ombouw)'!C34</f>
        <v>3620364.0601766575</v>
      </c>
      <c r="G74" s="54"/>
      <c r="H74" s="43">
        <f>'11. Investeringen (WUI+ombouw)'!D34</f>
        <v>2023</v>
      </c>
      <c r="I74" s="43" t="str">
        <f>'11. Investeringen (WUI+ombouw)'!E34</f>
        <v>41 Stikstofbuffer</v>
      </c>
      <c r="J74" s="43" t="str">
        <f>'11. Investeringen (WUI+ombouw)'!F34</f>
        <v>WUI</v>
      </c>
      <c r="K74" s="43" t="str">
        <f>'11. Investeringen (WUI+ombouw)'!G34</f>
        <v>Nee</v>
      </c>
      <c r="L74" s="44">
        <f t="shared" si="47"/>
        <v>2025</v>
      </c>
      <c r="M74" s="44">
        <f>_xlfn.XLOOKUP(I74,'3. Input (des)investeringen '!$B$11:$B$81,'3. Input (des)investeringen '!$D$11:$D$81,0)</f>
        <v>30</v>
      </c>
      <c r="N74" s="3"/>
      <c r="O74" s="49">
        <f t="shared" si="80"/>
        <v>0</v>
      </c>
      <c r="P74" s="49">
        <f t="shared" si="48"/>
        <v>0</v>
      </c>
      <c r="Q74" s="3"/>
      <c r="R74" s="49">
        <f t="shared" si="8"/>
        <v>0</v>
      </c>
      <c r="S74" s="49">
        <f t="shared" si="9"/>
        <v>0</v>
      </c>
      <c r="T74" s="3"/>
      <c r="U74" s="49">
        <f t="shared" si="49"/>
        <v>3620364.0601766575</v>
      </c>
      <c r="V74" s="44">
        <f t="shared" si="50"/>
        <v>30</v>
      </c>
      <c r="W74" s="3"/>
      <c r="X74" s="49">
        <f t="shared" si="51"/>
        <v>0</v>
      </c>
      <c r="Y74" s="49">
        <f t="shared" si="51"/>
        <v>70597.099173444818</v>
      </c>
      <c r="Z74" s="49">
        <f t="shared" si="51"/>
        <v>138134.99071604037</v>
      </c>
      <c r="AA74" s="49">
        <f t="shared" si="0"/>
        <v>132149.14111834532</v>
      </c>
      <c r="AB74" s="103">
        <f t="shared" si="0"/>
        <v>126422.67833655035</v>
      </c>
      <c r="AC74" s="3"/>
      <c r="AD74" s="49">
        <f t="shared" si="13"/>
        <v>0</v>
      </c>
      <c r="AE74" s="49">
        <f t="shared" si="1"/>
        <v>6033.9401002944296</v>
      </c>
      <c r="AF74" s="49">
        <f t="shared" si="1"/>
        <v>12067.880200588857</v>
      </c>
      <c r="AG74" s="49">
        <f t="shared" si="1"/>
        <v>12067.880200588857</v>
      </c>
      <c r="AH74" s="103">
        <f t="shared" si="1"/>
        <v>12067.880200588857</v>
      </c>
      <c r="AI74" s="3"/>
      <c r="AJ74" s="49">
        <f t="shared" si="52"/>
        <v>0</v>
      </c>
      <c r="AK74" s="49">
        <f t="shared" si="53"/>
        <v>76631.039273739254</v>
      </c>
      <c r="AL74" s="49">
        <f t="shared" si="54"/>
        <v>150202.87091662921</v>
      </c>
      <c r="AM74" s="49">
        <f t="shared" si="55"/>
        <v>144217.02131893416</v>
      </c>
      <c r="AN74" s="103">
        <f t="shared" si="56"/>
        <v>138490.55853713921</v>
      </c>
      <c r="AO74" s="3"/>
      <c r="AP74" s="49">
        <f t="shared" si="19"/>
        <v>0</v>
      </c>
      <c r="AQ74" s="49">
        <f t="shared" si="20"/>
        <v>3543733.0209029182</v>
      </c>
      <c r="AR74" s="49">
        <f t="shared" si="3"/>
        <v>3393530.149986289</v>
      </c>
      <c r="AS74" s="49">
        <f t="shared" si="3"/>
        <v>3249313.1286673546</v>
      </c>
      <c r="AT74" s="103">
        <f t="shared" si="3"/>
        <v>3110822.5701302155</v>
      </c>
      <c r="AU74" s="3"/>
      <c r="AV74" s="53">
        <f t="shared" si="81"/>
        <v>0</v>
      </c>
      <c r="AW74" s="53">
        <f t="shared" si="57"/>
        <v>0</v>
      </c>
      <c r="AX74" s="53">
        <f t="shared" si="82"/>
        <v>0</v>
      </c>
      <c r="AY74" s="53">
        <f t="shared" si="58"/>
        <v>193574.22896353557</v>
      </c>
      <c r="AZ74" s="53">
        <f t="shared" si="59"/>
        <v>279157.01661610819</v>
      </c>
      <c r="BA74" s="49">
        <f t="shared" si="60"/>
        <v>267690.9202082936</v>
      </c>
      <c r="BB74" s="103">
        <f t="shared" si="61"/>
        <v>256701.81620208739</v>
      </c>
      <c r="BC74" s="3"/>
      <c r="BD74" s="49">
        <f t="shared" si="62"/>
        <v>0</v>
      </c>
      <c r="BE74" s="49">
        <f t="shared" si="63"/>
        <v>0</v>
      </c>
      <c r="BF74" s="49">
        <f t="shared" si="64"/>
        <v>0</v>
      </c>
      <c r="BG74" s="49">
        <f t="shared" si="65"/>
        <v>18101.82030088329</v>
      </c>
      <c r="BH74" s="49">
        <f t="shared" si="66"/>
        <v>38943.532122508281</v>
      </c>
      <c r="BI74" s="49">
        <f t="shared" si="67"/>
        <v>39873.815217850752</v>
      </c>
      <c r="BJ74" s="103">
        <f t="shared" si="68"/>
        <v>40389.463396247993</v>
      </c>
      <c r="BK74" s="3"/>
      <c r="BL74" s="49">
        <f t="shared" si="69"/>
        <v>0</v>
      </c>
      <c r="BM74" s="49">
        <f t="shared" si="70"/>
        <v>0</v>
      </c>
      <c r="BN74" s="49">
        <f t="shared" si="71"/>
        <v>0</v>
      </c>
      <c r="BO74" s="49">
        <f t="shared" si="72"/>
        <v>211676.04926441886</v>
      </c>
      <c r="BP74" s="49">
        <f t="shared" si="73"/>
        <v>318100.54873861646</v>
      </c>
      <c r="BQ74" s="49">
        <f t="shared" si="74"/>
        <v>307564.73542614433</v>
      </c>
      <c r="BR74" s="103">
        <f t="shared" si="75"/>
        <v>297091.27959833539</v>
      </c>
      <c r="BS74" s="3"/>
      <c r="BT74" s="10"/>
      <c r="BU74" s="10"/>
      <c r="BV74" s="57">
        <f t="shared" si="76"/>
        <v>0</v>
      </c>
      <c r="BW74" s="57">
        <f t="shared" si="77"/>
        <v>0</v>
      </c>
      <c r="BX74" s="57">
        <f t="shared" si="83"/>
        <v>0</v>
      </c>
      <c r="BY74" s="350">
        <f t="shared" si="78"/>
        <v>883485.43019790936</v>
      </c>
      <c r="BZ74" s="103">
        <f t="shared" si="79"/>
        <v>297091.27959833539</v>
      </c>
    </row>
    <row r="75" spans="1:78" s="240" customFormat="1">
      <c r="A75" s="239"/>
      <c r="B75" s="43">
        <f>'11. Investeringen (WUI+ombouw)'!B35</f>
        <v>16</v>
      </c>
      <c r="C75" s="54"/>
      <c r="D75" s="54"/>
      <c r="E75" s="54"/>
      <c r="F75" s="48">
        <f>'11. Investeringen (WUI+ombouw)'!C35</f>
        <v>480761.86491484893</v>
      </c>
      <c r="G75" s="54"/>
      <c r="H75" s="43">
        <f>'11. Investeringen (WUI+ombouw)'!D35</f>
        <v>2023</v>
      </c>
      <c r="I75" s="43" t="str">
        <f>'11. Investeringen (WUI+ombouw)'!E35</f>
        <v>01 Regionale leidingen</v>
      </c>
      <c r="J75" s="43" t="str">
        <f>'11. Investeringen (WUI+ombouw)'!F35</f>
        <v>VVI</v>
      </c>
      <c r="K75" s="43" t="str">
        <f>'11. Investeringen (WUI+ombouw)'!G35</f>
        <v>Ja</v>
      </c>
      <c r="L75" s="44">
        <f t="shared" si="47"/>
        <v>2025</v>
      </c>
      <c r="M75" s="44">
        <f>_xlfn.XLOOKUP(I75,'3. Input (des)investeringen '!$B$11:$B$81,'3. Input (des)investeringen '!$D$11:$D$81,0)</f>
        <v>55</v>
      </c>
      <c r="N75" s="3"/>
      <c r="O75" s="49">
        <f t="shared" si="80"/>
        <v>0</v>
      </c>
      <c r="P75" s="49">
        <f t="shared" si="48"/>
        <v>0</v>
      </c>
      <c r="Q75" s="3"/>
      <c r="R75" s="49">
        <f t="shared" si="8"/>
        <v>0</v>
      </c>
      <c r="S75" s="49">
        <f t="shared" si="9"/>
        <v>0</v>
      </c>
      <c r="T75" s="3"/>
      <c r="U75" s="49">
        <f t="shared" si="49"/>
        <v>480761.86491484893</v>
      </c>
      <c r="V75" s="44">
        <f t="shared" si="50"/>
        <v>55</v>
      </c>
      <c r="W75" s="3"/>
      <c r="X75" s="49">
        <f t="shared" si="51"/>
        <v>0</v>
      </c>
      <c r="Y75" s="49">
        <f t="shared" si="51"/>
        <v>5113.5580177306656</v>
      </c>
      <c r="Z75" s="49">
        <f t="shared" si="51"/>
        <v>10106.250118678607</v>
      </c>
      <c r="AA75" s="49">
        <f t="shared" si="0"/>
        <v>9867.3751158734758</v>
      </c>
      <c r="AB75" s="103">
        <f t="shared" si="0"/>
        <v>9634.1462494982861</v>
      </c>
      <c r="AC75" s="3"/>
      <c r="AD75" s="49">
        <f t="shared" si="13"/>
        <v>0</v>
      </c>
      <c r="AE75" s="49">
        <f t="shared" si="1"/>
        <v>437.0562408316809</v>
      </c>
      <c r="AF75" s="49">
        <f t="shared" si="1"/>
        <v>874.11248166336179</v>
      </c>
      <c r="AG75" s="49">
        <f t="shared" si="1"/>
        <v>874.11248166336179</v>
      </c>
      <c r="AH75" s="103">
        <f t="shared" si="1"/>
        <v>874.11248166336179</v>
      </c>
      <c r="AI75" s="3"/>
      <c r="AJ75" s="49">
        <f t="shared" si="52"/>
        <v>0</v>
      </c>
      <c r="AK75" s="49">
        <f t="shared" si="53"/>
        <v>5550.6142585623465</v>
      </c>
      <c r="AL75" s="49">
        <f t="shared" si="54"/>
        <v>10980.362600341969</v>
      </c>
      <c r="AM75" s="49">
        <f t="shared" si="55"/>
        <v>10741.487597536838</v>
      </c>
      <c r="AN75" s="103">
        <f t="shared" si="56"/>
        <v>10508.258731161648</v>
      </c>
      <c r="AO75" s="3"/>
      <c r="AP75" s="49">
        <f t="shared" si="19"/>
        <v>0</v>
      </c>
      <c r="AQ75" s="49">
        <f t="shared" si="20"/>
        <v>475211.2506562866</v>
      </c>
      <c r="AR75" s="49">
        <f t="shared" si="3"/>
        <v>464230.88805594464</v>
      </c>
      <c r="AS75" s="49">
        <f t="shared" si="3"/>
        <v>453489.40045840782</v>
      </c>
      <c r="AT75" s="103">
        <f t="shared" si="3"/>
        <v>442981.14172724617</v>
      </c>
      <c r="AU75" s="3"/>
      <c r="AV75" s="53">
        <f t="shared" si="81"/>
        <v>0</v>
      </c>
      <c r="AW75" s="53">
        <f t="shared" si="57"/>
        <v>0</v>
      </c>
      <c r="AX75" s="53">
        <f t="shared" si="82"/>
        <v>0</v>
      </c>
      <c r="AY75" s="53">
        <f t="shared" si="58"/>
        <v>21232.585530219807</v>
      </c>
      <c r="AZ75" s="53">
        <f t="shared" si="59"/>
        <v>28621.136346467865</v>
      </c>
      <c r="BA75" s="49">
        <f t="shared" si="60"/>
        <v>27974.084814956335</v>
      </c>
      <c r="BB75" s="103">
        <f t="shared" si="61"/>
        <v>27341.542116797002</v>
      </c>
      <c r="BC75" s="3"/>
      <c r="BD75" s="49">
        <f t="shared" si="62"/>
        <v>0</v>
      </c>
      <c r="BE75" s="49">
        <f t="shared" si="63"/>
        <v>0</v>
      </c>
      <c r="BF75" s="49">
        <f t="shared" si="64"/>
        <v>0</v>
      </c>
      <c r="BG75" s="49">
        <f t="shared" si="65"/>
        <v>2403.8093245742448</v>
      </c>
      <c r="BH75" s="49">
        <f t="shared" si="66"/>
        <v>5171.459228516047</v>
      </c>
      <c r="BI75" s="49">
        <f t="shared" si="67"/>
        <v>5294.9950465668389</v>
      </c>
      <c r="BJ75" s="103">
        <f t="shared" si="68"/>
        <v>5363.4699225090399</v>
      </c>
      <c r="BK75" s="3"/>
      <c r="BL75" s="49">
        <f t="shared" si="69"/>
        <v>0</v>
      </c>
      <c r="BM75" s="49">
        <f t="shared" si="70"/>
        <v>0</v>
      </c>
      <c r="BN75" s="49">
        <f t="shared" si="71"/>
        <v>0</v>
      </c>
      <c r="BO75" s="49">
        <f t="shared" si="72"/>
        <v>23636.394854794053</v>
      </c>
      <c r="BP75" s="49">
        <f t="shared" si="73"/>
        <v>33792.595574983912</v>
      </c>
      <c r="BQ75" s="49">
        <f t="shared" si="74"/>
        <v>33269.079861523176</v>
      </c>
      <c r="BR75" s="103">
        <f t="shared" si="75"/>
        <v>32705.012039306042</v>
      </c>
      <c r="BS75" s="3"/>
      <c r="BT75" s="10"/>
      <c r="BU75" s="10"/>
      <c r="BV75" s="57">
        <f t="shared" si="76"/>
        <v>0</v>
      </c>
      <c r="BW75" s="57">
        <f t="shared" si="77"/>
        <v>0</v>
      </c>
      <c r="BX75" s="57">
        <f t="shared" si="83"/>
        <v>0</v>
      </c>
      <c r="BY75" s="57">
        <f t="shared" si="78"/>
        <v>95729.737321170789</v>
      </c>
      <c r="BZ75" s="103">
        <f t="shared" si="79"/>
        <v>32705.012039306042</v>
      </c>
    </row>
    <row r="76" spans="1:78" s="240" customFormat="1">
      <c r="A76" s="239"/>
      <c r="B76" s="43">
        <f>'11. Investeringen (WUI+ombouw)'!B36</f>
        <v>17</v>
      </c>
      <c r="C76" s="54"/>
      <c r="D76" s="54"/>
      <c r="E76" s="54"/>
      <c r="F76" s="48">
        <f>'11. Investeringen (WUI+ombouw)'!C36</f>
        <v>1837695.4875736441</v>
      </c>
      <c r="G76" s="54"/>
      <c r="H76" s="43">
        <f>'11. Investeringen (WUI+ombouw)'!D36</f>
        <v>2023</v>
      </c>
      <c r="I76" s="43" t="str">
        <f>'11. Investeringen (WUI+ombouw)'!E36</f>
        <v>02 Gasontvangststations</v>
      </c>
      <c r="J76" s="43" t="str">
        <f>'11. Investeringen (WUI+ombouw)'!F36</f>
        <v>VVI</v>
      </c>
      <c r="K76" s="43" t="str">
        <f>'11. Investeringen (WUI+ombouw)'!G36</f>
        <v>Ja</v>
      </c>
      <c r="L76" s="44">
        <f t="shared" si="47"/>
        <v>2025</v>
      </c>
      <c r="M76" s="44">
        <f>_xlfn.XLOOKUP(I76,'3. Input (des)investeringen '!$B$11:$B$81,'3. Input (des)investeringen '!$D$11:$D$81,0)</f>
        <v>30</v>
      </c>
      <c r="N76" s="3"/>
      <c r="O76" s="49">
        <f t="shared" si="80"/>
        <v>0</v>
      </c>
      <c r="P76" s="49">
        <f t="shared" si="48"/>
        <v>0</v>
      </c>
      <c r="Q76" s="3"/>
      <c r="R76" s="49">
        <f t="shared" si="8"/>
        <v>0</v>
      </c>
      <c r="S76" s="49">
        <f t="shared" si="9"/>
        <v>0</v>
      </c>
      <c r="T76" s="3"/>
      <c r="U76" s="49">
        <f t="shared" si="49"/>
        <v>1837695.4875736441</v>
      </c>
      <c r="V76" s="44">
        <f t="shared" si="50"/>
        <v>30</v>
      </c>
      <c r="W76" s="3"/>
      <c r="X76" s="49">
        <f t="shared" si="51"/>
        <v>0</v>
      </c>
      <c r="Y76" s="49">
        <f t="shared" si="51"/>
        <v>35835.062007686065</v>
      </c>
      <c r="Z76" s="49">
        <f t="shared" si="51"/>
        <v>70117.271328372386</v>
      </c>
      <c r="AA76" s="49">
        <f t="shared" si="0"/>
        <v>67078.856237476255</v>
      </c>
      <c r="AB76" s="103">
        <f t="shared" si="0"/>
        <v>64172.105800518955</v>
      </c>
      <c r="AC76" s="3"/>
      <c r="AD76" s="49">
        <f t="shared" si="13"/>
        <v>0</v>
      </c>
      <c r="AE76" s="49">
        <f t="shared" si="1"/>
        <v>3062.8258126227406</v>
      </c>
      <c r="AF76" s="49">
        <f t="shared" si="1"/>
        <v>6125.6516252454812</v>
      </c>
      <c r="AG76" s="49">
        <f t="shared" si="1"/>
        <v>6125.6516252454812</v>
      </c>
      <c r="AH76" s="103">
        <f t="shared" si="1"/>
        <v>6125.6516252454812</v>
      </c>
      <c r="AI76" s="3"/>
      <c r="AJ76" s="49">
        <f t="shared" si="52"/>
        <v>0</v>
      </c>
      <c r="AK76" s="49">
        <f t="shared" si="53"/>
        <v>38897.887820308802</v>
      </c>
      <c r="AL76" s="49">
        <f t="shared" si="54"/>
        <v>76242.922953617861</v>
      </c>
      <c r="AM76" s="49">
        <f t="shared" si="55"/>
        <v>73204.50786272173</v>
      </c>
      <c r="AN76" s="103">
        <f t="shared" si="56"/>
        <v>70297.75742576443</v>
      </c>
      <c r="AO76" s="3"/>
      <c r="AP76" s="49">
        <f t="shared" si="19"/>
        <v>0</v>
      </c>
      <c r="AQ76" s="49">
        <f t="shared" si="20"/>
        <v>1798797.5997533354</v>
      </c>
      <c r="AR76" s="49">
        <f t="shared" ref="AR76:AR79" si="84">IF($M76=0, IF($H76 &gt; AR$58, 0, IF($H76=AR$58, $F76, AQ76)), IF(OR($H76&gt;AR$58,$H76+$M76&lt;=AR$58),0,
IF($H76=AR$58,$U76-AL76,
AQ76-AL76)))</f>
        <v>1722554.6767997176</v>
      </c>
      <c r="AS76" s="49">
        <f t="shared" ref="AS76:AS79" si="85">IF($M76=0, IF($H76 &gt; AS$58, 0, IF($H76=AS$58, $F76, AR76)), IF(OR($H76&gt;AS$58,$H76+$M76&lt;=AS$58),0,
IF($H76=AS$58,$U76-AM76,
AR76-AM76)))</f>
        <v>1649350.1689369958</v>
      </c>
      <c r="AT76" s="103">
        <f t="shared" ref="AT76:AT79" si="86">IF($M76=0, IF($H76 &gt; AT$58, 0, IF($H76=AT$58, $F76, AS76)), IF(OR($H76&gt;AT$58,$H76+$M76&lt;=AT$58),0,
IF($H76=AT$58,$U76-AN76,
AS76-AN76)))</f>
        <v>1579052.4115112314</v>
      </c>
      <c r="AU76" s="3"/>
      <c r="AV76" s="53">
        <f t="shared" si="81"/>
        <v>0</v>
      </c>
      <c r="AW76" s="53">
        <f t="shared" si="57"/>
        <v>0</v>
      </c>
      <c r="AX76" s="53">
        <f t="shared" si="82"/>
        <v>0</v>
      </c>
      <c r="AY76" s="53">
        <f t="shared" si="58"/>
        <v>98258.208612168877</v>
      </c>
      <c r="AZ76" s="53">
        <f t="shared" si="59"/>
        <v>141700.00067200713</v>
      </c>
      <c r="BA76" s="49">
        <f t="shared" si="60"/>
        <v>135879.81428232757</v>
      </c>
      <c r="BB76" s="103">
        <f t="shared" si="61"/>
        <v>130301.74906319122</v>
      </c>
      <c r="BC76" s="3"/>
      <c r="BD76" s="49">
        <f t="shared" si="62"/>
        <v>0</v>
      </c>
      <c r="BE76" s="49">
        <f t="shared" si="63"/>
        <v>0</v>
      </c>
      <c r="BF76" s="49">
        <f t="shared" si="64"/>
        <v>0</v>
      </c>
      <c r="BG76" s="49">
        <f t="shared" si="65"/>
        <v>9188.4774378682214</v>
      </c>
      <c r="BH76" s="49">
        <f t="shared" si="66"/>
        <v>19767.722820732179</v>
      </c>
      <c r="BI76" s="49">
        <f t="shared" si="67"/>
        <v>20239.934183473826</v>
      </c>
      <c r="BJ76" s="103">
        <f t="shared" si="68"/>
        <v>20501.677012334509</v>
      </c>
      <c r="BK76" s="3"/>
      <c r="BL76" s="49">
        <f t="shared" si="69"/>
        <v>0</v>
      </c>
      <c r="BM76" s="49">
        <f t="shared" si="70"/>
        <v>0</v>
      </c>
      <c r="BN76" s="49">
        <f t="shared" si="71"/>
        <v>0</v>
      </c>
      <c r="BO76" s="49">
        <f t="shared" si="72"/>
        <v>107446.6860500371</v>
      </c>
      <c r="BP76" s="49">
        <f t="shared" si="73"/>
        <v>161467.72349273931</v>
      </c>
      <c r="BQ76" s="49">
        <f t="shared" si="74"/>
        <v>156119.74846580139</v>
      </c>
      <c r="BR76" s="103">
        <f t="shared" si="75"/>
        <v>150803.42607552573</v>
      </c>
      <c r="BS76" s="3"/>
      <c r="BT76" s="10"/>
      <c r="BU76" s="10"/>
      <c r="BV76" s="57">
        <f t="shared" si="76"/>
        <v>0</v>
      </c>
      <c r="BW76" s="57">
        <f t="shared" si="77"/>
        <v>0</v>
      </c>
      <c r="BX76" s="57">
        <f t="shared" si="83"/>
        <v>0</v>
      </c>
      <c r="BY76" s="57">
        <f t="shared" si="78"/>
        <v>448456.8848395138</v>
      </c>
      <c r="BZ76" s="103">
        <f t="shared" si="79"/>
        <v>150803.42607552573</v>
      </c>
    </row>
    <row r="77" spans="1:78" s="240" customFormat="1">
      <c r="A77" s="239"/>
      <c r="B77" s="43">
        <f>'11. Investeringen (WUI+ombouw)'!B37</f>
        <v>18</v>
      </c>
      <c r="C77" s="54"/>
      <c r="D77" s="54"/>
      <c r="E77" s="54"/>
      <c r="F77" s="48">
        <f>'11. Investeringen (WUI+ombouw)'!C37</f>
        <v>12952.219318794072</v>
      </c>
      <c r="G77" s="54"/>
      <c r="H77" s="43">
        <f>'11. Investeringen (WUI+ombouw)'!D37</f>
        <v>2023</v>
      </c>
      <c r="I77" s="43" t="str">
        <f>'11. Investeringen (WUI+ombouw)'!E37</f>
        <v>06 Utiliteitsgebouwen</v>
      </c>
      <c r="J77" s="43" t="str">
        <f>'11. Investeringen (WUI+ombouw)'!F37</f>
        <v>VVI</v>
      </c>
      <c r="K77" s="43" t="str">
        <f>'11. Investeringen (WUI+ombouw)'!G37</f>
        <v>Ja</v>
      </c>
      <c r="L77" s="44">
        <f t="shared" si="47"/>
        <v>2025</v>
      </c>
      <c r="M77" s="44">
        <f>_xlfn.XLOOKUP(I77,'3. Input (des)investeringen '!$B$11:$B$81,'3. Input (des)investeringen '!$D$11:$D$81,0)</f>
        <v>30</v>
      </c>
      <c r="N77" s="3"/>
      <c r="O77" s="49">
        <f t="shared" si="80"/>
        <v>0</v>
      </c>
      <c r="P77" s="49">
        <f t="shared" si="48"/>
        <v>0</v>
      </c>
      <c r="Q77" s="3"/>
      <c r="R77" s="49">
        <f t="shared" si="8"/>
        <v>0</v>
      </c>
      <c r="S77" s="49">
        <f t="shared" si="9"/>
        <v>0</v>
      </c>
      <c r="T77" s="3"/>
      <c r="U77" s="49">
        <f t="shared" si="49"/>
        <v>12952.219318794072</v>
      </c>
      <c r="V77" s="44">
        <f t="shared" si="50"/>
        <v>30</v>
      </c>
      <c r="W77" s="3"/>
      <c r="X77" s="49">
        <f t="shared" si="51"/>
        <v>0</v>
      </c>
      <c r="Y77" s="49">
        <f t="shared" si="51"/>
        <v>252.56827671648441</v>
      </c>
      <c r="Z77" s="49">
        <f t="shared" si="51"/>
        <v>494.19192810858783</v>
      </c>
      <c r="AA77" s="49">
        <f t="shared" si="0"/>
        <v>472.77694455721564</v>
      </c>
      <c r="AB77" s="103">
        <f t="shared" si="0"/>
        <v>452.28994362640299</v>
      </c>
      <c r="AC77" s="3"/>
      <c r="AD77" s="49">
        <f t="shared" si="13"/>
        <v>0</v>
      </c>
      <c r="AE77" s="49">
        <f t="shared" si="1"/>
        <v>21.587032197990123</v>
      </c>
      <c r="AF77" s="49">
        <f t="shared" si="1"/>
        <v>43.174064395980245</v>
      </c>
      <c r="AG77" s="49">
        <f t="shared" si="1"/>
        <v>43.174064395980245</v>
      </c>
      <c r="AH77" s="103">
        <f t="shared" si="1"/>
        <v>43.174064395980245</v>
      </c>
      <c r="AI77" s="3"/>
      <c r="AJ77" s="49">
        <f t="shared" si="52"/>
        <v>0</v>
      </c>
      <c r="AK77" s="49">
        <f t="shared" si="53"/>
        <v>274.15530891447452</v>
      </c>
      <c r="AL77" s="49">
        <f t="shared" si="54"/>
        <v>537.36599250456811</v>
      </c>
      <c r="AM77" s="49">
        <f t="shared" si="55"/>
        <v>515.95100895319592</v>
      </c>
      <c r="AN77" s="103">
        <f t="shared" si="56"/>
        <v>495.46400802238321</v>
      </c>
      <c r="AO77" s="3"/>
      <c r="AP77" s="49">
        <f t="shared" si="19"/>
        <v>0</v>
      </c>
      <c r="AQ77" s="49">
        <f t="shared" si="20"/>
        <v>12678.064009879598</v>
      </c>
      <c r="AR77" s="49">
        <f t="shared" si="84"/>
        <v>12140.698017375029</v>
      </c>
      <c r="AS77" s="49">
        <f t="shared" si="85"/>
        <v>11624.747008421833</v>
      </c>
      <c r="AT77" s="103">
        <f t="shared" si="86"/>
        <v>11129.28300039945</v>
      </c>
      <c r="AU77" s="3"/>
      <c r="AV77" s="53">
        <f t="shared" si="81"/>
        <v>0</v>
      </c>
      <c r="AW77" s="53">
        <f t="shared" si="57"/>
        <v>0</v>
      </c>
      <c r="AX77" s="53">
        <f t="shared" si="82"/>
        <v>0</v>
      </c>
      <c r="AY77" s="53">
        <f t="shared" si="58"/>
        <v>692.53142124050123</v>
      </c>
      <c r="AZ77" s="53">
        <f t="shared" si="59"/>
        <v>998.71251716481925</v>
      </c>
      <c r="BA77" s="49">
        <f t="shared" si="60"/>
        <v>957.69139527322557</v>
      </c>
      <c r="BB77" s="103">
        <f t="shared" si="61"/>
        <v>918.37676203756223</v>
      </c>
      <c r="BC77" s="3"/>
      <c r="BD77" s="49">
        <f t="shared" si="62"/>
        <v>0</v>
      </c>
      <c r="BE77" s="49">
        <f t="shared" si="63"/>
        <v>0</v>
      </c>
      <c r="BF77" s="49">
        <f t="shared" si="64"/>
        <v>0</v>
      </c>
      <c r="BG77" s="49">
        <f t="shared" si="65"/>
        <v>64.761096593970365</v>
      </c>
      <c r="BH77" s="49">
        <f t="shared" si="66"/>
        <v>139.32443276840408</v>
      </c>
      <c r="BI77" s="49">
        <f t="shared" si="67"/>
        <v>142.65261481837575</v>
      </c>
      <c r="BJ77" s="103">
        <f t="shared" si="68"/>
        <v>144.49739843320694</v>
      </c>
      <c r="BK77" s="3"/>
      <c r="BL77" s="49">
        <f t="shared" si="69"/>
        <v>0</v>
      </c>
      <c r="BM77" s="49">
        <f t="shared" si="70"/>
        <v>0</v>
      </c>
      <c r="BN77" s="49">
        <f t="shared" si="71"/>
        <v>0</v>
      </c>
      <c r="BO77" s="49">
        <f t="shared" si="72"/>
        <v>757.2925178344716</v>
      </c>
      <c r="BP77" s="49">
        <f t="shared" si="73"/>
        <v>1138.0369499332232</v>
      </c>
      <c r="BQ77" s="49">
        <f t="shared" si="74"/>
        <v>1100.3440100916014</v>
      </c>
      <c r="BR77" s="103">
        <f t="shared" si="75"/>
        <v>1062.8741604707691</v>
      </c>
      <c r="BS77" s="3"/>
      <c r="BT77" s="10"/>
      <c r="BU77" s="10"/>
      <c r="BV77" s="57">
        <f t="shared" si="76"/>
        <v>0</v>
      </c>
      <c r="BW77" s="57">
        <f t="shared" si="77"/>
        <v>0</v>
      </c>
      <c r="BX77" s="57">
        <f t="shared" si="83"/>
        <v>0</v>
      </c>
      <c r="BY77" s="57">
        <f t="shared" si="78"/>
        <v>3160.7586603663503</v>
      </c>
      <c r="BZ77" s="103">
        <f t="shared" si="79"/>
        <v>1062.8741604707691</v>
      </c>
    </row>
    <row r="78" spans="1:78" s="240" customFormat="1">
      <c r="A78" s="239"/>
      <c r="B78" s="43">
        <f>'11. Investeringen (WUI+ombouw)'!B38</f>
        <v>19</v>
      </c>
      <c r="C78" s="54"/>
      <c r="D78" s="54"/>
      <c r="E78" s="54"/>
      <c r="F78" s="48">
        <f>'11. Investeringen (WUI+ombouw)'!C38</f>
        <v>4401460.9803481428</v>
      </c>
      <c r="G78" s="54"/>
      <c r="H78" s="43">
        <f>'11. Investeringen (WUI+ombouw)'!D38</f>
        <v>2023</v>
      </c>
      <c r="I78" s="43" t="str">
        <f>'11. Investeringen (WUI+ombouw)'!E38</f>
        <v>21 Hoofdtransportleiding</v>
      </c>
      <c r="J78" s="43" t="str">
        <f>'11. Investeringen (WUI+ombouw)'!F38</f>
        <v>VVI</v>
      </c>
      <c r="K78" s="43" t="str">
        <f>'11. Investeringen (WUI+ombouw)'!G38</f>
        <v>Ja</v>
      </c>
      <c r="L78" s="44">
        <f t="shared" si="47"/>
        <v>2025</v>
      </c>
      <c r="M78" s="44">
        <f>_xlfn.XLOOKUP(I78,'3. Input (des)investeringen '!$B$11:$B$81,'3. Input (des)investeringen '!$D$11:$D$81,0)</f>
        <v>55</v>
      </c>
      <c r="N78" s="3"/>
      <c r="O78" s="49">
        <f t="shared" si="80"/>
        <v>0</v>
      </c>
      <c r="P78" s="49">
        <f t="shared" si="48"/>
        <v>0</v>
      </c>
      <c r="Q78" s="3"/>
      <c r="R78" s="49">
        <f t="shared" si="8"/>
        <v>0</v>
      </c>
      <c r="S78" s="49">
        <f t="shared" si="9"/>
        <v>0</v>
      </c>
      <c r="T78" s="3"/>
      <c r="U78" s="49">
        <f t="shared" si="49"/>
        <v>4401460.9803481428</v>
      </c>
      <c r="V78" s="44">
        <f t="shared" si="50"/>
        <v>55</v>
      </c>
      <c r="W78" s="3"/>
      <c r="X78" s="49">
        <f t="shared" si="51"/>
        <v>0</v>
      </c>
      <c r="Y78" s="49">
        <f t="shared" si="51"/>
        <v>46815.539518248428</v>
      </c>
      <c r="Z78" s="49">
        <f t="shared" si="51"/>
        <v>92524.529920610978</v>
      </c>
      <c r="AA78" s="49">
        <f t="shared" si="0"/>
        <v>90337.586486123822</v>
      </c>
      <c r="AB78" s="103">
        <f t="shared" si="0"/>
        <v>88202.334441906351</v>
      </c>
      <c r="AC78" s="3"/>
      <c r="AD78" s="49">
        <f t="shared" si="13"/>
        <v>0</v>
      </c>
      <c r="AE78" s="49">
        <f t="shared" si="1"/>
        <v>4001.3281639528573</v>
      </c>
      <c r="AF78" s="49">
        <f t="shared" si="1"/>
        <v>8002.6563279057145</v>
      </c>
      <c r="AG78" s="49">
        <f t="shared" si="1"/>
        <v>8002.6563279057145</v>
      </c>
      <c r="AH78" s="103">
        <f t="shared" si="1"/>
        <v>8002.6563279057145</v>
      </c>
      <c r="AI78" s="3"/>
      <c r="AJ78" s="49">
        <f t="shared" si="52"/>
        <v>0</v>
      </c>
      <c r="AK78" s="49">
        <f t="shared" si="53"/>
        <v>50816.867682201286</v>
      </c>
      <c r="AL78" s="49">
        <f t="shared" si="54"/>
        <v>100527.18624851669</v>
      </c>
      <c r="AM78" s="49">
        <f t="shared" si="55"/>
        <v>98340.242814029538</v>
      </c>
      <c r="AN78" s="103">
        <f t="shared" si="56"/>
        <v>96204.990769812066</v>
      </c>
      <c r="AO78" s="3"/>
      <c r="AP78" s="49">
        <f t="shared" si="19"/>
        <v>0</v>
      </c>
      <c r="AQ78" s="49">
        <f t="shared" si="20"/>
        <v>4350644.1126659419</v>
      </c>
      <c r="AR78" s="49">
        <f t="shared" si="84"/>
        <v>4250116.9264174253</v>
      </c>
      <c r="AS78" s="49">
        <f t="shared" si="85"/>
        <v>4151776.6836033957</v>
      </c>
      <c r="AT78" s="103">
        <f t="shared" si="86"/>
        <v>4055571.6928335838</v>
      </c>
      <c r="AU78" s="3"/>
      <c r="AV78" s="53">
        <f t="shared" si="81"/>
        <v>0</v>
      </c>
      <c r="AW78" s="53">
        <f t="shared" si="57"/>
        <v>0</v>
      </c>
      <c r="AX78" s="53">
        <f t="shared" si="82"/>
        <v>0</v>
      </c>
      <c r="AY78" s="53">
        <f t="shared" si="58"/>
        <v>194388.12340017737</v>
      </c>
      <c r="AZ78" s="53">
        <f t="shared" si="59"/>
        <v>262031.62945237884</v>
      </c>
      <c r="BA78" s="49">
        <f t="shared" si="60"/>
        <v>256107.75679095858</v>
      </c>
      <c r="BB78" s="103">
        <f t="shared" si="61"/>
        <v>250316.71509748825</v>
      </c>
      <c r="BC78" s="3"/>
      <c r="BD78" s="49">
        <f t="shared" si="62"/>
        <v>0</v>
      </c>
      <c r="BE78" s="49">
        <f t="shared" si="63"/>
        <v>0</v>
      </c>
      <c r="BF78" s="49">
        <f t="shared" si="64"/>
        <v>0</v>
      </c>
      <c r="BG78" s="49">
        <f t="shared" si="65"/>
        <v>22007.304901740714</v>
      </c>
      <c r="BH78" s="49">
        <f t="shared" si="66"/>
        <v>47345.635473408904</v>
      </c>
      <c r="BI78" s="49">
        <f t="shared" si="67"/>
        <v>48476.628013597699</v>
      </c>
      <c r="BJ78" s="103">
        <f t="shared" si="68"/>
        <v>49103.527767069536</v>
      </c>
      <c r="BK78" s="3"/>
      <c r="BL78" s="49">
        <f t="shared" si="69"/>
        <v>0</v>
      </c>
      <c r="BM78" s="49">
        <f t="shared" si="70"/>
        <v>0</v>
      </c>
      <c r="BN78" s="49">
        <f t="shared" si="71"/>
        <v>0</v>
      </c>
      <c r="BO78" s="49">
        <f t="shared" si="72"/>
        <v>216395.42830191809</v>
      </c>
      <c r="BP78" s="49">
        <f t="shared" si="73"/>
        <v>309377.26492578775</v>
      </c>
      <c r="BQ78" s="49">
        <f t="shared" si="74"/>
        <v>304584.38480455626</v>
      </c>
      <c r="BR78" s="103">
        <f t="shared" si="75"/>
        <v>299420.24286455777</v>
      </c>
      <c r="BS78" s="3"/>
      <c r="BT78" s="10"/>
      <c r="BU78" s="10"/>
      <c r="BV78" s="57">
        <f t="shared" si="76"/>
        <v>0</v>
      </c>
      <c r="BW78" s="57">
        <f t="shared" si="77"/>
        <v>0</v>
      </c>
      <c r="BX78" s="57">
        <f t="shared" si="83"/>
        <v>0</v>
      </c>
      <c r="BY78" s="57">
        <f t="shared" si="78"/>
        <v>876422.89088952367</v>
      </c>
      <c r="BZ78" s="103">
        <f t="shared" si="79"/>
        <v>299420.24286455777</v>
      </c>
    </row>
    <row r="79" spans="1:78" s="240" customFormat="1">
      <c r="A79" s="239"/>
      <c r="B79" s="43">
        <f>'11. Investeringen (WUI+ombouw)'!B39</f>
        <v>20</v>
      </c>
      <c r="C79" s="54"/>
      <c r="D79" s="54"/>
      <c r="E79" s="54"/>
      <c r="F79" s="48">
        <f>'11. Investeringen (WUI+ombouw)'!C39</f>
        <v>179930.39320672158</v>
      </c>
      <c r="G79" s="54"/>
      <c r="H79" s="43">
        <f>'11. Investeringen (WUI+ombouw)'!D39</f>
        <v>2023</v>
      </c>
      <c r="I79" s="43" t="str">
        <f>'11. Investeringen (WUI+ombouw)'!E39</f>
        <v>32 M&amp;R stations</v>
      </c>
      <c r="J79" s="43" t="str">
        <f>'11. Investeringen (WUI+ombouw)'!F39</f>
        <v>VVI</v>
      </c>
      <c r="K79" s="43" t="str">
        <f>'11. Investeringen (WUI+ombouw)'!G39</f>
        <v>Ja</v>
      </c>
      <c r="L79" s="44">
        <f t="shared" si="47"/>
        <v>2025</v>
      </c>
      <c r="M79" s="44">
        <f>_xlfn.XLOOKUP(I79,'3. Input (des)investeringen '!$B$11:$B$81,'3. Input (des)investeringen '!$D$11:$D$81,0)</f>
        <v>30</v>
      </c>
      <c r="N79" s="3"/>
      <c r="O79" s="49">
        <f t="shared" si="80"/>
        <v>0</v>
      </c>
      <c r="P79" s="49">
        <f t="shared" si="48"/>
        <v>0</v>
      </c>
      <c r="Q79" s="3"/>
      <c r="R79" s="49">
        <f t="shared" si="8"/>
        <v>0</v>
      </c>
      <c r="S79" s="49">
        <f t="shared" si="9"/>
        <v>0</v>
      </c>
      <c r="T79" s="3"/>
      <c r="U79" s="49">
        <f t="shared" si="49"/>
        <v>179930.39320672158</v>
      </c>
      <c r="V79" s="44">
        <f t="shared" si="50"/>
        <v>30</v>
      </c>
      <c r="W79" s="3"/>
      <c r="X79" s="49">
        <f t="shared" si="51"/>
        <v>0</v>
      </c>
      <c r="Y79" s="49">
        <f t="shared" si="51"/>
        <v>3508.6426675310713</v>
      </c>
      <c r="Z79" s="49">
        <f t="shared" si="51"/>
        <v>6865.2441528024619</v>
      </c>
      <c r="AA79" s="49">
        <f t="shared" si="0"/>
        <v>6567.7502395143556</v>
      </c>
      <c r="AB79" s="103">
        <f t="shared" si="0"/>
        <v>6283.1477291354013</v>
      </c>
      <c r="AC79" s="3"/>
      <c r="AD79" s="49">
        <f t="shared" si="13"/>
        <v>0</v>
      </c>
      <c r="AE79" s="49">
        <f t="shared" si="1"/>
        <v>299.88398867786935</v>
      </c>
      <c r="AF79" s="49">
        <f t="shared" si="1"/>
        <v>599.76797735573871</v>
      </c>
      <c r="AG79" s="49">
        <f t="shared" si="1"/>
        <v>599.76797735573871</v>
      </c>
      <c r="AH79" s="103">
        <f t="shared" si="1"/>
        <v>599.76797735573871</v>
      </c>
      <c r="AI79" s="3"/>
      <c r="AJ79" s="49">
        <f t="shared" si="52"/>
        <v>0</v>
      </c>
      <c r="AK79" s="49">
        <f t="shared" si="53"/>
        <v>3808.5266562089405</v>
      </c>
      <c r="AL79" s="49">
        <f t="shared" si="54"/>
        <v>7465.0121301582003</v>
      </c>
      <c r="AM79" s="49">
        <f t="shared" si="55"/>
        <v>7167.518216870094</v>
      </c>
      <c r="AN79" s="103">
        <f t="shared" si="56"/>
        <v>6882.9157064911396</v>
      </c>
      <c r="AO79" s="3"/>
      <c r="AP79" s="49">
        <f t="shared" si="19"/>
        <v>0</v>
      </c>
      <c r="AQ79" s="49">
        <f t="shared" si="20"/>
        <v>176121.86655051264</v>
      </c>
      <c r="AR79" s="49">
        <f t="shared" si="84"/>
        <v>168656.85442035444</v>
      </c>
      <c r="AS79" s="49">
        <f t="shared" si="85"/>
        <v>161489.33620348436</v>
      </c>
      <c r="AT79" s="103">
        <f t="shared" si="86"/>
        <v>154606.42049699323</v>
      </c>
      <c r="AU79" s="3"/>
      <c r="AV79" s="53">
        <f t="shared" si="81"/>
        <v>0</v>
      </c>
      <c r="AW79" s="53">
        <f t="shared" si="57"/>
        <v>0</v>
      </c>
      <c r="AX79" s="53">
        <f t="shared" si="82"/>
        <v>0</v>
      </c>
      <c r="AY79" s="53">
        <f t="shared" si="58"/>
        <v>9620.5482523758583</v>
      </c>
      <c r="AZ79" s="53">
        <f t="shared" si="59"/>
        <v>13873.97259813167</v>
      </c>
      <c r="BA79" s="49">
        <f t="shared" si="60"/>
        <v>13304.112992602499</v>
      </c>
      <c r="BB79" s="103">
        <f t="shared" si="61"/>
        <v>12757.959685376882</v>
      </c>
      <c r="BC79" s="3"/>
      <c r="BD79" s="49">
        <f t="shared" si="62"/>
        <v>0</v>
      </c>
      <c r="BE79" s="49">
        <f t="shared" si="63"/>
        <v>0</v>
      </c>
      <c r="BF79" s="49">
        <f t="shared" si="64"/>
        <v>0</v>
      </c>
      <c r="BG79" s="49">
        <f t="shared" si="65"/>
        <v>899.65196603360789</v>
      </c>
      <c r="BH79" s="49">
        <f t="shared" si="66"/>
        <v>1935.4752536460628</v>
      </c>
      <c r="BI79" s="49">
        <f t="shared" si="67"/>
        <v>1981.7098865051601</v>
      </c>
      <c r="BJ79" s="103">
        <f t="shared" si="68"/>
        <v>2007.3373587574445</v>
      </c>
      <c r="BK79" s="3"/>
      <c r="BL79" s="49">
        <f t="shared" si="69"/>
        <v>0</v>
      </c>
      <c r="BM79" s="49">
        <f t="shared" si="70"/>
        <v>0</v>
      </c>
      <c r="BN79" s="49">
        <f t="shared" si="71"/>
        <v>0</v>
      </c>
      <c r="BO79" s="49">
        <f t="shared" si="72"/>
        <v>10520.200218409465</v>
      </c>
      <c r="BP79" s="49">
        <f t="shared" si="73"/>
        <v>15809.447851777732</v>
      </c>
      <c r="BQ79" s="49">
        <f t="shared" si="74"/>
        <v>15285.822879107658</v>
      </c>
      <c r="BR79" s="103">
        <f t="shared" si="75"/>
        <v>14765.297044134326</v>
      </c>
      <c r="BS79" s="3"/>
      <c r="BT79" s="10"/>
      <c r="BU79" s="10"/>
      <c r="BV79" s="57">
        <f t="shared" si="76"/>
        <v>0</v>
      </c>
      <c r="BW79" s="57">
        <f t="shared" si="77"/>
        <v>0</v>
      </c>
      <c r="BX79" s="57">
        <f t="shared" si="83"/>
        <v>0</v>
      </c>
      <c r="BY79" s="57">
        <f t="shared" si="78"/>
        <v>43908.810883555881</v>
      </c>
      <c r="BZ79" s="103">
        <f t="shared" si="79"/>
        <v>14765.297044134326</v>
      </c>
    </row>
    <row r="80" spans="1:78">
      <c r="C80" s="54"/>
      <c r="E80" s="54"/>
      <c r="G80" s="54"/>
    </row>
    <row r="81" spans="1:18" s="39" customFormat="1">
      <c r="A81" s="106"/>
      <c r="B81" s="39" t="s">
        <v>876</v>
      </c>
    </row>
    <row r="82" spans="1:18" s="40" customFormat="1">
      <c r="A82" s="107"/>
      <c r="B82" s="40" t="s">
        <v>152</v>
      </c>
      <c r="D82" s="40" t="s">
        <v>194</v>
      </c>
      <c r="J82" s="109">
        <v>2022</v>
      </c>
      <c r="K82" s="109">
        <v>2023</v>
      </c>
      <c r="L82" s="109">
        <v>2024</v>
      </c>
      <c r="M82" s="109">
        <v>2025</v>
      </c>
      <c r="N82" s="109">
        <v>2026</v>
      </c>
    </row>
    <row r="84" spans="1:18">
      <c r="B84" s="3" t="s">
        <v>877</v>
      </c>
      <c r="D84" s="3" t="s">
        <v>204</v>
      </c>
      <c r="J84" s="53">
        <f>SUMIF($J60:$J79,"WUI",BV60:BV79)</f>
        <v>0</v>
      </c>
      <c r="K84" s="53">
        <f>SUMIF($J60:$J79,"WUI",BW60:BW79)</f>
        <v>0</v>
      </c>
      <c r="L84" s="53">
        <f>SUMIF($J60:$J79,"WUI",BX60:BX79)</f>
        <v>0</v>
      </c>
      <c r="M84" s="104">
        <f>SUMIF($J60:$J79,"WUI",BY60:BY79)</f>
        <v>53053730.542234212</v>
      </c>
      <c r="N84" s="105"/>
      <c r="R84" s="5"/>
    </row>
    <row r="85" spans="1:18">
      <c r="B85" s="3" t="s">
        <v>471</v>
      </c>
      <c r="D85" s="3" t="s">
        <v>204</v>
      </c>
      <c r="J85" s="53">
        <f>SUMIF($K60:$K79,"Ja",BV60:BV79)</f>
        <v>120621.36223131276</v>
      </c>
      <c r="K85" s="53">
        <f>SUMIF($K60:$K79,"Ja",BW60:BW79)</f>
        <v>45451.20410793968</v>
      </c>
      <c r="L85" s="53">
        <f>SUMIF($K60:$K79,"Ja",BX60:BX79)</f>
        <v>2567791.5582221649</v>
      </c>
      <c r="M85" s="104">
        <f>SUMIF($K60:$K79,"Ja",BY60:BY79)</f>
        <v>2407837.6116711642</v>
      </c>
      <c r="N85" s="105"/>
      <c r="R85" s="5"/>
    </row>
    <row r="87" spans="1:18">
      <c r="M87" s="97"/>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30"/>
  <sheetViews>
    <sheetView showGridLines="0"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13.5703125" defaultRowHeight="12.75"/>
  <cols>
    <col min="1" max="1" width="2.5703125" style="3" customWidth="1"/>
    <col min="2" max="2" width="56.42578125" style="3" customWidth="1"/>
    <col min="3" max="3" width="2.5703125" style="3" customWidth="1"/>
    <col min="4" max="4" width="47.5703125" style="3" customWidth="1"/>
    <col min="5" max="5" width="2.5703125" style="3" customWidth="1"/>
    <col min="6" max="6" width="15.5703125" style="3" customWidth="1"/>
    <col min="7" max="7" width="2.5703125" style="3" customWidth="1"/>
    <col min="8" max="8" width="20" style="3" bestFit="1" customWidth="1"/>
    <col min="9" max="9" width="39.140625" style="3" customWidth="1"/>
    <col min="10" max="10" width="20.42578125" style="3" bestFit="1" customWidth="1"/>
    <col min="11" max="11" width="27.42578125" style="3" bestFit="1" customWidth="1"/>
    <col min="12" max="14" width="15.5703125" style="3" customWidth="1"/>
    <col min="15" max="15" width="2.5703125" style="3" customWidth="1"/>
    <col min="16" max="16" width="15.5703125" style="3" customWidth="1"/>
    <col min="17" max="17" width="18" style="3" bestFit="1" customWidth="1"/>
    <col min="18" max="18" width="18.42578125" style="3" customWidth="1"/>
    <col min="19" max="19" width="29.5703125" style="3" customWidth="1"/>
    <col min="20" max="20" width="40.140625" style="3" bestFit="1" customWidth="1"/>
    <col min="21" max="21" width="2.5703125" style="3" customWidth="1"/>
    <col min="22" max="22" width="25" style="3" bestFit="1" customWidth="1"/>
    <col min="23" max="26" width="15.5703125" style="3" customWidth="1"/>
    <col min="27" max="27" width="2.5703125" style="3" customWidth="1"/>
    <col min="28" max="28" width="25" style="3" bestFit="1" customWidth="1"/>
    <col min="29" max="32" width="15.5703125" style="3" customWidth="1"/>
    <col min="33" max="33" width="2.5703125" style="3" customWidth="1"/>
    <col min="34" max="34" width="25" style="3" bestFit="1" customWidth="1"/>
    <col min="35" max="38" width="15.5703125" style="3" customWidth="1"/>
    <col min="39" max="39" width="2.5703125" style="3" customWidth="1"/>
    <col min="40" max="40" width="22.42578125" style="3" bestFit="1" customWidth="1"/>
    <col min="41" max="44" width="15.5703125" style="3" customWidth="1"/>
    <col min="45" max="45" width="2.5703125" style="3" customWidth="1"/>
    <col min="46" max="50" width="15.5703125" style="3" customWidth="1"/>
    <col min="51" max="51" width="2.5703125" style="3" customWidth="1"/>
    <col min="52" max="57" width="13.5703125" style="3"/>
    <col min="58" max="58" width="2.5703125" style="3" customWidth="1"/>
    <col min="59" max="65" width="13.5703125" style="3"/>
    <col min="66" max="66" width="2.5703125" style="3" customWidth="1"/>
    <col min="67" max="73" width="13.5703125" style="3"/>
    <col min="74" max="74" width="2.5703125" style="3" customWidth="1"/>
    <col min="75" max="81" width="13.5703125" style="3"/>
    <col min="82" max="82" width="15.5703125" style="3" customWidth="1"/>
    <col min="83" max="16384" width="13.5703125" style="3"/>
  </cols>
  <sheetData>
    <row r="2" spans="1:39" s="12" customFormat="1" ht="18">
      <c r="B2" s="12" t="s">
        <v>878</v>
      </c>
    </row>
    <row r="4" spans="1:39">
      <c r="B4" s="16" t="s">
        <v>844</v>
      </c>
    </row>
    <row r="5" spans="1:39" ht="39.75" customHeight="1">
      <c r="B5" s="379" t="s">
        <v>879</v>
      </c>
      <c r="C5" s="379"/>
      <c r="D5" s="379"/>
      <c r="F5" s="13"/>
    </row>
    <row r="6" spans="1:39">
      <c r="B6" s="1"/>
      <c r="C6" s="1"/>
      <c r="D6" s="1"/>
      <c r="F6" s="13"/>
    </row>
    <row r="7" spans="1:39">
      <c r="B7" s="387" t="s">
        <v>846</v>
      </c>
      <c r="C7" s="389"/>
      <c r="D7" s="389"/>
      <c r="F7" s="13"/>
    </row>
    <row r="8" spans="1:39" ht="51.75" customHeight="1">
      <c r="B8" s="379" t="s">
        <v>880</v>
      </c>
      <c r="C8" s="379"/>
      <c r="D8" s="379"/>
      <c r="F8" s="13"/>
    </row>
    <row r="9" spans="1:39" ht="14.25" customHeight="1"/>
    <row r="10" spans="1:39" s="8" customFormat="1">
      <c r="B10" s="8" t="s">
        <v>152</v>
      </c>
      <c r="H10" s="59"/>
      <c r="I10" s="52"/>
      <c r="J10" s="59"/>
      <c r="K10" s="52"/>
      <c r="L10" s="59"/>
      <c r="M10" s="52"/>
      <c r="N10" s="52"/>
      <c r="O10" s="52"/>
      <c r="P10" s="52"/>
      <c r="Q10" s="52"/>
      <c r="R10" s="52"/>
      <c r="U10" s="52"/>
      <c r="AA10" s="52"/>
      <c r="AG10" s="52"/>
      <c r="AM10" s="52"/>
    </row>
    <row r="12" spans="1:39" s="39" customFormat="1">
      <c r="A12" s="106"/>
      <c r="B12" s="39" t="s">
        <v>848</v>
      </c>
    </row>
    <row r="13" spans="1:39" s="40" customFormat="1">
      <c r="A13" s="107"/>
      <c r="B13" s="40" t="s">
        <v>152</v>
      </c>
      <c r="D13" s="40" t="s">
        <v>194</v>
      </c>
      <c r="F13" s="40" t="s">
        <v>195</v>
      </c>
      <c r="H13" s="108">
        <v>2020</v>
      </c>
      <c r="I13" s="109">
        <v>2021</v>
      </c>
      <c r="J13" s="109">
        <v>2022</v>
      </c>
      <c r="K13" s="109">
        <v>2023</v>
      </c>
      <c r="L13" s="109">
        <v>2024</v>
      </c>
      <c r="M13" s="109">
        <v>2025</v>
      </c>
      <c r="N13" s="109">
        <v>2026</v>
      </c>
    </row>
    <row r="14" spans="1:39" s="110" customFormat="1">
      <c r="H14" s="111"/>
      <c r="I14" s="112"/>
      <c r="J14" s="111"/>
      <c r="K14" s="112"/>
      <c r="L14" s="111"/>
      <c r="M14" s="112"/>
      <c r="N14" s="112"/>
      <c r="Q14" s="112"/>
      <c r="S14" s="112"/>
      <c r="T14" s="112"/>
      <c r="V14" s="112"/>
      <c r="W14" s="112"/>
      <c r="AB14" s="112"/>
      <c r="AC14" s="112"/>
      <c r="AH14" s="112"/>
      <c r="AI14" s="112"/>
    </row>
    <row r="15" spans="1:39">
      <c r="B15" s="16" t="s">
        <v>206</v>
      </c>
    </row>
    <row r="16" spans="1:39">
      <c r="B16" s="156" t="s">
        <v>849</v>
      </c>
      <c r="D16" s="3" t="s">
        <v>199</v>
      </c>
      <c r="H16" s="10"/>
      <c r="I16" s="10"/>
      <c r="J16" s="161">
        <f>'2. Parameters'!M24</f>
        <v>3.4000000000000002E-2</v>
      </c>
      <c r="K16" s="161">
        <f>'2. Parameters'!N24</f>
        <v>3.3000000000000002E-2</v>
      </c>
      <c r="L16" s="161">
        <f>'2. Parameters'!O24</f>
        <v>3.7999999999999999E-2</v>
      </c>
      <c r="M16" s="161">
        <f>'2. Parameters'!P24</f>
        <v>3.7999999999999999E-2</v>
      </c>
      <c r="N16" s="161">
        <f>'2. Parameters'!Q24</f>
        <v>3.7999999999999999E-2</v>
      </c>
    </row>
    <row r="18" spans="2:14">
      <c r="B18" s="16" t="s">
        <v>217</v>
      </c>
    </row>
    <row r="19" spans="2:14">
      <c r="B19" s="3" t="s">
        <v>217</v>
      </c>
      <c r="D19" s="3" t="s">
        <v>199</v>
      </c>
      <c r="F19" s="85">
        <f>'2. Parameters'!F32</f>
        <v>0.01</v>
      </c>
    </row>
    <row r="20" spans="2:14" s="98" customFormat="1">
      <c r="F20" s="114"/>
    </row>
    <row r="21" spans="2:14" s="98" customFormat="1">
      <c r="B21" s="115" t="s">
        <v>242</v>
      </c>
      <c r="F21" s="114"/>
    </row>
    <row r="22" spans="2:14">
      <c r="B22" s="3" t="s">
        <v>242</v>
      </c>
      <c r="F22" s="116">
        <f>'2. Parameters'!F88</f>
        <v>1.3</v>
      </c>
    </row>
    <row r="24" spans="2:14">
      <c r="B24" s="2" t="s">
        <v>241</v>
      </c>
    </row>
    <row r="25" spans="2:14">
      <c r="B25" s="3" t="s">
        <v>241</v>
      </c>
      <c r="D25" s="3" t="s">
        <v>199</v>
      </c>
      <c r="F25" s="159">
        <f>'2. Parameters'!F84</f>
        <v>1</v>
      </c>
    </row>
    <row r="27" spans="2:14">
      <c r="B27" s="2" t="s">
        <v>243</v>
      </c>
    </row>
    <row r="28" spans="2:14">
      <c r="B28" s="3" t="s">
        <v>243</v>
      </c>
      <c r="D28" s="3" t="s">
        <v>199</v>
      </c>
      <c r="F28" s="86">
        <f>'2. Parameters'!F92</f>
        <v>0.1</v>
      </c>
    </row>
    <row r="30" spans="2:14">
      <c r="B30" s="16" t="s">
        <v>238</v>
      </c>
    </row>
    <row r="31" spans="2:14">
      <c r="B31" s="32" t="s">
        <v>226</v>
      </c>
      <c r="D31" s="3" t="s">
        <v>850</v>
      </c>
      <c r="H31" s="38">
        <f>'2. Parameters'!K74</f>
        <v>1</v>
      </c>
      <c r="I31" s="38">
        <f>'2. Parameters'!L74</f>
        <v>1.02</v>
      </c>
      <c r="J31" s="38">
        <f>'2. Parameters'!M74</f>
        <v>1.0404</v>
      </c>
      <c r="K31" s="38">
        <f>'2. Parameters'!N74</f>
        <v>1.0612079999999999</v>
      </c>
      <c r="L31" s="38">
        <f>'2. Parameters'!O74</f>
        <v>1.10365632</v>
      </c>
      <c r="M31" s="38">
        <f>'2. Parameters'!P74</f>
        <v>1.1809122624000001</v>
      </c>
      <c r="N31" s="38">
        <f>'2. Parameters'!Q74</f>
        <v>1.2635761207680003</v>
      </c>
    </row>
    <row r="32" spans="2:14">
      <c r="B32" s="32" t="s">
        <v>227</v>
      </c>
      <c r="D32" s="3" t="s">
        <v>850</v>
      </c>
      <c r="H32" s="10"/>
      <c r="I32" s="38">
        <f>'2. Parameters'!L75</f>
        <v>1</v>
      </c>
      <c r="J32" s="38">
        <f>'2. Parameters'!M75</f>
        <v>1.02</v>
      </c>
      <c r="K32" s="38">
        <f>'2. Parameters'!N75</f>
        <v>1.0404</v>
      </c>
      <c r="L32" s="38">
        <f>'2. Parameters'!O75</f>
        <v>1.0820160000000001</v>
      </c>
      <c r="M32" s="38">
        <f>'2. Parameters'!P75</f>
        <v>1.1577571200000001</v>
      </c>
      <c r="N32" s="38">
        <f>'2. Parameters'!Q75</f>
        <v>1.2388001184000001</v>
      </c>
    </row>
    <row r="33" spans="2:14">
      <c r="B33" s="32" t="s">
        <v>228</v>
      </c>
      <c r="D33" s="3" t="s">
        <v>850</v>
      </c>
      <c r="H33" s="10"/>
      <c r="I33" s="10"/>
      <c r="J33" s="38">
        <f>'2. Parameters'!M76</f>
        <v>1</v>
      </c>
      <c r="K33" s="38">
        <f>'2. Parameters'!N76</f>
        <v>1.02</v>
      </c>
      <c r="L33" s="38">
        <f>'2. Parameters'!O76</f>
        <v>1.0608</v>
      </c>
      <c r="M33" s="38">
        <f>'2. Parameters'!P76</f>
        <v>1.1350560000000001</v>
      </c>
      <c r="N33" s="38">
        <f>'2. Parameters'!Q76</f>
        <v>1.2145099200000002</v>
      </c>
    </row>
    <row r="34" spans="2:14">
      <c r="B34" s="32" t="s">
        <v>229</v>
      </c>
      <c r="D34" s="3" t="s">
        <v>850</v>
      </c>
      <c r="H34" s="10"/>
      <c r="I34" s="10"/>
      <c r="J34" s="10"/>
      <c r="K34" s="38">
        <f>'2. Parameters'!N77</f>
        <v>1</v>
      </c>
      <c r="L34" s="38">
        <f>'2. Parameters'!O77</f>
        <v>1.04</v>
      </c>
      <c r="M34" s="38">
        <f>'2. Parameters'!P77</f>
        <v>1.1128</v>
      </c>
      <c r="N34" s="38">
        <f>'2. Parameters'!Q77</f>
        <v>1.190696</v>
      </c>
    </row>
    <row r="35" spans="2:14">
      <c r="B35" s="32" t="s">
        <v>230</v>
      </c>
      <c r="D35" s="3" t="s">
        <v>850</v>
      </c>
      <c r="H35" s="10"/>
      <c r="I35" s="10"/>
      <c r="J35" s="10"/>
      <c r="K35" s="10"/>
      <c r="L35" s="38">
        <f>'2. Parameters'!O78</f>
        <v>1</v>
      </c>
      <c r="M35" s="38">
        <f>'2. Parameters'!P78</f>
        <v>1.07</v>
      </c>
      <c r="N35" s="38">
        <f>'2. Parameters'!Q78</f>
        <v>1.1449</v>
      </c>
    </row>
    <row r="36" spans="2:14">
      <c r="B36" s="32" t="s">
        <v>231</v>
      </c>
      <c r="D36" s="3" t="s">
        <v>850</v>
      </c>
      <c r="H36" s="10"/>
      <c r="I36" s="10"/>
      <c r="J36" s="10"/>
      <c r="K36" s="10"/>
      <c r="L36" s="10"/>
      <c r="M36" s="38">
        <f>'2. Parameters'!P79</f>
        <v>1</v>
      </c>
      <c r="N36" s="38">
        <f>'2. Parameters'!Q79</f>
        <v>1.07</v>
      </c>
    </row>
    <row r="37" spans="2:14">
      <c r="B37" s="32" t="s">
        <v>232</v>
      </c>
      <c r="D37" s="3" t="s">
        <v>850</v>
      </c>
      <c r="H37" s="10"/>
      <c r="I37" s="10"/>
      <c r="J37" s="10"/>
      <c r="K37" s="10"/>
      <c r="L37" s="10"/>
      <c r="M37" s="10"/>
      <c r="N37" s="38">
        <f>'2. Parameters'!Q80</f>
        <v>1</v>
      </c>
    </row>
    <row r="38" spans="2:14">
      <c r="D38" s="3" t="s">
        <v>850</v>
      </c>
    </row>
    <row r="39" spans="2:14">
      <c r="B39" s="2" t="s">
        <v>218</v>
      </c>
    </row>
    <row r="40" spans="2:14">
      <c r="B40" s="3" t="s">
        <v>851</v>
      </c>
      <c r="D40" s="3" t="s">
        <v>223</v>
      </c>
      <c r="H40" s="38">
        <f>'2. Parameters'!K43</f>
        <v>1</v>
      </c>
      <c r="I40" s="38">
        <f>'2. Parameters'!L43</f>
        <v>1.016</v>
      </c>
      <c r="J40" s="38">
        <f>'2. Parameters'!M43</f>
        <v>1.0342880000000001</v>
      </c>
      <c r="K40" s="38">
        <f>'2. Parameters'!N43</f>
        <v>1.0984138560000001</v>
      </c>
      <c r="L40" s="38">
        <f>'2. Parameters'!O43</f>
        <v>1.1862869644800003</v>
      </c>
      <c r="M40" s="38">
        <f>'2. Parameters'!P43</f>
        <v>1.2195029994854403</v>
      </c>
      <c r="N40" s="38">
        <f>'2. Parameters'!Q43</f>
        <v>1.2402345504766927</v>
      </c>
    </row>
    <row r="41" spans="2:14">
      <c r="B41" s="3" t="s">
        <v>852</v>
      </c>
      <c r="D41" s="3" t="s">
        <v>223</v>
      </c>
      <c r="H41" s="10"/>
      <c r="I41" s="38">
        <f>'2. Parameters'!L44</f>
        <v>1</v>
      </c>
      <c r="J41" s="38">
        <f>'2. Parameters'!M44</f>
        <v>1.018</v>
      </c>
      <c r="K41" s="38">
        <f>'2. Parameters'!N44</f>
        <v>1.081116</v>
      </c>
      <c r="L41" s="38">
        <f>'2. Parameters'!O44</f>
        <v>1.1676052800000001</v>
      </c>
      <c r="M41" s="38">
        <f>'2. Parameters'!P44</f>
        <v>1.2002982278400001</v>
      </c>
      <c r="N41" s="38">
        <f>'2. Parameters'!Q44</f>
        <v>1.2207032977132799</v>
      </c>
    </row>
    <row r="42" spans="2:14">
      <c r="B42" s="3" t="s">
        <v>853</v>
      </c>
      <c r="D42" s="3" t="s">
        <v>223</v>
      </c>
      <c r="H42" s="10"/>
      <c r="I42" s="10"/>
      <c r="J42" s="38">
        <f>'2. Parameters'!M45</f>
        <v>1</v>
      </c>
      <c r="K42" s="38">
        <f>'2. Parameters'!N45</f>
        <v>1.0620000000000001</v>
      </c>
      <c r="L42" s="38">
        <f>'2. Parameters'!O45</f>
        <v>1.1469600000000002</v>
      </c>
      <c r="M42" s="38">
        <f>'2. Parameters'!P45</f>
        <v>1.1790748800000002</v>
      </c>
      <c r="N42" s="38">
        <f>'2. Parameters'!Q45</f>
        <v>1.19911915296</v>
      </c>
    </row>
    <row r="43" spans="2:14">
      <c r="B43" s="3" t="s">
        <v>854</v>
      </c>
      <c r="D43" s="3" t="s">
        <v>223</v>
      </c>
      <c r="H43" s="10"/>
      <c r="I43" s="10"/>
      <c r="J43" s="10"/>
      <c r="K43" s="38">
        <f>'2. Parameters'!N46</f>
        <v>1</v>
      </c>
      <c r="L43" s="38">
        <f>'2. Parameters'!O46</f>
        <v>1.08</v>
      </c>
      <c r="M43" s="38">
        <f>'2. Parameters'!P46</f>
        <v>1.1102400000000001</v>
      </c>
      <c r="N43" s="38">
        <f>'2. Parameters'!Q46</f>
        <v>1.1291140799999999</v>
      </c>
    </row>
    <row r="44" spans="2:14">
      <c r="B44" s="3" t="s">
        <v>855</v>
      </c>
      <c r="D44" s="3" t="s">
        <v>223</v>
      </c>
      <c r="H44" s="10"/>
      <c r="I44" s="10"/>
      <c r="J44" s="10"/>
      <c r="K44" s="10"/>
      <c r="L44" s="38">
        <f>'2. Parameters'!O47</f>
        <v>1</v>
      </c>
      <c r="M44" s="38">
        <f>'2. Parameters'!P47</f>
        <v>1.028</v>
      </c>
      <c r="N44" s="38">
        <f>'2. Parameters'!Q47</f>
        <v>1.0454759999999998</v>
      </c>
    </row>
    <row r="45" spans="2:14">
      <c r="B45" s="3" t="s">
        <v>856</v>
      </c>
      <c r="D45" s="3" t="s">
        <v>223</v>
      </c>
      <c r="H45" s="10"/>
      <c r="I45" s="10"/>
      <c r="J45" s="10"/>
      <c r="K45" s="10"/>
      <c r="L45" s="10"/>
      <c r="M45" s="38">
        <f>'2. Parameters'!P48</f>
        <v>1</v>
      </c>
      <c r="N45" s="38">
        <f>'2. Parameters'!Q48</f>
        <v>1.0169999999999999</v>
      </c>
    </row>
    <row r="46" spans="2:14">
      <c r="B46" s="3" t="s">
        <v>857</v>
      </c>
      <c r="D46" s="3" t="s">
        <v>223</v>
      </c>
      <c r="H46" s="10"/>
      <c r="I46" s="10"/>
      <c r="J46" s="10"/>
      <c r="K46" s="10"/>
      <c r="L46" s="10"/>
      <c r="M46" s="10"/>
      <c r="N46" s="38">
        <f>'2. Parameters'!Q49</f>
        <v>1</v>
      </c>
    </row>
    <row r="47" spans="2:14" ht="13.5" customHeight="1"/>
    <row r="48" spans="2:14">
      <c r="B48" s="2" t="s">
        <v>233</v>
      </c>
    </row>
    <row r="49" spans="2:56">
      <c r="B49" s="32" t="s">
        <v>226</v>
      </c>
      <c r="D49" s="3" t="s">
        <v>237</v>
      </c>
      <c r="H49" s="38">
        <f>'2. Parameters'!K60</f>
        <v>1</v>
      </c>
      <c r="I49" s="38">
        <f>'2. Parameters'!L60</f>
        <v>0.999</v>
      </c>
      <c r="J49" s="38">
        <f>'2. Parameters'!M60</f>
        <v>0.995004</v>
      </c>
      <c r="K49" s="38">
        <f>'2. Parameters'!N60</f>
        <v>0.99102398400000002</v>
      </c>
      <c r="L49" s="38">
        <f>'2. Parameters'!O60</f>
        <v>0.98705988806400002</v>
      </c>
      <c r="M49" s="38">
        <f>'2. Parameters'!P60</f>
        <v>0.98311164851174404</v>
      </c>
      <c r="N49" s="38">
        <f>'2. Parameters'!Q60</f>
        <v>0.97917920191769703</v>
      </c>
    </row>
    <row r="50" spans="2:56">
      <c r="B50" s="32" t="s">
        <v>227</v>
      </c>
      <c r="D50" s="3" t="s">
        <v>237</v>
      </c>
      <c r="H50" s="10"/>
      <c r="I50" s="38">
        <f>'2. Parameters'!L61</f>
        <v>1</v>
      </c>
      <c r="J50" s="38">
        <f>'2. Parameters'!M61</f>
        <v>0.996</v>
      </c>
      <c r="K50" s="38">
        <f>'2. Parameters'!N61</f>
        <v>0.99201600000000001</v>
      </c>
      <c r="L50" s="38">
        <f>'2. Parameters'!O61</f>
        <v>0.98804793599999996</v>
      </c>
      <c r="M50" s="38">
        <f>'2. Parameters'!P61</f>
        <v>0.98409574425599999</v>
      </c>
      <c r="N50" s="38">
        <f>'2. Parameters'!Q61</f>
        <v>0.98015936127897596</v>
      </c>
    </row>
    <row r="51" spans="2:56">
      <c r="B51" s="32" t="s">
        <v>228</v>
      </c>
      <c r="D51" s="3" t="s">
        <v>237</v>
      </c>
      <c r="H51" s="10"/>
      <c r="I51" s="10"/>
      <c r="J51" s="38">
        <f>'2. Parameters'!M62</f>
        <v>1</v>
      </c>
      <c r="K51" s="38">
        <f>'2. Parameters'!N62</f>
        <v>0.996</v>
      </c>
      <c r="L51" s="38">
        <f>'2. Parameters'!O62</f>
        <v>0.99201600000000001</v>
      </c>
      <c r="M51" s="38">
        <f>'2. Parameters'!P62</f>
        <v>0.98804793599999996</v>
      </c>
      <c r="N51" s="38">
        <f>'2. Parameters'!Q62</f>
        <v>0.98409574425599999</v>
      </c>
    </row>
    <row r="52" spans="2:56">
      <c r="B52" s="32" t="s">
        <v>229</v>
      </c>
      <c r="D52" s="3" t="s">
        <v>237</v>
      </c>
      <c r="H52" s="10"/>
      <c r="I52" s="10"/>
      <c r="J52" s="10"/>
      <c r="K52" s="38">
        <f>'2. Parameters'!N63</f>
        <v>1</v>
      </c>
      <c r="L52" s="38">
        <f>'2. Parameters'!O63</f>
        <v>0.996</v>
      </c>
      <c r="M52" s="38">
        <f>'2. Parameters'!P63</f>
        <v>0.99201600000000001</v>
      </c>
      <c r="N52" s="38">
        <f>'2. Parameters'!Q63</f>
        <v>0.98804793599999996</v>
      </c>
    </row>
    <row r="53" spans="2:56">
      <c r="B53" s="32" t="s">
        <v>230</v>
      </c>
      <c r="D53" s="3" t="s">
        <v>237</v>
      </c>
      <c r="H53" s="10"/>
      <c r="I53" s="10"/>
      <c r="J53" s="10"/>
      <c r="K53" s="10"/>
      <c r="L53" s="38">
        <f>'2. Parameters'!O64</f>
        <v>1</v>
      </c>
      <c r="M53" s="38">
        <f>'2. Parameters'!P64</f>
        <v>0.996</v>
      </c>
      <c r="N53" s="38">
        <f>'2. Parameters'!Q64</f>
        <v>0.99201600000000001</v>
      </c>
    </row>
    <row r="54" spans="2:56">
      <c r="B54" s="32" t="s">
        <v>231</v>
      </c>
      <c r="D54" s="3" t="s">
        <v>237</v>
      </c>
      <c r="H54" s="10"/>
      <c r="I54" s="10"/>
      <c r="J54" s="10"/>
      <c r="K54" s="10"/>
      <c r="L54" s="10"/>
      <c r="M54" s="38">
        <f>'2. Parameters'!P65</f>
        <v>1</v>
      </c>
      <c r="N54" s="38">
        <f>'2. Parameters'!Q65</f>
        <v>0.996</v>
      </c>
    </row>
    <row r="55" spans="2:56" ht="15.75" customHeight="1">
      <c r="B55" s="32" t="s">
        <v>232</v>
      </c>
      <c r="D55" s="3" t="s">
        <v>237</v>
      </c>
      <c r="H55" s="10"/>
      <c r="I55" s="10"/>
      <c r="J55" s="10"/>
      <c r="K55" s="10"/>
      <c r="L55" s="10"/>
      <c r="M55" s="10"/>
      <c r="N55" s="38">
        <f>'2. Parameters'!Q66</f>
        <v>1</v>
      </c>
    </row>
    <row r="56" spans="2:56" ht="13.5" customHeight="1"/>
    <row r="57" spans="2:56" s="39" customFormat="1">
      <c r="B57" s="39" t="s">
        <v>881</v>
      </c>
    </row>
    <row r="58" spans="2:56" s="42" customFormat="1">
      <c r="M58" s="42" t="s">
        <v>859</v>
      </c>
      <c r="P58" s="42" t="s">
        <v>860</v>
      </c>
      <c r="S58" s="42" t="s">
        <v>861</v>
      </c>
      <c r="V58" s="42" t="s">
        <v>862</v>
      </c>
      <c r="AB58" s="42" t="s">
        <v>863</v>
      </c>
      <c r="AH58" s="42" t="s">
        <v>864</v>
      </c>
      <c r="AN58" s="42" t="s">
        <v>865</v>
      </c>
      <c r="AT58" s="42" t="s">
        <v>882</v>
      </c>
      <c r="AZ58" s="42" t="s">
        <v>883</v>
      </c>
    </row>
    <row r="59" spans="2:56" s="45" customFormat="1">
      <c r="B59" s="45" t="s">
        <v>358</v>
      </c>
      <c r="F59" s="45" t="s">
        <v>359</v>
      </c>
      <c r="H59" s="46" t="s">
        <v>360</v>
      </c>
      <c r="I59" s="45" t="s">
        <v>281</v>
      </c>
      <c r="J59" s="46" t="s">
        <v>282</v>
      </c>
      <c r="K59" s="47" t="s">
        <v>361</v>
      </c>
      <c r="M59" s="51">
        <v>2020</v>
      </c>
      <c r="N59" s="51">
        <v>2021</v>
      </c>
      <c r="P59" s="51">
        <v>2020</v>
      </c>
      <c r="Q59" s="51">
        <v>2021</v>
      </c>
      <c r="S59" s="45" t="s">
        <v>874</v>
      </c>
      <c r="T59" s="45" t="s">
        <v>875</v>
      </c>
      <c r="V59" s="51">
        <v>2022</v>
      </c>
      <c r="W59" s="51">
        <v>2023</v>
      </c>
      <c r="X59" s="51">
        <v>2024</v>
      </c>
      <c r="Y59" s="51">
        <v>2025</v>
      </c>
      <c r="Z59" s="51">
        <v>2026</v>
      </c>
      <c r="AB59" s="51">
        <v>2022</v>
      </c>
      <c r="AC59" s="51">
        <v>2023</v>
      </c>
      <c r="AD59" s="51">
        <v>2024</v>
      </c>
      <c r="AE59" s="51">
        <v>2025</v>
      </c>
      <c r="AF59" s="51">
        <v>2026</v>
      </c>
      <c r="AH59" s="51">
        <v>2022</v>
      </c>
      <c r="AI59" s="51">
        <v>2023</v>
      </c>
      <c r="AJ59" s="51">
        <v>2024</v>
      </c>
      <c r="AK59" s="51">
        <v>2025</v>
      </c>
      <c r="AL59" s="51">
        <v>2026</v>
      </c>
      <c r="AN59" s="51">
        <v>2022</v>
      </c>
      <c r="AO59" s="51">
        <v>2023</v>
      </c>
      <c r="AP59" s="51">
        <v>2024</v>
      </c>
      <c r="AQ59" s="51">
        <v>2025</v>
      </c>
      <c r="AR59" s="51">
        <v>2026</v>
      </c>
      <c r="AT59" s="51">
        <v>2022</v>
      </c>
      <c r="AU59" s="51">
        <v>2023</v>
      </c>
      <c r="AV59" s="51">
        <v>2024</v>
      </c>
      <c r="AW59" s="51">
        <v>2025</v>
      </c>
      <c r="AX59" s="51">
        <v>2026</v>
      </c>
      <c r="AZ59" s="51">
        <v>2022</v>
      </c>
      <c r="BA59" s="51">
        <v>2023</v>
      </c>
      <c r="BB59" s="51">
        <v>2024</v>
      </c>
      <c r="BC59" s="51">
        <v>2025</v>
      </c>
      <c r="BD59" s="51">
        <v>2026</v>
      </c>
    </row>
    <row r="60" spans="2:56" s="54" customFormat="1">
      <c r="H60" s="55"/>
      <c r="I60" s="55"/>
      <c r="J60" s="56"/>
    </row>
    <row r="61" spans="2:56">
      <c r="B61" s="43">
        <f>'3. Input (des)investeringen '!B86</f>
        <v>1529</v>
      </c>
      <c r="C61" s="54"/>
      <c r="D61" s="54"/>
      <c r="E61" s="54"/>
      <c r="F61" s="48">
        <f>'3. Input (des)investeringen '!D86</f>
        <v>0</v>
      </c>
      <c r="G61" s="54"/>
      <c r="H61" s="43">
        <f>'3. Input (des)investeringen '!F86</f>
        <v>2020</v>
      </c>
      <c r="I61" s="48" t="str">
        <f>'3. Input (des)investeringen '!G86</f>
        <v>nvt</v>
      </c>
      <c r="J61" s="48">
        <f>'3. Input (des)investeringen '!H86</f>
        <v>0</v>
      </c>
      <c r="K61" s="48">
        <f>'3. Input (des)investeringen '!I86</f>
        <v>1</v>
      </c>
      <c r="M61" s="49">
        <f>IF($J61=0, 0, IF($H61&lt;=M$59,
VDB($F61,0,$J61,MAX(0,M$59-$H61-0.5),MIN($J61,M$59-$H61+0.5),1)*INDEX(H$40:H$46,$H61-2019,1),
0))</f>
        <v>0</v>
      </c>
      <c r="N61" s="49">
        <f>IF($J61=0, 0, IF($H61&lt;=N$59,
VDB($F61,0,$J61,MAX(0,N$59-$H61-0.5),MIN($J61,N$59-$H61+0.5),1)*INDEX(I$40:I$46,$H61-2019,1),
0))</f>
        <v>0</v>
      </c>
      <c r="P61" s="147">
        <f>IF($J61=0,IF($H61=M$59,$F61,0),IF(OR($H61&gt;P$59,$H61+$J61&lt;=P$59),0,
F61-M61))</f>
        <v>0</v>
      </c>
      <c r="Q61" s="147">
        <f>IF($J61=0,IF($H61=N$59,$F61,$P61*I$40),IF(OR($H61&gt;Q$59,$H61+$J61&lt;=Q$59),0,
IF($H61=Q$59,F61-N61,P61*I$40-N61)))</f>
        <v>0</v>
      </c>
      <c r="S61" s="49">
        <f>IF($P61=0, IF(H61&lt;=2021, $Q61, IF(H61&gt;=2022, $F61,0)), IF(H61&lt;=2021,Q61,F61))</f>
        <v>0</v>
      </c>
      <c r="T61" s="44">
        <f>IF($J61=0, 0, IF(H61&lt;2022,J61-2021+H61-0.5,J61))</f>
        <v>0</v>
      </c>
      <c r="V61" s="49">
        <f>IF($J61=0, 0, IF(OR($H61&gt;V$59,$H61+$J61&lt;V$59),0,
IF(OR($H61=2020,$H61=2021),VDB($S61*(1-$F$28),0,$T61,V$59-2022,MIN($T61,V$59-2021),$F$22,FALSE),
VDB($S61*(1-$F$28),0,$T61,MAX(0,V$59-$H61-0.5),MIN($T61,V$59-$H61+0.5),$F$22,FALSE))))</f>
        <v>0</v>
      </c>
      <c r="W61" s="49">
        <f>IF($J61=0, 0, IF(OR($H61&gt;W$59,$H61+$J61&lt;W$59),0,
IF(OR($H61=2020,$H61=2021),VDB($S61*(1-$F$28),0,$T61,W$59-2022,MIN($T61,W$59-2021),$F$22,FALSE),
VDB($S61*(1-$F$28),0,$T61,MAX(0,W$59-$H61-0.5),MIN($T61,W$59-$H61+0.5),$F$22,FALSE))))</f>
        <v>0</v>
      </c>
      <c r="X61" s="49">
        <f t="shared" ref="X61:Z76" si="0">IF($J61=0, 0, IF(OR($H61&gt;X$59,$H61+$J61&lt;X$59),0,
IF(OR($H61=2020,$H61=2021),VDB($S61*(1-$F$28),0,$T61,X$59-2022,MIN($T61,X$59-2021),$F$22,FALSE),
VDB($S61*(1-$F$28),0,$T61,MAX(0,X$59-$H61-0.5),MIN($T61,X$59-$H61+0.5),$F$22,FALSE))))</f>
        <v>0</v>
      </c>
      <c r="Y61" s="49">
        <f t="shared" si="0"/>
        <v>0</v>
      </c>
      <c r="Z61" s="49">
        <f t="shared" si="0"/>
        <v>0</v>
      </c>
      <c r="AB61" s="49">
        <f>IF($J61=0, 0, IF(OR($H61&gt;AB$59,$H61+$J61&lt;AB$59),0,
IF(OR($H61=2020,$H61=2021),VDB($S61*$F$28,0,$T61,AB$59-2022,MIN($T61,AB$59-2021),1),
VDB($S61*$F$28,0,$T61,MAX(0,AB$59-$H61-0.5),MIN($T61,AB$59-$H61+0.5),1))))</f>
        <v>0</v>
      </c>
      <c r="AC61" s="49">
        <f>IF($J61=0, 0, IF(OR($H61&gt;AC$59,$H61+$J61&lt;AC$59),0,
IF(OR($H61=2020,$H61=2021),VDB($S61*$F$28,0,$T61,AC$59-2022,MIN($T61,AC$59-2021),1),
VDB($S61*$F$28,0,$T61,MAX(0,AC$59-$H61-0.5),MIN($T61,AC$59-$H61+0.5),1))))</f>
        <v>0</v>
      </c>
      <c r="AD61" s="49">
        <f t="shared" ref="AD61:AF76" si="1">IF($J61=0, 0, IF(OR($H61&gt;AD$59,$H61+$J61&lt;AD$59),0,
IF(OR($H61=2020,$H61=2021),VDB($S61*$F$28,0,$T61,AD$59-2022,MIN($T61,AD$59-2021),1),
VDB($S61*$F$28,0,$T61,MAX(0,AD$59-$H61-0.5),MIN($T61,AD$59-$H61+0.5),1))))</f>
        <v>0</v>
      </c>
      <c r="AE61" s="49">
        <f t="shared" si="1"/>
        <v>0</v>
      </c>
      <c r="AF61" s="49">
        <f t="shared" si="1"/>
        <v>0</v>
      </c>
      <c r="AH61" s="49">
        <f t="shared" ref="AH61:AL61" si="2">V61+AB61</f>
        <v>0</v>
      </c>
      <c r="AI61" s="49">
        <f t="shared" si="2"/>
        <v>0</v>
      </c>
      <c r="AJ61" s="49">
        <f t="shared" si="2"/>
        <v>0</v>
      </c>
      <c r="AK61" s="49">
        <f t="shared" si="2"/>
        <v>0</v>
      </c>
      <c r="AL61" s="49">
        <f t="shared" si="2"/>
        <v>0</v>
      </c>
      <c r="AN61" s="49">
        <f>IF($J61=0, IF($H61&gt;AN$59,0, $S61), IF(OR($H61&gt;AN$59,$H61+$J61&lt;=AN$59),0,
IF($H61=AN$59,$S61-AH61,
S61-AH61)))</f>
        <v>0</v>
      </c>
      <c r="AO61" s="49">
        <f>IF($J61=0, IF($H61 &gt; AO$59, 0, IF($H61=AO$59, $F61, AN61)), IF(OR($H61&gt;AO$59,$H61+$J61&lt;=AO$59),0,
IF($H61=AO$59,$S61-AI61,
AN61-AI61)))</f>
        <v>0</v>
      </c>
      <c r="AP61" s="49">
        <f t="shared" ref="AP61" si="3">IF($J61=0, IF($H61 &gt; AP$59, 0, IF($H61=AP$59, $F61, AO61)), IF(OR($H61&gt;AP$59,$H61+$J61&lt;=AP$59),0,
IF($H61=AP$59,$S61-AJ61,
AO61-AJ61)))</f>
        <v>0</v>
      </c>
      <c r="AQ61" s="49">
        <f t="shared" ref="AQ61" si="4">IF($J61=0, IF($H61 &gt; AQ$59, 0, IF($H61=AQ$59, $F61, AP61)), IF(OR($H61&gt;AQ$59,$H61+$J61&lt;=AQ$59),0,
IF($H61=AQ$59,$S61-AK61,
AP61-AK61)))</f>
        <v>0</v>
      </c>
      <c r="AR61" s="49">
        <f t="shared" ref="AR61" si="5">IF($J61=0, IF($H61 &gt; AR$59, 0, IF($H61=AR$59, $F61, AQ61)), IF(OR($H61&gt;AR$59,$H61+$J61&lt;=AR$59),0,
IF($H61=AR$59,$S61-AL61,
AQ61-AL61)))</f>
        <v>0</v>
      </c>
      <c r="AT61" s="49">
        <f>IF($H61&lt;=AT$59,$F61*INDEX($H$40:$N$46,$H61-2019,AT$59-2019)*INDEX($H$49:$N$55,$H61-2019,AT$59-2019)*$F$19,0)</f>
        <v>0</v>
      </c>
      <c r="AU61" s="49">
        <f t="shared" ref="AU61:AX76" si="6">IF($H61&lt;=AU$59,$F61*INDEX($H$40:$N$46,$H61-2019,AU$59-2019)*INDEX($H$49:$N$55,$H61-2019,AU$59-2019)*$F$19,0)</f>
        <v>0</v>
      </c>
      <c r="AV61" s="49">
        <f t="shared" si="6"/>
        <v>0</v>
      </c>
      <c r="AW61" s="49">
        <f t="shared" si="6"/>
        <v>0</v>
      </c>
      <c r="AX61" s="49">
        <f t="shared" si="6"/>
        <v>0</v>
      </c>
      <c r="AZ61" s="53">
        <f>(AH61+AN61*J$16+AT61)*IF($K61=1,$F$25,1)</f>
        <v>0</v>
      </c>
      <c r="BA61" s="53">
        <f>(AI61+AO61*K$16+AU61)*IF($K61=1,$F$25,1)</f>
        <v>0</v>
      </c>
      <c r="BB61" s="53">
        <f t="shared" ref="BB61:BD61" si="7">(AJ61+AP61*L$16+AV61)*IF($K61=1,$F$25,1)</f>
        <v>0</v>
      </c>
      <c r="BC61" s="53">
        <f t="shared" si="7"/>
        <v>0</v>
      </c>
      <c r="BD61" s="53">
        <f t="shared" si="7"/>
        <v>0</v>
      </c>
    </row>
    <row r="62" spans="2:56">
      <c r="B62" s="43">
        <f>'3. Input (des)investeringen '!B87</f>
        <v>1530</v>
      </c>
      <c r="C62" s="54"/>
      <c r="D62" s="54"/>
      <c r="E62" s="54"/>
      <c r="F62" s="48">
        <f>'3. Input (des)investeringen '!D87</f>
        <v>16428371.587765666</v>
      </c>
      <c r="G62" s="54"/>
      <c r="H62" s="43">
        <f>'3. Input (des)investeringen '!F87</f>
        <v>2020</v>
      </c>
      <c r="I62" s="48" t="str">
        <f>'3. Input (des)investeringen '!G87</f>
        <v>nvt</v>
      </c>
      <c r="J62" s="48">
        <f>'3. Input (des)investeringen '!H87</f>
        <v>5</v>
      </c>
      <c r="K62" s="48">
        <f>'3. Input (des)investeringen '!I87</f>
        <v>1</v>
      </c>
      <c r="M62" s="49">
        <f t="shared" ref="M62:M125" si="8">IF($J62=0, 0, IF($H62&lt;=M$59,
VDB($F62,0,$J62,MAX(0,M$59-$H62-0.5),MIN($J62,M$59-$H62+0.5),1)*INDEX(H$40:H$46,$H62-2019,1),
0))</f>
        <v>1642837.1587765666</v>
      </c>
      <c r="N62" s="49">
        <f t="shared" ref="N62:N125" si="9">IF($J62=0, 0, IF($H62&lt;=N$59,
VDB($F62,0,$J62,MAX(0,N$59-$H62-0.5),MIN($J62,N$59-$H62+0.5),1)*INDEX(I$40:I$46,$H62-2019,1),
0))</f>
        <v>3338245.1066339836</v>
      </c>
      <c r="P62" s="147">
        <f>IF($J62=0,IF($H62=M$59,$F62,0),IF(OR($H62&gt;P$59,$H62+$J62&lt;=P$59),0,
F62-M62))</f>
        <v>14785534.428989099</v>
      </c>
      <c r="Q62" s="147">
        <f t="shared" ref="Q62:Q125" si="10">IF($J62=0,IF($H62=N$59,$F62,$P62*I$40),IF(OR($H62&gt;Q$59,$H62+$J62&lt;=Q$59),0,
IF($H62=Q$59,F62-N62,P62*I$40-N62)))</f>
        <v>11683857.873218942</v>
      </c>
      <c r="S62" s="49">
        <f t="shared" ref="S62:S125" si="11">IF($P62=0, IF(H62&lt;=2021, $Q62, IF(H62&gt;=2022, $F62,0)), IF(H62&lt;=2021,Q62,F62))</f>
        <v>11683857.873218942</v>
      </c>
      <c r="T62" s="44">
        <f t="shared" ref="T62:T125" si="12">IF($J62=0, 0, IF(H62&lt;2022,J62-2021+H62-0.5,J62))</f>
        <v>3.5</v>
      </c>
      <c r="V62" s="49">
        <f t="shared" ref="V62:Z93" si="13">IF($J62=0, 0, IF(OR($H62&gt;V$59,$H62+$J62&lt;V$59),0,
IF(OR($H62=2020,$H62=2021),VDB($S62*(1-$F$28),0,$T62,V$59-2022,MIN($T62,V$59-2021),$F$22,FALSE),
VDB($S62*(1-$F$28),0,$T62,MAX(0,V$59-$H62-0.5),MIN($T62,V$59-$H62+0.5),$F$22,FALSE))))</f>
        <v>3905746.7747617611</v>
      </c>
      <c r="W62" s="49">
        <f t="shared" si="13"/>
        <v>2643890.1244541155</v>
      </c>
      <c r="X62" s="49">
        <f t="shared" si="0"/>
        <v>2643890.1244541155</v>
      </c>
      <c r="Y62" s="49">
        <f t="shared" si="0"/>
        <v>1321945.0622270578</v>
      </c>
      <c r="Z62" s="49">
        <f t="shared" si="0"/>
        <v>0</v>
      </c>
      <c r="AB62" s="49">
        <f t="shared" ref="AB62:AF93" si="14">IF($J62=0, 0, IF(OR($H62&gt;AB$59,$H62+$J62&lt;AB$59),0,
IF(OR($H62=2020,$H62=2021),VDB($S62*$F$28,0,$T62,AB$59-2022,MIN($T62,AB$59-2021),1),
VDB($S62*$F$28,0,$T62,MAX(0,AB$59-$H62-0.5),MIN($T62,AB$59-$H62+0.5),1))))</f>
        <v>333824.51066339837</v>
      </c>
      <c r="AC62" s="49">
        <f t="shared" si="14"/>
        <v>333824.51066339837</v>
      </c>
      <c r="AD62" s="49">
        <f t="shared" si="1"/>
        <v>333824.51066339837</v>
      </c>
      <c r="AE62" s="49">
        <f t="shared" si="1"/>
        <v>166912.25533169918</v>
      </c>
      <c r="AF62" s="49">
        <f t="shared" si="1"/>
        <v>0</v>
      </c>
      <c r="AH62" s="49">
        <f t="shared" ref="AH62:AH125" si="15">V62+AB62</f>
        <v>4239571.2854251591</v>
      </c>
      <c r="AI62" s="49">
        <f t="shared" ref="AI62:AI125" si="16">W62+AC62</f>
        <v>2977714.6351175141</v>
      </c>
      <c r="AJ62" s="49">
        <f t="shared" ref="AJ62:AJ125" si="17">X62+AD62</f>
        <v>2977714.6351175141</v>
      </c>
      <c r="AK62" s="49">
        <f t="shared" ref="AK62:AK125" si="18">Y62+AE62</f>
        <v>1488857.317558757</v>
      </c>
      <c r="AL62" s="49">
        <f t="shared" ref="AL62:AL125" si="19">Z62+AF62</f>
        <v>0</v>
      </c>
      <c r="AN62" s="49">
        <f t="shared" ref="AN62:AN125" si="20">IF($J62=0, IF($H62&gt;AN$59,0, $S62), IF(OR($H62&gt;AN$59,$H62+$J62&lt;=AN$59),0,
IF($H62=AN$59,$S62-AH62,
S62-AH62)))</f>
        <v>7444286.5877937833</v>
      </c>
      <c r="AO62" s="49">
        <f t="shared" ref="AO62:AO125" si="21">IF($J62=0, IF($H62 &gt; AO$59, 0, IF($H62=AO$59, $F62, AN62)), IF(OR($H62&gt;AO$59,$H62+$J62&lt;=AO$59),0,
IF($H62=AO$59,$S62-AI62,
AN62-AI62)))</f>
        <v>4466571.9526762692</v>
      </c>
      <c r="AP62" s="49">
        <f t="shared" ref="AP62:AP125" si="22">IF($J62=0, IF($H62 &gt; AP$59, 0, IF($H62=AP$59, $F62, AO62)), IF(OR($H62&gt;AP$59,$H62+$J62&lt;=AP$59),0,
IF($H62=AP$59,$S62-AJ62,
AO62-AJ62)))</f>
        <v>1488857.3175587552</v>
      </c>
      <c r="AQ62" s="49">
        <f t="shared" ref="AQ62:AQ125" si="23">IF($J62=0, IF($H62 &gt; AQ$59, 0, IF($H62=AQ$59, $F62, AP62)), IF(OR($H62&gt;AQ$59,$H62+$J62&lt;=AQ$59),0,
IF($H62=AQ$59,$S62-AK62,
AP62-AK62)))</f>
        <v>0</v>
      </c>
      <c r="AR62" s="49">
        <f t="shared" ref="AR62:AR125" si="24">IF($J62=0, IF($H62 &gt; AR$59, 0, IF($H62=AR$59, $F62, AQ62)), IF(OR($H62&gt;AR$59,$H62+$J62&lt;=AR$59),0,
IF($H62=AR$59,$S62-AL62,
AQ62-AL62)))</f>
        <v>0</v>
      </c>
      <c r="AT62" s="49">
        <f t="shared" ref="AT62:AX93" si="25">IF($H62&lt;=AT$59,$F62*INDEX($H$40:$N$46,$H62-2019,AT$59-2019)*INDEX($H$49:$N$55,$H62-2019,AT$59-2019)*$F$19,0)</f>
        <v>169067.77221473516</v>
      </c>
      <c r="AU62" s="49">
        <f t="shared" si="6"/>
        <v>178831.77419568051</v>
      </c>
      <c r="AV62" s="49">
        <f t="shared" si="6"/>
        <v>192365.76286680964</v>
      </c>
      <c r="AW62" s="49">
        <f t="shared" si="6"/>
        <v>196960.99621017199</v>
      </c>
      <c r="AX62" s="49">
        <f t="shared" si="6"/>
        <v>199508.09581316193</v>
      </c>
      <c r="AZ62" s="53">
        <f t="shared" ref="AZ62:AZ125" si="26">(AH62+AN62*J$16+AT62)*IF($K62=1,$F$25,1)</f>
        <v>4661744.801624883</v>
      </c>
      <c r="BA62" s="53">
        <f t="shared" ref="BA62:BA125" si="27">(AI62+AO62*K$16+AU62)*IF($K62=1,$F$25,1)</f>
        <v>3303943.2837515115</v>
      </c>
      <c r="BB62" s="53">
        <f t="shared" ref="BB62:BB125" si="28">(AJ62+AP62*L$16+AV62)*IF($K62=1,$F$25,1)</f>
        <v>3226656.9760515564</v>
      </c>
      <c r="BC62" s="53">
        <f t="shared" ref="BC62:BC125" si="29">(AK62+AQ62*M$16+AW62)*IF($K62=1,$F$25,1)</f>
        <v>1685818.3137689291</v>
      </c>
      <c r="BD62" s="53">
        <f t="shared" ref="BD62:BD125" si="30">(AL62+AR62*N$16+AX62)*IF($K62=1,$F$25,1)</f>
        <v>199508.09581316193</v>
      </c>
    </row>
    <row r="63" spans="2:56">
      <c r="B63" s="43">
        <f>'3. Input (des)investeringen '!B88</f>
        <v>1531</v>
      </c>
      <c r="C63" s="54"/>
      <c r="D63" s="54"/>
      <c r="E63" s="54"/>
      <c r="F63" s="48">
        <f>'3. Input (des)investeringen '!D88</f>
        <v>4983079.8391110003</v>
      </c>
      <c r="G63" s="54"/>
      <c r="H63" s="43">
        <f>'3. Input (des)investeringen '!F88</f>
        <v>2020</v>
      </c>
      <c r="I63" s="48" t="str">
        <f>'3. Input (des)investeringen '!G88</f>
        <v>nvt</v>
      </c>
      <c r="J63" s="48">
        <f>'3. Input (des)investeringen '!H88</f>
        <v>10</v>
      </c>
      <c r="K63" s="48">
        <f>'3. Input (des)investeringen '!I88</f>
        <v>1</v>
      </c>
      <c r="M63" s="49">
        <f t="shared" si="8"/>
        <v>249153.99195555004</v>
      </c>
      <c r="N63" s="49">
        <f t="shared" si="9"/>
        <v>506280.91165367764</v>
      </c>
      <c r="P63" s="147">
        <f t="shared" ref="P63:P125" si="31">IF($J63=0,IF($H63=M$59,$F63,0),IF(OR($H63&gt;P$59,$H63+$J63&lt;=P$59),0,
F63-M63))</f>
        <v>4733925.8471554499</v>
      </c>
      <c r="Q63" s="147">
        <f t="shared" si="10"/>
        <v>4303387.7490562592</v>
      </c>
      <c r="S63" s="49">
        <f t="shared" si="11"/>
        <v>4303387.7490562592</v>
      </c>
      <c r="T63" s="44">
        <f t="shared" si="12"/>
        <v>8.5</v>
      </c>
      <c r="V63" s="49">
        <f t="shared" si="13"/>
        <v>592348.66663480282</v>
      </c>
      <c r="W63" s="49">
        <f t="shared" si="13"/>
        <v>501754.16467889177</v>
      </c>
      <c r="X63" s="49">
        <f t="shared" si="0"/>
        <v>427530.17582106753</v>
      </c>
      <c r="Y63" s="49">
        <f t="shared" si="0"/>
        <v>427530.17582106753</v>
      </c>
      <c r="Z63" s="49">
        <f t="shared" si="0"/>
        <v>427530.17582106753</v>
      </c>
      <c r="AB63" s="49">
        <f t="shared" si="14"/>
        <v>50628.091165367761</v>
      </c>
      <c r="AC63" s="49">
        <f t="shared" si="14"/>
        <v>50628.091165367761</v>
      </c>
      <c r="AD63" s="49">
        <f t="shared" si="1"/>
        <v>50628.091165367761</v>
      </c>
      <c r="AE63" s="49">
        <f t="shared" si="1"/>
        <v>50628.091165367761</v>
      </c>
      <c r="AF63" s="49">
        <f t="shared" si="1"/>
        <v>50628.091165367761</v>
      </c>
      <c r="AH63" s="49">
        <f t="shared" si="15"/>
        <v>642976.75780017057</v>
      </c>
      <c r="AI63" s="49">
        <f t="shared" si="16"/>
        <v>552382.25584425952</v>
      </c>
      <c r="AJ63" s="49">
        <f t="shared" si="17"/>
        <v>478158.26698643528</v>
      </c>
      <c r="AK63" s="49">
        <f t="shared" si="18"/>
        <v>478158.26698643528</v>
      </c>
      <c r="AL63" s="49">
        <f t="shared" si="19"/>
        <v>478158.26698643528</v>
      </c>
      <c r="AN63" s="49">
        <f>IF($J63=0, IF($H63&gt;AN$59,0, $S63), IF(OR($H63&gt;AN$59,$H63+$J63&lt;=AN$59),0,
IF($H63=AN$59,$S63-AH63,
S63-AH63)))</f>
        <v>3660410.9912560885</v>
      </c>
      <c r="AO63" s="49">
        <f t="shared" si="21"/>
        <v>3108028.7354118288</v>
      </c>
      <c r="AP63" s="49">
        <f t="shared" si="22"/>
        <v>2629870.4684253936</v>
      </c>
      <c r="AQ63" s="49">
        <f t="shared" si="23"/>
        <v>2151712.2014389583</v>
      </c>
      <c r="AR63" s="49">
        <f t="shared" si="24"/>
        <v>1673553.934452523</v>
      </c>
      <c r="AT63" s="49">
        <f t="shared" si="25"/>
        <v>51281.905979899893</v>
      </c>
      <c r="AU63" s="49">
        <f t="shared" si="6"/>
        <v>54243.538614051067</v>
      </c>
      <c r="AV63" s="49">
        <f t="shared" si="6"/>
        <v>58348.68961636247</v>
      </c>
      <c r="AW63" s="49">
        <f t="shared" si="6"/>
        <v>59742.523113918127</v>
      </c>
      <c r="AX63" s="49">
        <f t="shared" si="6"/>
        <v>60515.113422827322</v>
      </c>
      <c r="AZ63" s="53">
        <f t="shared" si="26"/>
        <v>818712.63748277747</v>
      </c>
      <c r="BA63" s="53">
        <f t="shared" si="27"/>
        <v>709190.74272690096</v>
      </c>
      <c r="BB63" s="53">
        <f t="shared" si="28"/>
        <v>636442.03440296266</v>
      </c>
      <c r="BC63" s="53">
        <f t="shared" si="29"/>
        <v>619665.85375503381</v>
      </c>
      <c r="BD63" s="53">
        <f t="shared" si="30"/>
        <v>602268.42991845845</v>
      </c>
    </row>
    <row r="64" spans="2:56">
      <c r="B64" s="43">
        <f>'3. Input (des)investeringen '!B89</f>
        <v>1532</v>
      </c>
      <c r="C64" s="54"/>
      <c r="D64" s="54"/>
      <c r="E64" s="54"/>
      <c r="F64" s="48">
        <f>'3. Input (des)investeringen '!D89</f>
        <v>23504856.52408703</v>
      </c>
      <c r="G64" s="54"/>
      <c r="H64" s="43">
        <f>'3. Input (des)investeringen '!F89</f>
        <v>2020</v>
      </c>
      <c r="I64" s="48" t="str">
        <f>'3. Input (des)investeringen '!G89</f>
        <v>nvt</v>
      </c>
      <c r="J64" s="48">
        <f>'3. Input (des)investeringen '!H89</f>
        <v>15</v>
      </c>
      <c r="K64" s="48">
        <f>'3. Input (des)investeringen '!I89</f>
        <v>1</v>
      </c>
      <c r="M64" s="49">
        <f t="shared" si="8"/>
        <v>783495.21746956767</v>
      </c>
      <c r="N64" s="49">
        <f t="shared" si="9"/>
        <v>1592062.2818981616</v>
      </c>
      <c r="P64" s="147">
        <f t="shared" si="31"/>
        <v>22721361.306617461</v>
      </c>
      <c r="Q64" s="147">
        <f t="shared" si="10"/>
        <v>21492840.805625178</v>
      </c>
      <c r="S64" s="49">
        <f t="shared" si="11"/>
        <v>21492840.805625178</v>
      </c>
      <c r="T64" s="44">
        <f t="shared" si="12"/>
        <v>13.5</v>
      </c>
      <c r="V64" s="49">
        <f t="shared" si="13"/>
        <v>1862712.8698208488</v>
      </c>
      <c r="W64" s="49">
        <f t="shared" si="13"/>
        <v>1683340.5193936559</v>
      </c>
      <c r="X64" s="49">
        <f t="shared" si="0"/>
        <v>1521241.0619705631</v>
      </c>
      <c r="Y64" s="49">
        <f t="shared" si="0"/>
        <v>1374751.1819289534</v>
      </c>
      <c r="Z64" s="49">
        <f t="shared" si="0"/>
        <v>1358053.7991524884</v>
      </c>
      <c r="AB64" s="49">
        <f t="shared" si="14"/>
        <v>159206.22818981615</v>
      </c>
      <c r="AC64" s="49">
        <f t="shared" si="14"/>
        <v>159206.22818981615</v>
      </c>
      <c r="AD64" s="49">
        <f t="shared" si="1"/>
        <v>159206.22818981615</v>
      </c>
      <c r="AE64" s="49">
        <f t="shared" si="1"/>
        <v>159206.22818981615</v>
      </c>
      <c r="AF64" s="49">
        <f t="shared" si="1"/>
        <v>159206.22818981615</v>
      </c>
      <c r="AH64" s="49">
        <f t="shared" si="15"/>
        <v>2021919.098010665</v>
      </c>
      <c r="AI64" s="49">
        <f t="shared" si="16"/>
        <v>1842546.7475834722</v>
      </c>
      <c r="AJ64" s="49">
        <f t="shared" si="17"/>
        <v>1680447.2901603794</v>
      </c>
      <c r="AK64" s="49">
        <f t="shared" si="18"/>
        <v>1533957.4101187696</v>
      </c>
      <c r="AL64" s="49">
        <f t="shared" si="19"/>
        <v>1517260.0273423046</v>
      </c>
      <c r="AN64" s="49">
        <f t="shared" si="20"/>
        <v>19470921.707614511</v>
      </c>
      <c r="AO64" s="49">
        <f t="shared" si="21"/>
        <v>17628374.96003104</v>
      </c>
      <c r="AP64" s="49">
        <f t="shared" si="22"/>
        <v>15947927.66987066</v>
      </c>
      <c r="AQ64" s="49">
        <f t="shared" si="23"/>
        <v>14413970.25975189</v>
      </c>
      <c r="AR64" s="49">
        <f t="shared" si="24"/>
        <v>12896710.232409585</v>
      </c>
      <c r="AT64" s="49">
        <f t="shared" si="25"/>
        <v>241893.34332526184</v>
      </c>
      <c r="AU64" s="49">
        <f t="shared" si="6"/>
        <v>255863.16768898239</v>
      </c>
      <c r="AV64" s="49">
        <f t="shared" si="6"/>
        <v>275226.89221968455</v>
      </c>
      <c r="AW64" s="49">
        <f t="shared" si="6"/>
        <v>281801.51222102839</v>
      </c>
      <c r="AX64" s="49">
        <f t="shared" si="6"/>
        <v>285445.76937707077</v>
      </c>
      <c r="AZ64" s="53">
        <f t="shared" si="26"/>
        <v>2925823.7793948203</v>
      </c>
      <c r="BA64" s="53">
        <f t="shared" si="27"/>
        <v>2680146.2889534789</v>
      </c>
      <c r="BB64" s="53">
        <f t="shared" si="28"/>
        <v>2561695.4338351488</v>
      </c>
      <c r="BC64" s="53">
        <f t="shared" si="29"/>
        <v>2363489.7922103698</v>
      </c>
      <c r="BD64" s="53">
        <f t="shared" si="30"/>
        <v>2292780.7855509399</v>
      </c>
    </row>
    <row r="65" spans="2:56">
      <c r="B65" s="43">
        <f>'3. Input (des)investeringen '!B90</f>
        <v>1533</v>
      </c>
      <c r="C65" s="54"/>
      <c r="D65" s="54"/>
      <c r="E65" s="54"/>
      <c r="F65" s="48">
        <f>'3. Input (des)investeringen '!D90</f>
        <v>28868891.250722278</v>
      </c>
      <c r="G65" s="54"/>
      <c r="H65" s="43">
        <f>'3. Input (des)investeringen '!F90</f>
        <v>2020</v>
      </c>
      <c r="I65" s="48" t="str">
        <f>'3. Input (des)investeringen '!G90</f>
        <v>nvt</v>
      </c>
      <c r="J65" s="48">
        <f>'3. Input (des)investeringen '!H90</f>
        <v>30</v>
      </c>
      <c r="K65" s="48">
        <f>'3. Input (des)investeringen '!I90</f>
        <v>1</v>
      </c>
      <c r="M65" s="49">
        <f t="shared" si="8"/>
        <v>481148.18751203798</v>
      </c>
      <c r="N65" s="49">
        <f t="shared" si="9"/>
        <v>977693.11702446116</v>
      </c>
      <c r="P65" s="147">
        <f t="shared" si="31"/>
        <v>28387743.063210241</v>
      </c>
      <c r="Q65" s="147">
        <f t="shared" si="10"/>
        <v>27864253.835197143</v>
      </c>
      <c r="S65" s="49">
        <f t="shared" si="11"/>
        <v>27864253.835197143</v>
      </c>
      <c r="T65" s="44">
        <f t="shared" si="12"/>
        <v>28.5</v>
      </c>
      <c r="V65" s="49">
        <f t="shared" si="13"/>
        <v>1143900.9469186198</v>
      </c>
      <c r="W65" s="49">
        <f t="shared" si="13"/>
        <v>1091723.0089889986</v>
      </c>
      <c r="X65" s="49">
        <f t="shared" si="0"/>
        <v>1041925.1173509038</v>
      </c>
      <c r="Y65" s="49">
        <f t="shared" si="0"/>
        <v>994398.70848928369</v>
      </c>
      <c r="Z65" s="49">
        <f t="shared" si="0"/>
        <v>949040.17090907076</v>
      </c>
      <c r="AB65" s="49">
        <f t="shared" si="14"/>
        <v>97769.311702446124</v>
      </c>
      <c r="AC65" s="49">
        <f t="shared" si="14"/>
        <v>97769.311702446124</v>
      </c>
      <c r="AD65" s="49">
        <f t="shared" si="1"/>
        <v>97769.311702446124</v>
      </c>
      <c r="AE65" s="49">
        <f t="shared" si="1"/>
        <v>97769.311702446124</v>
      </c>
      <c r="AF65" s="49">
        <f t="shared" si="1"/>
        <v>97769.311702446124</v>
      </c>
      <c r="AH65" s="49">
        <f t="shared" si="15"/>
        <v>1241670.2586210659</v>
      </c>
      <c r="AI65" s="49">
        <f t="shared" si="16"/>
        <v>1189492.3206914447</v>
      </c>
      <c r="AJ65" s="49">
        <f t="shared" si="17"/>
        <v>1139694.4290533499</v>
      </c>
      <c r="AK65" s="49">
        <f t="shared" si="18"/>
        <v>1092168.0201917298</v>
      </c>
      <c r="AL65" s="49">
        <f t="shared" si="19"/>
        <v>1046809.4826115168</v>
      </c>
      <c r="AN65" s="49">
        <f t="shared" si="20"/>
        <v>26622583.576576076</v>
      </c>
      <c r="AO65" s="49">
        <f t="shared" si="21"/>
        <v>25433091.255884632</v>
      </c>
      <c r="AP65" s="49">
        <f t="shared" si="22"/>
        <v>24293396.826831281</v>
      </c>
      <c r="AQ65" s="49">
        <f t="shared" si="23"/>
        <v>23201228.806639552</v>
      </c>
      <c r="AR65" s="49">
        <f t="shared" si="24"/>
        <v>22154419.324028034</v>
      </c>
      <c r="AT65" s="49">
        <f t="shared" si="25"/>
        <v>297095.73489948589</v>
      </c>
      <c r="AU65" s="49">
        <f t="shared" si="6"/>
        <v>314253.60778140096</v>
      </c>
      <c r="AV65" s="49">
        <f t="shared" si="6"/>
        <v>338036.32081829745</v>
      </c>
      <c r="AW65" s="49">
        <f t="shared" si="6"/>
        <v>346111.33245000488</v>
      </c>
      <c r="AX65" s="49">
        <f t="shared" si="6"/>
        <v>350587.24420124845</v>
      </c>
      <c r="AZ65" s="53">
        <f t="shared" si="26"/>
        <v>2443933.8351241383</v>
      </c>
      <c r="BA65" s="53">
        <f t="shared" si="27"/>
        <v>2343037.9399170387</v>
      </c>
      <c r="BB65" s="53">
        <f t="shared" si="28"/>
        <v>2400879.8292912361</v>
      </c>
      <c r="BC65" s="53">
        <f t="shared" si="29"/>
        <v>2319926.0472940374</v>
      </c>
      <c r="BD65" s="53">
        <f t="shared" si="30"/>
        <v>2239264.6611258304</v>
      </c>
    </row>
    <row r="66" spans="2:56">
      <c r="B66" s="43">
        <f>'3. Input (des)investeringen '!B91</f>
        <v>1534</v>
      </c>
      <c r="C66" s="54"/>
      <c r="D66" s="54"/>
      <c r="E66" s="54"/>
      <c r="F66" s="48">
        <f>'3. Input (des)investeringen '!D91</f>
        <v>79913166.073822603</v>
      </c>
      <c r="G66" s="54"/>
      <c r="H66" s="43">
        <f>'3. Input (des)investeringen '!F91</f>
        <v>2020</v>
      </c>
      <c r="I66" s="48" t="str">
        <f>'3. Input (des)investeringen '!G91</f>
        <v>nvt</v>
      </c>
      <c r="J66" s="48">
        <f>'3. Input (des)investeringen '!H91</f>
        <v>55</v>
      </c>
      <c r="K66" s="48">
        <f>'3. Input (des)investeringen '!I91</f>
        <v>1</v>
      </c>
      <c r="M66" s="49">
        <f t="shared" si="8"/>
        <v>726483.32794384181</v>
      </c>
      <c r="N66" s="49">
        <f t="shared" si="9"/>
        <v>1476214.1223818865</v>
      </c>
      <c r="P66" s="147">
        <f t="shared" si="31"/>
        <v>79186682.745878756</v>
      </c>
      <c r="Q66" s="147">
        <f t="shared" si="10"/>
        <v>78977455.547430933</v>
      </c>
      <c r="S66" s="49">
        <f t="shared" si="11"/>
        <v>78977455.547430933</v>
      </c>
      <c r="T66" s="44">
        <f t="shared" si="12"/>
        <v>53.5</v>
      </c>
      <c r="V66" s="49">
        <f t="shared" si="13"/>
        <v>1727170.5231868073</v>
      </c>
      <c r="W66" s="49">
        <f t="shared" si="13"/>
        <v>1685201.893651427</v>
      </c>
      <c r="X66" s="49">
        <f t="shared" si="0"/>
        <v>1644253.0625907381</v>
      </c>
      <c r="Y66" s="49">
        <f t="shared" si="0"/>
        <v>1604299.2498548883</v>
      </c>
      <c r="Z66" s="49">
        <f t="shared" si="0"/>
        <v>1565316.277428508</v>
      </c>
      <c r="AB66" s="49">
        <f t="shared" si="14"/>
        <v>147621.41223818867</v>
      </c>
      <c r="AC66" s="49">
        <f t="shared" si="14"/>
        <v>147621.41223818867</v>
      </c>
      <c r="AD66" s="49">
        <f t="shared" si="1"/>
        <v>147621.41223818867</v>
      </c>
      <c r="AE66" s="49">
        <f t="shared" si="1"/>
        <v>147621.41223818867</v>
      </c>
      <c r="AF66" s="49">
        <f t="shared" si="1"/>
        <v>147621.41223818867</v>
      </c>
      <c r="AH66" s="49">
        <f t="shared" si="15"/>
        <v>1874791.9354249961</v>
      </c>
      <c r="AI66" s="49">
        <f t="shared" si="16"/>
        <v>1832823.3058896158</v>
      </c>
      <c r="AJ66" s="49">
        <f t="shared" si="17"/>
        <v>1791874.4748289268</v>
      </c>
      <c r="AK66" s="49">
        <f t="shared" si="18"/>
        <v>1751920.6620930769</v>
      </c>
      <c r="AL66" s="49">
        <f t="shared" si="19"/>
        <v>1712937.6896666968</v>
      </c>
      <c r="AN66" s="49">
        <f t="shared" si="20"/>
        <v>77102663.612005934</v>
      </c>
      <c r="AO66" s="49">
        <f t="shared" si="21"/>
        <v>75269840.306116313</v>
      </c>
      <c r="AP66" s="49">
        <f t="shared" si="22"/>
        <v>73477965.831287384</v>
      </c>
      <c r="AQ66" s="49">
        <f t="shared" si="23"/>
        <v>71726045.169194311</v>
      </c>
      <c r="AR66" s="49">
        <f t="shared" si="24"/>
        <v>70013107.479527608</v>
      </c>
      <c r="AT66" s="49">
        <f t="shared" si="25"/>
        <v>822402.93181515869</v>
      </c>
      <c r="AU66" s="49">
        <f t="shared" si="6"/>
        <v>869898.34593334782</v>
      </c>
      <c r="AV66" s="49">
        <f t="shared" si="6"/>
        <v>935732.25275358383</v>
      </c>
      <c r="AW66" s="49">
        <f t="shared" si="6"/>
        <v>958085.02480736142</v>
      </c>
      <c r="AX66" s="49">
        <f t="shared" si="6"/>
        <v>970474.98034817015</v>
      </c>
      <c r="AZ66" s="53">
        <f t="shared" si="26"/>
        <v>5318685.4300483568</v>
      </c>
      <c r="BA66" s="53">
        <f t="shared" si="27"/>
        <v>5186626.3819248024</v>
      </c>
      <c r="BB66" s="53">
        <f t="shared" si="28"/>
        <v>5519769.4291714309</v>
      </c>
      <c r="BC66" s="53">
        <f t="shared" si="29"/>
        <v>5435595.4033298232</v>
      </c>
      <c r="BD66" s="53">
        <f t="shared" si="30"/>
        <v>5343910.7542369161</v>
      </c>
    </row>
    <row r="67" spans="2:56">
      <c r="B67" s="43">
        <f>'3. Input (des)investeringen '!B92</f>
        <v>1535</v>
      </c>
      <c r="C67" s="54"/>
      <c r="D67" s="54"/>
      <c r="E67" s="54"/>
      <c r="F67" s="48">
        <f>'3. Input (des)investeringen '!D92</f>
        <v>-30502.390165910823</v>
      </c>
      <c r="G67" s="54"/>
      <c r="H67" s="43">
        <f>'3. Input (des)investeringen '!F92</f>
        <v>2020</v>
      </c>
      <c r="I67" s="48" t="str">
        <f>'3. Input (des)investeringen '!G92</f>
        <v>nvt</v>
      </c>
      <c r="J67" s="48">
        <f>'3. Input (des)investeringen '!H92</f>
        <v>0</v>
      </c>
      <c r="K67" s="48">
        <f>'3. Input (des)investeringen '!I92</f>
        <v>0</v>
      </c>
      <c r="M67" s="49">
        <f t="shared" si="8"/>
        <v>0</v>
      </c>
      <c r="N67" s="49">
        <f t="shared" si="9"/>
        <v>0</v>
      </c>
      <c r="P67" s="147">
        <f>IF($J67=0,IF($H67=M$59,$F67,0),IF(OR($H67&gt;P$59,$H67+$J67&lt;=P$59),0,
F67-M67))</f>
        <v>-30502.390165910823</v>
      </c>
      <c r="Q67" s="147">
        <f t="shared" si="10"/>
        <v>-30990.428408565396</v>
      </c>
      <c r="S67" s="49">
        <f t="shared" si="11"/>
        <v>-30990.428408565396</v>
      </c>
      <c r="T67" s="44">
        <f t="shared" si="12"/>
        <v>0</v>
      </c>
      <c r="V67" s="49">
        <f t="shared" si="13"/>
        <v>0</v>
      </c>
      <c r="W67" s="49">
        <f t="shared" si="13"/>
        <v>0</v>
      </c>
      <c r="X67" s="49">
        <f t="shared" si="0"/>
        <v>0</v>
      </c>
      <c r="Y67" s="49">
        <f t="shared" si="0"/>
        <v>0</v>
      </c>
      <c r="Z67" s="49">
        <f t="shared" si="0"/>
        <v>0</v>
      </c>
      <c r="AB67" s="49">
        <f t="shared" si="14"/>
        <v>0</v>
      </c>
      <c r="AC67" s="49">
        <f t="shared" si="14"/>
        <v>0</v>
      </c>
      <c r="AD67" s="49">
        <f t="shared" si="1"/>
        <v>0</v>
      </c>
      <c r="AE67" s="49">
        <f t="shared" si="1"/>
        <v>0</v>
      </c>
      <c r="AF67" s="49">
        <f t="shared" si="1"/>
        <v>0</v>
      </c>
      <c r="AH67" s="49">
        <f t="shared" si="15"/>
        <v>0</v>
      </c>
      <c r="AI67" s="49">
        <f t="shared" si="16"/>
        <v>0</v>
      </c>
      <c r="AJ67" s="49">
        <f t="shared" si="17"/>
        <v>0</v>
      </c>
      <c r="AK67" s="49">
        <f t="shared" si="18"/>
        <v>0</v>
      </c>
      <c r="AL67" s="49">
        <f t="shared" si="19"/>
        <v>0</v>
      </c>
      <c r="AN67" s="49">
        <f t="shared" si="20"/>
        <v>-30990.428408565396</v>
      </c>
      <c r="AO67" s="49">
        <f t="shared" si="21"/>
        <v>-30990.428408565396</v>
      </c>
      <c r="AP67" s="49">
        <f t="shared" si="22"/>
        <v>-30990.428408565396</v>
      </c>
      <c r="AQ67" s="49">
        <f t="shared" si="23"/>
        <v>-30990.428408565396</v>
      </c>
      <c r="AR67" s="49">
        <f t="shared" si="24"/>
        <v>-30990.428408565396</v>
      </c>
      <c r="AT67" s="49">
        <f t="shared" si="25"/>
        <v>-313.90641032344456</v>
      </c>
      <c r="AU67" s="49">
        <f t="shared" si="6"/>
        <v>-332.03513333244416</v>
      </c>
      <c r="AV67" s="49">
        <f t="shared" si="6"/>
        <v>-357.16355222304361</v>
      </c>
      <c r="AW67" s="49">
        <f t="shared" si="6"/>
        <v>-365.69547515854771</v>
      </c>
      <c r="AX67" s="49">
        <f t="shared" si="6"/>
        <v>-370.42464904329796</v>
      </c>
      <c r="AZ67" s="53">
        <f t="shared" si="26"/>
        <v>-1367.580976214668</v>
      </c>
      <c r="BA67" s="53">
        <f>(AI67+AO67*K$16+AU67)*IF($K67=1,$F$25,1)</f>
        <v>-1354.7192708151024</v>
      </c>
      <c r="BB67" s="53">
        <f t="shared" si="28"/>
        <v>-1534.7998317485285</v>
      </c>
      <c r="BC67" s="53">
        <f t="shared" si="29"/>
        <v>-1543.3317546840326</v>
      </c>
      <c r="BD67" s="53">
        <f t="shared" si="30"/>
        <v>-1548.0609285687829</v>
      </c>
    </row>
    <row r="68" spans="2:56">
      <c r="B68" s="43">
        <f>'3. Input (des)investeringen '!B93</f>
        <v>1536</v>
      </c>
      <c r="C68" s="54"/>
      <c r="D68" s="54"/>
      <c r="E68" s="54"/>
      <c r="F68" s="48">
        <f>'3. Input (des)investeringen '!D93</f>
        <v>429610.71824132768</v>
      </c>
      <c r="G68" s="54"/>
      <c r="H68" s="43">
        <f>'3. Input (des)investeringen '!F93</f>
        <v>2020</v>
      </c>
      <c r="I68" s="48" t="str">
        <f>'3. Input (des)investeringen '!G93</f>
        <v>nvt</v>
      </c>
      <c r="J68" s="48">
        <f>'3. Input (des)investeringen '!H93</f>
        <v>5</v>
      </c>
      <c r="K68" s="48">
        <f>'3. Input (des)investeringen '!I93</f>
        <v>0</v>
      </c>
      <c r="M68" s="49">
        <f t="shared" si="8"/>
        <v>42961.07182413277</v>
      </c>
      <c r="N68" s="49">
        <f t="shared" si="9"/>
        <v>87296.897946637793</v>
      </c>
      <c r="P68" s="147">
        <f t="shared" si="31"/>
        <v>386649.64641719492</v>
      </c>
      <c r="Q68" s="147">
        <f t="shared" si="10"/>
        <v>305539.14281323226</v>
      </c>
      <c r="S68" s="49">
        <f t="shared" si="11"/>
        <v>305539.14281323226</v>
      </c>
      <c r="T68" s="44">
        <f t="shared" si="12"/>
        <v>3.5</v>
      </c>
      <c r="V68" s="49">
        <f t="shared" si="13"/>
        <v>102137.37059756623</v>
      </c>
      <c r="W68" s="49">
        <f t="shared" si="13"/>
        <v>69139.143173737131</v>
      </c>
      <c r="X68" s="49">
        <f t="shared" si="0"/>
        <v>69139.143173737131</v>
      </c>
      <c r="Y68" s="49">
        <f t="shared" si="0"/>
        <v>34569.571586868566</v>
      </c>
      <c r="Z68" s="49">
        <f t="shared" si="0"/>
        <v>0</v>
      </c>
      <c r="AB68" s="49">
        <f t="shared" si="14"/>
        <v>8729.68979466378</v>
      </c>
      <c r="AC68" s="49">
        <f t="shared" si="14"/>
        <v>8729.68979466378</v>
      </c>
      <c r="AD68" s="49">
        <f t="shared" si="1"/>
        <v>8729.68979466378</v>
      </c>
      <c r="AE68" s="49">
        <f t="shared" si="1"/>
        <v>4364.84489733189</v>
      </c>
      <c r="AF68" s="49">
        <f t="shared" si="1"/>
        <v>0</v>
      </c>
      <c r="AH68" s="49">
        <f t="shared" si="15"/>
        <v>110867.06039223001</v>
      </c>
      <c r="AI68" s="49">
        <f t="shared" si="16"/>
        <v>77868.832968400908</v>
      </c>
      <c r="AJ68" s="49">
        <f t="shared" si="17"/>
        <v>77868.832968400908</v>
      </c>
      <c r="AK68" s="49">
        <f t="shared" si="18"/>
        <v>38934.416484200454</v>
      </c>
      <c r="AL68" s="49">
        <f t="shared" si="19"/>
        <v>0</v>
      </c>
      <c r="AN68" s="49">
        <f t="shared" si="20"/>
        <v>194672.08242100227</v>
      </c>
      <c r="AO68" s="49">
        <f t="shared" si="21"/>
        <v>116803.24945260136</v>
      </c>
      <c r="AP68" s="49">
        <f t="shared" si="22"/>
        <v>38934.416484200454</v>
      </c>
      <c r="AQ68" s="49">
        <f t="shared" si="23"/>
        <v>0</v>
      </c>
      <c r="AR68" s="49">
        <f t="shared" si="24"/>
        <v>0</v>
      </c>
      <c r="AT68" s="49">
        <f t="shared" si="25"/>
        <v>4421.2128186048667</v>
      </c>
      <c r="AU68" s="49">
        <f t="shared" si="6"/>
        <v>4676.5467013049347</v>
      </c>
      <c r="AV68" s="49">
        <f t="shared" si="6"/>
        <v>5030.4677556596935</v>
      </c>
      <c r="AW68" s="49">
        <f t="shared" si="6"/>
        <v>5150.6355694068916</v>
      </c>
      <c r="AX68" s="49">
        <f t="shared" si="6"/>
        <v>5217.2435885904606</v>
      </c>
      <c r="AZ68" s="53">
        <f t="shared" si="26"/>
        <v>121907.12401314895</v>
      </c>
      <c r="BA68" s="53">
        <f t="shared" si="27"/>
        <v>86399.886901641687</v>
      </c>
      <c r="BB68" s="53">
        <f t="shared" si="28"/>
        <v>84378.808550460206</v>
      </c>
      <c r="BC68" s="53">
        <f t="shared" si="29"/>
        <v>44085.052053607345</v>
      </c>
      <c r="BD68" s="53">
        <f t="shared" si="30"/>
        <v>5217.2435885904606</v>
      </c>
    </row>
    <row r="69" spans="2:56">
      <c r="B69" s="43">
        <f>'3. Input (des)investeringen '!B94</f>
        <v>1537</v>
      </c>
      <c r="C69" s="54"/>
      <c r="D69" s="54"/>
      <c r="E69" s="54"/>
      <c r="F69" s="48">
        <f>'3. Input (des)investeringen '!D94</f>
        <v>1540614.7503467209</v>
      </c>
      <c r="G69" s="54"/>
      <c r="H69" s="43">
        <f>'3. Input (des)investeringen '!F94</f>
        <v>2020</v>
      </c>
      <c r="I69" s="48" t="str">
        <f>'3. Input (des)investeringen '!G94</f>
        <v>nvt</v>
      </c>
      <c r="J69" s="48">
        <f>'3. Input (des)investeringen '!H94</f>
        <v>10</v>
      </c>
      <c r="K69" s="48">
        <f>'3. Input (des)investeringen '!I94</f>
        <v>0</v>
      </c>
      <c r="M69" s="49">
        <f t="shared" si="8"/>
        <v>77030.737517336049</v>
      </c>
      <c r="N69" s="49">
        <f t="shared" si="9"/>
        <v>156526.45863522682</v>
      </c>
      <c r="P69" s="147">
        <f t="shared" si="31"/>
        <v>1463584.0128293848</v>
      </c>
      <c r="Q69" s="147">
        <f t="shared" si="10"/>
        <v>1330474.8983994282</v>
      </c>
      <c r="S69" s="49">
        <f t="shared" si="11"/>
        <v>1330474.8983994282</v>
      </c>
      <c r="T69" s="44">
        <f t="shared" si="12"/>
        <v>8.5</v>
      </c>
      <c r="V69" s="49">
        <f t="shared" si="13"/>
        <v>183135.95660321543</v>
      </c>
      <c r="W69" s="49">
        <f t="shared" si="13"/>
        <v>155126.92794625307</v>
      </c>
      <c r="X69" s="49">
        <f t="shared" si="0"/>
        <v>132179.15754000258</v>
      </c>
      <c r="Y69" s="49">
        <f t="shared" si="0"/>
        <v>132179.15754000258</v>
      </c>
      <c r="Z69" s="49">
        <f t="shared" si="0"/>
        <v>132179.15754000258</v>
      </c>
      <c r="AB69" s="49">
        <f t="shared" si="14"/>
        <v>15652.645863522686</v>
      </c>
      <c r="AC69" s="49">
        <f t="shared" si="14"/>
        <v>15652.645863522686</v>
      </c>
      <c r="AD69" s="49">
        <f t="shared" si="1"/>
        <v>15652.645863522686</v>
      </c>
      <c r="AE69" s="49">
        <f t="shared" si="1"/>
        <v>15652.645863522686</v>
      </c>
      <c r="AF69" s="49">
        <f t="shared" si="1"/>
        <v>15652.645863522686</v>
      </c>
      <c r="AH69" s="49">
        <f t="shared" si="15"/>
        <v>198788.60246673811</v>
      </c>
      <c r="AI69" s="49">
        <f t="shared" si="16"/>
        <v>170779.57380977576</v>
      </c>
      <c r="AJ69" s="49">
        <f t="shared" si="17"/>
        <v>147831.80340352526</v>
      </c>
      <c r="AK69" s="49">
        <f t="shared" si="18"/>
        <v>147831.80340352526</v>
      </c>
      <c r="AL69" s="49">
        <f t="shared" si="19"/>
        <v>147831.80340352526</v>
      </c>
      <c r="AN69" s="49">
        <f t="shared" si="20"/>
        <v>1131686.2959326901</v>
      </c>
      <c r="AO69" s="49">
        <f t="shared" si="21"/>
        <v>960906.72212291439</v>
      </c>
      <c r="AP69" s="49">
        <f t="shared" si="22"/>
        <v>813074.91871938913</v>
      </c>
      <c r="AQ69" s="49">
        <f t="shared" si="23"/>
        <v>665243.11531586386</v>
      </c>
      <c r="AR69" s="49">
        <f t="shared" si="24"/>
        <v>517411.3119123386</v>
      </c>
      <c r="AT69" s="49">
        <f t="shared" si="25"/>
        <v>15854.785259194721</v>
      </c>
      <c r="AU69" s="49">
        <f t="shared" si="6"/>
        <v>16770.430817483735</v>
      </c>
      <c r="AV69" s="49">
        <f t="shared" si="6"/>
        <v>18039.617021750906</v>
      </c>
      <c r="AW69" s="49">
        <f t="shared" si="6"/>
        <v>18470.547393166493</v>
      </c>
      <c r="AX69" s="49">
        <f t="shared" si="6"/>
        <v>18709.408512054921</v>
      </c>
      <c r="AZ69" s="53">
        <f t="shared" si="26"/>
        <v>253120.72178764432</v>
      </c>
      <c r="BA69" s="53">
        <f t="shared" si="27"/>
        <v>219259.92645731568</v>
      </c>
      <c r="BB69" s="53">
        <f t="shared" si="28"/>
        <v>196768.26733661297</v>
      </c>
      <c r="BC69" s="53">
        <f t="shared" si="29"/>
        <v>191581.58917869459</v>
      </c>
      <c r="BD69" s="53">
        <f t="shared" si="30"/>
        <v>186202.84176824905</v>
      </c>
    </row>
    <row r="70" spans="2:56">
      <c r="B70" s="43">
        <f>'3. Input (des)investeringen '!B95</f>
        <v>1538</v>
      </c>
      <c r="C70" s="54"/>
      <c r="D70" s="54"/>
      <c r="E70" s="54"/>
      <c r="F70" s="48">
        <f>'3. Input (des)investeringen '!D95</f>
        <v>4629744.6502016177</v>
      </c>
      <c r="G70" s="54"/>
      <c r="H70" s="43">
        <f>'3. Input (des)investeringen '!F95</f>
        <v>2020</v>
      </c>
      <c r="I70" s="48" t="str">
        <f>'3. Input (des)investeringen '!G95</f>
        <v>nvt</v>
      </c>
      <c r="J70" s="48">
        <f>'3. Input (des)investeringen '!H95</f>
        <v>15</v>
      </c>
      <c r="K70" s="48">
        <f>'3. Input (des)investeringen '!I95</f>
        <v>0</v>
      </c>
      <c r="M70" s="49">
        <f t="shared" si="8"/>
        <v>154324.82167338725</v>
      </c>
      <c r="N70" s="49">
        <f t="shared" si="9"/>
        <v>313588.03764032293</v>
      </c>
      <c r="P70" s="147">
        <f t="shared" si="31"/>
        <v>4475419.8285282301</v>
      </c>
      <c r="Q70" s="147">
        <f t="shared" si="10"/>
        <v>4233438.5081443591</v>
      </c>
      <c r="S70" s="49">
        <f t="shared" si="11"/>
        <v>4233438.5081443591</v>
      </c>
      <c r="T70" s="44">
        <f t="shared" si="12"/>
        <v>13.5</v>
      </c>
      <c r="V70" s="49">
        <f t="shared" si="13"/>
        <v>366898.00403917785</v>
      </c>
      <c r="W70" s="49">
        <f t="shared" si="13"/>
        <v>331567.08513170143</v>
      </c>
      <c r="X70" s="49">
        <f t="shared" si="0"/>
        <v>299638.40285975981</v>
      </c>
      <c r="Y70" s="49">
        <f t="shared" si="0"/>
        <v>270784.33443622739</v>
      </c>
      <c r="Z70" s="49">
        <f t="shared" si="0"/>
        <v>267495.45588032174</v>
      </c>
      <c r="AB70" s="49">
        <f t="shared" si="14"/>
        <v>31358.803764032291</v>
      </c>
      <c r="AC70" s="49">
        <f t="shared" si="14"/>
        <v>31358.803764032291</v>
      </c>
      <c r="AD70" s="49">
        <f t="shared" si="1"/>
        <v>31358.803764032291</v>
      </c>
      <c r="AE70" s="49">
        <f t="shared" si="1"/>
        <v>31358.803764032291</v>
      </c>
      <c r="AF70" s="49">
        <f t="shared" si="1"/>
        <v>31358.803764032291</v>
      </c>
      <c r="AH70" s="49">
        <f t="shared" si="15"/>
        <v>398256.80780321016</v>
      </c>
      <c r="AI70" s="49">
        <f t="shared" si="16"/>
        <v>362925.88889573375</v>
      </c>
      <c r="AJ70" s="49">
        <f t="shared" si="17"/>
        <v>330997.20662379212</v>
      </c>
      <c r="AK70" s="49">
        <f t="shared" si="18"/>
        <v>302143.13820025971</v>
      </c>
      <c r="AL70" s="49">
        <f t="shared" si="19"/>
        <v>298854.25964435405</v>
      </c>
      <c r="AN70" s="49">
        <f t="shared" si="20"/>
        <v>3835181.7003411488</v>
      </c>
      <c r="AO70" s="49">
        <f t="shared" si="21"/>
        <v>3472255.811445415</v>
      </c>
      <c r="AP70" s="49">
        <f t="shared" si="22"/>
        <v>3141258.6048216228</v>
      </c>
      <c r="AQ70" s="49">
        <f t="shared" si="23"/>
        <v>2839115.4666213631</v>
      </c>
      <c r="AR70" s="49">
        <f t="shared" si="24"/>
        <v>2540261.2069770088</v>
      </c>
      <c r="AT70" s="49">
        <f t="shared" si="25"/>
        <v>47645.660420512315</v>
      </c>
      <c r="AU70" s="49">
        <f t="shared" si="6"/>
        <v>50397.292601117748</v>
      </c>
      <c r="AV70" s="49">
        <f t="shared" si="6"/>
        <v>54211.359705170347</v>
      </c>
      <c r="AW70" s="49">
        <f t="shared" si="6"/>
        <v>55506.360665807457</v>
      </c>
      <c r="AX70" s="49">
        <f t="shared" si="6"/>
        <v>56224.168921937671</v>
      </c>
      <c r="AZ70" s="53">
        <f t="shared" si="26"/>
        <v>576298.64603532152</v>
      </c>
      <c r="BA70" s="53">
        <f t="shared" si="27"/>
        <v>527907.62327455019</v>
      </c>
      <c r="BB70" s="53">
        <f t="shared" si="28"/>
        <v>504576.39331218408</v>
      </c>
      <c r="BC70" s="53">
        <f t="shared" si="29"/>
        <v>465535.88659767894</v>
      </c>
      <c r="BD70" s="53">
        <f t="shared" si="30"/>
        <v>451608.35443141812</v>
      </c>
    </row>
    <row r="71" spans="2:56">
      <c r="B71" s="43">
        <f>'3. Input (des)investeringen '!B96</f>
        <v>1539</v>
      </c>
      <c r="C71" s="54"/>
      <c r="D71" s="54"/>
      <c r="E71" s="54"/>
      <c r="F71" s="48">
        <f>'3. Input (des)investeringen '!D96</f>
        <v>26259145.971940324</v>
      </c>
      <c r="G71" s="54"/>
      <c r="H71" s="43">
        <f>'3. Input (des)investeringen '!F96</f>
        <v>2020</v>
      </c>
      <c r="I71" s="48" t="str">
        <f>'3. Input (des)investeringen '!G96</f>
        <v>nvt</v>
      </c>
      <c r="J71" s="48">
        <f>'3. Input (des)investeringen '!H96</f>
        <v>30</v>
      </c>
      <c r="K71" s="48">
        <f>'3. Input (des)investeringen '!I96</f>
        <v>0</v>
      </c>
      <c r="M71" s="49">
        <f t="shared" si="8"/>
        <v>437652.43286567205</v>
      </c>
      <c r="N71" s="49">
        <f t="shared" si="9"/>
        <v>889309.74358304567</v>
      </c>
      <c r="P71" s="147">
        <f t="shared" si="31"/>
        <v>25821493.539074652</v>
      </c>
      <c r="Q71" s="147">
        <f t="shared" si="10"/>
        <v>25345327.692116801</v>
      </c>
      <c r="S71" s="49">
        <f t="shared" si="11"/>
        <v>25345327.692116801</v>
      </c>
      <c r="T71" s="44">
        <f t="shared" si="12"/>
        <v>28.5</v>
      </c>
      <c r="V71" s="49">
        <f t="shared" si="13"/>
        <v>1040492.3999921635</v>
      </c>
      <c r="W71" s="49">
        <f t="shared" si="13"/>
        <v>993031.34315041569</v>
      </c>
      <c r="X71" s="49">
        <f t="shared" si="0"/>
        <v>947735.17662074766</v>
      </c>
      <c r="Y71" s="49">
        <f t="shared" si="0"/>
        <v>904505.1510205029</v>
      </c>
      <c r="Z71" s="49">
        <f t="shared" si="0"/>
        <v>863247.02132483083</v>
      </c>
      <c r="AB71" s="49">
        <f t="shared" si="14"/>
        <v>88930.974358304564</v>
      </c>
      <c r="AC71" s="49">
        <f t="shared" si="14"/>
        <v>88930.974358304578</v>
      </c>
      <c r="AD71" s="49">
        <f t="shared" si="1"/>
        <v>88930.974358304578</v>
      </c>
      <c r="AE71" s="49">
        <f t="shared" si="1"/>
        <v>88930.974358304578</v>
      </c>
      <c r="AF71" s="49">
        <f t="shared" si="1"/>
        <v>88930.974358304578</v>
      </c>
      <c r="AH71" s="49">
        <f t="shared" si="15"/>
        <v>1129423.3743504682</v>
      </c>
      <c r="AI71" s="49">
        <f t="shared" si="16"/>
        <v>1081962.3175087203</v>
      </c>
      <c r="AJ71" s="49">
        <f t="shared" si="17"/>
        <v>1036666.1509790523</v>
      </c>
      <c r="AK71" s="49">
        <f t="shared" si="18"/>
        <v>993436.12537880754</v>
      </c>
      <c r="AL71" s="49">
        <f t="shared" si="19"/>
        <v>952177.99568313546</v>
      </c>
      <c r="AN71" s="49">
        <f t="shared" si="20"/>
        <v>24215904.317766331</v>
      </c>
      <c r="AO71" s="49">
        <f t="shared" si="21"/>
        <v>23133942.000257611</v>
      </c>
      <c r="AP71" s="49">
        <f t="shared" si="22"/>
        <v>22097275.849278558</v>
      </c>
      <c r="AQ71" s="49">
        <f t="shared" si="23"/>
        <v>21103839.723899752</v>
      </c>
      <c r="AR71" s="49">
        <f t="shared" si="24"/>
        <v>20151661.728216618</v>
      </c>
      <c r="AT71" s="49">
        <f t="shared" si="25"/>
        <v>270238.30609259364</v>
      </c>
      <c r="AU71" s="49">
        <f t="shared" si="6"/>
        <v>285845.10874605313</v>
      </c>
      <c r="AV71" s="49">
        <f t="shared" si="6"/>
        <v>307477.86657595442</v>
      </c>
      <c r="AW71" s="49">
        <f t="shared" si="6"/>
        <v>314822.89785272087</v>
      </c>
      <c r="AX71" s="49">
        <f t="shared" si="6"/>
        <v>318894.1875677522</v>
      </c>
      <c r="AZ71" s="53">
        <f t="shared" si="26"/>
        <v>2223002.4272471173</v>
      </c>
      <c r="BA71" s="53">
        <f t="shared" si="27"/>
        <v>2131227.5122632748</v>
      </c>
      <c r="BB71" s="53">
        <f t="shared" si="28"/>
        <v>2183840.4998275917</v>
      </c>
      <c r="BC71" s="53">
        <f t="shared" si="29"/>
        <v>2110204.9327397188</v>
      </c>
      <c r="BD71" s="53">
        <f t="shared" si="30"/>
        <v>2036835.3289231192</v>
      </c>
    </row>
    <row r="72" spans="2:56">
      <c r="B72" s="43">
        <f>'3. Input (des)investeringen '!B97</f>
        <v>1540</v>
      </c>
      <c r="C72" s="54"/>
      <c r="D72" s="54"/>
      <c r="E72" s="54"/>
      <c r="F72" s="48">
        <f>'3. Input (des)investeringen '!D97</f>
        <v>37094.77163904941</v>
      </c>
      <c r="G72" s="54"/>
      <c r="H72" s="43">
        <f>'3. Input (des)investeringen '!F97</f>
        <v>2020</v>
      </c>
      <c r="I72" s="48" t="str">
        <f>'3. Input (des)investeringen '!G97</f>
        <v>nvt</v>
      </c>
      <c r="J72" s="48">
        <f>'3. Input (des)investeringen '!H97</f>
        <v>55</v>
      </c>
      <c r="K72" s="48">
        <f>'3. Input (des)investeringen '!I97</f>
        <v>0</v>
      </c>
      <c r="M72" s="49">
        <f t="shared" si="8"/>
        <v>337.22519671863103</v>
      </c>
      <c r="N72" s="49">
        <f t="shared" si="9"/>
        <v>685.24159973225824</v>
      </c>
      <c r="P72" s="147">
        <f t="shared" si="31"/>
        <v>36757.546442330779</v>
      </c>
      <c r="Q72" s="147">
        <f t="shared" si="10"/>
        <v>36660.42558567581</v>
      </c>
      <c r="S72" s="49">
        <f t="shared" si="11"/>
        <v>36660.42558567581</v>
      </c>
      <c r="T72" s="44">
        <f t="shared" si="12"/>
        <v>53.5</v>
      </c>
      <c r="V72" s="49">
        <f t="shared" si="13"/>
        <v>801.73267168674215</v>
      </c>
      <c r="W72" s="49">
        <f t="shared" si="13"/>
        <v>782.25131704762498</v>
      </c>
      <c r="X72" s="49">
        <f t="shared" si="0"/>
        <v>763.24334111936491</v>
      </c>
      <c r="Y72" s="49">
        <f t="shared" si="0"/>
        <v>744.69724124169818</v>
      </c>
      <c r="Z72" s="49">
        <f t="shared" si="0"/>
        <v>726.60179425825504</v>
      </c>
      <c r="AB72" s="49">
        <f t="shared" si="14"/>
        <v>68.524159973225821</v>
      </c>
      <c r="AC72" s="49">
        <f t="shared" si="14"/>
        <v>68.524159973225821</v>
      </c>
      <c r="AD72" s="49">
        <f t="shared" si="1"/>
        <v>68.524159973225821</v>
      </c>
      <c r="AE72" s="49">
        <f t="shared" si="1"/>
        <v>68.524159973225821</v>
      </c>
      <c r="AF72" s="49">
        <f t="shared" si="1"/>
        <v>68.524159973225821</v>
      </c>
      <c r="AH72" s="49">
        <f t="shared" si="15"/>
        <v>870.25683165996793</v>
      </c>
      <c r="AI72" s="49">
        <f t="shared" si="16"/>
        <v>850.77547702085076</v>
      </c>
      <c r="AJ72" s="49">
        <f t="shared" si="17"/>
        <v>831.76750109259069</v>
      </c>
      <c r="AK72" s="49">
        <f t="shared" si="18"/>
        <v>813.22140121492396</v>
      </c>
      <c r="AL72" s="49">
        <f t="shared" si="19"/>
        <v>795.12595423148082</v>
      </c>
      <c r="AN72" s="49">
        <f t="shared" si="20"/>
        <v>35790.168754015845</v>
      </c>
      <c r="AO72" s="49">
        <f t="shared" si="21"/>
        <v>34939.393276994997</v>
      </c>
      <c r="AP72" s="49">
        <f t="shared" si="22"/>
        <v>34107.625775902408</v>
      </c>
      <c r="AQ72" s="49">
        <f t="shared" si="23"/>
        <v>33294.404374687481</v>
      </c>
      <c r="AR72" s="49">
        <f t="shared" si="24"/>
        <v>32499.278420456001</v>
      </c>
      <c r="AT72" s="49">
        <f t="shared" si="25"/>
        <v>381.74997249872774</v>
      </c>
      <c r="AU72" s="49">
        <f t="shared" si="6"/>
        <v>403.79679691047426</v>
      </c>
      <c r="AV72" s="49">
        <f t="shared" si="6"/>
        <v>434.35613850065903</v>
      </c>
      <c r="AW72" s="49">
        <f t="shared" si="6"/>
        <v>444.73203793716266</v>
      </c>
      <c r="AX72" s="49">
        <f t="shared" si="6"/>
        <v>450.48331265176608</v>
      </c>
      <c r="AZ72" s="53">
        <f t="shared" si="26"/>
        <v>2468.8725417952346</v>
      </c>
      <c r="BA72" s="53">
        <f t="shared" si="27"/>
        <v>2407.5722520721597</v>
      </c>
      <c r="BB72" s="53">
        <f t="shared" si="28"/>
        <v>2562.2134190775414</v>
      </c>
      <c r="BC72" s="53">
        <f t="shared" si="29"/>
        <v>2523.140805390211</v>
      </c>
      <c r="BD72" s="53">
        <f t="shared" si="30"/>
        <v>2480.5818468605748</v>
      </c>
    </row>
    <row r="73" spans="2:56">
      <c r="B73" s="43">
        <f>'3. Input (des)investeringen '!B98</f>
        <v>1541</v>
      </c>
      <c r="C73" s="54"/>
      <c r="D73" s="54"/>
      <c r="E73" s="54"/>
      <c r="F73" s="48">
        <f>'3. Input (des)investeringen '!D98</f>
        <v>0</v>
      </c>
      <c r="G73" s="54"/>
      <c r="H73" s="43">
        <f>'3. Input (des)investeringen '!F98</f>
        <v>2020</v>
      </c>
      <c r="I73" s="48" t="str">
        <f>'3. Input (des)investeringen '!G98</f>
        <v>nvt</v>
      </c>
      <c r="J73" s="48">
        <f>'3. Input (des)investeringen '!H98</f>
        <v>0</v>
      </c>
      <c r="K73" s="48">
        <f>'3. Input (des)investeringen '!I98</f>
        <v>0</v>
      </c>
      <c r="M73" s="49">
        <f t="shared" si="8"/>
        <v>0</v>
      </c>
      <c r="N73" s="49">
        <f t="shared" si="9"/>
        <v>0</v>
      </c>
      <c r="P73" s="147">
        <f t="shared" si="31"/>
        <v>0</v>
      </c>
      <c r="Q73" s="147">
        <f t="shared" si="10"/>
        <v>0</v>
      </c>
      <c r="S73" s="49">
        <f t="shared" si="11"/>
        <v>0</v>
      </c>
      <c r="T73" s="44">
        <f t="shared" si="12"/>
        <v>0</v>
      </c>
      <c r="V73" s="49">
        <f t="shared" si="13"/>
        <v>0</v>
      </c>
      <c r="W73" s="49">
        <f t="shared" si="13"/>
        <v>0</v>
      </c>
      <c r="X73" s="49">
        <f t="shared" si="0"/>
        <v>0</v>
      </c>
      <c r="Y73" s="49">
        <f t="shared" si="0"/>
        <v>0</v>
      </c>
      <c r="Z73" s="49">
        <f t="shared" si="0"/>
        <v>0</v>
      </c>
      <c r="AB73" s="49">
        <f t="shared" si="14"/>
        <v>0</v>
      </c>
      <c r="AC73" s="49">
        <f t="shared" si="14"/>
        <v>0</v>
      </c>
      <c r="AD73" s="49">
        <f t="shared" si="1"/>
        <v>0</v>
      </c>
      <c r="AE73" s="49">
        <f t="shared" si="1"/>
        <v>0</v>
      </c>
      <c r="AF73" s="49">
        <f t="shared" si="1"/>
        <v>0</v>
      </c>
      <c r="AH73" s="49">
        <f t="shared" si="15"/>
        <v>0</v>
      </c>
      <c r="AI73" s="49">
        <f t="shared" si="16"/>
        <v>0</v>
      </c>
      <c r="AJ73" s="49">
        <f t="shared" si="17"/>
        <v>0</v>
      </c>
      <c r="AK73" s="49">
        <f t="shared" si="18"/>
        <v>0</v>
      </c>
      <c r="AL73" s="49">
        <f t="shared" si="19"/>
        <v>0</v>
      </c>
      <c r="AN73" s="49">
        <f t="shared" si="20"/>
        <v>0</v>
      </c>
      <c r="AO73" s="49">
        <f t="shared" si="21"/>
        <v>0</v>
      </c>
      <c r="AP73" s="49">
        <f t="shared" si="22"/>
        <v>0</v>
      </c>
      <c r="AQ73" s="49">
        <f t="shared" si="23"/>
        <v>0</v>
      </c>
      <c r="AR73" s="49">
        <f t="shared" si="24"/>
        <v>0</v>
      </c>
      <c r="AT73" s="49">
        <f t="shared" si="25"/>
        <v>0</v>
      </c>
      <c r="AU73" s="49">
        <f t="shared" si="6"/>
        <v>0</v>
      </c>
      <c r="AV73" s="49">
        <f t="shared" si="6"/>
        <v>0</v>
      </c>
      <c r="AW73" s="49">
        <f t="shared" si="6"/>
        <v>0</v>
      </c>
      <c r="AX73" s="49">
        <f t="shared" si="6"/>
        <v>0</v>
      </c>
      <c r="AZ73" s="53">
        <f t="shared" si="26"/>
        <v>0</v>
      </c>
      <c r="BA73" s="53">
        <f t="shared" si="27"/>
        <v>0</v>
      </c>
      <c r="BB73" s="53">
        <f t="shared" si="28"/>
        <v>0</v>
      </c>
      <c r="BC73" s="53">
        <f t="shared" si="29"/>
        <v>0</v>
      </c>
      <c r="BD73" s="53">
        <f t="shared" si="30"/>
        <v>0</v>
      </c>
    </row>
    <row r="74" spans="2:56">
      <c r="B74" s="43">
        <f>'3. Input (des)investeringen '!B99</f>
        <v>1542</v>
      </c>
      <c r="C74" s="54"/>
      <c r="D74" s="54"/>
      <c r="E74" s="54"/>
      <c r="F74" s="48">
        <f>'3. Input (des)investeringen '!D99</f>
        <v>617395.17786534363</v>
      </c>
      <c r="G74" s="54"/>
      <c r="H74" s="43">
        <f>'3. Input (des)investeringen '!F99</f>
        <v>2020</v>
      </c>
      <c r="I74" s="48" t="str">
        <f>'3. Input (des)investeringen '!G99</f>
        <v>nvt</v>
      </c>
      <c r="J74" s="48">
        <f>'3. Input (des)investeringen '!H99</f>
        <v>5</v>
      </c>
      <c r="K74" s="48">
        <f>'3. Input (des)investeringen '!I99</f>
        <v>0</v>
      </c>
      <c r="M74" s="49">
        <f t="shared" si="8"/>
        <v>61739.517786534365</v>
      </c>
      <c r="N74" s="49">
        <f t="shared" si="9"/>
        <v>125454.70014223782</v>
      </c>
      <c r="P74" s="147">
        <f t="shared" si="31"/>
        <v>555655.66007880925</v>
      </c>
      <c r="Q74" s="147">
        <f t="shared" si="10"/>
        <v>439091.45049783238</v>
      </c>
      <c r="S74" s="49">
        <f t="shared" si="11"/>
        <v>439091.45049783238</v>
      </c>
      <c r="T74" s="44">
        <f t="shared" si="12"/>
        <v>3.5</v>
      </c>
      <c r="V74" s="49">
        <f t="shared" si="13"/>
        <v>146781.99916641827</v>
      </c>
      <c r="W74" s="49">
        <f t="shared" si="13"/>
        <v>99360.12251265235</v>
      </c>
      <c r="X74" s="49">
        <f t="shared" si="0"/>
        <v>99360.12251265235</v>
      </c>
      <c r="Y74" s="49">
        <f t="shared" si="0"/>
        <v>49680.061256326175</v>
      </c>
      <c r="Z74" s="49">
        <f t="shared" si="0"/>
        <v>0</v>
      </c>
      <c r="AB74" s="49">
        <f t="shared" si="14"/>
        <v>12545.470014223783</v>
      </c>
      <c r="AC74" s="49">
        <f t="shared" si="14"/>
        <v>12545.470014223783</v>
      </c>
      <c r="AD74" s="49">
        <f t="shared" si="1"/>
        <v>12545.470014223783</v>
      </c>
      <c r="AE74" s="49">
        <f t="shared" si="1"/>
        <v>6272.7350071118917</v>
      </c>
      <c r="AF74" s="49">
        <f t="shared" si="1"/>
        <v>0</v>
      </c>
      <c r="AH74" s="49">
        <f t="shared" si="15"/>
        <v>159327.46918064205</v>
      </c>
      <c r="AI74" s="49">
        <f t="shared" si="16"/>
        <v>111905.59252687613</v>
      </c>
      <c r="AJ74" s="49">
        <f t="shared" si="17"/>
        <v>111905.59252687613</v>
      </c>
      <c r="AK74" s="49">
        <f t="shared" si="18"/>
        <v>55952.796263438067</v>
      </c>
      <c r="AL74" s="49">
        <f t="shared" si="19"/>
        <v>0</v>
      </c>
      <c r="AN74" s="49">
        <f t="shared" si="20"/>
        <v>279763.98131719034</v>
      </c>
      <c r="AO74" s="49">
        <f t="shared" si="21"/>
        <v>167858.3887903142</v>
      </c>
      <c r="AP74" s="49">
        <f t="shared" si="22"/>
        <v>55952.796263438067</v>
      </c>
      <c r="AQ74" s="49">
        <f t="shared" si="23"/>
        <v>0</v>
      </c>
      <c r="AR74" s="49">
        <f t="shared" si="24"/>
        <v>0</v>
      </c>
      <c r="AT74" s="49">
        <f t="shared" si="25"/>
        <v>6353.7415586306552</v>
      </c>
      <c r="AU74" s="49">
        <f t="shared" si="6"/>
        <v>6720.6828411246934</v>
      </c>
      <c r="AV74" s="49">
        <f t="shared" si="6"/>
        <v>7229.3041185410102</v>
      </c>
      <c r="AW74" s="49">
        <f t="shared" si="6"/>
        <v>7401.9977353247186</v>
      </c>
      <c r="AX74" s="49">
        <f t="shared" si="6"/>
        <v>7497.7203700379378</v>
      </c>
      <c r="AZ74" s="53">
        <f t="shared" si="26"/>
        <v>175193.18610405718</v>
      </c>
      <c r="BA74" s="53">
        <f t="shared" si="27"/>
        <v>124165.60219808121</v>
      </c>
      <c r="BB74" s="53">
        <f t="shared" si="28"/>
        <v>121261.10290342779</v>
      </c>
      <c r="BC74" s="53">
        <f t="shared" si="29"/>
        <v>63354.793998762783</v>
      </c>
      <c r="BD74" s="53">
        <f t="shared" si="30"/>
        <v>7497.7203700379378</v>
      </c>
    </row>
    <row r="75" spans="2:56">
      <c r="B75" s="43">
        <f>'3. Input (des)investeringen '!B100</f>
        <v>1543</v>
      </c>
      <c r="C75" s="54"/>
      <c r="D75" s="54"/>
      <c r="E75" s="54"/>
      <c r="F75" s="48">
        <f>'3. Input (des)investeringen '!D100</f>
        <v>4570297.1729062358</v>
      </c>
      <c r="G75" s="54"/>
      <c r="H75" s="43">
        <f>'3. Input (des)investeringen '!F100</f>
        <v>2020</v>
      </c>
      <c r="I75" s="48" t="str">
        <f>'3. Input (des)investeringen '!G100</f>
        <v>nvt</v>
      </c>
      <c r="J75" s="48">
        <f>'3. Input (des)investeringen '!H100</f>
        <v>10</v>
      </c>
      <c r="K75" s="48">
        <f>'3. Input (des)investeringen '!I100</f>
        <v>0</v>
      </c>
      <c r="M75" s="49">
        <f t="shared" si="8"/>
        <v>228514.85864531179</v>
      </c>
      <c r="N75" s="49">
        <f t="shared" si="9"/>
        <v>464342.19276727358</v>
      </c>
      <c r="P75" s="147">
        <f t="shared" si="31"/>
        <v>4341782.3142609242</v>
      </c>
      <c r="Q75" s="147">
        <f t="shared" si="10"/>
        <v>3946908.6385218259</v>
      </c>
      <c r="S75" s="49">
        <f t="shared" si="11"/>
        <v>3946908.6385218259</v>
      </c>
      <c r="T75" s="44">
        <f t="shared" si="12"/>
        <v>8.5</v>
      </c>
      <c r="V75" s="49">
        <f t="shared" si="13"/>
        <v>543280.36553771026</v>
      </c>
      <c r="W75" s="49">
        <f t="shared" si="13"/>
        <v>460190.42727900157</v>
      </c>
      <c r="X75" s="49">
        <f t="shared" si="0"/>
        <v>392114.92028506636</v>
      </c>
      <c r="Y75" s="49">
        <f t="shared" si="0"/>
        <v>392114.92028506636</v>
      </c>
      <c r="Z75" s="49">
        <f t="shared" si="0"/>
        <v>392114.92028506636</v>
      </c>
      <c r="AB75" s="49">
        <f t="shared" si="14"/>
        <v>46434.219276727366</v>
      </c>
      <c r="AC75" s="49">
        <f t="shared" si="14"/>
        <v>46434.219276727374</v>
      </c>
      <c r="AD75" s="49">
        <f t="shared" si="1"/>
        <v>46434.219276727374</v>
      </c>
      <c r="AE75" s="49">
        <f t="shared" si="1"/>
        <v>46434.219276727374</v>
      </c>
      <c r="AF75" s="49">
        <f t="shared" si="1"/>
        <v>46434.219276727374</v>
      </c>
      <c r="AH75" s="49">
        <f t="shared" si="15"/>
        <v>589714.58481443767</v>
      </c>
      <c r="AI75" s="49">
        <f t="shared" si="16"/>
        <v>506624.64655572892</v>
      </c>
      <c r="AJ75" s="49">
        <f t="shared" si="17"/>
        <v>438549.13956179371</v>
      </c>
      <c r="AK75" s="49">
        <f t="shared" si="18"/>
        <v>438549.13956179371</v>
      </c>
      <c r="AL75" s="49">
        <f t="shared" si="19"/>
        <v>438549.13956179371</v>
      </c>
      <c r="AN75" s="49">
        <f t="shared" si="20"/>
        <v>3357194.0537073882</v>
      </c>
      <c r="AO75" s="49">
        <f t="shared" si="21"/>
        <v>2850569.4071516595</v>
      </c>
      <c r="AP75" s="49">
        <f t="shared" si="22"/>
        <v>2412020.2675898657</v>
      </c>
      <c r="AQ75" s="49">
        <f t="shared" si="23"/>
        <v>1973471.128028072</v>
      </c>
      <c r="AR75" s="49">
        <f t="shared" si="24"/>
        <v>1534921.9884662782</v>
      </c>
      <c r="AT75" s="49">
        <f t="shared" si="25"/>
        <v>47033.8741277308</v>
      </c>
      <c r="AU75" s="49">
        <f t="shared" si="6"/>
        <v>49750.174426355523</v>
      </c>
      <c r="AV75" s="49">
        <f t="shared" si="6"/>
        <v>53515.267626942106</v>
      </c>
      <c r="AW75" s="49">
        <f t="shared" si="6"/>
        <v>54793.640340014514</v>
      </c>
      <c r="AX75" s="49">
        <f t="shared" si="6"/>
        <v>55502.231696891562</v>
      </c>
      <c r="AZ75" s="53">
        <f t="shared" si="26"/>
        <v>750893.05676821969</v>
      </c>
      <c r="BA75" s="53">
        <f t="shared" si="27"/>
        <v>650443.61141808925</v>
      </c>
      <c r="BB75" s="53">
        <f t="shared" si="28"/>
        <v>583721.17735715071</v>
      </c>
      <c r="BC75" s="53">
        <f t="shared" si="29"/>
        <v>568334.6827668749</v>
      </c>
      <c r="BD75" s="53">
        <f t="shared" si="30"/>
        <v>552378.40682040388</v>
      </c>
    </row>
    <row r="76" spans="2:56">
      <c r="B76" s="43">
        <f>'3. Input (des)investeringen '!B101</f>
        <v>1544</v>
      </c>
      <c r="C76" s="54"/>
      <c r="D76" s="54"/>
      <c r="E76" s="54"/>
      <c r="F76" s="48">
        <f>'3. Input (des)investeringen '!D101</f>
        <v>7478818.3856429011</v>
      </c>
      <c r="G76" s="54"/>
      <c r="H76" s="43">
        <f>'3. Input (des)investeringen '!F101</f>
        <v>2020</v>
      </c>
      <c r="I76" s="48" t="str">
        <f>'3. Input (des)investeringen '!G101</f>
        <v>nvt</v>
      </c>
      <c r="J76" s="48">
        <f>'3. Input (des)investeringen '!H101</f>
        <v>15</v>
      </c>
      <c r="K76" s="48">
        <f>'3. Input (des)investeringen '!I101</f>
        <v>0</v>
      </c>
      <c r="M76" s="49">
        <f t="shared" si="8"/>
        <v>249293.94618809671</v>
      </c>
      <c r="N76" s="49">
        <f t="shared" si="9"/>
        <v>506565.29865421256</v>
      </c>
      <c r="P76" s="147">
        <f t="shared" si="31"/>
        <v>7229524.4394548042</v>
      </c>
      <c r="Q76" s="147">
        <f t="shared" si="10"/>
        <v>6838631.5318318689</v>
      </c>
      <c r="S76" s="49">
        <f t="shared" si="11"/>
        <v>6838631.5318318689</v>
      </c>
      <c r="T76" s="44">
        <f t="shared" si="12"/>
        <v>13.5</v>
      </c>
      <c r="V76" s="49">
        <f t="shared" si="13"/>
        <v>592681.39942542871</v>
      </c>
      <c r="W76" s="49">
        <f t="shared" si="13"/>
        <v>535608.37577705411</v>
      </c>
      <c r="X76" s="49">
        <f t="shared" si="0"/>
        <v>484031.27292444895</v>
      </c>
      <c r="Y76" s="49">
        <f t="shared" si="0"/>
        <v>437420.85405024269</v>
      </c>
      <c r="Z76" s="49">
        <f t="shared" si="0"/>
        <v>432108.05015489564</v>
      </c>
      <c r="AB76" s="49">
        <f t="shared" si="14"/>
        <v>50656.529865421253</v>
      </c>
      <c r="AC76" s="49">
        <f t="shared" si="14"/>
        <v>50656.529865421253</v>
      </c>
      <c r="AD76" s="49">
        <f t="shared" si="1"/>
        <v>50656.529865421253</v>
      </c>
      <c r="AE76" s="49">
        <f t="shared" si="1"/>
        <v>50656.529865421253</v>
      </c>
      <c r="AF76" s="49">
        <f t="shared" si="1"/>
        <v>50656.529865421253</v>
      </c>
      <c r="AH76" s="49">
        <f t="shared" si="15"/>
        <v>643337.92929084995</v>
      </c>
      <c r="AI76" s="49">
        <f t="shared" si="16"/>
        <v>586264.90564247535</v>
      </c>
      <c r="AJ76" s="49">
        <f t="shared" si="17"/>
        <v>534687.80278987018</v>
      </c>
      <c r="AK76" s="49">
        <f t="shared" si="18"/>
        <v>488077.38391566393</v>
      </c>
      <c r="AL76" s="49">
        <f t="shared" si="19"/>
        <v>482764.58002031688</v>
      </c>
      <c r="AN76" s="49">
        <f t="shared" si="20"/>
        <v>6195293.6025410192</v>
      </c>
      <c r="AO76" s="49">
        <f t="shared" si="21"/>
        <v>5609028.6968985442</v>
      </c>
      <c r="AP76" s="49">
        <f t="shared" si="22"/>
        <v>5074340.8941086736</v>
      </c>
      <c r="AQ76" s="49">
        <f t="shared" si="23"/>
        <v>4586263.5101930099</v>
      </c>
      <c r="AR76" s="49">
        <f t="shared" si="24"/>
        <v>4103498.930172693</v>
      </c>
      <c r="AT76" s="49">
        <f t="shared" si="25"/>
        <v>76966.067909060177</v>
      </c>
      <c r="AU76" s="49">
        <f t="shared" si="6"/>
        <v>81411.012262944234</v>
      </c>
      <c r="AV76" s="49">
        <f t="shared" si="6"/>
        <v>87572.197671003858</v>
      </c>
      <c r="AW76" s="49">
        <f t="shared" si="6"/>
        <v>89664.122328968791</v>
      </c>
      <c r="AX76" s="49">
        <f t="shared" si="6"/>
        <v>90823.658758927006</v>
      </c>
      <c r="AZ76" s="53">
        <f t="shared" si="26"/>
        <v>930943.97968630481</v>
      </c>
      <c r="BA76" s="53">
        <f t="shared" si="27"/>
        <v>852773.86490307155</v>
      </c>
      <c r="BB76" s="53">
        <f t="shared" si="28"/>
        <v>815084.9544370037</v>
      </c>
      <c r="BC76" s="53">
        <f t="shared" si="29"/>
        <v>752019.51963196706</v>
      </c>
      <c r="BD76" s="53">
        <f t="shared" si="30"/>
        <v>729521.19812580629</v>
      </c>
    </row>
    <row r="77" spans="2:56">
      <c r="B77" s="43">
        <f>'3. Input (des)investeringen '!B102</f>
        <v>1545</v>
      </c>
      <c r="C77" s="54"/>
      <c r="D77" s="54"/>
      <c r="E77" s="54"/>
      <c r="F77" s="48">
        <f>'3. Input (des)investeringen '!D102</f>
        <v>7420552.1500870837</v>
      </c>
      <c r="G77" s="54"/>
      <c r="H77" s="43">
        <f>'3. Input (des)investeringen '!F102</f>
        <v>2020</v>
      </c>
      <c r="I77" s="48" t="str">
        <f>'3. Input (des)investeringen '!G102</f>
        <v>nvt</v>
      </c>
      <c r="J77" s="48">
        <f>'3. Input (des)investeringen '!H102</f>
        <v>30</v>
      </c>
      <c r="K77" s="48">
        <f>'3. Input (des)investeringen '!I102</f>
        <v>0</v>
      </c>
      <c r="M77" s="49">
        <f t="shared" si="8"/>
        <v>123675.86916811806</v>
      </c>
      <c r="N77" s="49">
        <f t="shared" si="9"/>
        <v>251309.3661496159</v>
      </c>
      <c r="P77" s="147">
        <f t="shared" si="31"/>
        <v>7296876.280918966</v>
      </c>
      <c r="Q77" s="147">
        <f t="shared" si="10"/>
        <v>7162316.9352640538</v>
      </c>
      <c r="S77" s="49">
        <f t="shared" si="11"/>
        <v>7162316.9352640538</v>
      </c>
      <c r="T77" s="44">
        <f t="shared" si="12"/>
        <v>28.5</v>
      </c>
      <c r="V77" s="49">
        <f t="shared" si="13"/>
        <v>294031.95839505066</v>
      </c>
      <c r="W77" s="49">
        <f t="shared" si="13"/>
        <v>280619.97432790801</v>
      </c>
      <c r="X77" s="49">
        <f t="shared" si="13"/>
        <v>267819.76497259992</v>
      </c>
      <c r="Y77" s="49">
        <f t="shared" si="13"/>
        <v>255603.42481595499</v>
      </c>
      <c r="Z77" s="49">
        <f t="shared" si="13"/>
        <v>243944.32122785883</v>
      </c>
      <c r="AB77" s="49">
        <f t="shared" si="14"/>
        <v>25130.936614961593</v>
      </c>
      <c r="AC77" s="49">
        <f t="shared" si="14"/>
        <v>25130.936614961593</v>
      </c>
      <c r="AD77" s="49">
        <f t="shared" si="14"/>
        <v>25130.936614961593</v>
      </c>
      <c r="AE77" s="49">
        <f t="shared" si="14"/>
        <v>25130.936614961593</v>
      </c>
      <c r="AF77" s="49">
        <f t="shared" si="14"/>
        <v>25130.936614961593</v>
      </c>
      <c r="AH77" s="49">
        <f t="shared" si="15"/>
        <v>319162.89501001226</v>
      </c>
      <c r="AI77" s="49">
        <f t="shared" si="16"/>
        <v>305750.91094286961</v>
      </c>
      <c r="AJ77" s="49">
        <f t="shared" si="17"/>
        <v>292950.70158756152</v>
      </c>
      <c r="AK77" s="49">
        <f t="shared" si="18"/>
        <v>280734.36143091659</v>
      </c>
      <c r="AL77" s="49">
        <f t="shared" si="19"/>
        <v>269075.25784282043</v>
      </c>
      <c r="AN77" s="49">
        <f t="shared" si="20"/>
        <v>6843154.0402540416</v>
      </c>
      <c r="AO77" s="49">
        <f t="shared" si="21"/>
        <v>6537403.1293111723</v>
      </c>
      <c r="AP77" s="49">
        <f t="shared" si="22"/>
        <v>6244452.4277236108</v>
      </c>
      <c r="AQ77" s="49">
        <f t="shared" si="23"/>
        <v>5963718.0662926938</v>
      </c>
      <c r="AR77" s="49">
        <f t="shared" si="24"/>
        <v>5694642.8084498737</v>
      </c>
      <c r="AT77" s="49">
        <f t="shared" si="25"/>
        <v>76366.438019503941</v>
      </c>
      <c r="AU77" s="49">
        <f t="shared" si="25"/>
        <v>80776.75254800632</v>
      </c>
      <c r="AV77" s="49">
        <f t="shared" si="25"/>
        <v>86889.937180839464</v>
      </c>
      <c r="AW77" s="49">
        <f t="shared" si="25"/>
        <v>88965.564000215352</v>
      </c>
      <c r="AX77" s="49">
        <f t="shared" si="25"/>
        <v>90116.066673866124</v>
      </c>
      <c r="AZ77" s="53">
        <f t="shared" si="26"/>
        <v>628196.57039815362</v>
      </c>
      <c r="BA77" s="53">
        <f t="shared" si="27"/>
        <v>602261.96675814467</v>
      </c>
      <c r="BB77" s="53">
        <f t="shared" si="28"/>
        <v>617129.83102189819</v>
      </c>
      <c r="BC77" s="53">
        <f t="shared" si="29"/>
        <v>596321.21195025428</v>
      </c>
      <c r="BD77" s="53">
        <f t="shared" si="30"/>
        <v>575587.75123778172</v>
      </c>
    </row>
    <row r="78" spans="2:56">
      <c r="B78" s="43">
        <f>'3. Input (des)investeringen '!B103</f>
        <v>1546</v>
      </c>
      <c r="C78" s="54"/>
      <c r="D78" s="54"/>
      <c r="E78" s="54"/>
      <c r="F78" s="48">
        <f>'3. Input (des)investeringen '!D103</f>
        <v>0</v>
      </c>
      <c r="G78" s="54"/>
      <c r="H78" s="43">
        <f>'3. Input (des)investeringen '!F103</f>
        <v>2020</v>
      </c>
      <c r="I78" s="48" t="str">
        <f>'3. Input (des)investeringen '!G103</f>
        <v>nvt</v>
      </c>
      <c r="J78" s="48">
        <f>'3. Input (des)investeringen '!H103</f>
        <v>55</v>
      </c>
      <c r="K78" s="48">
        <f>'3. Input (des)investeringen '!I103</f>
        <v>0</v>
      </c>
      <c r="M78" s="49">
        <f t="shared" si="8"/>
        <v>0</v>
      </c>
      <c r="N78" s="49">
        <f t="shared" si="9"/>
        <v>0</v>
      </c>
      <c r="P78" s="147">
        <f t="shared" si="31"/>
        <v>0</v>
      </c>
      <c r="Q78" s="147">
        <f t="shared" si="10"/>
        <v>0</v>
      </c>
      <c r="S78" s="49">
        <f t="shared" si="11"/>
        <v>0</v>
      </c>
      <c r="T78" s="44">
        <f t="shared" si="12"/>
        <v>53.5</v>
      </c>
      <c r="V78" s="49">
        <f t="shared" si="13"/>
        <v>0</v>
      </c>
      <c r="W78" s="49">
        <f t="shared" si="13"/>
        <v>0</v>
      </c>
      <c r="X78" s="49">
        <f t="shared" si="13"/>
        <v>0</v>
      </c>
      <c r="Y78" s="49">
        <f t="shared" si="13"/>
        <v>0</v>
      </c>
      <c r="Z78" s="49">
        <f t="shared" si="13"/>
        <v>0</v>
      </c>
      <c r="AB78" s="49">
        <f t="shared" si="14"/>
        <v>0</v>
      </c>
      <c r="AC78" s="49">
        <f t="shared" si="14"/>
        <v>0</v>
      </c>
      <c r="AD78" s="49">
        <f t="shared" si="14"/>
        <v>0</v>
      </c>
      <c r="AE78" s="49">
        <f t="shared" si="14"/>
        <v>0</v>
      </c>
      <c r="AF78" s="49">
        <f t="shared" si="14"/>
        <v>0</v>
      </c>
      <c r="AH78" s="49">
        <f t="shared" si="15"/>
        <v>0</v>
      </c>
      <c r="AI78" s="49">
        <f t="shared" si="16"/>
        <v>0</v>
      </c>
      <c r="AJ78" s="49">
        <f t="shared" si="17"/>
        <v>0</v>
      </c>
      <c r="AK78" s="49">
        <f t="shared" si="18"/>
        <v>0</v>
      </c>
      <c r="AL78" s="49">
        <f t="shared" si="19"/>
        <v>0</v>
      </c>
      <c r="AN78" s="49">
        <f t="shared" si="20"/>
        <v>0</v>
      </c>
      <c r="AO78" s="49">
        <f t="shared" si="21"/>
        <v>0</v>
      </c>
      <c r="AP78" s="49">
        <f t="shared" si="22"/>
        <v>0</v>
      </c>
      <c r="AQ78" s="49">
        <f t="shared" si="23"/>
        <v>0</v>
      </c>
      <c r="AR78" s="49">
        <f t="shared" si="24"/>
        <v>0</v>
      </c>
      <c r="AT78" s="49">
        <f t="shared" si="25"/>
        <v>0</v>
      </c>
      <c r="AU78" s="49">
        <f t="shared" si="25"/>
        <v>0</v>
      </c>
      <c r="AV78" s="49">
        <f t="shared" si="25"/>
        <v>0</v>
      </c>
      <c r="AW78" s="49">
        <f t="shared" si="25"/>
        <v>0</v>
      </c>
      <c r="AX78" s="49">
        <f t="shared" si="25"/>
        <v>0</v>
      </c>
      <c r="AZ78" s="53">
        <f t="shared" si="26"/>
        <v>0</v>
      </c>
      <c r="BA78" s="53">
        <f t="shared" si="27"/>
        <v>0</v>
      </c>
      <c r="BB78" s="53">
        <f t="shared" si="28"/>
        <v>0</v>
      </c>
      <c r="BC78" s="53">
        <f t="shared" si="29"/>
        <v>0</v>
      </c>
      <c r="BD78" s="53">
        <f t="shared" si="30"/>
        <v>0</v>
      </c>
    </row>
    <row r="79" spans="2:56">
      <c r="B79" s="43">
        <f>'3. Input (des)investeringen '!B104</f>
        <v>1547</v>
      </c>
      <c r="C79" s="54"/>
      <c r="D79" s="54"/>
      <c r="E79" s="54"/>
      <c r="F79" s="48">
        <f>'3. Input (des)investeringen '!D104</f>
        <v>0</v>
      </c>
      <c r="G79" s="54"/>
      <c r="H79" s="43">
        <f>'3. Input (des)investeringen '!F104</f>
        <v>2021</v>
      </c>
      <c r="I79" s="48" t="str">
        <f>'3. Input (des)investeringen '!G104</f>
        <v>nvt</v>
      </c>
      <c r="J79" s="48">
        <f>'3. Input (des)investeringen '!H104</f>
        <v>0</v>
      </c>
      <c r="K79" s="48">
        <f>'3. Input (des)investeringen '!I104</f>
        <v>1</v>
      </c>
      <c r="M79" s="49">
        <f t="shared" si="8"/>
        <v>0</v>
      </c>
      <c r="N79" s="49">
        <f t="shared" si="9"/>
        <v>0</v>
      </c>
      <c r="P79" s="147">
        <f t="shared" si="31"/>
        <v>0</v>
      </c>
      <c r="Q79" s="147">
        <f t="shared" si="10"/>
        <v>0</v>
      </c>
      <c r="S79" s="49">
        <f t="shared" si="11"/>
        <v>0</v>
      </c>
      <c r="T79" s="44">
        <f t="shared" si="12"/>
        <v>0</v>
      </c>
      <c r="V79" s="49">
        <f t="shared" si="13"/>
        <v>0</v>
      </c>
      <c r="W79" s="49">
        <f t="shared" si="13"/>
        <v>0</v>
      </c>
      <c r="X79" s="49">
        <f t="shared" si="13"/>
        <v>0</v>
      </c>
      <c r="Y79" s="49">
        <f t="shared" si="13"/>
        <v>0</v>
      </c>
      <c r="Z79" s="49">
        <f t="shared" si="13"/>
        <v>0</v>
      </c>
      <c r="AB79" s="49">
        <f t="shared" si="14"/>
        <v>0</v>
      </c>
      <c r="AC79" s="49">
        <f t="shared" si="14"/>
        <v>0</v>
      </c>
      <c r="AD79" s="49">
        <f t="shared" si="14"/>
        <v>0</v>
      </c>
      <c r="AE79" s="49">
        <f t="shared" si="14"/>
        <v>0</v>
      </c>
      <c r="AF79" s="49">
        <f t="shared" si="14"/>
        <v>0</v>
      </c>
      <c r="AH79" s="49">
        <f t="shared" si="15"/>
        <v>0</v>
      </c>
      <c r="AI79" s="49">
        <f t="shared" si="16"/>
        <v>0</v>
      </c>
      <c r="AJ79" s="49">
        <f t="shared" si="17"/>
        <v>0</v>
      </c>
      <c r="AK79" s="49">
        <f t="shared" si="18"/>
        <v>0</v>
      </c>
      <c r="AL79" s="49">
        <f t="shared" si="19"/>
        <v>0</v>
      </c>
      <c r="AN79" s="49">
        <f t="shared" si="20"/>
        <v>0</v>
      </c>
      <c r="AO79" s="49">
        <f t="shared" si="21"/>
        <v>0</v>
      </c>
      <c r="AP79" s="49">
        <f t="shared" si="22"/>
        <v>0</v>
      </c>
      <c r="AQ79" s="49">
        <f t="shared" si="23"/>
        <v>0</v>
      </c>
      <c r="AR79" s="49">
        <f t="shared" si="24"/>
        <v>0</v>
      </c>
      <c r="AT79" s="49">
        <f t="shared" si="25"/>
        <v>0</v>
      </c>
      <c r="AU79" s="49">
        <f t="shared" si="25"/>
        <v>0</v>
      </c>
      <c r="AV79" s="49">
        <f t="shared" si="25"/>
        <v>0</v>
      </c>
      <c r="AW79" s="49">
        <f t="shared" si="25"/>
        <v>0</v>
      </c>
      <c r="AX79" s="49">
        <f t="shared" si="25"/>
        <v>0</v>
      </c>
      <c r="AZ79" s="53">
        <f t="shared" si="26"/>
        <v>0</v>
      </c>
      <c r="BA79" s="53">
        <f t="shared" si="27"/>
        <v>0</v>
      </c>
      <c r="BB79" s="53">
        <f t="shared" si="28"/>
        <v>0</v>
      </c>
      <c r="BC79" s="53">
        <f t="shared" si="29"/>
        <v>0</v>
      </c>
      <c r="BD79" s="53">
        <f t="shared" si="30"/>
        <v>0</v>
      </c>
    </row>
    <row r="80" spans="2:56">
      <c r="B80" s="43">
        <f>'3. Input (des)investeringen '!B105</f>
        <v>1548</v>
      </c>
      <c r="C80" s="54"/>
      <c r="D80" s="54"/>
      <c r="E80" s="54"/>
      <c r="F80" s="48">
        <f>'3. Input (des)investeringen '!D105</f>
        <v>16674534.307636745</v>
      </c>
      <c r="G80" s="54"/>
      <c r="H80" s="43">
        <f>'3. Input (des)investeringen '!F105</f>
        <v>2021</v>
      </c>
      <c r="I80" s="48" t="str">
        <f>'3. Input (des)investeringen '!G105</f>
        <v>nvt</v>
      </c>
      <c r="J80" s="48">
        <f>'3. Input (des)investeringen '!H105</f>
        <v>5</v>
      </c>
      <c r="K80" s="48">
        <f>'3. Input (des)investeringen '!I105</f>
        <v>1</v>
      </c>
      <c r="M80" s="49">
        <f t="shared" si="8"/>
        <v>0</v>
      </c>
      <c r="N80" s="49">
        <f t="shared" si="9"/>
        <v>1667453.4307636747</v>
      </c>
      <c r="P80" s="147">
        <f t="shared" si="31"/>
        <v>0</v>
      </c>
      <c r="Q80" s="147">
        <f t="shared" si="10"/>
        <v>15007080.87687307</v>
      </c>
      <c r="S80" s="49">
        <f t="shared" si="11"/>
        <v>15007080.87687307</v>
      </c>
      <c r="T80" s="44">
        <f t="shared" si="12"/>
        <v>4.5</v>
      </c>
      <c r="V80" s="49">
        <f t="shared" si="13"/>
        <v>3901841.0279869991</v>
      </c>
      <c r="W80" s="49">
        <f t="shared" si="13"/>
        <v>2774642.5087907547</v>
      </c>
      <c r="X80" s="49">
        <f t="shared" si="13"/>
        <v>2731955.7009632038</v>
      </c>
      <c r="Y80" s="49">
        <f t="shared" si="13"/>
        <v>2731955.7009632038</v>
      </c>
      <c r="Z80" s="49">
        <f t="shared" si="13"/>
        <v>1365977.8504816019</v>
      </c>
      <c r="AB80" s="49">
        <f t="shared" si="14"/>
        <v>333490.68615273491</v>
      </c>
      <c r="AC80" s="49">
        <f t="shared" si="14"/>
        <v>333490.68615273491</v>
      </c>
      <c r="AD80" s="49">
        <f t="shared" si="14"/>
        <v>333490.68615273491</v>
      </c>
      <c r="AE80" s="49">
        <f t="shared" si="14"/>
        <v>333490.68615273491</v>
      </c>
      <c r="AF80" s="49">
        <f t="shared" si="14"/>
        <v>166745.34307636746</v>
      </c>
      <c r="AH80" s="49">
        <f t="shared" si="15"/>
        <v>4235331.7141397344</v>
      </c>
      <c r="AI80" s="49">
        <f t="shared" si="16"/>
        <v>3108133.1949434895</v>
      </c>
      <c r="AJ80" s="49">
        <f t="shared" si="17"/>
        <v>3065446.3871159386</v>
      </c>
      <c r="AK80" s="49">
        <f t="shared" si="18"/>
        <v>3065446.3871159386</v>
      </c>
      <c r="AL80" s="49">
        <f t="shared" si="19"/>
        <v>1532723.1935579693</v>
      </c>
      <c r="AN80" s="49">
        <f t="shared" si="20"/>
        <v>10771749.162733335</v>
      </c>
      <c r="AO80" s="49">
        <f t="shared" si="21"/>
        <v>7663615.9677898455</v>
      </c>
      <c r="AP80" s="49">
        <f t="shared" si="22"/>
        <v>4598169.580673907</v>
      </c>
      <c r="AQ80" s="49">
        <f t="shared" si="23"/>
        <v>1532723.1935579684</v>
      </c>
      <c r="AR80" s="49">
        <f t="shared" si="24"/>
        <v>0</v>
      </c>
      <c r="AT80" s="49">
        <f t="shared" si="25"/>
        <v>169067.77221473513</v>
      </c>
      <c r="AU80" s="49">
        <f t="shared" si="25"/>
        <v>178831.77419568048</v>
      </c>
      <c r="AV80" s="49">
        <f t="shared" si="25"/>
        <v>192365.76286680959</v>
      </c>
      <c r="AW80" s="49">
        <f t="shared" si="25"/>
        <v>196960.99621017193</v>
      </c>
      <c r="AX80" s="49">
        <f t="shared" si="25"/>
        <v>199508.09581316184</v>
      </c>
      <c r="AZ80" s="53">
        <f t="shared" si="26"/>
        <v>4770638.9578874027</v>
      </c>
      <c r="BA80" s="53">
        <f t="shared" si="27"/>
        <v>3539864.2960762349</v>
      </c>
      <c r="BB80" s="53">
        <f t="shared" si="28"/>
        <v>3432542.5940483566</v>
      </c>
      <c r="BC80" s="53">
        <f t="shared" si="29"/>
        <v>3320650.8646813133</v>
      </c>
      <c r="BD80" s="53">
        <f t="shared" si="30"/>
        <v>1732231.2893711312</v>
      </c>
    </row>
    <row r="81" spans="2:56">
      <c r="B81" s="43">
        <f>'3. Input (des)investeringen '!B106</f>
        <v>1549</v>
      </c>
      <c r="C81" s="54"/>
      <c r="D81" s="54"/>
      <c r="E81" s="54"/>
      <c r="F81" s="48">
        <f>'3. Input (des)investeringen '!D106</f>
        <v>5057746.3074202398</v>
      </c>
      <c r="G81" s="54"/>
      <c r="H81" s="43">
        <f>'3. Input (des)investeringen '!F106</f>
        <v>2021</v>
      </c>
      <c r="I81" s="48" t="str">
        <f>'3. Input (des)investeringen '!G106</f>
        <v>nvt</v>
      </c>
      <c r="J81" s="48">
        <f>'3. Input (des)investeringen '!H106</f>
        <v>10</v>
      </c>
      <c r="K81" s="48">
        <f>'3. Input (des)investeringen '!I106</f>
        <v>1</v>
      </c>
      <c r="M81" s="49">
        <f t="shared" si="8"/>
        <v>0</v>
      </c>
      <c r="N81" s="49">
        <f t="shared" si="9"/>
        <v>252887.315371012</v>
      </c>
      <c r="P81" s="147">
        <f t="shared" si="31"/>
        <v>0</v>
      </c>
      <c r="Q81" s="147">
        <f t="shared" si="10"/>
        <v>4804858.9920492275</v>
      </c>
      <c r="S81" s="49">
        <f t="shared" si="11"/>
        <v>4804858.9920492275</v>
      </c>
      <c r="T81" s="44">
        <f t="shared" si="12"/>
        <v>9.5</v>
      </c>
      <c r="V81" s="49">
        <f t="shared" si="13"/>
        <v>591756.31796816806</v>
      </c>
      <c r="W81" s="49">
        <f t="shared" si="13"/>
        <v>510779.13761462923</v>
      </c>
      <c r="X81" s="49">
        <f t="shared" si="13"/>
        <v>440883.04509894311</v>
      </c>
      <c r="Y81" s="49">
        <f t="shared" si="13"/>
        <v>427839.16802500986</v>
      </c>
      <c r="Z81" s="49">
        <f t="shared" si="13"/>
        <v>427839.16802500986</v>
      </c>
      <c r="AB81" s="49">
        <f t="shared" si="14"/>
        <v>50577.463074202395</v>
      </c>
      <c r="AC81" s="49">
        <f t="shared" si="14"/>
        <v>50577.463074202395</v>
      </c>
      <c r="AD81" s="49">
        <f t="shared" si="14"/>
        <v>50577.463074202395</v>
      </c>
      <c r="AE81" s="49">
        <f t="shared" si="14"/>
        <v>50577.463074202395</v>
      </c>
      <c r="AF81" s="49">
        <f t="shared" si="14"/>
        <v>50577.463074202395</v>
      </c>
      <c r="AH81" s="49">
        <f t="shared" si="15"/>
        <v>642333.78104237048</v>
      </c>
      <c r="AI81" s="49">
        <f t="shared" si="16"/>
        <v>561356.60068883165</v>
      </c>
      <c r="AJ81" s="49">
        <f t="shared" si="17"/>
        <v>491460.50817314553</v>
      </c>
      <c r="AK81" s="49">
        <f t="shared" si="18"/>
        <v>478416.63109921227</v>
      </c>
      <c r="AL81" s="49">
        <f t="shared" si="19"/>
        <v>478416.63109921227</v>
      </c>
      <c r="AN81" s="49">
        <f t="shared" si="20"/>
        <v>4162525.211006857</v>
      </c>
      <c r="AO81" s="49">
        <f t="shared" si="21"/>
        <v>3601168.6103180256</v>
      </c>
      <c r="AP81" s="49">
        <f t="shared" si="22"/>
        <v>3109708.1021448802</v>
      </c>
      <c r="AQ81" s="49">
        <f t="shared" si="23"/>
        <v>2631291.4710456678</v>
      </c>
      <c r="AR81" s="49">
        <f t="shared" si="24"/>
        <v>2152874.8399464553</v>
      </c>
      <c r="AT81" s="49">
        <f t="shared" si="25"/>
        <v>51281.905979899886</v>
      </c>
      <c r="AU81" s="49">
        <f t="shared" si="25"/>
        <v>54243.538614051075</v>
      </c>
      <c r="AV81" s="49">
        <f t="shared" si="25"/>
        <v>58348.689616362455</v>
      </c>
      <c r="AW81" s="49">
        <f t="shared" si="25"/>
        <v>59742.52311391812</v>
      </c>
      <c r="AX81" s="49">
        <f t="shared" si="25"/>
        <v>60515.1134228273</v>
      </c>
      <c r="AZ81" s="53">
        <f t="shared" si="26"/>
        <v>835141.54419650359</v>
      </c>
      <c r="BA81" s="53">
        <f t="shared" si="27"/>
        <v>734438.70344337763</v>
      </c>
      <c r="BB81" s="53">
        <f t="shared" si="28"/>
        <v>667978.10567101347</v>
      </c>
      <c r="BC81" s="53">
        <f t="shared" si="29"/>
        <v>638148.2301128658</v>
      </c>
      <c r="BD81" s="53">
        <f t="shared" si="30"/>
        <v>620740.98844000488</v>
      </c>
    </row>
    <row r="82" spans="2:56">
      <c r="B82" s="43">
        <f>'3. Input (des)investeringen '!B107</f>
        <v>1550</v>
      </c>
      <c r="C82" s="54"/>
      <c r="D82" s="54"/>
      <c r="E82" s="54"/>
      <c r="F82" s="48">
        <f>'3. Input (des)investeringen '!D107</f>
        <v>23857053.29424395</v>
      </c>
      <c r="G82" s="54"/>
      <c r="H82" s="43">
        <f>'3. Input (des)investeringen '!F107</f>
        <v>2021</v>
      </c>
      <c r="I82" s="48" t="str">
        <f>'3. Input (des)investeringen '!G107</f>
        <v>nvt</v>
      </c>
      <c r="J82" s="48">
        <f>'3. Input (des)investeringen '!H107</f>
        <v>15</v>
      </c>
      <c r="K82" s="48">
        <f>'3. Input (des)investeringen '!I107</f>
        <v>1</v>
      </c>
      <c r="M82" s="49">
        <f t="shared" si="8"/>
        <v>0</v>
      </c>
      <c r="N82" s="49">
        <f t="shared" si="9"/>
        <v>795235.1098081317</v>
      </c>
      <c r="P82" s="147">
        <f t="shared" si="31"/>
        <v>0</v>
      </c>
      <c r="Q82" s="147">
        <f t="shared" si="10"/>
        <v>23061818.184435818</v>
      </c>
      <c r="S82" s="49">
        <f t="shared" si="11"/>
        <v>23061818.184435818</v>
      </c>
      <c r="T82" s="44">
        <f t="shared" si="12"/>
        <v>14.5</v>
      </c>
      <c r="V82" s="49">
        <f t="shared" si="13"/>
        <v>1860850.1569510282</v>
      </c>
      <c r="W82" s="49">
        <f t="shared" si="13"/>
        <v>1694015.3152933496</v>
      </c>
      <c r="X82" s="49">
        <f t="shared" si="13"/>
        <v>1542138.0801291184</v>
      </c>
      <c r="Y82" s="49">
        <f t="shared" si="13"/>
        <v>1403877.4246692664</v>
      </c>
      <c r="Z82" s="49">
        <f t="shared" si="13"/>
        <v>1357595.7513285214</v>
      </c>
      <c r="AB82" s="49">
        <f t="shared" si="14"/>
        <v>159047.02196162633</v>
      </c>
      <c r="AC82" s="49">
        <f t="shared" si="14"/>
        <v>159047.02196162636</v>
      </c>
      <c r="AD82" s="49">
        <f t="shared" si="14"/>
        <v>159047.02196162636</v>
      </c>
      <c r="AE82" s="49">
        <f t="shared" si="14"/>
        <v>159047.02196162636</v>
      </c>
      <c r="AF82" s="49">
        <f t="shared" si="14"/>
        <v>159047.02196162636</v>
      </c>
      <c r="AH82" s="49">
        <f t="shared" si="15"/>
        <v>2019897.1789126545</v>
      </c>
      <c r="AI82" s="49">
        <f t="shared" si="16"/>
        <v>1853062.3372549759</v>
      </c>
      <c r="AJ82" s="49">
        <f t="shared" si="17"/>
        <v>1701185.1020907448</v>
      </c>
      <c r="AK82" s="49">
        <f t="shared" si="18"/>
        <v>1562924.4466308928</v>
      </c>
      <c r="AL82" s="49">
        <f t="shared" si="19"/>
        <v>1516642.7732901478</v>
      </c>
      <c r="AN82" s="49">
        <f t="shared" si="20"/>
        <v>21041921.005523164</v>
      </c>
      <c r="AO82" s="49">
        <f t="shared" si="21"/>
        <v>19188858.668268189</v>
      </c>
      <c r="AP82" s="49">
        <f t="shared" si="22"/>
        <v>17487673.566177443</v>
      </c>
      <c r="AQ82" s="49">
        <f t="shared" si="23"/>
        <v>15924749.119546549</v>
      </c>
      <c r="AR82" s="49">
        <f t="shared" si="24"/>
        <v>14408106.346256401</v>
      </c>
      <c r="AT82" s="49">
        <f t="shared" si="25"/>
        <v>241893.34332526181</v>
      </c>
      <c r="AU82" s="49">
        <f t="shared" si="25"/>
        <v>255863.1676889823</v>
      </c>
      <c r="AV82" s="49">
        <f t="shared" si="25"/>
        <v>275226.89221968449</v>
      </c>
      <c r="AW82" s="49">
        <f t="shared" si="25"/>
        <v>281801.51222102839</v>
      </c>
      <c r="AX82" s="49">
        <f t="shared" si="25"/>
        <v>285445.76937707065</v>
      </c>
      <c r="AZ82" s="53">
        <f t="shared" si="26"/>
        <v>2977215.836425704</v>
      </c>
      <c r="BA82" s="53">
        <f t="shared" si="27"/>
        <v>2742157.8409968084</v>
      </c>
      <c r="BB82" s="53">
        <f t="shared" si="28"/>
        <v>2640943.589825172</v>
      </c>
      <c r="BC82" s="53">
        <f t="shared" si="29"/>
        <v>2449866.4253946901</v>
      </c>
      <c r="BD82" s="53">
        <f t="shared" si="30"/>
        <v>2349596.5838249614</v>
      </c>
    </row>
    <row r="83" spans="2:56">
      <c r="B83" s="43">
        <f>'3. Input (des)investeringen '!B108</f>
        <v>1551</v>
      </c>
      <c r="C83" s="54"/>
      <c r="D83" s="54"/>
      <c r="E83" s="54"/>
      <c r="F83" s="48">
        <f>'3. Input (des)investeringen '!D108</f>
        <v>29301462.7172231</v>
      </c>
      <c r="G83" s="54"/>
      <c r="H83" s="43">
        <f>'3. Input (des)investeringen '!F108</f>
        <v>2021</v>
      </c>
      <c r="I83" s="48" t="str">
        <f>'3. Input (des)investeringen '!G108</f>
        <v>nvt</v>
      </c>
      <c r="J83" s="48">
        <f>'3. Input (des)investeringen '!H108</f>
        <v>30</v>
      </c>
      <c r="K83" s="48">
        <f>'3. Input (des)investeringen '!I108</f>
        <v>1</v>
      </c>
      <c r="M83" s="49">
        <f t="shared" si="8"/>
        <v>0</v>
      </c>
      <c r="N83" s="49">
        <f t="shared" si="9"/>
        <v>488357.71195371833</v>
      </c>
      <c r="P83" s="147">
        <f t="shared" si="31"/>
        <v>0</v>
      </c>
      <c r="Q83" s="147">
        <f t="shared" si="10"/>
        <v>28813105.005269382</v>
      </c>
      <c r="S83" s="49">
        <f t="shared" si="11"/>
        <v>28813105.005269382</v>
      </c>
      <c r="T83" s="44">
        <f t="shared" si="12"/>
        <v>29.5</v>
      </c>
      <c r="V83" s="49">
        <f t="shared" si="13"/>
        <v>1142757.0459717009</v>
      </c>
      <c r="W83" s="49">
        <f t="shared" si="13"/>
        <v>1092398.2608949819</v>
      </c>
      <c r="X83" s="49">
        <f t="shared" si="13"/>
        <v>1044258.6765165591</v>
      </c>
      <c r="Y83" s="49">
        <f t="shared" si="13"/>
        <v>998240.49755142257</v>
      </c>
      <c r="Z83" s="49">
        <f t="shared" si="13"/>
        <v>954250.2383372921</v>
      </c>
      <c r="AB83" s="49">
        <f t="shared" si="14"/>
        <v>97671.542390743678</v>
      </c>
      <c r="AC83" s="49">
        <f t="shared" si="14"/>
        <v>97671.542390743678</v>
      </c>
      <c r="AD83" s="49">
        <f t="shared" si="14"/>
        <v>97671.542390743678</v>
      </c>
      <c r="AE83" s="49">
        <f t="shared" si="14"/>
        <v>97671.542390743678</v>
      </c>
      <c r="AF83" s="49">
        <f t="shared" si="14"/>
        <v>97671.542390743678</v>
      </c>
      <c r="AH83" s="49">
        <f t="shared" si="15"/>
        <v>1240428.5883624447</v>
      </c>
      <c r="AI83" s="49">
        <f t="shared" si="16"/>
        <v>1190069.8032857256</v>
      </c>
      <c r="AJ83" s="49">
        <f t="shared" si="17"/>
        <v>1141930.2189073027</v>
      </c>
      <c r="AK83" s="49">
        <f t="shared" si="18"/>
        <v>1095912.0399421663</v>
      </c>
      <c r="AL83" s="49">
        <f t="shared" si="19"/>
        <v>1051921.7807280358</v>
      </c>
      <c r="AN83" s="49">
        <f t="shared" si="20"/>
        <v>27572676.416906938</v>
      </c>
      <c r="AO83" s="49">
        <f t="shared" si="21"/>
        <v>26382606.613621213</v>
      </c>
      <c r="AP83" s="49">
        <f t="shared" si="22"/>
        <v>25240676.394713908</v>
      </c>
      <c r="AQ83" s="49">
        <f t="shared" si="23"/>
        <v>24144764.354771741</v>
      </c>
      <c r="AR83" s="49">
        <f t="shared" si="24"/>
        <v>23092842.574043706</v>
      </c>
      <c r="AT83" s="49">
        <f t="shared" si="25"/>
        <v>297095.73489948583</v>
      </c>
      <c r="AU83" s="49">
        <f t="shared" si="25"/>
        <v>314253.60778140096</v>
      </c>
      <c r="AV83" s="49">
        <f t="shared" si="25"/>
        <v>338036.32081829745</v>
      </c>
      <c r="AW83" s="49">
        <f t="shared" si="25"/>
        <v>346111.33245000488</v>
      </c>
      <c r="AX83" s="49">
        <f t="shared" si="25"/>
        <v>350587.24420124828</v>
      </c>
      <c r="AZ83" s="53">
        <f t="shared" si="26"/>
        <v>2474995.3214367665</v>
      </c>
      <c r="BA83" s="53">
        <f t="shared" si="27"/>
        <v>2374949.4293166269</v>
      </c>
      <c r="BB83" s="53">
        <f t="shared" si="28"/>
        <v>2439112.2427247288</v>
      </c>
      <c r="BC83" s="53">
        <f t="shared" si="29"/>
        <v>2359524.4178734971</v>
      </c>
      <c r="BD83" s="53">
        <f t="shared" si="30"/>
        <v>2280037.0427429453</v>
      </c>
    </row>
    <row r="84" spans="2:56">
      <c r="B84" s="43">
        <f>'3. Input (des)investeringen '!B109</f>
        <v>1552</v>
      </c>
      <c r="C84" s="54"/>
      <c r="D84" s="54"/>
      <c r="E84" s="54"/>
      <c r="F84" s="48">
        <f>'3. Input (des)investeringen '!D109</f>
        <v>81110584.954272762</v>
      </c>
      <c r="G84" s="54"/>
      <c r="H84" s="43">
        <f>'3. Input (des)investeringen '!F109</f>
        <v>2021</v>
      </c>
      <c r="I84" s="48" t="str">
        <f>'3. Input (des)investeringen '!G109</f>
        <v>nvt</v>
      </c>
      <c r="J84" s="48">
        <f>'3. Input (des)investeringen '!H109</f>
        <v>55</v>
      </c>
      <c r="K84" s="48">
        <f>'3. Input (des)investeringen '!I109</f>
        <v>1</v>
      </c>
      <c r="M84" s="49">
        <f t="shared" si="8"/>
        <v>0</v>
      </c>
      <c r="N84" s="49">
        <f t="shared" si="9"/>
        <v>737368.95412975235</v>
      </c>
      <c r="P84" s="147">
        <f t="shared" si="31"/>
        <v>0</v>
      </c>
      <c r="Q84" s="147">
        <f t="shared" si="10"/>
        <v>80373216.000143006</v>
      </c>
      <c r="S84" s="49">
        <f t="shared" si="11"/>
        <v>80373216.000143006</v>
      </c>
      <c r="T84" s="44">
        <f t="shared" si="12"/>
        <v>54.5</v>
      </c>
      <c r="V84" s="49">
        <f t="shared" si="13"/>
        <v>1725443.3526636206</v>
      </c>
      <c r="W84" s="49">
        <f t="shared" si="13"/>
        <v>1684285.9882881581</v>
      </c>
      <c r="X84" s="49">
        <f t="shared" si="13"/>
        <v>1644110.3592097249</v>
      </c>
      <c r="Y84" s="49">
        <f t="shared" si="13"/>
        <v>1604893.0478891258</v>
      </c>
      <c r="Z84" s="49">
        <f t="shared" si="13"/>
        <v>1566611.1953706695</v>
      </c>
      <c r="AB84" s="49">
        <f t="shared" si="14"/>
        <v>147473.79082595048</v>
      </c>
      <c r="AC84" s="49">
        <f t="shared" si="14"/>
        <v>147473.79082595048</v>
      </c>
      <c r="AD84" s="49">
        <f t="shared" si="14"/>
        <v>147473.79082595048</v>
      </c>
      <c r="AE84" s="49">
        <f t="shared" si="14"/>
        <v>147473.79082595048</v>
      </c>
      <c r="AF84" s="49">
        <f t="shared" si="14"/>
        <v>147473.79082595048</v>
      </c>
      <c r="AH84" s="49">
        <f t="shared" si="15"/>
        <v>1872917.1434895711</v>
      </c>
      <c r="AI84" s="49">
        <f t="shared" si="16"/>
        <v>1831759.7791141085</v>
      </c>
      <c r="AJ84" s="49">
        <f t="shared" si="17"/>
        <v>1791584.1500356754</v>
      </c>
      <c r="AK84" s="49">
        <f t="shared" si="18"/>
        <v>1752366.8387150762</v>
      </c>
      <c r="AL84" s="49">
        <f t="shared" si="19"/>
        <v>1714084.9861966199</v>
      </c>
      <c r="AN84" s="49">
        <f t="shared" si="20"/>
        <v>78500298.856653437</v>
      </c>
      <c r="AO84" s="49">
        <f t="shared" si="21"/>
        <v>76668539.077539325</v>
      </c>
      <c r="AP84" s="49">
        <f t="shared" si="22"/>
        <v>74876954.927503645</v>
      </c>
      <c r="AQ84" s="49">
        <f t="shared" si="23"/>
        <v>73124588.088788569</v>
      </c>
      <c r="AR84" s="49">
        <f t="shared" si="24"/>
        <v>71410503.102591947</v>
      </c>
      <c r="AT84" s="49">
        <f t="shared" si="25"/>
        <v>822402.93181515869</v>
      </c>
      <c r="AU84" s="49">
        <f t="shared" si="25"/>
        <v>869898.34593334782</v>
      </c>
      <c r="AV84" s="49">
        <f t="shared" si="25"/>
        <v>935732.25275358371</v>
      </c>
      <c r="AW84" s="49">
        <f t="shared" si="25"/>
        <v>958085.02480736119</v>
      </c>
      <c r="AX84" s="49">
        <f t="shared" si="25"/>
        <v>970474.9803481698</v>
      </c>
      <c r="AZ84" s="53">
        <f t="shared" si="26"/>
        <v>5364330.2364309467</v>
      </c>
      <c r="BA84" s="53">
        <f t="shared" si="27"/>
        <v>5231719.9146062545</v>
      </c>
      <c r="BB84" s="53">
        <f t="shared" si="28"/>
        <v>5572640.6900343979</v>
      </c>
      <c r="BC84" s="53">
        <f t="shared" si="29"/>
        <v>5489186.2108964026</v>
      </c>
      <c r="BD84" s="53">
        <f t="shared" si="30"/>
        <v>5398159.0844432842</v>
      </c>
    </row>
    <row r="85" spans="2:56">
      <c r="B85" s="43">
        <f>'3. Input (des)investeringen '!B110</f>
        <v>1553</v>
      </c>
      <c r="C85" s="54"/>
      <c r="D85" s="54"/>
      <c r="E85" s="54"/>
      <c r="F85" s="48">
        <f>'3. Input (des)investeringen '!D110</f>
        <v>-30959.437980156832</v>
      </c>
      <c r="G85" s="54"/>
      <c r="H85" s="43">
        <f>'3. Input (des)investeringen '!F110</f>
        <v>2021</v>
      </c>
      <c r="I85" s="48" t="str">
        <f>'3. Input (des)investeringen '!G110</f>
        <v>nvt</v>
      </c>
      <c r="J85" s="48">
        <f>'3. Input (des)investeringen '!H110</f>
        <v>0</v>
      </c>
      <c r="K85" s="48">
        <f>'3. Input (des)investeringen '!I110</f>
        <v>0</v>
      </c>
      <c r="M85" s="49">
        <f t="shared" si="8"/>
        <v>0</v>
      </c>
      <c r="N85" s="49">
        <f t="shared" si="9"/>
        <v>0</v>
      </c>
      <c r="P85" s="147">
        <f t="shared" si="31"/>
        <v>0</v>
      </c>
      <c r="Q85" s="147">
        <f t="shared" si="10"/>
        <v>-30959.437980156832</v>
      </c>
      <c r="S85" s="49">
        <f t="shared" si="11"/>
        <v>-30959.437980156832</v>
      </c>
      <c r="T85" s="44">
        <f t="shared" si="12"/>
        <v>0</v>
      </c>
      <c r="V85" s="49">
        <f t="shared" si="13"/>
        <v>0</v>
      </c>
      <c r="W85" s="49">
        <f t="shared" si="13"/>
        <v>0</v>
      </c>
      <c r="X85" s="49">
        <f t="shared" si="13"/>
        <v>0</v>
      </c>
      <c r="Y85" s="49">
        <f t="shared" si="13"/>
        <v>0</v>
      </c>
      <c r="Z85" s="49">
        <f t="shared" si="13"/>
        <v>0</v>
      </c>
      <c r="AB85" s="49">
        <f t="shared" si="14"/>
        <v>0</v>
      </c>
      <c r="AC85" s="49">
        <f t="shared" si="14"/>
        <v>0</v>
      </c>
      <c r="AD85" s="49">
        <f t="shared" si="14"/>
        <v>0</v>
      </c>
      <c r="AE85" s="49">
        <f t="shared" si="14"/>
        <v>0</v>
      </c>
      <c r="AF85" s="49">
        <f t="shared" si="14"/>
        <v>0</v>
      </c>
      <c r="AH85" s="49">
        <f t="shared" si="15"/>
        <v>0</v>
      </c>
      <c r="AI85" s="49">
        <f t="shared" si="16"/>
        <v>0</v>
      </c>
      <c r="AJ85" s="49">
        <f t="shared" si="17"/>
        <v>0</v>
      </c>
      <c r="AK85" s="49">
        <f t="shared" si="18"/>
        <v>0</v>
      </c>
      <c r="AL85" s="49">
        <f t="shared" si="19"/>
        <v>0</v>
      </c>
      <c r="AN85" s="49">
        <f t="shared" si="20"/>
        <v>-30959.437980156832</v>
      </c>
      <c r="AO85" s="49">
        <f t="shared" si="21"/>
        <v>-30959.437980156832</v>
      </c>
      <c r="AP85" s="49">
        <f t="shared" si="22"/>
        <v>-30959.437980156832</v>
      </c>
      <c r="AQ85" s="49">
        <f t="shared" si="23"/>
        <v>-30959.437980156832</v>
      </c>
      <c r="AR85" s="49">
        <f t="shared" si="24"/>
        <v>-30959.437980156832</v>
      </c>
      <c r="AT85" s="49">
        <f t="shared" si="25"/>
        <v>-313.90641032344456</v>
      </c>
      <c r="AU85" s="49">
        <f t="shared" si="25"/>
        <v>-332.03513333244416</v>
      </c>
      <c r="AV85" s="49">
        <f t="shared" si="25"/>
        <v>-357.1635522230435</v>
      </c>
      <c r="AW85" s="49">
        <f t="shared" si="25"/>
        <v>-365.69547515854759</v>
      </c>
      <c r="AX85" s="49">
        <f t="shared" si="25"/>
        <v>-370.42464904329785</v>
      </c>
      <c r="AZ85" s="53">
        <f t="shared" si="26"/>
        <v>-1366.527301648777</v>
      </c>
      <c r="BA85" s="53">
        <f t="shared" si="27"/>
        <v>-1353.6965866776195</v>
      </c>
      <c r="BB85" s="53">
        <f t="shared" si="28"/>
        <v>-1533.6221954690031</v>
      </c>
      <c r="BC85" s="53">
        <f t="shared" si="29"/>
        <v>-1542.1541184045072</v>
      </c>
      <c r="BD85" s="53">
        <f t="shared" si="30"/>
        <v>-1546.8832922892575</v>
      </c>
    </row>
    <row r="86" spans="2:56">
      <c r="B86" s="43">
        <f>'3. Input (des)investeringen '!B111</f>
        <v>1554</v>
      </c>
      <c r="C86" s="54"/>
      <c r="D86" s="54"/>
      <c r="E86" s="54"/>
      <c r="F86" s="48">
        <f>'3. Input (des)investeringen '!D111</f>
        <v>436048.00524345576</v>
      </c>
      <c r="G86" s="54"/>
      <c r="H86" s="43">
        <f>'3. Input (des)investeringen '!F111</f>
        <v>2021</v>
      </c>
      <c r="I86" s="48" t="str">
        <f>'3. Input (des)investeringen '!G111</f>
        <v>nvt</v>
      </c>
      <c r="J86" s="48">
        <f>'3. Input (des)investeringen '!H111</f>
        <v>5</v>
      </c>
      <c r="K86" s="48">
        <f>'3. Input (des)investeringen '!I111</f>
        <v>0</v>
      </c>
      <c r="M86" s="49">
        <f t="shared" si="8"/>
        <v>0</v>
      </c>
      <c r="N86" s="49">
        <f t="shared" si="9"/>
        <v>43604.800524345577</v>
      </c>
      <c r="P86" s="147">
        <f t="shared" si="31"/>
        <v>0</v>
      </c>
      <c r="Q86" s="147">
        <f t="shared" si="10"/>
        <v>392443.20471911016</v>
      </c>
      <c r="S86" s="49">
        <f t="shared" si="11"/>
        <v>392443.20471911016</v>
      </c>
      <c r="T86" s="44">
        <f t="shared" si="12"/>
        <v>4.5</v>
      </c>
      <c r="V86" s="49">
        <f t="shared" si="13"/>
        <v>102035.23322696866</v>
      </c>
      <c r="W86" s="49">
        <f t="shared" si="13"/>
        <v>72558.388072511036</v>
      </c>
      <c r="X86" s="49">
        <f t="shared" si="13"/>
        <v>71442.105179087783</v>
      </c>
      <c r="Y86" s="49">
        <f t="shared" si="13"/>
        <v>71442.105179087783</v>
      </c>
      <c r="Z86" s="49">
        <f t="shared" si="13"/>
        <v>35721.052589543891</v>
      </c>
      <c r="AB86" s="49">
        <f t="shared" si="14"/>
        <v>8720.9601048691147</v>
      </c>
      <c r="AC86" s="49">
        <f t="shared" si="14"/>
        <v>8720.9601048691147</v>
      </c>
      <c r="AD86" s="49">
        <f t="shared" si="14"/>
        <v>8720.9601048691147</v>
      </c>
      <c r="AE86" s="49">
        <f t="shared" si="14"/>
        <v>8720.9601048691147</v>
      </c>
      <c r="AF86" s="49">
        <f t="shared" si="14"/>
        <v>4360.4800524345574</v>
      </c>
      <c r="AH86" s="49">
        <f t="shared" si="15"/>
        <v>110756.19333183777</v>
      </c>
      <c r="AI86" s="49">
        <f t="shared" si="16"/>
        <v>81279.348177380147</v>
      </c>
      <c r="AJ86" s="49">
        <f t="shared" si="17"/>
        <v>80163.065283956894</v>
      </c>
      <c r="AK86" s="49">
        <f t="shared" si="18"/>
        <v>80163.065283956894</v>
      </c>
      <c r="AL86" s="49">
        <f t="shared" si="19"/>
        <v>40081.532641978447</v>
      </c>
      <c r="AN86" s="49">
        <f t="shared" si="20"/>
        <v>281687.01138727239</v>
      </c>
      <c r="AO86" s="49">
        <f t="shared" si="21"/>
        <v>200407.66320989223</v>
      </c>
      <c r="AP86" s="49">
        <f t="shared" si="22"/>
        <v>120244.59792593533</v>
      </c>
      <c r="AQ86" s="49">
        <f t="shared" si="23"/>
        <v>40081.53264197844</v>
      </c>
      <c r="AR86" s="49">
        <f t="shared" si="24"/>
        <v>0</v>
      </c>
      <c r="AT86" s="49">
        <f t="shared" si="25"/>
        <v>4421.2128186048658</v>
      </c>
      <c r="AU86" s="49">
        <f t="shared" si="25"/>
        <v>4676.5467013049338</v>
      </c>
      <c r="AV86" s="49">
        <f t="shared" si="25"/>
        <v>5030.4677556596916</v>
      </c>
      <c r="AW86" s="49">
        <f t="shared" si="25"/>
        <v>5150.6355694068907</v>
      </c>
      <c r="AX86" s="49">
        <f t="shared" si="25"/>
        <v>5217.2435885904597</v>
      </c>
      <c r="AZ86" s="53">
        <f t="shared" si="26"/>
        <v>124754.7645376099</v>
      </c>
      <c r="BA86" s="53">
        <f t="shared" si="27"/>
        <v>92569.347764611521</v>
      </c>
      <c r="BB86" s="53">
        <f t="shared" si="28"/>
        <v>89762.827760802116</v>
      </c>
      <c r="BC86" s="53">
        <f t="shared" si="29"/>
        <v>86836.799093758964</v>
      </c>
      <c r="BD86" s="53">
        <f t="shared" si="30"/>
        <v>45298.77623056891</v>
      </c>
    </row>
    <row r="87" spans="2:56">
      <c r="B87" s="43">
        <f>'3. Input (des)investeringen '!B112</f>
        <v>1555</v>
      </c>
      <c r="C87" s="54"/>
      <c r="D87" s="54"/>
      <c r="E87" s="54"/>
      <c r="F87" s="48">
        <f>'3. Input (des)investeringen '!D112</f>
        <v>1563699.3217659162</v>
      </c>
      <c r="G87" s="54"/>
      <c r="H87" s="43">
        <f>'3. Input (des)investeringen '!F112</f>
        <v>2021</v>
      </c>
      <c r="I87" s="48" t="str">
        <f>'3. Input (des)investeringen '!G112</f>
        <v>nvt</v>
      </c>
      <c r="J87" s="48">
        <f>'3. Input (des)investeringen '!H112</f>
        <v>10</v>
      </c>
      <c r="K87" s="48">
        <f>'3. Input (des)investeringen '!I112</f>
        <v>0</v>
      </c>
      <c r="M87" s="49">
        <f t="shared" si="8"/>
        <v>0</v>
      </c>
      <c r="N87" s="49">
        <f t="shared" si="9"/>
        <v>78184.966088295812</v>
      </c>
      <c r="P87" s="147">
        <f t="shared" si="31"/>
        <v>0</v>
      </c>
      <c r="Q87" s="147">
        <f t="shared" si="10"/>
        <v>1485514.3556776203</v>
      </c>
      <c r="S87" s="49">
        <f t="shared" si="11"/>
        <v>1485514.3556776203</v>
      </c>
      <c r="T87" s="44">
        <f t="shared" si="12"/>
        <v>9.5</v>
      </c>
      <c r="V87" s="49">
        <f t="shared" si="13"/>
        <v>182952.82064661221</v>
      </c>
      <c r="W87" s="49">
        <f t="shared" si="13"/>
        <v>157917.17150549684</v>
      </c>
      <c r="X87" s="49">
        <f t="shared" si="13"/>
        <v>136307.45329948148</v>
      </c>
      <c r="Y87" s="49">
        <f t="shared" si="13"/>
        <v>132274.68840896428</v>
      </c>
      <c r="Z87" s="49">
        <f t="shared" si="13"/>
        <v>132274.68840896428</v>
      </c>
      <c r="AB87" s="49">
        <f t="shared" si="14"/>
        <v>15636.993217659161</v>
      </c>
      <c r="AC87" s="49">
        <f t="shared" si="14"/>
        <v>15636.993217659163</v>
      </c>
      <c r="AD87" s="49">
        <f t="shared" si="14"/>
        <v>15636.993217659163</v>
      </c>
      <c r="AE87" s="49">
        <f t="shared" si="14"/>
        <v>15636.993217659163</v>
      </c>
      <c r="AF87" s="49">
        <f t="shared" si="14"/>
        <v>15636.993217659163</v>
      </c>
      <c r="AH87" s="49">
        <f t="shared" si="15"/>
        <v>198589.81386427136</v>
      </c>
      <c r="AI87" s="49">
        <f t="shared" si="16"/>
        <v>173554.16472315599</v>
      </c>
      <c r="AJ87" s="49">
        <f t="shared" si="17"/>
        <v>151944.44651714063</v>
      </c>
      <c r="AK87" s="49">
        <f t="shared" si="18"/>
        <v>147911.68162662344</v>
      </c>
      <c r="AL87" s="49">
        <f t="shared" si="19"/>
        <v>147911.68162662344</v>
      </c>
      <c r="AN87" s="49">
        <f t="shared" si="20"/>
        <v>1286924.5418133489</v>
      </c>
      <c r="AO87" s="49">
        <f t="shared" si="21"/>
        <v>1113370.3770901929</v>
      </c>
      <c r="AP87" s="49">
        <f t="shared" si="22"/>
        <v>961425.93057305226</v>
      </c>
      <c r="AQ87" s="49">
        <f t="shared" si="23"/>
        <v>813514.24894642876</v>
      </c>
      <c r="AR87" s="49">
        <f t="shared" si="24"/>
        <v>665602.56731980527</v>
      </c>
      <c r="AT87" s="49">
        <f t="shared" si="25"/>
        <v>15854.785259194719</v>
      </c>
      <c r="AU87" s="49">
        <f t="shared" si="25"/>
        <v>16770.430817483732</v>
      </c>
      <c r="AV87" s="49">
        <f t="shared" si="25"/>
        <v>18039.617021750902</v>
      </c>
      <c r="AW87" s="49">
        <f t="shared" si="25"/>
        <v>18470.547393166489</v>
      </c>
      <c r="AX87" s="49">
        <f t="shared" si="25"/>
        <v>18709.408512054913</v>
      </c>
      <c r="AZ87" s="53">
        <f t="shared" si="26"/>
        <v>258200.03354511995</v>
      </c>
      <c r="BA87" s="53">
        <f t="shared" si="27"/>
        <v>227065.81798461606</v>
      </c>
      <c r="BB87" s="53">
        <f t="shared" si="28"/>
        <v>206518.2489006675</v>
      </c>
      <c r="BC87" s="53">
        <f t="shared" si="29"/>
        <v>197295.77047975422</v>
      </c>
      <c r="BD87" s="53">
        <f t="shared" si="30"/>
        <v>191913.98769683094</v>
      </c>
    </row>
    <row r="88" spans="2:56">
      <c r="B88" s="43">
        <f>'3. Input (des)investeringen '!B113</f>
        <v>1556</v>
      </c>
      <c r="C88" s="54"/>
      <c r="D88" s="54"/>
      <c r="E88" s="54"/>
      <c r="F88" s="48">
        <f>'3. Input (des)investeringen '!D113</f>
        <v>4699116.7440402387</v>
      </c>
      <c r="G88" s="54"/>
      <c r="H88" s="43">
        <f>'3. Input (des)investeringen '!F113</f>
        <v>2021</v>
      </c>
      <c r="I88" s="48" t="str">
        <f>'3. Input (des)investeringen '!G113</f>
        <v>nvt</v>
      </c>
      <c r="J88" s="48">
        <f>'3. Input (des)investeringen '!H113</f>
        <v>15</v>
      </c>
      <c r="K88" s="48">
        <f>'3. Input (des)investeringen '!I113</f>
        <v>0</v>
      </c>
      <c r="M88" s="49">
        <f t="shared" si="8"/>
        <v>0</v>
      </c>
      <c r="N88" s="49">
        <f t="shared" si="9"/>
        <v>156637.22480134128</v>
      </c>
      <c r="P88" s="147">
        <f t="shared" si="31"/>
        <v>0</v>
      </c>
      <c r="Q88" s="147">
        <f t="shared" si="10"/>
        <v>4542479.5192388976</v>
      </c>
      <c r="S88" s="49">
        <f t="shared" si="11"/>
        <v>4542479.5192388976</v>
      </c>
      <c r="T88" s="44">
        <f t="shared" si="12"/>
        <v>14.5</v>
      </c>
      <c r="V88" s="49">
        <f t="shared" si="13"/>
        <v>366531.10603513865</v>
      </c>
      <c r="W88" s="49">
        <f t="shared" si="13"/>
        <v>333669.69652854005</v>
      </c>
      <c r="X88" s="49">
        <f t="shared" si="13"/>
        <v>303754.48235701578</v>
      </c>
      <c r="Y88" s="49">
        <f t="shared" si="13"/>
        <v>276521.32186983502</v>
      </c>
      <c r="Z88" s="49">
        <f t="shared" si="13"/>
        <v>267405.23433566466</v>
      </c>
      <c r="AB88" s="49">
        <f t="shared" si="14"/>
        <v>31327.444960268262</v>
      </c>
      <c r="AC88" s="49">
        <f t="shared" si="14"/>
        <v>31327.444960268262</v>
      </c>
      <c r="AD88" s="49">
        <f t="shared" si="14"/>
        <v>31327.444960268262</v>
      </c>
      <c r="AE88" s="49">
        <f t="shared" si="14"/>
        <v>31327.444960268262</v>
      </c>
      <c r="AF88" s="49">
        <f t="shared" si="14"/>
        <v>31327.444960268262</v>
      </c>
      <c r="AH88" s="49">
        <f t="shared" si="15"/>
        <v>397858.55099540693</v>
      </c>
      <c r="AI88" s="49">
        <f t="shared" si="16"/>
        <v>364997.14148880832</v>
      </c>
      <c r="AJ88" s="49">
        <f t="shared" si="17"/>
        <v>335081.92731728405</v>
      </c>
      <c r="AK88" s="49">
        <f t="shared" si="18"/>
        <v>307848.7668301033</v>
      </c>
      <c r="AL88" s="49">
        <f t="shared" si="19"/>
        <v>298732.67929593293</v>
      </c>
      <c r="AN88" s="49">
        <f t="shared" si="20"/>
        <v>4144620.9682434909</v>
      </c>
      <c r="AO88" s="49">
        <f t="shared" si="21"/>
        <v>3779623.8267546827</v>
      </c>
      <c r="AP88" s="49">
        <f t="shared" si="22"/>
        <v>3444541.8994373986</v>
      </c>
      <c r="AQ88" s="49">
        <f t="shared" si="23"/>
        <v>3136693.1326072952</v>
      </c>
      <c r="AR88" s="49">
        <f t="shared" si="24"/>
        <v>2837960.4533113623</v>
      </c>
      <c r="AT88" s="49">
        <f t="shared" si="25"/>
        <v>47645.660420512315</v>
      </c>
      <c r="AU88" s="49">
        <f t="shared" si="25"/>
        <v>50397.292601117748</v>
      </c>
      <c r="AV88" s="49">
        <f t="shared" si="25"/>
        <v>54211.359705170325</v>
      </c>
      <c r="AW88" s="49">
        <f t="shared" si="25"/>
        <v>55506.360665807435</v>
      </c>
      <c r="AX88" s="49">
        <f t="shared" si="25"/>
        <v>56224.168921937657</v>
      </c>
      <c r="AZ88" s="53">
        <f t="shared" si="26"/>
        <v>586421.32433619793</v>
      </c>
      <c r="BA88" s="53">
        <f t="shared" si="27"/>
        <v>540122.02037283056</v>
      </c>
      <c r="BB88" s="53">
        <f t="shared" si="28"/>
        <v>520185.87920107553</v>
      </c>
      <c r="BC88" s="53">
        <f t="shared" si="29"/>
        <v>482549.46653498797</v>
      </c>
      <c r="BD88" s="53">
        <f t="shared" si="30"/>
        <v>462799.34544370236</v>
      </c>
    </row>
    <row r="89" spans="2:56">
      <c r="B89" s="43">
        <f>'3. Input (des)investeringen '!B114</f>
        <v>1557</v>
      </c>
      <c r="C89" s="54"/>
      <c r="D89" s="54"/>
      <c r="E89" s="54"/>
      <c r="F89" s="48">
        <f>'3. Input (des)investeringen '!D114</f>
        <v>26652613.015183877</v>
      </c>
      <c r="G89" s="54"/>
      <c r="H89" s="43">
        <f>'3. Input (des)investeringen '!F114</f>
        <v>2021</v>
      </c>
      <c r="I89" s="48" t="str">
        <f>'3. Input (des)investeringen '!G114</f>
        <v>nvt</v>
      </c>
      <c r="J89" s="48">
        <f>'3. Input (des)investeringen '!H114</f>
        <v>30</v>
      </c>
      <c r="K89" s="48">
        <f>'3. Input (des)investeringen '!I114</f>
        <v>0</v>
      </c>
      <c r="M89" s="49">
        <f t="shared" si="8"/>
        <v>0</v>
      </c>
      <c r="N89" s="49">
        <f t="shared" si="9"/>
        <v>444210.21691973129</v>
      </c>
      <c r="P89" s="147">
        <f t="shared" si="31"/>
        <v>0</v>
      </c>
      <c r="Q89" s="147">
        <f t="shared" si="10"/>
        <v>26208402.798264146</v>
      </c>
      <c r="S89" s="49">
        <f t="shared" si="11"/>
        <v>26208402.798264146</v>
      </c>
      <c r="T89" s="44">
        <f t="shared" si="12"/>
        <v>29.5</v>
      </c>
      <c r="V89" s="49">
        <f t="shared" si="13"/>
        <v>1039451.9075921712</v>
      </c>
      <c r="W89" s="49">
        <f t="shared" si="13"/>
        <v>993645.55234234675</v>
      </c>
      <c r="X89" s="49">
        <f t="shared" si="13"/>
        <v>949857.78223912464</v>
      </c>
      <c r="Y89" s="49">
        <f t="shared" si="13"/>
        <v>907999.64268282428</v>
      </c>
      <c r="Z89" s="49">
        <f t="shared" si="13"/>
        <v>867986.09910697106</v>
      </c>
      <c r="AB89" s="49">
        <f t="shared" si="14"/>
        <v>88842.043383946264</v>
      </c>
      <c r="AC89" s="49">
        <f t="shared" si="14"/>
        <v>88842.043383946264</v>
      </c>
      <c r="AD89" s="49">
        <f t="shared" si="14"/>
        <v>88842.043383946264</v>
      </c>
      <c r="AE89" s="49">
        <f t="shared" si="14"/>
        <v>88842.043383946264</v>
      </c>
      <c r="AF89" s="49">
        <f t="shared" si="14"/>
        <v>88842.043383946264</v>
      </c>
      <c r="AH89" s="49">
        <f t="shared" si="15"/>
        <v>1128293.9509761175</v>
      </c>
      <c r="AI89" s="49">
        <f t="shared" si="16"/>
        <v>1082487.595726293</v>
      </c>
      <c r="AJ89" s="49">
        <f t="shared" si="17"/>
        <v>1038699.8256230709</v>
      </c>
      <c r="AK89" s="49">
        <f t="shared" si="18"/>
        <v>996841.68606677058</v>
      </c>
      <c r="AL89" s="49">
        <f t="shared" si="19"/>
        <v>956828.14249091735</v>
      </c>
      <c r="AN89" s="49">
        <f t="shared" si="20"/>
        <v>25080108.847288027</v>
      </c>
      <c r="AO89" s="49">
        <f t="shared" si="21"/>
        <v>23997621.251561735</v>
      </c>
      <c r="AP89" s="49">
        <f t="shared" si="22"/>
        <v>22958921.425938662</v>
      </c>
      <c r="AQ89" s="49">
        <f t="shared" si="23"/>
        <v>21962079.739871893</v>
      </c>
      <c r="AR89" s="49">
        <f t="shared" si="24"/>
        <v>21005251.597380977</v>
      </c>
      <c r="AT89" s="49">
        <f t="shared" si="25"/>
        <v>270238.30609259359</v>
      </c>
      <c r="AU89" s="49">
        <f t="shared" si="25"/>
        <v>285845.10874605307</v>
      </c>
      <c r="AV89" s="49">
        <f t="shared" si="25"/>
        <v>307477.86657595437</v>
      </c>
      <c r="AW89" s="49">
        <f t="shared" si="25"/>
        <v>314822.89785272075</v>
      </c>
      <c r="AX89" s="49">
        <f t="shared" si="25"/>
        <v>318894.18756775209</v>
      </c>
      <c r="AZ89" s="53">
        <f t="shared" si="26"/>
        <v>2251255.9578765044</v>
      </c>
      <c r="BA89" s="53">
        <f t="shared" si="27"/>
        <v>2160254.2057738835</v>
      </c>
      <c r="BB89" s="53">
        <f t="shared" si="28"/>
        <v>2218616.7063846947</v>
      </c>
      <c r="BC89" s="53">
        <f t="shared" si="29"/>
        <v>2146223.6140346234</v>
      </c>
      <c r="BD89" s="53">
        <f t="shared" si="30"/>
        <v>2073921.8907591465</v>
      </c>
    </row>
    <row r="90" spans="2:56">
      <c r="B90" s="43">
        <f>'3. Input (des)investeringen '!B115</f>
        <v>1558</v>
      </c>
      <c r="C90" s="54"/>
      <c r="D90" s="54"/>
      <c r="E90" s="54"/>
      <c r="F90" s="48">
        <f>'3. Input (des)investeringen '!D115</f>
        <v>37650.599697288933</v>
      </c>
      <c r="G90" s="54"/>
      <c r="H90" s="43">
        <f>'3. Input (des)investeringen '!F115</f>
        <v>2021</v>
      </c>
      <c r="I90" s="48" t="str">
        <f>'3. Input (des)investeringen '!G115</f>
        <v>nvt</v>
      </c>
      <c r="J90" s="48">
        <f>'3. Input (des)investeringen '!H115</f>
        <v>55</v>
      </c>
      <c r="K90" s="48">
        <f>'3. Input (des)investeringen '!I115</f>
        <v>0</v>
      </c>
      <c r="M90" s="49">
        <f t="shared" si="8"/>
        <v>0</v>
      </c>
      <c r="N90" s="49">
        <f t="shared" si="9"/>
        <v>342.27817906626302</v>
      </c>
      <c r="P90" s="147">
        <f t="shared" si="31"/>
        <v>0</v>
      </c>
      <c r="Q90" s="147">
        <f t="shared" si="10"/>
        <v>37308.32151822267</v>
      </c>
      <c r="S90" s="49">
        <f t="shared" si="11"/>
        <v>37308.32151822267</v>
      </c>
      <c r="T90" s="44">
        <f t="shared" si="12"/>
        <v>54.5</v>
      </c>
      <c r="V90" s="49">
        <f t="shared" si="13"/>
        <v>800.93093901505563</v>
      </c>
      <c r="W90" s="49">
        <f t="shared" si="13"/>
        <v>781.82616432295322</v>
      </c>
      <c r="X90" s="49">
        <f t="shared" si="13"/>
        <v>763.17709985286444</v>
      </c>
      <c r="Y90" s="49">
        <f t="shared" si="13"/>
        <v>744.97287545270444</v>
      </c>
      <c r="Z90" s="49">
        <f t="shared" si="13"/>
        <v>727.20288025841967</v>
      </c>
      <c r="AB90" s="49">
        <f t="shared" si="14"/>
        <v>68.455635813252613</v>
      </c>
      <c r="AC90" s="49">
        <f t="shared" si="14"/>
        <v>68.455635813252613</v>
      </c>
      <c r="AD90" s="49">
        <f t="shared" si="14"/>
        <v>68.455635813252613</v>
      </c>
      <c r="AE90" s="49">
        <f t="shared" si="14"/>
        <v>68.455635813252613</v>
      </c>
      <c r="AF90" s="49">
        <f t="shared" si="14"/>
        <v>68.455635813252613</v>
      </c>
      <c r="AH90" s="49">
        <f t="shared" si="15"/>
        <v>869.3865748283082</v>
      </c>
      <c r="AI90" s="49">
        <f t="shared" si="16"/>
        <v>850.28180013620579</v>
      </c>
      <c r="AJ90" s="49">
        <f t="shared" si="17"/>
        <v>831.63273566611701</v>
      </c>
      <c r="AK90" s="49">
        <f t="shared" si="18"/>
        <v>813.42851126595701</v>
      </c>
      <c r="AL90" s="49">
        <f t="shared" si="19"/>
        <v>795.65851607167224</v>
      </c>
      <c r="AN90" s="49">
        <f t="shared" si="20"/>
        <v>36438.934943394364</v>
      </c>
      <c r="AO90" s="49">
        <f t="shared" si="21"/>
        <v>35588.653143258161</v>
      </c>
      <c r="AP90" s="49">
        <f t="shared" si="22"/>
        <v>34757.020407592041</v>
      </c>
      <c r="AQ90" s="49">
        <f t="shared" si="23"/>
        <v>33943.591896326085</v>
      </c>
      <c r="AR90" s="49">
        <f t="shared" si="24"/>
        <v>33147.933380254413</v>
      </c>
      <c r="AT90" s="49">
        <f t="shared" si="25"/>
        <v>381.74997249872774</v>
      </c>
      <c r="AU90" s="49">
        <f t="shared" si="25"/>
        <v>403.79679691047426</v>
      </c>
      <c r="AV90" s="49">
        <f t="shared" si="25"/>
        <v>434.35613850065903</v>
      </c>
      <c r="AW90" s="49">
        <f t="shared" si="25"/>
        <v>444.73203793716266</v>
      </c>
      <c r="AX90" s="49">
        <f t="shared" si="25"/>
        <v>450.48331265176603</v>
      </c>
      <c r="AZ90" s="53">
        <f t="shared" si="26"/>
        <v>2490.0603354024447</v>
      </c>
      <c r="BA90" s="53">
        <f t="shared" si="27"/>
        <v>2428.5041507741994</v>
      </c>
      <c r="BB90" s="53">
        <f t="shared" si="28"/>
        <v>2586.7556496552738</v>
      </c>
      <c r="BC90" s="53">
        <f t="shared" si="29"/>
        <v>2548.0170412635111</v>
      </c>
      <c r="BD90" s="53">
        <f t="shared" si="30"/>
        <v>2505.7632971731059</v>
      </c>
    </row>
    <row r="91" spans="2:56">
      <c r="B91" s="43">
        <f>'3. Input (des)investeringen '!B116</f>
        <v>1559</v>
      </c>
      <c r="C91" s="54"/>
      <c r="D91" s="54"/>
      <c r="E91" s="54"/>
      <c r="F91" s="48">
        <f>'3. Input (des)investeringen '!D116</f>
        <v>0</v>
      </c>
      <c r="G91" s="54"/>
      <c r="H91" s="43">
        <f>'3. Input (des)investeringen '!F116</f>
        <v>2021</v>
      </c>
      <c r="I91" s="48" t="str">
        <f>'3. Input (des)investeringen '!G116</f>
        <v>nvt</v>
      </c>
      <c r="J91" s="48">
        <f>'3. Input (des)investeringen '!H116</f>
        <v>0</v>
      </c>
      <c r="K91" s="48">
        <f>'3. Input (des)investeringen '!I116</f>
        <v>0</v>
      </c>
      <c r="M91" s="49">
        <f t="shared" si="8"/>
        <v>0</v>
      </c>
      <c r="N91" s="49">
        <f t="shared" si="9"/>
        <v>0</v>
      </c>
      <c r="P91" s="147">
        <f t="shared" si="31"/>
        <v>0</v>
      </c>
      <c r="Q91" s="147">
        <f t="shared" si="10"/>
        <v>0</v>
      </c>
      <c r="S91" s="49">
        <f t="shared" si="11"/>
        <v>0</v>
      </c>
      <c r="T91" s="44">
        <f t="shared" si="12"/>
        <v>0</v>
      </c>
      <c r="V91" s="49">
        <f t="shared" si="13"/>
        <v>0</v>
      </c>
      <c r="W91" s="49">
        <f t="shared" si="13"/>
        <v>0</v>
      </c>
      <c r="X91" s="49">
        <f t="shared" si="13"/>
        <v>0</v>
      </c>
      <c r="Y91" s="49">
        <f t="shared" si="13"/>
        <v>0</v>
      </c>
      <c r="Z91" s="49">
        <f t="shared" si="13"/>
        <v>0</v>
      </c>
      <c r="AB91" s="49">
        <f t="shared" si="14"/>
        <v>0</v>
      </c>
      <c r="AC91" s="49">
        <f t="shared" si="14"/>
        <v>0</v>
      </c>
      <c r="AD91" s="49">
        <f t="shared" si="14"/>
        <v>0</v>
      </c>
      <c r="AE91" s="49">
        <f t="shared" si="14"/>
        <v>0</v>
      </c>
      <c r="AF91" s="49">
        <f t="shared" si="14"/>
        <v>0</v>
      </c>
      <c r="AH91" s="49">
        <f t="shared" si="15"/>
        <v>0</v>
      </c>
      <c r="AI91" s="49">
        <f t="shared" si="16"/>
        <v>0</v>
      </c>
      <c r="AJ91" s="49">
        <f t="shared" si="17"/>
        <v>0</v>
      </c>
      <c r="AK91" s="49">
        <f t="shared" si="18"/>
        <v>0</v>
      </c>
      <c r="AL91" s="49">
        <f t="shared" si="19"/>
        <v>0</v>
      </c>
      <c r="AN91" s="49">
        <f t="shared" si="20"/>
        <v>0</v>
      </c>
      <c r="AO91" s="49">
        <f t="shared" si="21"/>
        <v>0</v>
      </c>
      <c r="AP91" s="49">
        <f t="shared" si="22"/>
        <v>0</v>
      </c>
      <c r="AQ91" s="49">
        <f t="shared" si="23"/>
        <v>0</v>
      </c>
      <c r="AR91" s="49">
        <f t="shared" si="24"/>
        <v>0</v>
      </c>
      <c r="AT91" s="49">
        <f t="shared" si="25"/>
        <v>0</v>
      </c>
      <c r="AU91" s="49">
        <f t="shared" si="25"/>
        <v>0</v>
      </c>
      <c r="AV91" s="49">
        <f t="shared" si="25"/>
        <v>0</v>
      </c>
      <c r="AW91" s="49">
        <f t="shared" si="25"/>
        <v>0</v>
      </c>
      <c r="AX91" s="49">
        <f t="shared" si="25"/>
        <v>0</v>
      </c>
      <c r="AZ91" s="53">
        <f t="shared" si="26"/>
        <v>0</v>
      </c>
      <c r="BA91" s="53">
        <f t="shared" si="27"/>
        <v>0</v>
      </c>
      <c r="BB91" s="53">
        <f t="shared" si="28"/>
        <v>0</v>
      </c>
      <c r="BC91" s="53">
        <f t="shared" si="29"/>
        <v>0</v>
      </c>
      <c r="BD91" s="53">
        <f t="shared" si="30"/>
        <v>0</v>
      </c>
    </row>
    <row r="92" spans="2:56">
      <c r="B92" s="43">
        <f>'3. Input (des)investeringen '!B117</f>
        <v>1560</v>
      </c>
      <c r="C92" s="54"/>
      <c r="D92" s="54"/>
      <c r="E92" s="54"/>
      <c r="F92" s="48">
        <f>'3. Input (des)investeringen '!D117</f>
        <v>626646.22721047793</v>
      </c>
      <c r="G92" s="54"/>
      <c r="H92" s="43">
        <f>'3. Input (des)investeringen '!F117</f>
        <v>2021</v>
      </c>
      <c r="I92" s="48" t="str">
        <f>'3. Input (des)investeringen '!G117</f>
        <v>nvt</v>
      </c>
      <c r="J92" s="48">
        <f>'3. Input (des)investeringen '!H117</f>
        <v>5</v>
      </c>
      <c r="K92" s="48">
        <f>'3. Input (des)investeringen '!I117</f>
        <v>0</v>
      </c>
      <c r="M92" s="49">
        <f t="shared" si="8"/>
        <v>0</v>
      </c>
      <c r="N92" s="49">
        <f t="shared" si="9"/>
        <v>62664.622721047795</v>
      </c>
      <c r="P92" s="147">
        <f t="shared" si="31"/>
        <v>0</v>
      </c>
      <c r="Q92" s="147">
        <f t="shared" si="10"/>
        <v>563981.60448943009</v>
      </c>
      <c r="S92" s="49">
        <f t="shared" si="11"/>
        <v>563981.60448943009</v>
      </c>
      <c r="T92" s="44">
        <f t="shared" si="12"/>
        <v>4.5</v>
      </c>
      <c r="V92" s="49">
        <f t="shared" si="13"/>
        <v>146635.21716725186</v>
      </c>
      <c r="W92" s="49">
        <f t="shared" si="13"/>
        <v>104273.93220782353</v>
      </c>
      <c r="X92" s="49">
        <f t="shared" si="13"/>
        <v>102669.71786616469</v>
      </c>
      <c r="Y92" s="49">
        <f t="shared" si="13"/>
        <v>102669.71786616469</v>
      </c>
      <c r="Z92" s="49">
        <f t="shared" si="13"/>
        <v>51334.858933082345</v>
      </c>
      <c r="AB92" s="49">
        <f t="shared" si="14"/>
        <v>12532.924544209558</v>
      </c>
      <c r="AC92" s="49">
        <f t="shared" si="14"/>
        <v>12532.924544209558</v>
      </c>
      <c r="AD92" s="49">
        <f t="shared" si="14"/>
        <v>12532.924544209558</v>
      </c>
      <c r="AE92" s="49">
        <f t="shared" si="14"/>
        <v>12532.924544209558</v>
      </c>
      <c r="AF92" s="49">
        <f t="shared" si="14"/>
        <v>6266.462272104779</v>
      </c>
      <c r="AH92" s="49">
        <f t="shared" si="15"/>
        <v>159168.14171146142</v>
      </c>
      <c r="AI92" s="49">
        <f t="shared" si="16"/>
        <v>116806.85675203308</v>
      </c>
      <c r="AJ92" s="49">
        <f t="shared" si="17"/>
        <v>115202.64241037425</v>
      </c>
      <c r="AK92" s="49">
        <f t="shared" si="18"/>
        <v>115202.64241037425</v>
      </c>
      <c r="AL92" s="49">
        <f t="shared" si="19"/>
        <v>57601.321205187123</v>
      </c>
      <c r="AN92" s="49">
        <f t="shared" si="20"/>
        <v>404813.46277796867</v>
      </c>
      <c r="AO92" s="49">
        <f t="shared" si="21"/>
        <v>288006.60602593562</v>
      </c>
      <c r="AP92" s="49">
        <f t="shared" si="22"/>
        <v>172803.96361556137</v>
      </c>
      <c r="AQ92" s="49">
        <f t="shared" si="23"/>
        <v>57601.321205187123</v>
      </c>
      <c r="AR92" s="49">
        <f t="shared" si="24"/>
        <v>0</v>
      </c>
      <c r="AT92" s="49">
        <f t="shared" si="25"/>
        <v>6353.7415586306543</v>
      </c>
      <c r="AU92" s="49">
        <f t="shared" si="25"/>
        <v>6720.6828411246934</v>
      </c>
      <c r="AV92" s="49">
        <f t="shared" si="25"/>
        <v>7229.3041185410093</v>
      </c>
      <c r="AW92" s="49">
        <f t="shared" si="25"/>
        <v>7401.9977353247177</v>
      </c>
      <c r="AX92" s="49">
        <f t="shared" si="25"/>
        <v>7497.720370037935</v>
      </c>
      <c r="AZ92" s="53">
        <f t="shared" si="26"/>
        <v>179285.54100454302</v>
      </c>
      <c r="BA92" s="53">
        <f t="shared" si="27"/>
        <v>133031.75759201366</v>
      </c>
      <c r="BB92" s="53">
        <f t="shared" si="28"/>
        <v>128998.49714630659</v>
      </c>
      <c r="BC92" s="53">
        <f t="shared" si="29"/>
        <v>124793.49035149608</v>
      </c>
      <c r="BD92" s="53">
        <f t="shared" si="30"/>
        <v>65099.041575225056</v>
      </c>
    </row>
    <row r="93" spans="2:56">
      <c r="B93" s="43">
        <f>'3. Input (des)investeringen '!B118</f>
        <v>1561</v>
      </c>
      <c r="C93" s="54"/>
      <c r="D93" s="54"/>
      <c r="E93" s="54"/>
      <c r="F93" s="48">
        <f>'3. Input (des)investeringen '!D118</f>
        <v>4638778.5057450626</v>
      </c>
      <c r="G93" s="54"/>
      <c r="H93" s="43">
        <f>'3. Input (des)investeringen '!F118</f>
        <v>2021</v>
      </c>
      <c r="I93" s="48" t="str">
        <f>'3. Input (des)investeringen '!G118</f>
        <v>nvt</v>
      </c>
      <c r="J93" s="48">
        <f>'3. Input (des)investeringen '!H118</f>
        <v>10</v>
      </c>
      <c r="K93" s="48">
        <f>'3. Input (des)investeringen '!I118</f>
        <v>0</v>
      </c>
      <c r="M93" s="49">
        <f t="shared" si="8"/>
        <v>0</v>
      </c>
      <c r="N93" s="49">
        <f t="shared" si="9"/>
        <v>231938.92528725314</v>
      </c>
      <c r="P93" s="147">
        <f t="shared" si="31"/>
        <v>0</v>
      </c>
      <c r="Q93" s="147">
        <f t="shared" si="10"/>
        <v>4406839.5804578094</v>
      </c>
      <c r="S93" s="49">
        <f t="shared" si="11"/>
        <v>4406839.5804578094</v>
      </c>
      <c r="T93" s="44">
        <f t="shared" si="12"/>
        <v>9.5</v>
      </c>
      <c r="V93" s="49">
        <f t="shared" si="13"/>
        <v>542737.0851721724</v>
      </c>
      <c r="W93" s="49">
        <f t="shared" si="13"/>
        <v>468467.79983282246</v>
      </c>
      <c r="X93" s="49">
        <f t="shared" si="13"/>
        <v>404361.67985569936</v>
      </c>
      <c r="Y93" s="49">
        <f t="shared" si="13"/>
        <v>392398.31654635916</v>
      </c>
      <c r="Z93" s="49">
        <f t="shared" si="13"/>
        <v>392398.31654635916</v>
      </c>
      <c r="AB93" s="49">
        <f t="shared" si="14"/>
        <v>46387.785057450623</v>
      </c>
      <c r="AC93" s="49">
        <f t="shared" si="14"/>
        <v>46387.785057450623</v>
      </c>
      <c r="AD93" s="49">
        <f t="shared" si="14"/>
        <v>46387.785057450623</v>
      </c>
      <c r="AE93" s="49">
        <f t="shared" si="14"/>
        <v>46387.785057450623</v>
      </c>
      <c r="AF93" s="49">
        <f t="shared" si="14"/>
        <v>46387.785057450623</v>
      </c>
      <c r="AH93" s="49">
        <f t="shared" si="15"/>
        <v>589124.87022962305</v>
      </c>
      <c r="AI93" s="49">
        <f t="shared" si="16"/>
        <v>514855.58489027311</v>
      </c>
      <c r="AJ93" s="49">
        <f t="shared" si="17"/>
        <v>450749.46491315</v>
      </c>
      <c r="AK93" s="49">
        <f t="shared" si="18"/>
        <v>438786.1016038098</v>
      </c>
      <c r="AL93" s="49">
        <f t="shared" si="19"/>
        <v>438786.1016038098</v>
      </c>
      <c r="AN93" s="49">
        <f t="shared" si="20"/>
        <v>3817714.7102281861</v>
      </c>
      <c r="AO93" s="49">
        <f t="shared" si="21"/>
        <v>3302859.1253379132</v>
      </c>
      <c r="AP93" s="49">
        <f t="shared" si="22"/>
        <v>2852109.6604247633</v>
      </c>
      <c r="AQ93" s="49">
        <f t="shared" si="23"/>
        <v>2413323.5588209536</v>
      </c>
      <c r="AR93" s="49">
        <f t="shared" si="24"/>
        <v>1974537.4572171438</v>
      </c>
      <c r="AT93" s="49">
        <f t="shared" si="25"/>
        <v>47033.8741277308</v>
      </c>
      <c r="AU93" s="49">
        <f t="shared" si="25"/>
        <v>49750.174426355516</v>
      </c>
      <c r="AV93" s="49">
        <f t="shared" si="25"/>
        <v>53515.267626942092</v>
      </c>
      <c r="AW93" s="49">
        <f t="shared" si="25"/>
        <v>54793.640340014492</v>
      </c>
      <c r="AX93" s="49">
        <f t="shared" si="25"/>
        <v>55502.23169689154</v>
      </c>
      <c r="AZ93" s="53">
        <f t="shared" si="26"/>
        <v>765961.04450511222</v>
      </c>
      <c r="BA93" s="53">
        <f t="shared" si="27"/>
        <v>673600.1104527798</v>
      </c>
      <c r="BB93" s="53">
        <f t="shared" si="28"/>
        <v>612644.89963623311</v>
      </c>
      <c r="BC93" s="53">
        <f t="shared" si="29"/>
        <v>585286.03717902047</v>
      </c>
      <c r="BD93" s="53">
        <f t="shared" si="30"/>
        <v>569320.75667495281</v>
      </c>
    </row>
    <row r="94" spans="2:56">
      <c r="B94" s="43">
        <f>'3. Input (des)investeringen '!B119</f>
        <v>1562</v>
      </c>
      <c r="C94" s="54"/>
      <c r="D94" s="54"/>
      <c r="E94" s="54"/>
      <c r="F94" s="48">
        <f>'3. Input (des)investeringen '!D119</f>
        <v>7590881.0003333744</v>
      </c>
      <c r="G94" s="54"/>
      <c r="H94" s="43">
        <f>'3. Input (des)investeringen '!F119</f>
        <v>2021</v>
      </c>
      <c r="I94" s="48" t="str">
        <f>'3. Input (des)investeringen '!G119</f>
        <v>nvt</v>
      </c>
      <c r="J94" s="48">
        <f>'3. Input (des)investeringen '!H119</f>
        <v>15</v>
      </c>
      <c r="K94" s="48">
        <f>'3. Input (des)investeringen '!I119</f>
        <v>0</v>
      </c>
      <c r="M94" s="49">
        <f t="shared" si="8"/>
        <v>0</v>
      </c>
      <c r="N94" s="49">
        <f t="shared" si="9"/>
        <v>253029.36667777915</v>
      </c>
      <c r="P94" s="147">
        <f t="shared" si="31"/>
        <v>0</v>
      </c>
      <c r="Q94" s="147">
        <f t="shared" si="10"/>
        <v>7337851.6336555956</v>
      </c>
      <c r="S94" s="49">
        <f t="shared" si="11"/>
        <v>7337851.6336555956</v>
      </c>
      <c r="T94" s="44">
        <f t="shared" si="12"/>
        <v>14.5</v>
      </c>
      <c r="V94" s="49">
        <f t="shared" ref="V94:Z138" si="32">IF($J94=0, 0, IF(OR($H94&gt;V$59,$H94+$J94&lt;V$59),0,
IF(OR($H94=2020,$H94=2021),VDB($S94*(1-$F$28),0,$T94,V$59-2022,MIN($T94,V$59-2021),$F$22,FALSE),
VDB($S94*(1-$F$28),0,$T94,MAX(0,V$59-$H94-0.5),MIN($T94,V$59-$H94+0.5),$F$22,FALSE))))</f>
        <v>592088.71802600322</v>
      </c>
      <c r="W94" s="49">
        <f t="shared" si="32"/>
        <v>539004.90192712017</v>
      </c>
      <c r="X94" s="49">
        <f t="shared" si="32"/>
        <v>490680.32451296458</v>
      </c>
      <c r="Y94" s="49">
        <f t="shared" si="32"/>
        <v>446688.29541869886</v>
      </c>
      <c r="Z94" s="49">
        <f t="shared" si="32"/>
        <v>431962.30765764281</v>
      </c>
      <c r="AB94" s="49">
        <f t="shared" ref="AB94:AF138" si="33">IF($J94=0, 0, IF(OR($H94&gt;AB$59,$H94+$J94&lt;AB$59),0,
IF(OR($H94=2020,$H94=2021),VDB($S94*$F$28,0,$T94,AB$59-2022,MIN($T94,AB$59-2021),1),
VDB($S94*$F$28,0,$T94,MAX(0,AB$59-$H94-0.5),MIN($T94,AB$59-$H94+0.5),1))))</f>
        <v>50605.873335555836</v>
      </c>
      <c r="AC94" s="49">
        <f t="shared" si="33"/>
        <v>50605.873335555836</v>
      </c>
      <c r="AD94" s="49">
        <f t="shared" si="33"/>
        <v>50605.873335555836</v>
      </c>
      <c r="AE94" s="49">
        <f t="shared" si="33"/>
        <v>50605.873335555836</v>
      </c>
      <c r="AF94" s="49">
        <f t="shared" si="33"/>
        <v>50605.873335555836</v>
      </c>
      <c r="AH94" s="49">
        <f t="shared" si="15"/>
        <v>642694.591361559</v>
      </c>
      <c r="AI94" s="49">
        <f t="shared" si="16"/>
        <v>589610.77526267595</v>
      </c>
      <c r="AJ94" s="49">
        <f t="shared" si="17"/>
        <v>541286.19784852047</v>
      </c>
      <c r="AK94" s="49">
        <f t="shared" si="18"/>
        <v>497294.1687542547</v>
      </c>
      <c r="AL94" s="49">
        <f t="shared" si="19"/>
        <v>482568.18099319865</v>
      </c>
      <c r="AN94" s="49">
        <f t="shared" si="20"/>
        <v>6695157.0422940366</v>
      </c>
      <c r="AO94" s="49">
        <f t="shared" si="21"/>
        <v>6105546.2670313604</v>
      </c>
      <c r="AP94" s="49">
        <f t="shared" si="22"/>
        <v>5564260.0691828402</v>
      </c>
      <c r="AQ94" s="49">
        <f t="shared" si="23"/>
        <v>5066965.9004285857</v>
      </c>
      <c r="AR94" s="49">
        <f t="shared" si="24"/>
        <v>4584397.7194353873</v>
      </c>
      <c r="AT94" s="49">
        <f t="shared" ref="AT94:AX125" si="34">IF($H94&lt;=AT$59,$F94*INDEX($H$40:$N$46,$H94-2019,AT$59-2019)*INDEX($H$49:$N$55,$H94-2019,AT$59-2019)*$F$19,0)</f>
        <v>76966.067909060177</v>
      </c>
      <c r="AU94" s="49">
        <f t="shared" si="34"/>
        <v>81411.012262944219</v>
      </c>
      <c r="AV94" s="49">
        <f t="shared" si="34"/>
        <v>87572.197671003829</v>
      </c>
      <c r="AW94" s="49">
        <f t="shared" si="34"/>
        <v>89664.122328968777</v>
      </c>
      <c r="AX94" s="49">
        <f t="shared" si="34"/>
        <v>90823.658758926991</v>
      </c>
      <c r="AZ94" s="53">
        <f t="shared" si="26"/>
        <v>947295.99870861636</v>
      </c>
      <c r="BA94" s="53">
        <f t="shared" si="27"/>
        <v>872504.81433765509</v>
      </c>
      <c r="BB94" s="53">
        <f t="shared" si="28"/>
        <v>840300.27814847231</v>
      </c>
      <c r="BC94" s="53">
        <f t="shared" si="29"/>
        <v>779502.99529950973</v>
      </c>
      <c r="BD94" s="53">
        <f t="shared" si="30"/>
        <v>747598.9530906704</v>
      </c>
    </row>
    <row r="95" spans="2:56">
      <c r="B95" s="43">
        <f>'3. Input (des)investeringen '!B120</f>
        <v>1563</v>
      </c>
      <c r="C95" s="54"/>
      <c r="D95" s="54"/>
      <c r="E95" s="54"/>
      <c r="F95" s="48">
        <f>'3. Input (des)investeringen '!D120</f>
        <v>7531741.7035039887</v>
      </c>
      <c r="G95" s="54"/>
      <c r="H95" s="43">
        <f>'3. Input (des)investeringen '!F120</f>
        <v>2021</v>
      </c>
      <c r="I95" s="48" t="str">
        <f>'3. Input (des)investeringen '!G120</f>
        <v>nvt</v>
      </c>
      <c r="J95" s="48">
        <f>'3. Input (des)investeringen '!H120</f>
        <v>30</v>
      </c>
      <c r="K95" s="48">
        <f>'3. Input (des)investeringen '!I120</f>
        <v>0</v>
      </c>
      <c r="M95" s="49">
        <f t="shared" si="8"/>
        <v>0</v>
      </c>
      <c r="N95" s="49">
        <f t="shared" si="9"/>
        <v>125529.02839173314</v>
      </c>
      <c r="P95" s="147">
        <f t="shared" si="31"/>
        <v>0</v>
      </c>
      <c r="Q95" s="147">
        <f t="shared" si="10"/>
        <v>7406212.6751122558</v>
      </c>
      <c r="S95" s="49">
        <f t="shared" si="11"/>
        <v>7406212.6751122558</v>
      </c>
      <c r="T95" s="44">
        <f t="shared" si="12"/>
        <v>29.5</v>
      </c>
      <c r="V95" s="49">
        <f t="shared" si="32"/>
        <v>293737.92643665557</v>
      </c>
      <c r="W95" s="49">
        <f t="shared" si="32"/>
        <v>280793.54323775211</v>
      </c>
      <c r="X95" s="49">
        <f t="shared" si="32"/>
        <v>268419.59048490203</v>
      </c>
      <c r="Y95" s="49">
        <f t="shared" si="32"/>
        <v>256590.93056522837</v>
      </c>
      <c r="Z95" s="49">
        <f t="shared" si="32"/>
        <v>245283.53362506576</v>
      </c>
      <c r="AB95" s="49">
        <f t="shared" si="33"/>
        <v>25105.805678346631</v>
      </c>
      <c r="AC95" s="49">
        <f t="shared" si="33"/>
        <v>25105.805678346631</v>
      </c>
      <c r="AD95" s="49">
        <f t="shared" si="33"/>
        <v>25105.805678346631</v>
      </c>
      <c r="AE95" s="49">
        <f t="shared" si="33"/>
        <v>25105.805678346631</v>
      </c>
      <c r="AF95" s="49">
        <f t="shared" si="33"/>
        <v>25105.805678346631</v>
      </c>
      <c r="AH95" s="49">
        <f t="shared" si="15"/>
        <v>318843.73211500223</v>
      </c>
      <c r="AI95" s="49">
        <f t="shared" si="16"/>
        <v>305899.34891609871</v>
      </c>
      <c r="AJ95" s="49">
        <f t="shared" si="17"/>
        <v>293525.39616324869</v>
      </c>
      <c r="AK95" s="49">
        <f t="shared" si="18"/>
        <v>281696.736243575</v>
      </c>
      <c r="AL95" s="49">
        <f t="shared" si="19"/>
        <v>270389.33930341236</v>
      </c>
      <c r="AN95" s="49">
        <f t="shared" si="20"/>
        <v>7087368.9429972535</v>
      </c>
      <c r="AO95" s="49">
        <f t="shared" si="21"/>
        <v>6781469.594081155</v>
      </c>
      <c r="AP95" s="49">
        <f t="shared" si="22"/>
        <v>6487944.1979179066</v>
      </c>
      <c r="AQ95" s="49">
        <f t="shared" si="23"/>
        <v>6206247.4616743317</v>
      </c>
      <c r="AR95" s="49">
        <f t="shared" si="24"/>
        <v>5935858.1223709192</v>
      </c>
      <c r="AT95" s="49">
        <f t="shared" si="34"/>
        <v>76366.438019503927</v>
      </c>
      <c r="AU95" s="49">
        <f t="shared" si="34"/>
        <v>80776.75254800632</v>
      </c>
      <c r="AV95" s="49">
        <f t="shared" si="34"/>
        <v>86889.93718083945</v>
      </c>
      <c r="AW95" s="49">
        <f t="shared" si="34"/>
        <v>88965.564000215323</v>
      </c>
      <c r="AX95" s="49">
        <f t="shared" si="34"/>
        <v>90116.066673866109</v>
      </c>
      <c r="AZ95" s="53">
        <f t="shared" si="26"/>
        <v>636180.71419641282</v>
      </c>
      <c r="BA95" s="53">
        <f t="shared" si="27"/>
        <v>610464.59806878318</v>
      </c>
      <c r="BB95" s="53">
        <f t="shared" si="28"/>
        <v>626957.21286496858</v>
      </c>
      <c r="BC95" s="53">
        <f t="shared" si="29"/>
        <v>606499.70378741482</v>
      </c>
      <c r="BD95" s="53">
        <f t="shared" si="30"/>
        <v>586068.01462737343</v>
      </c>
    </row>
    <row r="96" spans="2:56">
      <c r="B96" s="43">
        <f>'3. Input (des)investeringen '!B121</f>
        <v>1564</v>
      </c>
      <c r="C96" s="54"/>
      <c r="D96" s="54"/>
      <c r="E96" s="54"/>
      <c r="F96" s="48">
        <f>'3. Input (des)investeringen '!D121</f>
        <v>0</v>
      </c>
      <c r="G96" s="54"/>
      <c r="H96" s="43">
        <f>'3. Input (des)investeringen '!F121</f>
        <v>2021</v>
      </c>
      <c r="I96" s="48" t="str">
        <f>'3. Input (des)investeringen '!G121</f>
        <v>nvt</v>
      </c>
      <c r="J96" s="48">
        <f>'3. Input (des)investeringen '!H121</f>
        <v>55</v>
      </c>
      <c r="K96" s="48">
        <f>'3. Input (des)investeringen '!I121</f>
        <v>0</v>
      </c>
      <c r="M96" s="49">
        <f t="shared" si="8"/>
        <v>0</v>
      </c>
      <c r="N96" s="49">
        <f t="shared" si="9"/>
        <v>0</v>
      </c>
      <c r="P96" s="147">
        <f t="shared" si="31"/>
        <v>0</v>
      </c>
      <c r="Q96" s="147">
        <f t="shared" si="10"/>
        <v>0</v>
      </c>
      <c r="S96" s="49">
        <f t="shared" si="11"/>
        <v>0</v>
      </c>
      <c r="T96" s="44">
        <f t="shared" si="12"/>
        <v>54.5</v>
      </c>
      <c r="V96" s="49">
        <f t="shared" si="32"/>
        <v>0</v>
      </c>
      <c r="W96" s="49">
        <f t="shared" si="32"/>
        <v>0</v>
      </c>
      <c r="X96" s="49">
        <f t="shared" si="32"/>
        <v>0</v>
      </c>
      <c r="Y96" s="49">
        <f t="shared" si="32"/>
        <v>0</v>
      </c>
      <c r="Z96" s="49">
        <f t="shared" si="32"/>
        <v>0</v>
      </c>
      <c r="AB96" s="49">
        <f t="shared" si="33"/>
        <v>0</v>
      </c>
      <c r="AC96" s="49">
        <f t="shared" si="33"/>
        <v>0</v>
      </c>
      <c r="AD96" s="49">
        <f t="shared" si="33"/>
        <v>0</v>
      </c>
      <c r="AE96" s="49">
        <f t="shared" si="33"/>
        <v>0</v>
      </c>
      <c r="AF96" s="49">
        <f t="shared" si="33"/>
        <v>0</v>
      </c>
      <c r="AH96" s="49">
        <f t="shared" si="15"/>
        <v>0</v>
      </c>
      <c r="AI96" s="49">
        <f t="shared" si="16"/>
        <v>0</v>
      </c>
      <c r="AJ96" s="49">
        <f t="shared" si="17"/>
        <v>0</v>
      </c>
      <c r="AK96" s="49">
        <f t="shared" si="18"/>
        <v>0</v>
      </c>
      <c r="AL96" s="49">
        <f t="shared" si="19"/>
        <v>0</v>
      </c>
      <c r="AN96" s="49">
        <f t="shared" si="20"/>
        <v>0</v>
      </c>
      <c r="AO96" s="49">
        <f t="shared" si="21"/>
        <v>0</v>
      </c>
      <c r="AP96" s="49">
        <f t="shared" si="22"/>
        <v>0</v>
      </c>
      <c r="AQ96" s="49">
        <f t="shared" si="23"/>
        <v>0</v>
      </c>
      <c r="AR96" s="49">
        <f t="shared" si="24"/>
        <v>0</v>
      </c>
      <c r="AT96" s="49">
        <f t="shared" si="34"/>
        <v>0</v>
      </c>
      <c r="AU96" s="49">
        <f t="shared" si="34"/>
        <v>0</v>
      </c>
      <c r="AV96" s="49">
        <f t="shared" si="34"/>
        <v>0</v>
      </c>
      <c r="AW96" s="49">
        <f t="shared" si="34"/>
        <v>0</v>
      </c>
      <c r="AX96" s="49">
        <f t="shared" si="34"/>
        <v>0</v>
      </c>
      <c r="AZ96" s="53">
        <f t="shared" si="26"/>
        <v>0</v>
      </c>
      <c r="BA96" s="53">
        <f t="shared" si="27"/>
        <v>0</v>
      </c>
      <c r="BB96" s="53">
        <f t="shared" si="28"/>
        <v>0</v>
      </c>
      <c r="BC96" s="53">
        <f t="shared" si="29"/>
        <v>0</v>
      </c>
      <c r="BD96" s="53">
        <f t="shared" si="30"/>
        <v>0</v>
      </c>
    </row>
    <row r="97" spans="2:56">
      <c r="B97" s="43">
        <f>'3. Input (des)investeringen '!B122</f>
        <v>1565</v>
      </c>
      <c r="C97" s="54"/>
      <c r="D97" s="54"/>
      <c r="E97" s="54"/>
      <c r="F97" s="48">
        <f>'3. Input (des)investeringen '!D122</f>
        <v>0</v>
      </c>
      <c r="G97" s="54"/>
      <c r="H97" s="43">
        <f>'3. Input (des)investeringen '!F122</f>
        <v>2022</v>
      </c>
      <c r="I97" s="48" t="str">
        <f>'3. Input (des)investeringen '!G122</f>
        <v>nvt</v>
      </c>
      <c r="J97" s="48">
        <f>'3. Input (des)investeringen '!H122</f>
        <v>0</v>
      </c>
      <c r="K97" s="48">
        <f>'3. Input (des)investeringen '!I122</f>
        <v>1</v>
      </c>
      <c r="M97" s="49">
        <f t="shared" si="8"/>
        <v>0</v>
      </c>
      <c r="N97" s="49">
        <f t="shared" si="9"/>
        <v>0</v>
      </c>
      <c r="P97" s="147">
        <f t="shared" si="31"/>
        <v>0</v>
      </c>
      <c r="Q97" s="147">
        <f t="shared" si="10"/>
        <v>0</v>
      </c>
      <c r="S97" s="49">
        <f t="shared" si="11"/>
        <v>0</v>
      </c>
      <c r="T97" s="44">
        <f t="shared" si="12"/>
        <v>0</v>
      </c>
      <c r="V97" s="49">
        <f t="shared" si="32"/>
        <v>0</v>
      </c>
      <c r="W97" s="49">
        <f t="shared" si="32"/>
        <v>0</v>
      </c>
      <c r="X97" s="49">
        <f t="shared" si="32"/>
        <v>0</v>
      </c>
      <c r="Y97" s="49">
        <f t="shared" si="32"/>
        <v>0</v>
      </c>
      <c r="Z97" s="49">
        <f t="shared" si="32"/>
        <v>0</v>
      </c>
      <c r="AB97" s="49">
        <f t="shared" si="33"/>
        <v>0</v>
      </c>
      <c r="AC97" s="49">
        <f t="shared" si="33"/>
        <v>0</v>
      </c>
      <c r="AD97" s="49">
        <f t="shared" si="33"/>
        <v>0</v>
      </c>
      <c r="AE97" s="49">
        <f t="shared" si="33"/>
        <v>0</v>
      </c>
      <c r="AF97" s="49">
        <f t="shared" si="33"/>
        <v>0</v>
      </c>
      <c r="AH97" s="49">
        <f t="shared" si="15"/>
        <v>0</v>
      </c>
      <c r="AI97" s="49">
        <f t="shared" si="16"/>
        <v>0</v>
      </c>
      <c r="AJ97" s="49">
        <f t="shared" si="17"/>
        <v>0</v>
      </c>
      <c r="AK97" s="49">
        <f t="shared" si="18"/>
        <v>0</v>
      </c>
      <c r="AL97" s="49">
        <f t="shared" si="19"/>
        <v>0</v>
      </c>
      <c r="AN97" s="49">
        <f t="shared" si="20"/>
        <v>0</v>
      </c>
      <c r="AO97" s="49">
        <f t="shared" si="21"/>
        <v>0</v>
      </c>
      <c r="AP97" s="49">
        <f t="shared" si="22"/>
        <v>0</v>
      </c>
      <c r="AQ97" s="49">
        <f t="shared" si="23"/>
        <v>0</v>
      </c>
      <c r="AR97" s="49">
        <f t="shared" si="24"/>
        <v>0</v>
      </c>
      <c r="AT97" s="49">
        <f t="shared" si="34"/>
        <v>0</v>
      </c>
      <c r="AU97" s="49">
        <f t="shared" si="34"/>
        <v>0</v>
      </c>
      <c r="AV97" s="49">
        <f t="shared" si="34"/>
        <v>0</v>
      </c>
      <c r="AW97" s="49">
        <f t="shared" si="34"/>
        <v>0</v>
      </c>
      <c r="AX97" s="49">
        <f t="shared" si="34"/>
        <v>0</v>
      </c>
      <c r="AZ97" s="53">
        <f t="shared" si="26"/>
        <v>0</v>
      </c>
      <c r="BA97" s="53">
        <f t="shared" si="27"/>
        <v>0</v>
      </c>
      <c r="BB97" s="53">
        <f t="shared" si="28"/>
        <v>0</v>
      </c>
      <c r="BC97" s="53">
        <f t="shared" si="29"/>
        <v>0</v>
      </c>
      <c r="BD97" s="53">
        <f t="shared" si="30"/>
        <v>0</v>
      </c>
    </row>
    <row r="98" spans="2:56">
      <c r="B98" s="43">
        <f>'3. Input (des)investeringen '!B123</f>
        <v>1566</v>
      </c>
      <c r="C98" s="54"/>
      <c r="D98" s="54"/>
      <c r="E98" s="54"/>
      <c r="F98" s="48">
        <f>'3. Input (des)investeringen '!D123</f>
        <v>16890169.385303106</v>
      </c>
      <c r="G98" s="54"/>
      <c r="H98" s="43">
        <f>'3. Input (des)investeringen '!F123</f>
        <v>2022</v>
      </c>
      <c r="I98" s="48" t="str">
        <f>'3. Input (des)investeringen '!G123</f>
        <v>nvt</v>
      </c>
      <c r="J98" s="48">
        <f>'3. Input (des)investeringen '!H123</f>
        <v>5</v>
      </c>
      <c r="K98" s="48">
        <f>'3. Input (des)investeringen '!I123</f>
        <v>1</v>
      </c>
      <c r="M98" s="49">
        <f t="shared" si="8"/>
        <v>0</v>
      </c>
      <c r="N98" s="49">
        <f t="shared" si="9"/>
        <v>0</v>
      </c>
      <c r="P98" s="147">
        <f t="shared" si="31"/>
        <v>0</v>
      </c>
      <c r="Q98" s="147">
        <f t="shared" si="10"/>
        <v>0</v>
      </c>
      <c r="S98" s="49">
        <f t="shared" si="11"/>
        <v>16890169.385303106</v>
      </c>
      <c r="T98" s="44">
        <f t="shared" si="12"/>
        <v>5</v>
      </c>
      <c r="V98" s="49">
        <f t="shared" si="32"/>
        <v>1976149.8180804634</v>
      </c>
      <c r="W98" s="49">
        <f t="shared" si="32"/>
        <v>3438500.6834600065</v>
      </c>
      <c r="X98" s="49">
        <f t="shared" si="32"/>
        <v>2796143.4129235218</v>
      </c>
      <c r="Y98" s="49">
        <f t="shared" si="32"/>
        <v>2796143.4129235218</v>
      </c>
      <c r="Z98" s="49">
        <f t="shared" si="32"/>
        <v>2796143.4129235218</v>
      </c>
      <c r="AB98" s="49">
        <f t="shared" si="33"/>
        <v>168901.69385303109</v>
      </c>
      <c r="AC98" s="49">
        <f t="shared" si="33"/>
        <v>337803.38770606212</v>
      </c>
      <c r="AD98" s="49">
        <f t="shared" si="33"/>
        <v>337803.38770606212</v>
      </c>
      <c r="AE98" s="49">
        <f t="shared" si="33"/>
        <v>337803.38770606212</v>
      </c>
      <c r="AF98" s="49">
        <f t="shared" si="33"/>
        <v>337803.38770606212</v>
      </c>
      <c r="AH98" s="49">
        <f t="shared" si="15"/>
        <v>2145051.5119334944</v>
      </c>
      <c r="AI98" s="49">
        <f t="shared" si="16"/>
        <v>3776304.0711660688</v>
      </c>
      <c r="AJ98" s="49">
        <f t="shared" si="17"/>
        <v>3133946.8006295841</v>
      </c>
      <c r="AK98" s="49">
        <f t="shared" si="18"/>
        <v>3133946.8006295841</v>
      </c>
      <c r="AL98" s="49">
        <f t="shared" si="19"/>
        <v>3133946.8006295841</v>
      </c>
      <c r="AN98" s="49">
        <f t="shared" si="20"/>
        <v>14745117.873369612</v>
      </c>
      <c r="AO98" s="49">
        <f t="shared" si="21"/>
        <v>10968813.802203543</v>
      </c>
      <c r="AP98" s="49">
        <f t="shared" si="22"/>
        <v>7834867.0015739594</v>
      </c>
      <c r="AQ98" s="49">
        <f t="shared" si="23"/>
        <v>4700920.2009443752</v>
      </c>
      <c r="AR98" s="49">
        <f t="shared" si="24"/>
        <v>1566973.4003147911</v>
      </c>
      <c r="AT98" s="49">
        <f t="shared" si="34"/>
        <v>168901.69385303106</v>
      </c>
      <c r="AU98" s="49">
        <f t="shared" si="34"/>
        <v>178656.10447643133</v>
      </c>
      <c r="AV98" s="49">
        <f t="shared" si="34"/>
        <v>192176.79846320767</v>
      </c>
      <c r="AW98" s="49">
        <f t="shared" si="34"/>
        <v>196767.51782489676</v>
      </c>
      <c r="AX98" s="49">
        <f t="shared" si="34"/>
        <v>199312.11536540833</v>
      </c>
      <c r="AZ98" s="53">
        <f t="shared" si="26"/>
        <v>2815287.2134810919</v>
      </c>
      <c r="BA98" s="53">
        <f t="shared" si="27"/>
        <v>4316931.0311152171</v>
      </c>
      <c r="BB98" s="53">
        <f t="shared" si="28"/>
        <v>3623848.5451526023</v>
      </c>
      <c r="BC98" s="53">
        <f t="shared" si="29"/>
        <v>3509349.286090367</v>
      </c>
      <c r="BD98" s="53">
        <f t="shared" si="30"/>
        <v>3392803.9052069546</v>
      </c>
    </row>
    <row r="99" spans="2:56">
      <c r="B99" s="43">
        <f>'3. Input (des)investeringen '!B124</f>
        <v>1567</v>
      </c>
      <c r="C99" s="54"/>
      <c r="D99" s="54"/>
      <c r="E99" s="54"/>
      <c r="F99" s="48">
        <f>'3. Input (des)investeringen '!D124</f>
        <v>5123153.0826677978</v>
      </c>
      <c r="G99" s="54"/>
      <c r="H99" s="43">
        <f>'3. Input (des)investeringen '!F124</f>
        <v>2022</v>
      </c>
      <c r="I99" s="48" t="str">
        <f>'3. Input (des)investeringen '!G124</f>
        <v>nvt</v>
      </c>
      <c r="J99" s="48">
        <f>'3. Input (des)investeringen '!H124</f>
        <v>10</v>
      </c>
      <c r="K99" s="48">
        <f>'3. Input (des)investeringen '!I124</f>
        <v>1</v>
      </c>
      <c r="M99" s="49">
        <f t="shared" si="8"/>
        <v>0</v>
      </c>
      <c r="N99" s="49">
        <f t="shared" si="9"/>
        <v>0</v>
      </c>
      <c r="P99" s="147">
        <f t="shared" si="31"/>
        <v>0</v>
      </c>
      <c r="Q99" s="147">
        <f t="shared" si="10"/>
        <v>0</v>
      </c>
      <c r="S99" s="49">
        <f t="shared" si="11"/>
        <v>5123153.0826677978</v>
      </c>
      <c r="T99" s="44">
        <f t="shared" si="12"/>
        <v>10</v>
      </c>
      <c r="V99" s="49">
        <f t="shared" si="32"/>
        <v>299704.4553360662</v>
      </c>
      <c r="W99" s="49">
        <f t="shared" si="32"/>
        <v>560447.33147844381</v>
      </c>
      <c r="X99" s="49">
        <f t="shared" si="32"/>
        <v>487589.17838624615</v>
      </c>
      <c r="Y99" s="49">
        <f t="shared" si="32"/>
        <v>435079.57456003496</v>
      </c>
      <c r="Z99" s="49">
        <f t="shared" si="32"/>
        <v>435079.57456003496</v>
      </c>
      <c r="AB99" s="49">
        <f t="shared" si="33"/>
        <v>25615.765413338991</v>
      </c>
      <c r="AC99" s="49">
        <f t="shared" si="33"/>
        <v>51231.530826677976</v>
      </c>
      <c r="AD99" s="49">
        <f t="shared" si="33"/>
        <v>51231.530826677976</v>
      </c>
      <c r="AE99" s="49">
        <f t="shared" si="33"/>
        <v>51231.530826677976</v>
      </c>
      <c r="AF99" s="49">
        <f t="shared" si="33"/>
        <v>51231.530826677976</v>
      </c>
      <c r="AH99" s="49">
        <f t="shared" si="15"/>
        <v>325320.22074940521</v>
      </c>
      <c r="AI99" s="49">
        <f t="shared" si="16"/>
        <v>611678.86230512173</v>
      </c>
      <c r="AJ99" s="49">
        <f t="shared" si="17"/>
        <v>538820.70921292412</v>
      </c>
      <c r="AK99" s="49">
        <f t="shared" si="18"/>
        <v>486311.10538671294</v>
      </c>
      <c r="AL99" s="49">
        <f t="shared" si="19"/>
        <v>486311.10538671294</v>
      </c>
      <c r="AN99" s="49">
        <f t="shared" si="20"/>
        <v>4797832.8619183926</v>
      </c>
      <c r="AO99" s="49">
        <f t="shared" si="21"/>
        <v>4186153.9996132711</v>
      </c>
      <c r="AP99" s="49">
        <f t="shared" si="22"/>
        <v>3647333.2904003467</v>
      </c>
      <c r="AQ99" s="49">
        <f t="shared" si="23"/>
        <v>3161022.1850136337</v>
      </c>
      <c r="AR99" s="49">
        <f t="shared" si="24"/>
        <v>2674711.0796269206</v>
      </c>
      <c r="AT99" s="49">
        <f t="shared" si="34"/>
        <v>51231.530826677976</v>
      </c>
      <c r="AU99" s="49">
        <f t="shared" si="34"/>
        <v>54190.254194980291</v>
      </c>
      <c r="AV99" s="49">
        <f t="shared" si="34"/>
        <v>58291.372632456405</v>
      </c>
      <c r="AW99" s="49">
        <f t="shared" si="34"/>
        <v>59683.836941900525</v>
      </c>
      <c r="AX99" s="49">
        <f t="shared" si="34"/>
        <v>60455.66832123317</v>
      </c>
      <c r="AZ99" s="53">
        <f t="shared" si="26"/>
        <v>539678.06888130854</v>
      </c>
      <c r="BA99" s="53">
        <f t="shared" si="27"/>
        <v>804012.19848734001</v>
      </c>
      <c r="BB99" s="53">
        <f t="shared" si="28"/>
        <v>735710.74688059359</v>
      </c>
      <c r="BC99" s="53">
        <f t="shared" si="29"/>
        <v>666113.78535913152</v>
      </c>
      <c r="BD99" s="53">
        <f t="shared" si="30"/>
        <v>648405.79473376903</v>
      </c>
    </row>
    <row r="100" spans="2:56">
      <c r="B100" s="43">
        <f>'3. Input (des)investeringen '!B125</f>
        <v>1568</v>
      </c>
      <c r="C100" s="54"/>
      <c r="D100" s="54"/>
      <c r="E100" s="54"/>
      <c r="F100" s="48">
        <f>'3. Input (des)investeringen '!D125</f>
        <v>24165572.707445111</v>
      </c>
      <c r="G100" s="54"/>
      <c r="H100" s="43">
        <f>'3. Input (des)investeringen '!F125</f>
        <v>2022</v>
      </c>
      <c r="I100" s="48" t="str">
        <f>'3. Input (des)investeringen '!G125</f>
        <v>nvt</v>
      </c>
      <c r="J100" s="48">
        <f>'3. Input (des)investeringen '!H125</f>
        <v>15</v>
      </c>
      <c r="K100" s="48">
        <f>'3. Input (des)investeringen '!I125</f>
        <v>1</v>
      </c>
      <c r="M100" s="49">
        <f t="shared" si="8"/>
        <v>0</v>
      </c>
      <c r="N100" s="49">
        <f t="shared" si="9"/>
        <v>0</v>
      </c>
      <c r="P100" s="147">
        <f t="shared" si="31"/>
        <v>0</v>
      </c>
      <c r="Q100" s="147">
        <f t="shared" si="10"/>
        <v>0</v>
      </c>
      <c r="S100" s="49">
        <f t="shared" si="11"/>
        <v>24165572.707445111</v>
      </c>
      <c r="T100" s="44">
        <f t="shared" si="12"/>
        <v>15</v>
      </c>
      <c r="V100" s="49">
        <f t="shared" si="32"/>
        <v>942457.33559035941</v>
      </c>
      <c r="W100" s="49">
        <f t="shared" si="32"/>
        <v>1803235.0354295543</v>
      </c>
      <c r="X100" s="49">
        <f t="shared" si="32"/>
        <v>1646954.6656923261</v>
      </c>
      <c r="Y100" s="49">
        <f t="shared" si="32"/>
        <v>1504218.594665658</v>
      </c>
      <c r="Z100" s="49">
        <f t="shared" si="32"/>
        <v>1378447.8091584959</v>
      </c>
      <c r="AB100" s="49">
        <f t="shared" si="33"/>
        <v>80551.90902481704</v>
      </c>
      <c r="AC100" s="49">
        <f t="shared" si="33"/>
        <v>161103.81804963411</v>
      </c>
      <c r="AD100" s="49">
        <f t="shared" si="33"/>
        <v>161103.81804963411</v>
      </c>
      <c r="AE100" s="49">
        <f t="shared" si="33"/>
        <v>161103.81804963411</v>
      </c>
      <c r="AF100" s="49">
        <f t="shared" si="33"/>
        <v>161103.81804963411</v>
      </c>
      <c r="AH100" s="49">
        <f t="shared" si="15"/>
        <v>1023009.2446151765</v>
      </c>
      <c r="AI100" s="49">
        <f t="shared" si="16"/>
        <v>1964338.8534791884</v>
      </c>
      <c r="AJ100" s="49">
        <f t="shared" si="17"/>
        <v>1808058.4837419603</v>
      </c>
      <c r="AK100" s="49">
        <f t="shared" si="18"/>
        <v>1665322.4127152921</v>
      </c>
      <c r="AL100" s="49">
        <f t="shared" si="19"/>
        <v>1539551.62720813</v>
      </c>
      <c r="AN100" s="49">
        <f t="shared" si="20"/>
        <v>23142563.462829936</v>
      </c>
      <c r="AO100" s="49">
        <f t="shared" si="21"/>
        <v>21178224.609350748</v>
      </c>
      <c r="AP100" s="49">
        <f t="shared" si="22"/>
        <v>19370166.125608787</v>
      </c>
      <c r="AQ100" s="49">
        <f t="shared" si="23"/>
        <v>17704843.712893493</v>
      </c>
      <c r="AR100" s="49">
        <f t="shared" si="24"/>
        <v>16165292.085685363</v>
      </c>
      <c r="AT100" s="49">
        <f t="shared" si="34"/>
        <v>241655.7270744511</v>
      </c>
      <c r="AU100" s="49">
        <f t="shared" si="34"/>
        <v>255611.82862445485</v>
      </c>
      <c r="AV100" s="49">
        <f t="shared" si="34"/>
        <v>274956.5318147536</v>
      </c>
      <c r="AW100" s="49">
        <f t="shared" si="34"/>
        <v>281524.69344674441</v>
      </c>
      <c r="AX100" s="49">
        <f t="shared" si="34"/>
        <v>285165.37078239769</v>
      </c>
      <c r="AZ100" s="53">
        <f t="shared" si="26"/>
        <v>2051512.1294258453</v>
      </c>
      <c r="BA100" s="53">
        <f t="shared" si="27"/>
        <v>2918832.0942122177</v>
      </c>
      <c r="BB100" s="53">
        <f t="shared" si="28"/>
        <v>2819081.3283298477</v>
      </c>
      <c r="BC100" s="53">
        <f t="shared" si="29"/>
        <v>2619631.1672519892</v>
      </c>
      <c r="BD100" s="53">
        <f t="shared" si="30"/>
        <v>2438998.0972465714</v>
      </c>
    </row>
    <row r="101" spans="2:56">
      <c r="B101" s="43">
        <f>'3. Input (des)investeringen '!B126</f>
        <v>1569</v>
      </c>
      <c r="C101" s="54"/>
      <c r="D101" s="54"/>
      <c r="E101" s="54"/>
      <c r="F101" s="48">
        <f>'3. Input (des)investeringen '!D126</f>
        <v>29680389.233082227</v>
      </c>
      <c r="G101" s="54"/>
      <c r="H101" s="43">
        <f>'3. Input (des)investeringen '!F126</f>
        <v>2022</v>
      </c>
      <c r="I101" s="48" t="str">
        <f>'3. Input (des)investeringen '!G126</f>
        <v>nvt</v>
      </c>
      <c r="J101" s="48">
        <f>'3. Input (des)investeringen '!H126</f>
        <v>30</v>
      </c>
      <c r="K101" s="48">
        <f>'3. Input (des)investeringen '!I126</f>
        <v>1</v>
      </c>
      <c r="M101" s="49">
        <f t="shared" si="8"/>
        <v>0</v>
      </c>
      <c r="N101" s="49">
        <f t="shared" si="9"/>
        <v>0</v>
      </c>
      <c r="P101" s="147">
        <f t="shared" si="31"/>
        <v>0</v>
      </c>
      <c r="Q101" s="147">
        <f t="shared" si="10"/>
        <v>0</v>
      </c>
      <c r="S101" s="49">
        <f t="shared" si="11"/>
        <v>29680389.233082227</v>
      </c>
      <c r="T101" s="44">
        <f t="shared" si="12"/>
        <v>30</v>
      </c>
      <c r="V101" s="49">
        <f t="shared" si="32"/>
        <v>578767.59004510345</v>
      </c>
      <c r="W101" s="49">
        <f t="shared" si="32"/>
        <v>1132455.2511882524</v>
      </c>
      <c r="X101" s="49">
        <f t="shared" si="32"/>
        <v>1083382.1903034281</v>
      </c>
      <c r="Y101" s="49">
        <f t="shared" si="32"/>
        <v>1036435.6287236131</v>
      </c>
      <c r="Z101" s="49">
        <f t="shared" si="32"/>
        <v>991523.41814558976</v>
      </c>
      <c r="AB101" s="49">
        <f t="shared" si="33"/>
        <v>49467.315388470386</v>
      </c>
      <c r="AC101" s="49">
        <f t="shared" si="33"/>
        <v>98934.630776940772</v>
      </c>
      <c r="AD101" s="49">
        <f t="shared" si="33"/>
        <v>98934.630776940772</v>
      </c>
      <c r="AE101" s="49">
        <f t="shared" si="33"/>
        <v>98934.630776940772</v>
      </c>
      <c r="AF101" s="49">
        <f t="shared" si="33"/>
        <v>98934.630776940772</v>
      </c>
      <c r="AH101" s="49">
        <f t="shared" si="15"/>
        <v>628234.90543357388</v>
      </c>
      <c r="AI101" s="49">
        <f t="shared" si="16"/>
        <v>1231389.8819651932</v>
      </c>
      <c r="AJ101" s="49">
        <f t="shared" si="17"/>
        <v>1182316.8210803689</v>
      </c>
      <c r="AK101" s="49">
        <f t="shared" si="18"/>
        <v>1135370.2595005538</v>
      </c>
      <c r="AL101" s="49">
        <f t="shared" si="19"/>
        <v>1090458.0489225306</v>
      </c>
      <c r="AN101" s="49">
        <f t="shared" si="20"/>
        <v>29052154.327648655</v>
      </c>
      <c r="AO101" s="49">
        <f t="shared" si="21"/>
        <v>27820764.445683461</v>
      </c>
      <c r="AP101" s="49">
        <f t="shared" si="22"/>
        <v>26638447.624603093</v>
      </c>
      <c r="AQ101" s="49">
        <f t="shared" si="23"/>
        <v>25503077.365102537</v>
      </c>
      <c r="AR101" s="49">
        <f t="shared" si="24"/>
        <v>24412619.316180006</v>
      </c>
      <c r="AT101" s="49">
        <f t="shared" si="34"/>
        <v>296803.8923308223</v>
      </c>
      <c r="AU101" s="49">
        <f t="shared" si="34"/>
        <v>313944.91072071192</v>
      </c>
      <c r="AV101" s="49">
        <f t="shared" si="34"/>
        <v>337704.26156405546</v>
      </c>
      <c r="AW101" s="49">
        <f t="shared" si="34"/>
        <v>345771.34096429759</v>
      </c>
      <c r="AX101" s="49">
        <f t="shared" si="34"/>
        <v>350242.85594564787</v>
      </c>
      <c r="AZ101" s="53">
        <f t="shared" si="26"/>
        <v>1912812.0449044507</v>
      </c>
      <c r="BA101" s="53">
        <f t="shared" si="27"/>
        <v>2463420.0193934594</v>
      </c>
      <c r="BB101" s="53">
        <f t="shared" si="28"/>
        <v>2532282.0923793418</v>
      </c>
      <c r="BC101" s="53">
        <f t="shared" si="29"/>
        <v>2450258.5403387481</v>
      </c>
      <c r="BD101" s="53">
        <f t="shared" si="30"/>
        <v>2368380.4388830187</v>
      </c>
    </row>
    <row r="102" spans="2:56">
      <c r="B102" s="43">
        <f>'3. Input (des)investeringen '!B127</f>
        <v>1570</v>
      </c>
      <c r="C102" s="54"/>
      <c r="D102" s="54"/>
      <c r="E102" s="54"/>
      <c r="F102" s="48">
        <f>'3. Input (des)investeringen '!D127</f>
        <v>82159507.038901418</v>
      </c>
      <c r="G102" s="54"/>
      <c r="H102" s="43">
        <f>'3. Input (des)investeringen '!F127</f>
        <v>2022</v>
      </c>
      <c r="I102" s="48" t="str">
        <f>'3. Input (des)investeringen '!G127</f>
        <v>nvt</v>
      </c>
      <c r="J102" s="48">
        <f>'3. Input (des)investeringen '!H127</f>
        <v>55</v>
      </c>
      <c r="K102" s="48">
        <f>'3. Input (des)investeringen '!I127</f>
        <v>1</v>
      </c>
      <c r="M102" s="49">
        <f t="shared" si="8"/>
        <v>0</v>
      </c>
      <c r="N102" s="49">
        <f t="shared" si="9"/>
        <v>0</v>
      </c>
      <c r="P102" s="147">
        <f t="shared" si="31"/>
        <v>0</v>
      </c>
      <c r="Q102" s="147">
        <f t="shared" si="10"/>
        <v>0</v>
      </c>
      <c r="S102" s="49">
        <f t="shared" si="11"/>
        <v>82159507.038901418</v>
      </c>
      <c r="T102" s="44">
        <f t="shared" si="12"/>
        <v>55</v>
      </c>
      <c r="V102" s="49">
        <f t="shared" si="32"/>
        <v>873878.39305013325</v>
      </c>
      <c r="W102" s="49">
        <f t="shared" si="32"/>
        <v>1727101.4786281723</v>
      </c>
      <c r="X102" s="49">
        <f t="shared" si="32"/>
        <v>1686279.0800424155</v>
      </c>
      <c r="Y102" s="49">
        <f t="shared" si="32"/>
        <v>1646421.5745141401</v>
      </c>
      <c r="Z102" s="49">
        <f t="shared" si="32"/>
        <v>1607506.1554801697</v>
      </c>
      <c r="AB102" s="49">
        <f t="shared" si="33"/>
        <v>74690.46094445583</v>
      </c>
      <c r="AC102" s="49">
        <f t="shared" si="33"/>
        <v>149380.92188891166</v>
      </c>
      <c r="AD102" s="49">
        <f t="shared" si="33"/>
        <v>149380.92188891166</v>
      </c>
      <c r="AE102" s="49">
        <f t="shared" si="33"/>
        <v>149380.92188891166</v>
      </c>
      <c r="AF102" s="49">
        <f t="shared" si="33"/>
        <v>149380.92188891166</v>
      </c>
      <c r="AH102" s="49">
        <f t="shared" si="15"/>
        <v>948568.85399458907</v>
      </c>
      <c r="AI102" s="49">
        <f t="shared" si="16"/>
        <v>1876482.4005170839</v>
      </c>
      <c r="AJ102" s="49">
        <f t="shared" si="17"/>
        <v>1835660.0019313272</v>
      </c>
      <c r="AK102" s="49">
        <f t="shared" si="18"/>
        <v>1795802.4964030518</v>
      </c>
      <c r="AL102" s="49">
        <f t="shared" si="19"/>
        <v>1756887.0773690813</v>
      </c>
      <c r="AN102" s="49">
        <f t="shared" si="20"/>
        <v>81210938.184906825</v>
      </c>
      <c r="AO102" s="49">
        <f t="shared" si="21"/>
        <v>79334455.784389734</v>
      </c>
      <c r="AP102" s="49">
        <f t="shared" si="22"/>
        <v>77498795.78245841</v>
      </c>
      <c r="AQ102" s="49">
        <f t="shared" si="23"/>
        <v>75702993.286055356</v>
      </c>
      <c r="AR102" s="49">
        <f t="shared" si="24"/>
        <v>73946106.208686277</v>
      </c>
      <c r="AT102" s="49">
        <f t="shared" si="34"/>
        <v>821595.0703890142</v>
      </c>
      <c r="AU102" s="49">
        <f t="shared" si="34"/>
        <v>869043.82889412052</v>
      </c>
      <c r="AV102" s="49">
        <f t="shared" si="34"/>
        <v>934813.06586482783</v>
      </c>
      <c r="AW102" s="49">
        <f t="shared" si="34"/>
        <v>957143.88038220676</v>
      </c>
      <c r="AX102" s="49">
        <f t="shared" si="34"/>
        <v>969521.66504330933</v>
      </c>
      <c r="AZ102" s="53">
        <f t="shared" si="26"/>
        <v>4531335.8226704355</v>
      </c>
      <c r="BA102" s="53">
        <f t="shared" si="27"/>
        <v>5363563.2702960661</v>
      </c>
      <c r="BB102" s="53">
        <f t="shared" si="28"/>
        <v>5715427.3075295743</v>
      </c>
      <c r="BC102" s="53">
        <f t="shared" si="29"/>
        <v>5629660.1216553617</v>
      </c>
      <c r="BD102" s="53">
        <f t="shared" si="30"/>
        <v>5536360.7783424687</v>
      </c>
    </row>
    <row r="103" spans="2:56">
      <c r="B103" s="43">
        <f>'3. Input (des)investeringen '!B128</f>
        <v>1571</v>
      </c>
      <c r="C103" s="54"/>
      <c r="D103" s="54"/>
      <c r="E103" s="54"/>
      <c r="F103" s="48">
        <f>'3. Input (des)investeringen '!D128</f>
        <v>-31359.805432116216</v>
      </c>
      <c r="G103" s="54"/>
      <c r="H103" s="43">
        <f>'3. Input (des)investeringen '!F128</f>
        <v>2022</v>
      </c>
      <c r="I103" s="48" t="str">
        <f>'3. Input (des)investeringen '!G128</f>
        <v>nvt</v>
      </c>
      <c r="J103" s="48">
        <f>'3. Input (des)investeringen '!H128</f>
        <v>0</v>
      </c>
      <c r="K103" s="48">
        <f>'3. Input (des)investeringen '!I128</f>
        <v>0</v>
      </c>
      <c r="M103" s="49">
        <f t="shared" si="8"/>
        <v>0</v>
      </c>
      <c r="N103" s="49">
        <f t="shared" si="9"/>
        <v>0</v>
      </c>
      <c r="P103" s="147">
        <f t="shared" si="31"/>
        <v>0</v>
      </c>
      <c r="Q103" s="147">
        <f t="shared" si="10"/>
        <v>0</v>
      </c>
      <c r="S103" s="49">
        <f t="shared" si="11"/>
        <v>-31359.805432116216</v>
      </c>
      <c r="T103" s="44">
        <f t="shared" si="12"/>
        <v>0</v>
      </c>
      <c r="V103" s="49">
        <f t="shared" si="32"/>
        <v>0</v>
      </c>
      <c r="W103" s="49">
        <f t="shared" si="32"/>
        <v>0</v>
      </c>
      <c r="X103" s="49">
        <f t="shared" si="32"/>
        <v>0</v>
      </c>
      <c r="Y103" s="49">
        <f t="shared" si="32"/>
        <v>0</v>
      </c>
      <c r="Z103" s="49">
        <f t="shared" si="32"/>
        <v>0</v>
      </c>
      <c r="AB103" s="49">
        <f t="shared" si="33"/>
        <v>0</v>
      </c>
      <c r="AC103" s="49">
        <f t="shared" si="33"/>
        <v>0</v>
      </c>
      <c r="AD103" s="49">
        <f t="shared" si="33"/>
        <v>0</v>
      </c>
      <c r="AE103" s="49">
        <f t="shared" si="33"/>
        <v>0</v>
      </c>
      <c r="AF103" s="49">
        <f t="shared" si="33"/>
        <v>0</v>
      </c>
      <c r="AH103" s="49">
        <f t="shared" si="15"/>
        <v>0</v>
      </c>
      <c r="AI103" s="49">
        <f t="shared" si="16"/>
        <v>0</v>
      </c>
      <c r="AJ103" s="49">
        <f t="shared" si="17"/>
        <v>0</v>
      </c>
      <c r="AK103" s="49">
        <f t="shared" si="18"/>
        <v>0</v>
      </c>
      <c r="AL103" s="49">
        <f t="shared" si="19"/>
        <v>0</v>
      </c>
      <c r="AN103" s="49">
        <f t="shared" si="20"/>
        <v>-31359.805432116216</v>
      </c>
      <c r="AO103" s="49">
        <f t="shared" si="21"/>
        <v>-31359.805432116216</v>
      </c>
      <c r="AP103" s="49">
        <f t="shared" si="22"/>
        <v>-31359.805432116216</v>
      </c>
      <c r="AQ103" s="49">
        <f t="shared" si="23"/>
        <v>-31359.805432116216</v>
      </c>
      <c r="AR103" s="49">
        <f t="shared" si="24"/>
        <v>-31359.805432116216</v>
      </c>
      <c r="AT103" s="49">
        <f t="shared" si="34"/>
        <v>-313.59805432116218</v>
      </c>
      <c r="AU103" s="49">
        <f t="shared" si="34"/>
        <v>-331.70896915431797</v>
      </c>
      <c r="AV103" s="49">
        <f t="shared" si="34"/>
        <v>-356.81270393991684</v>
      </c>
      <c r="AW103" s="49">
        <f t="shared" si="34"/>
        <v>-365.33624581163343</v>
      </c>
      <c r="AX103" s="49">
        <f t="shared" si="34"/>
        <v>-370.06077414246948</v>
      </c>
      <c r="AZ103" s="53">
        <f t="shared" si="26"/>
        <v>-1379.8314390131136</v>
      </c>
      <c r="BA103" s="53">
        <f t="shared" si="27"/>
        <v>-1366.5825484141533</v>
      </c>
      <c r="BB103" s="53">
        <f t="shared" si="28"/>
        <v>-1548.4853103603332</v>
      </c>
      <c r="BC103" s="53">
        <f t="shared" si="29"/>
        <v>-1557.0088522320498</v>
      </c>
      <c r="BD103" s="53">
        <f t="shared" si="30"/>
        <v>-1561.7333805628857</v>
      </c>
    </row>
    <row r="104" spans="2:56">
      <c r="B104" s="43">
        <f>'3. Input (des)investeringen '!B129</f>
        <v>1572</v>
      </c>
      <c r="C104" s="54"/>
      <c r="D104" s="54"/>
      <c r="E104" s="54"/>
      <c r="F104" s="48">
        <f>'3. Input (des)investeringen '!D129</f>
        <v>441686.97804726404</v>
      </c>
      <c r="G104" s="54"/>
      <c r="H104" s="43">
        <f>'3. Input (des)investeringen '!F129</f>
        <v>2022</v>
      </c>
      <c r="I104" s="48" t="str">
        <f>'3. Input (des)investeringen '!G129</f>
        <v>nvt</v>
      </c>
      <c r="J104" s="48">
        <f>'3. Input (des)investeringen '!H129</f>
        <v>5</v>
      </c>
      <c r="K104" s="48">
        <f>'3. Input (des)investeringen '!I129</f>
        <v>0</v>
      </c>
      <c r="M104" s="49">
        <f t="shared" si="8"/>
        <v>0</v>
      </c>
      <c r="N104" s="49">
        <f t="shared" si="9"/>
        <v>0</v>
      </c>
      <c r="P104" s="147">
        <f t="shared" si="31"/>
        <v>0</v>
      </c>
      <c r="Q104" s="147">
        <f t="shared" si="10"/>
        <v>0</v>
      </c>
      <c r="S104" s="49">
        <f t="shared" si="11"/>
        <v>441686.97804726404</v>
      </c>
      <c r="T104" s="44">
        <f t="shared" si="12"/>
        <v>5</v>
      </c>
      <c r="V104" s="49">
        <f t="shared" si="32"/>
        <v>51677.376431529898</v>
      </c>
      <c r="W104" s="49">
        <f t="shared" si="32"/>
        <v>89918.634990862032</v>
      </c>
      <c r="X104" s="49">
        <f t="shared" si="32"/>
        <v>73120.648234327353</v>
      </c>
      <c r="Y104" s="49">
        <f t="shared" si="32"/>
        <v>73120.648234327353</v>
      </c>
      <c r="Z104" s="49">
        <f t="shared" si="32"/>
        <v>73120.648234327353</v>
      </c>
      <c r="AB104" s="49">
        <f t="shared" si="33"/>
        <v>4416.8697804726407</v>
      </c>
      <c r="AC104" s="49">
        <f t="shared" si="33"/>
        <v>8833.7395609452815</v>
      </c>
      <c r="AD104" s="49">
        <f t="shared" si="33"/>
        <v>8833.7395609452815</v>
      </c>
      <c r="AE104" s="49">
        <f t="shared" si="33"/>
        <v>8833.7395609452815</v>
      </c>
      <c r="AF104" s="49">
        <f t="shared" si="33"/>
        <v>8833.7395609452815</v>
      </c>
      <c r="AH104" s="49">
        <f t="shared" si="15"/>
        <v>56094.246212002538</v>
      </c>
      <c r="AI104" s="49">
        <f t="shared" si="16"/>
        <v>98752.374551807312</v>
      </c>
      <c r="AJ104" s="49">
        <f t="shared" si="17"/>
        <v>81954.387795272633</v>
      </c>
      <c r="AK104" s="49">
        <f t="shared" si="18"/>
        <v>81954.387795272633</v>
      </c>
      <c r="AL104" s="49">
        <f t="shared" si="19"/>
        <v>81954.387795272633</v>
      </c>
      <c r="AN104" s="49">
        <f t="shared" si="20"/>
        <v>385592.73183526151</v>
      </c>
      <c r="AO104" s="49">
        <f t="shared" si="21"/>
        <v>286840.35728345421</v>
      </c>
      <c r="AP104" s="49">
        <f t="shared" si="22"/>
        <v>204885.96948818158</v>
      </c>
      <c r="AQ104" s="49">
        <f t="shared" si="23"/>
        <v>122931.58169290895</v>
      </c>
      <c r="AR104" s="49">
        <f t="shared" si="24"/>
        <v>40977.193897636316</v>
      </c>
      <c r="AT104" s="49">
        <f t="shared" si="34"/>
        <v>4416.8697804726407</v>
      </c>
      <c r="AU104" s="49">
        <f t="shared" si="34"/>
        <v>4671.9528440344966</v>
      </c>
      <c r="AV104" s="49">
        <f t="shared" si="34"/>
        <v>5025.5262352710279</v>
      </c>
      <c r="AW104" s="49">
        <f t="shared" si="34"/>
        <v>5145.5760059791819</v>
      </c>
      <c r="AX104" s="49">
        <f t="shared" si="34"/>
        <v>5212.118594888505</v>
      </c>
      <c r="AZ104" s="53">
        <f t="shared" si="26"/>
        <v>73621.268874874062</v>
      </c>
      <c r="BA104" s="53">
        <f t="shared" si="27"/>
        <v>112890.05918619581</v>
      </c>
      <c r="BB104" s="53">
        <f t="shared" si="28"/>
        <v>94765.580871094557</v>
      </c>
      <c r="BC104" s="53">
        <f t="shared" si="29"/>
        <v>91771.363905582344</v>
      </c>
      <c r="BD104" s="53">
        <f t="shared" si="30"/>
        <v>88723.639758271325</v>
      </c>
    </row>
    <row r="105" spans="2:56">
      <c r="B105" s="43">
        <f>'3. Input (des)investeringen '!B130</f>
        <v>1573</v>
      </c>
      <c r="C105" s="54"/>
      <c r="D105" s="54"/>
      <c r="E105" s="54"/>
      <c r="F105" s="48">
        <f>'3. Input (des)investeringen '!D130</f>
        <v>1583921.081394993</v>
      </c>
      <c r="G105" s="54"/>
      <c r="H105" s="43">
        <f>'3. Input (des)investeringen '!F130</f>
        <v>2022</v>
      </c>
      <c r="I105" s="48" t="str">
        <f>'3. Input (des)investeringen '!G130</f>
        <v>nvt</v>
      </c>
      <c r="J105" s="48">
        <f>'3. Input (des)investeringen '!H130</f>
        <v>10</v>
      </c>
      <c r="K105" s="48">
        <f>'3. Input (des)investeringen '!I130</f>
        <v>0</v>
      </c>
      <c r="M105" s="49">
        <f t="shared" si="8"/>
        <v>0</v>
      </c>
      <c r="N105" s="49">
        <f t="shared" si="9"/>
        <v>0</v>
      </c>
      <c r="P105" s="147">
        <f t="shared" si="31"/>
        <v>0</v>
      </c>
      <c r="Q105" s="147">
        <f t="shared" si="10"/>
        <v>0</v>
      </c>
      <c r="S105" s="49">
        <f t="shared" si="11"/>
        <v>1583921.081394993</v>
      </c>
      <c r="T105" s="44">
        <f t="shared" si="12"/>
        <v>10</v>
      </c>
      <c r="V105" s="49">
        <f t="shared" si="32"/>
        <v>92659.383261607087</v>
      </c>
      <c r="W105" s="49">
        <f t="shared" si="32"/>
        <v>173273.04669920527</v>
      </c>
      <c r="X105" s="49">
        <f t="shared" si="32"/>
        <v>150747.55062830859</v>
      </c>
      <c r="Y105" s="49">
        <f t="shared" si="32"/>
        <v>134513.19902218305</v>
      </c>
      <c r="Z105" s="49">
        <f t="shared" si="32"/>
        <v>134513.19902218305</v>
      </c>
      <c r="AB105" s="49">
        <f t="shared" si="33"/>
        <v>7919.6054069749662</v>
      </c>
      <c r="AC105" s="49">
        <f t="shared" si="33"/>
        <v>15839.210813949932</v>
      </c>
      <c r="AD105" s="49">
        <f t="shared" si="33"/>
        <v>15839.210813949932</v>
      </c>
      <c r="AE105" s="49">
        <f t="shared" si="33"/>
        <v>15839.210813949932</v>
      </c>
      <c r="AF105" s="49">
        <f t="shared" si="33"/>
        <v>15839.210813949932</v>
      </c>
      <c r="AH105" s="49">
        <f t="shared" si="15"/>
        <v>100578.98866858205</v>
      </c>
      <c r="AI105" s="49">
        <f t="shared" si="16"/>
        <v>189112.2575131552</v>
      </c>
      <c r="AJ105" s="49">
        <f t="shared" si="17"/>
        <v>166586.76144225852</v>
      </c>
      <c r="AK105" s="49">
        <f t="shared" si="18"/>
        <v>150352.40983613298</v>
      </c>
      <c r="AL105" s="49">
        <f t="shared" si="19"/>
        <v>150352.40983613298</v>
      </c>
      <c r="AN105" s="49">
        <f t="shared" si="20"/>
        <v>1483342.0927264108</v>
      </c>
      <c r="AO105" s="49">
        <f t="shared" si="21"/>
        <v>1294229.8352132556</v>
      </c>
      <c r="AP105" s="49">
        <f t="shared" si="22"/>
        <v>1127643.0737709971</v>
      </c>
      <c r="AQ105" s="49">
        <f t="shared" si="23"/>
        <v>977290.6639348641</v>
      </c>
      <c r="AR105" s="49">
        <f t="shared" si="24"/>
        <v>826938.25409873109</v>
      </c>
      <c r="AT105" s="49">
        <f t="shared" si="34"/>
        <v>15839.210813949931</v>
      </c>
      <c r="AU105" s="49">
        <f t="shared" si="34"/>
        <v>16753.956916877167</v>
      </c>
      <c r="AV105" s="49">
        <f t="shared" si="34"/>
        <v>18021.896376346434</v>
      </c>
      <c r="AW105" s="49">
        <f t="shared" si="34"/>
        <v>18452.403436984598</v>
      </c>
      <c r="AX105" s="49">
        <f t="shared" si="34"/>
        <v>18691.029918231681</v>
      </c>
      <c r="AZ105" s="53">
        <f t="shared" si="26"/>
        <v>166851.83063522994</v>
      </c>
      <c r="BA105" s="53">
        <f t="shared" si="27"/>
        <v>248575.79899206979</v>
      </c>
      <c r="BB105" s="53">
        <f t="shared" si="28"/>
        <v>227459.09462190286</v>
      </c>
      <c r="BC105" s="53">
        <f t="shared" si="29"/>
        <v>205941.85850264243</v>
      </c>
      <c r="BD105" s="53">
        <f t="shared" si="30"/>
        <v>200467.09341011645</v>
      </c>
    </row>
    <row r="106" spans="2:56">
      <c r="B106" s="43">
        <f>'3. Input (des)investeringen '!B131</f>
        <v>1574</v>
      </c>
      <c r="C106" s="54"/>
      <c r="D106" s="54"/>
      <c r="E106" s="54"/>
      <c r="F106" s="48">
        <f>'3. Input (des)investeringen '!D131</f>
        <v>4759885.7217741664</v>
      </c>
      <c r="G106" s="54"/>
      <c r="H106" s="43">
        <f>'3. Input (des)investeringen '!F131</f>
        <v>2022</v>
      </c>
      <c r="I106" s="48" t="str">
        <f>'3. Input (des)investeringen '!G131</f>
        <v>nvt</v>
      </c>
      <c r="J106" s="48">
        <f>'3. Input (des)investeringen '!H131</f>
        <v>15</v>
      </c>
      <c r="K106" s="48">
        <f>'3. Input (des)investeringen '!I131</f>
        <v>0</v>
      </c>
      <c r="M106" s="49">
        <f t="shared" si="8"/>
        <v>0</v>
      </c>
      <c r="N106" s="49">
        <f t="shared" si="9"/>
        <v>0</v>
      </c>
      <c r="P106" s="147">
        <f t="shared" si="31"/>
        <v>0</v>
      </c>
      <c r="Q106" s="147">
        <f t="shared" si="10"/>
        <v>0</v>
      </c>
      <c r="S106" s="49">
        <f t="shared" si="11"/>
        <v>4759885.7217741664</v>
      </c>
      <c r="T106" s="44">
        <f t="shared" si="12"/>
        <v>15</v>
      </c>
      <c r="V106" s="49">
        <f t="shared" si="32"/>
        <v>185635.5431491925</v>
      </c>
      <c r="W106" s="49">
        <f t="shared" si="32"/>
        <v>355182.67255878833</v>
      </c>
      <c r="X106" s="49">
        <f t="shared" si="32"/>
        <v>324400.17427036003</v>
      </c>
      <c r="Y106" s="49">
        <f t="shared" si="32"/>
        <v>296285.4925002621</v>
      </c>
      <c r="Z106" s="49">
        <f t="shared" si="32"/>
        <v>271512.45801027364</v>
      </c>
      <c r="AB106" s="49">
        <f t="shared" si="33"/>
        <v>15866.285739247221</v>
      </c>
      <c r="AC106" s="49">
        <f t="shared" si="33"/>
        <v>31732.571478494443</v>
      </c>
      <c r="AD106" s="49">
        <f t="shared" si="33"/>
        <v>31732.571478494443</v>
      </c>
      <c r="AE106" s="49">
        <f t="shared" si="33"/>
        <v>31732.571478494443</v>
      </c>
      <c r="AF106" s="49">
        <f t="shared" si="33"/>
        <v>31732.571478494443</v>
      </c>
      <c r="AH106" s="49">
        <f t="shared" si="15"/>
        <v>201501.82888843972</v>
      </c>
      <c r="AI106" s="49">
        <f t="shared" si="16"/>
        <v>386915.24403728277</v>
      </c>
      <c r="AJ106" s="49">
        <f t="shared" si="17"/>
        <v>356132.74574885448</v>
      </c>
      <c r="AK106" s="49">
        <f t="shared" si="18"/>
        <v>328018.06397875655</v>
      </c>
      <c r="AL106" s="49">
        <f t="shared" si="19"/>
        <v>303245.02948876808</v>
      </c>
      <c r="AN106" s="49">
        <f t="shared" si="20"/>
        <v>4558383.8928857269</v>
      </c>
      <c r="AO106" s="49">
        <f t="shared" si="21"/>
        <v>4171468.6488484442</v>
      </c>
      <c r="AP106" s="49">
        <f t="shared" si="22"/>
        <v>3815335.90309959</v>
      </c>
      <c r="AQ106" s="49">
        <f t="shared" si="23"/>
        <v>3487317.8391208332</v>
      </c>
      <c r="AR106" s="49">
        <f t="shared" si="24"/>
        <v>3184072.8096320652</v>
      </c>
      <c r="AT106" s="49">
        <f t="shared" si="34"/>
        <v>47598.857217741664</v>
      </c>
      <c r="AU106" s="49">
        <f t="shared" si="34"/>
        <v>50347.786419780685</v>
      </c>
      <c r="AV106" s="49">
        <f t="shared" si="34"/>
        <v>54158.106896029691</v>
      </c>
      <c r="AW106" s="49">
        <f t="shared" si="34"/>
        <v>55451.835753562053</v>
      </c>
      <c r="AX106" s="49">
        <f t="shared" si="34"/>
        <v>56168.938893527113</v>
      </c>
      <c r="AZ106" s="53">
        <f t="shared" si="26"/>
        <v>404085.7384642961</v>
      </c>
      <c r="BA106" s="53">
        <f t="shared" si="27"/>
        <v>574921.49586906214</v>
      </c>
      <c r="BB106" s="53">
        <f t="shared" si="28"/>
        <v>555273.6169626686</v>
      </c>
      <c r="BC106" s="53">
        <f t="shared" si="29"/>
        <v>515987.97761891026</v>
      </c>
      <c r="BD106" s="53">
        <f t="shared" si="30"/>
        <v>480408.73514831369</v>
      </c>
    </row>
    <row r="107" spans="2:56">
      <c r="B107" s="43">
        <f>'3. Input (des)investeringen '!B132</f>
        <v>1575</v>
      </c>
      <c r="C107" s="54"/>
      <c r="D107" s="54"/>
      <c r="E107" s="54"/>
      <c r="F107" s="48">
        <f>'3. Input (des)investeringen '!D132</f>
        <v>26997284.606696233</v>
      </c>
      <c r="G107" s="54"/>
      <c r="H107" s="43">
        <f>'3. Input (des)investeringen '!F132</f>
        <v>2022</v>
      </c>
      <c r="I107" s="48" t="str">
        <f>'3. Input (des)investeringen '!G132</f>
        <v>nvt</v>
      </c>
      <c r="J107" s="48">
        <f>'3. Input (des)investeringen '!H132</f>
        <v>30</v>
      </c>
      <c r="K107" s="48">
        <f>'3. Input (des)investeringen '!I132</f>
        <v>0</v>
      </c>
      <c r="M107" s="49">
        <f t="shared" si="8"/>
        <v>0</v>
      </c>
      <c r="N107" s="49">
        <f t="shared" si="9"/>
        <v>0</v>
      </c>
      <c r="P107" s="147">
        <f t="shared" si="31"/>
        <v>0</v>
      </c>
      <c r="Q107" s="147">
        <f t="shared" si="10"/>
        <v>0</v>
      </c>
      <c r="S107" s="49">
        <f t="shared" si="11"/>
        <v>26997284.606696233</v>
      </c>
      <c r="T107" s="44">
        <f t="shared" si="12"/>
        <v>30</v>
      </c>
      <c r="V107" s="49">
        <f t="shared" si="32"/>
        <v>526447.04983057664</v>
      </c>
      <c r="W107" s="49">
        <f t="shared" si="32"/>
        <v>1030081.3941684949</v>
      </c>
      <c r="X107" s="49">
        <f t="shared" si="32"/>
        <v>985444.53375452664</v>
      </c>
      <c r="Y107" s="49">
        <f t="shared" si="32"/>
        <v>942741.93729183043</v>
      </c>
      <c r="Z107" s="49">
        <f t="shared" si="32"/>
        <v>901889.78667585109</v>
      </c>
      <c r="AB107" s="49">
        <f t="shared" si="33"/>
        <v>44995.474344493727</v>
      </c>
      <c r="AC107" s="49">
        <f t="shared" si="33"/>
        <v>89990.948688987453</v>
      </c>
      <c r="AD107" s="49">
        <f t="shared" si="33"/>
        <v>89990.948688987453</v>
      </c>
      <c r="AE107" s="49">
        <f t="shared" si="33"/>
        <v>89990.948688987453</v>
      </c>
      <c r="AF107" s="49">
        <f t="shared" si="33"/>
        <v>89990.948688987453</v>
      </c>
      <c r="AH107" s="49">
        <f t="shared" si="15"/>
        <v>571442.52417507034</v>
      </c>
      <c r="AI107" s="49">
        <f t="shared" si="16"/>
        <v>1120072.3428574824</v>
      </c>
      <c r="AJ107" s="49">
        <f t="shared" si="17"/>
        <v>1075435.482443514</v>
      </c>
      <c r="AK107" s="49">
        <f t="shared" si="18"/>
        <v>1032732.8859808178</v>
      </c>
      <c r="AL107" s="49">
        <f t="shared" si="19"/>
        <v>991880.7353648385</v>
      </c>
      <c r="AN107" s="49">
        <f t="shared" si="20"/>
        <v>26425842.082521163</v>
      </c>
      <c r="AO107" s="49">
        <f t="shared" si="21"/>
        <v>25305769.739663679</v>
      </c>
      <c r="AP107" s="49">
        <f t="shared" si="22"/>
        <v>24230334.257220164</v>
      </c>
      <c r="AQ107" s="49">
        <f t="shared" si="23"/>
        <v>23197601.371239346</v>
      </c>
      <c r="AR107" s="49">
        <f t="shared" si="24"/>
        <v>22205720.635874506</v>
      </c>
      <c r="AT107" s="49">
        <f t="shared" si="34"/>
        <v>269972.84606696235</v>
      </c>
      <c r="AU107" s="49">
        <f t="shared" si="34"/>
        <v>285564.31787302153</v>
      </c>
      <c r="AV107" s="49">
        <f t="shared" si="34"/>
        <v>307175.82544965192</v>
      </c>
      <c r="AW107" s="49">
        <f t="shared" si="34"/>
        <v>314513.64156799315</v>
      </c>
      <c r="AX107" s="49">
        <f t="shared" si="34"/>
        <v>318580.93198075041</v>
      </c>
      <c r="AZ107" s="53">
        <f t="shared" si="26"/>
        <v>1739894.0010477523</v>
      </c>
      <c r="BA107" s="53">
        <f t="shared" si="27"/>
        <v>2240727.0621394054</v>
      </c>
      <c r="BB107" s="53">
        <f t="shared" si="28"/>
        <v>2303364.0096675321</v>
      </c>
      <c r="BC107" s="53">
        <f t="shared" si="29"/>
        <v>2228755.379655906</v>
      </c>
      <c r="BD107" s="53">
        <f t="shared" si="30"/>
        <v>2154279.0515088202</v>
      </c>
    </row>
    <row r="108" spans="2:56">
      <c r="B108" s="43">
        <f>'3. Input (des)investeringen '!B133</f>
        <v>1576</v>
      </c>
      <c r="C108" s="54"/>
      <c r="D108" s="54"/>
      <c r="E108" s="54"/>
      <c r="F108" s="48">
        <f>'3. Input (des)investeringen '!D133</f>
        <v>38137.497252574271</v>
      </c>
      <c r="G108" s="54"/>
      <c r="H108" s="43">
        <f>'3. Input (des)investeringen '!F133</f>
        <v>2022</v>
      </c>
      <c r="I108" s="48" t="str">
        <f>'3. Input (des)investeringen '!G133</f>
        <v>nvt</v>
      </c>
      <c r="J108" s="48">
        <f>'3. Input (des)investeringen '!H133</f>
        <v>55</v>
      </c>
      <c r="K108" s="48">
        <f>'3. Input (des)investeringen '!I133</f>
        <v>0</v>
      </c>
      <c r="M108" s="49">
        <f t="shared" si="8"/>
        <v>0</v>
      </c>
      <c r="N108" s="49">
        <f t="shared" si="9"/>
        <v>0</v>
      </c>
      <c r="P108" s="147">
        <f t="shared" si="31"/>
        <v>0</v>
      </c>
      <c r="Q108" s="147">
        <f t="shared" si="10"/>
        <v>0</v>
      </c>
      <c r="S108" s="49">
        <f t="shared" si="11"/>
        <v>38137.497252574271</v>
      </c>
      <c r="T108" s="44">
        <f t="shared" si="12"/>
        <v>55</v>
      </c>
      <c r="V108" s="49">
        <f t="shared" si="32"/>
        <v>405.64428895919906</v>
      </c>
      <c r="W108" s="49">
        <f t="shared" si="32"/>
        <v>801.70062199754432</v>
      </c>
      <c r="X108" s="49">
        <f t="shared" si="32"/>
        <v>782.75133456851142</v>
      </c>
      <c r="Y108" s="49">
        <f t="shared" si="32"/>
        <v>764.24993938780119</v>
      </c>
      <c r="Z108" s="49">
        <f t="shared" si="32"/>
        <v>746.1858499113622</v>
      </c>
      <c r="AB108" s="49">
        <f t="shared" si="33"/>
        <v>34.67045204779479</v>
      </c>
      <c r="AC108" s="49">
        <f t="shared" si="33"/>
        <v>69.340904095589593</v>
      </c>
      <c r="AD108" s="49">
        <f t="shared" si="33"/>
        <v>69.340904095589593</v>
      </c>
      <c r="AE108" s="49">
        <f t="shared" si="33"/>
        <v>69.340904095589593</v>
      </c>
      <c r="AF108" s="49">
        <f t="shared" si="33"/>
        <v>69.340904095589593</v>
      </c>
      <c r="AH108" s="49">
        <f t="shared" si="15"/>
        <v>440.31474100699387</v>
      </c>
      <c r="AI108" s="49">
        <f t="shared" si="16"/>
        <v>871.04152609313394</v>
      </c>
      <c r="AJ108" s="49">
        <f t="shared" si="17"/>
        <v>852.09223866410105</v>
      </c>
      <c r="AK108" s="49">
        <f t="shared" si="18"/>
        <v>833.59084348339081</v>
      </c>
      <c r="AL108" s="49">
        <f t="shared" si="19"/>
        <v>815.52675400695182</v>
      </c>
      <c r="AN108" s="49">
        <f t="shared" si="20"/>
        <v>37697.182511567276</v>
      </c>
      <c r="AO108" s="49">
        <f t="shared" si="21"/>
        <v>36826.140985474143</v>
      </c>
      <c r="AP108" s="49">
        <f t="shared" si="22"/>
        <v>35974.04874681004</v>
      </c>
      <c r="AQ108" s="49">
        <f t="shared" si="23"/>
        <v>35140.457903326649</v>
      </c>
      <c r="AR108" s="49">
        <f t="shared" si="24"/>
        <v>34324.931149319695</v>
      </c>
      <c r="AT108" s="49">
        <f t="shared" si="34"/>
        <v>381.37497252574269</v>
      </c>
      <c r="AU108" s="49">
        <f t="shared" si="34"/>
        <v>403.40013993904944</v>
      </c>
      <c r="AV108" s="49">
        <f t="shared" si="34"/>
        <v>433.92946252963674</v>
      </c>
      <c r="AW108" s="49">
        <f t="shared" si="34"/>
        <v>444.29516953054468</v>
      </c>
      <c r="AX108" s="49">
        <f t="shared" si="34"/>
        <v>450.04079466291364</v>
      </c>
      <c r="AZ108" s="53">
        <f t="shared" si="26"/>
        <v>2103.3939189260241</v>
      </c>
      <c r="BA108" s="53">
        <f t="shared" si="27"/>
        <v>2489.70431855283</v>
      </c>
      <c r="BB108" s="53">
        <f t="shared" si="28"/>
        <v>2653.0355535725189</v>
      </c>
      <c r="BC108" s="53">
        <f t="shared" si="29"/>
        <v>2613.2234133403481</v>
      </c>
      <c r="BD108" s="53">
        <f t="shared" si="30"/>
        <v>2569.9149323440142</v>
      </c>
    </row>
    <row r="109" spans="2:56">
      <c r="B109" s="43">
        <f>'3. Input (des)investeringen '!B134</f>
        <v>1577</v>
      </c>
      <c r="C109" s="54"/>
      <c r="D109" s="54"/>
      <c r="E109" s="54"/>
      <c r="F109" s="48">
        <f>'3. Input (des)investeringen '!D134</f>
        <v>0</v>
      </c>
      <c r="G109" s="54"/>
      <c r="H109" s="43">
        <f>'3. Input (des)investeringen '!F134</f>
        <v>2022</v>
      </c>
      <c r="I109" s="48" t="str">
        <f>'3. Input (des)investeringen '!G134</f>
        <v>nvt</v>
      </c>
      <c r="J109" s="48">
        <f>'3. Input (des)investeringen '!H134</f>
        <v>0</v>
      </c>
      <c r="K109" s="48">
        <f>'3. Input (des)investeringen '!I134</f>
        <v>0</v>
      </c>
      <c r="M109" s="49">
        <f t="shared" si="8"/>
        <v>0</v>
      </c>
      <c r="N109" s="49">
        <f t="shared" si="9"/>
        <v>0</v>
      </c>
      <c r="P109" s="147">
        <f t="shared" si="31"/>
        <v>0</v>
      </c>
      <c r="Q109" s="147">
        <f t="shared" si="10"/>
        <v>0</v>
      </c>
      <c r="S109" s="49">
        <f t="shared" si="11"/>
        <v>0</v>
      </c>
      <c r="T109" s="44">
        <f t="shared" si="12"/>
        <v>0</v>
      </c>
      <c r="V109" s="49">
        <f t="shared" si="32"/>
        <v>0</v>
      </c>
      <c r="W109" s="49">
        <f t="shared" si="32"/>
        <v>0</v>
      </c>
      <c r="X109" s="49">
        <f t="shared" si="32"/>
        <v>0</v>
      </c>
      <c r="Y109" s="49">
        <f t="shared" si="32"/>
        <v>0</v>
      </c>
      <c r="Z109" s="49">
        <f t="shared" si="32"/>
        <v>0</v>
      </c>
      <c r="AB109" s="49">
        <f t="shared" si="33"/>
        <v>0</v>
      </c>
      <c r="AC109" s="49">
        <f t="shared" si="33"/>
        <v>0</v>
      </c>
      <c r="AD109" s="49">
        <f t="shared" si="33"/>
        <v>0</v>
      </c>
      <c r="AE109" s="49">
        <f t="shared" si="33"/>
        <v>0</v>
      </c>
      <c r="AF109" s="49">
        <f t="shared" si="33"/>
        <v>0</v>
      </c>
      <c r="AH109" s="49">
        <f t="shared" si="15"/>
        <v>0</v>
      </c>
      <c r="AI109" s="49">
        <f t="shared" si="16"/>
        <v>0</v>
      </c>
      <c r="AJ109" s="49">
        <f t="shared" si="17"/>
        <v>0</v>
      </c>
      <c r="AK109" s="49">
        <f t="shared" si="18"/>
        <v>0</v>
      </c>
      <c r="AL109" s="49">
        <f t="shared" si="19"/>
        <v>0</v>
      </c>
      <c r="AN109" s="49">
        <f t="shared" si="20"/>
        <v>0</v>
      </c>
      <c r="AO109" s="49">
        <f t="shared" si="21"/>
        <v>0</v>
      </c>
      <c r="AP109" s="49">
        <f t="shared" si="22"/>
        <v>0</v>
      </c>
      <c r="AQ109" s="49">
        <f t="shared" si="23"/>
        <v>0</v>
      </c>
      <c r="AR109" s="49">
        <f t="shared" si="24"/>
        <v>0</v>
      </c>
      <c r="AT109" s="49">
        <f t="shared" si="34"/>
        <v>0</v>
      </c>
      <c r="AU109" s="49">
        <f t="shared" si="34"/>
        <v>0</v>
      </c>
      <c r="AV109" s="49">
        <f t="shared" si="34"/>
        <v>0</v>
      </c>
      <c r="AW109" s="49">
        <f t="shared" si="34"/>
        <v>0</v>
      </c>
      <c r="AX109" s="49">
        <f t="shared" si="34"/>
        <v>0</v>
      </c>
      <c r="AZ109" s="53">
        <f t="shared" si="26"/>
        <v>0</v>
      </c>
      <c r="BA109" s="53">
        <f t="shared" si="27"/>
        <v>0</v>
      </c>
      <c r="BB109" s="53">
        <f t="shared" si="28"/>
        <v>0</v>
      </c>
      <c r="BC109" s="53">
        <f t="shared" si="29"/>
        <v>0</v>
      </c>
      <c r="BD109" s="53">
        <f t="shared" si="30"/>
        <v>0</v>
      </c>
    </row>
    <row r="110" spans="2:56">
      <c r="B110" s="43">
        <f>'3. Input (des)investeringen '!B135</f>
        <v>1578</v>
      </c>
      <c r="C110" s="54"/>
      <c r="D110" s="54"/>
      <c r="E110" s="54"/>
      <c r="F110" s="48">
        <f>'3. Input (des)investeringen '!D135</f>
        <v>634750.01622076391</v>
      </c>
      <c r="G110" s="54"/>
      <c r="H110" s="43">
        <f>'3. Input (des)investeringen '!F135</f>
        <v>2022</v>
      </c>
      <c r="I110" s="48" t="str">
        <f>'3. Input (des)investeringen '!G135</f>
        <v>nvt</v>
      </c>
      <c r="J110" s="48">
        <f>'3. Input (des)investeringen '!H135</f>
        <v>5</v>
      </c>
      <c r="K110" s="48">
        <f>'3. Input (des)investeringen '!I135</f>
        <v>0</v>
      </c>
      <c r="M110" s="49">
        <f t="shared" si="8"/>
        <v>0</v>
      </c>
      <c r="N110" s="49">
        <f t="shared" si="9"/>
        <v>0</v>
      </c>
      <c r="P110" s="147">
        <f t="shared" si="31"/>
        <v>0</v>
      </c>
      <c r="Q110" s="147">
        <f t="shared" si="10"/>
        <v>0</v>
      </c>
      <c r="S110" s="49">
        <f t="shared" si="11"/>
        <v>634750.01622076391</v>
      </c>
      <c r="T110" s="44">
        <f t="shared" si="12"/>
        <v>5</v>
      </c>
      <c r="V110" s="49">
        <f t="shared" si="32"/>
        <v>74265.751897829381</v>
      </c>
      <c r="W110" s="49">
        <f t="shared" si="32"/>
        <v>129222.40830222314</v>
      </c>
      <c r="X110" s="49">
        <f t="shared" si="32"/>
        <v>105081.95839961001</v>
      </c>
      <c r="Y110" s="49">
        <f t="shared" si="32"/>
        <v>105081.95839961001</v>
      </c>
      <c r="Z110" s="49">
        <f t="shared" si="32"/>
        <v>105081.95839961001</v>
      </c>
      <c r="AB110" s="49">
        <f t="shared" si="33"/>
        <v>6347.5001622076397</v>
      </c>
      <c r="AC110" s="49">
        <f t="shared" si="33"/>
        <v>12695.000324415279</v>
      </c>
      <c r="AD110" s="49">
        <f t="shared" si="33"/>
        <v>12695.000324415279</v>
      </c>
      <c r="AE110" s="49">
        <f t="shared" si="33"/>
        <v>12695.000324415279</v>
      </c>
      <c r="AF110" s="49">
        <f t="shared" si="33"/>
        <v>12695.000324415279</v>
      </c>
      <c r="AH110" s="49">
        <f t="shared" si="15"/>
        <v>80613.252060037019</v>
      </c>
      <c r="AI110" s="49">
        <f t="shared" si="16"/>
        <v>141917.40862663841</v>
      </c>
      <c r="AJ110" s="49">
        <f t="shared" si="17"/>
        <v>117776.95872402529</v>
      </c>
      <c r="AK110" s="49">
        <f t="shared" si="18"/>
        <v>117776.95872402529</v>
      </c>
      <c r="AL110" s="49">
        <f t="shared" si="19"/>
        <v>117776.95872402529</v>
      </c>
      <c r="AN110" s="49">
        <f t="shared" si="20"/>
        <v>554136.76416072692</v>
      </c>
      <c r="AO110" s="49">
        <f t="shared" si="21"/>
        <v>412219.35553408851</v>
      </c>
      <c r="AP110" s="49">
        <f t="shared" si="22"/>
        <v>294442.39681006322</v>
      </c>
      <c r="AQ110" s="49">
        <f t="shared" si="23"/>
        <v>176665.43808603793</v>
      </c>
      <c r="AR110" s="49">
        <f t="shared" si="24"/>
        <v>58888.479362012644</v>
      </c>
      <c r="AT110" s="49">
        <f t="shared" si="34"/>
        <v>6347.5001622076388</v>
      </c>
      <c r="AU110" s="49">
        <f t="shared" si="34"/>
        <v>6714.0809915754553</v>
      </c>
      <c r="AV110" s="49">
        <f t="shared" si="34"/>
        <v>7222.2026410178869</v>
      </c>
      <c r="AW110" s="49">
        <f t="shared" si="34"/>
        <v>7394.7266177065221</v>
      </c>
      <c r="AX110" s="49">
        <f t="shared" si="34"/>
        <v>7490.3552223267025</v>
      </c>
      <c r="AZ110" s="53">
        <f t="shared" si="26"/>
        <v>105801.40220370938</v>
      </c>
      <c r="BA110" s="53">
        <f t="shared" si="27"/>
        <v>162234.72835083879</v>
      </c>
      <c r="BB110" s="53">
        <f t="shared" si="28"/>
        <v>136187.97244382557</v>
      </c>
      <c r="BC110" s="53">
        <f t="shared" si="29"/>
        <v>131884.97198900126</v>
      </c>
      <c r="BD110" s="53">
        <f t="shared" si="30"/>
        <v>127505.07616210847</v>
      </c>
    </row>
    <row r="111" spans="2:56">
      <c r="B111" s="43">
        <f>'3. Input (des)investeringen '!B136</f>
        <v>1579</v>
      </c>
      <c r="C111" s="54"/>
      <c r="D111" s="54"/>
      <c r="E111" s="54"/>
      <c r="F111" s="48">
        <f>'3. Input (des)investeringen '!D136</f>
        <v>4698767.1893813582</v>
      </c>
      <c r="G111" s="54"/>
      <c r="H111" s="43">
        <f>'3. Input (des)investeringen '!F136</f>
        <v>2022</v>
      </c>
      <c r="I111" s="48" t="str">
        <f>'3. Input (des)investeringen '!G136</f>
        <v>nvt</v>
      </c>
      <c r="J111" s="48">
        <f>'3. Input (des)investeringen '!H136</f>
        <v>10</v>
      </c>
      <c r="K111" s="48">
        <f>'3. Input (des)investeringen '!I136</f>
        <v>0</v>
      </c>
      <c r="M111" s="49">
        <f t="shared" si="8"/>
        <v>0</v>
      </c>
      <c r="N111" s="49">
        <f t="shared" si="9"/>
        <v>0</v>
      </c>
      <c r="P111" s="147">
        <f t="shared" si="31"/>
        <v>0</v>
      </c>
      <c r="Q111" s="147">
        <f t="shared" si="10"/>
        <v>0</v>
      </c>
      <c r="S111" s="49">
        <f t="shared" si="11"/>
        <v>4698767.1893813582</v>
      </c>
      <c r="T111" s="44">
        <f t="shared" si="12"/>
        <v>10</v>
      </c>
      <c r="V111" s="49">
        <f t="shared" si="32"/>
        <v>274877.88057880948</v>
      </c>
      <c r="W111" s="49">
        <f t="shared" si="32"/>
        <v>514021.63668237376</v>
      </c>
      <c r="X111" s="49">
        <f t="shared" si="32"/>
        <v>447198.82391366514</v>
      </c>
      <c r="Y111" s="49">
        <f t="shared" si="32"/>
        <v>399038.95056911657</v>
      </c>
      <c r="Z111" s="49">
        <f t="shared" si="32"/>
        <v>399038.95056911657</v>
      </c>
      <c r="AB111" s="49">
        <f t="shared" si="33"/>
        <v>23493.835946906795</v>
      </c>
      <c r="AC111" s="49">
        <f t="shared" si="33"/>
        <v>46987.671893813589</v>
      </c>
      <c r="AD111" s="49">
        <f t="shared" si="33"/>
        <v>46987.671893813589</v>
      </c>
      <c r="AE111" s="49">
        <f t="shared" si="33"/>
        <v>46987.671893813589</v>
      </c>
      <c r="AF111" s="49">
        <f t="shared" si="33"/>
        <v>46987.671893813589</v>
      </c>
      <c r="AH111" s="49">
        <f t="shared" si="15"/>
        <v>298371.71652571624</v>
      </c>
      <c r="AI111" s="49">
        <f t="shared" si="16"/>
        <v>561009.30857618735</v>
      </c>
      <c r="AJ111" s="49">
        <f t="shared" si="17"/>
        <v>494186.49580747873</v>
      </c>
      <c r="AK111" s="49">
        <f t="shared" si="18"/>
        <v>446026.62246293016</v>
      </c>
      <c r="AL111" s="49">
        <f t="shared" si="19"/>
        <v>446026.62246293016</v>
      </c>
      <c r="AN111" s="49">
        <f t="shared" si="20"/>
        <v>4400395.4728556424</v>
      </c>
      <c r="AO111" s="49">
        <f t="shared" si="21"/>
        <v>3839386.1642794553</v>
      </c>
      <c r="AP111" s="49">
        <f t="shared" si="22"/>
        <v>3345199.6684719766</v>
      </c>
      <c r="AQ111" s="49">
        <f t="shared" si="23"/>
        <v>2899173.0460090465</v>
      </c>
      <c r="AR111" s="49">
        <f t="shared" si="24"/>
        <v>2453146.4235461163</v>
      </c>
      <c r="AT111" s="49">
        <f t="shared" si="34"/>
        <v>46987.671893813582</v>
      </c>
      <c r="AU111" s="49">
        <f t="shared" si="34"/>
        <v>49701.303921025108</v>
      </c>
      <c r="AV111" s="49">
        <f t="shared" si="34"/>
        <v>53462.698601768294</v>
      </c>
      <c r="AW111" s="49">
        <f t="shared" si="34"/>
        <v>54739.815545967322</v>
      </c>
      <c r="AX111" s="49">
        <f t="shared" si="34"/>
        <v>55447.710840607782</v>
      </c>
      <c r="AZ111" s="53">
        <f t="shared" si="26"/>
        <v>494972.83449662168</v>
      </c>
      <c r="BA111" s="53">
        <f t="shared" si="27"/>
        <v>737410.35591843456</v>
      </c>
      <c r="BB111" s="53">
        <f t="shared" si="28"/>
        <v>674766.78181118215</v>
      </c>
      <c r="BC111" s="53">
        <f t="shared" si="29"/>
        <v>610935.01375724119</v>
      </c>
      <c r="BD111" s="53">
        <f t="shared" si="30"/>
        <v>594693.89739829034</v>
      </c>
    </row>
    <row r="112" spans="2:56">
      <c r="B112" s="43">
        <f>'3. Input (des)investeringen '!B137</f>
        <v>1580</v>
      </c>
      <c r="C112" s="54"/>
      <c r="D112" s="54"/>
      <c r="E112" s="54"/>
      <c r="F112" s="48">
        <f>'3. Input (des)investeringen '!D137</f>
        <v>7689046.2734296853</v>
      </c>
      <c r="G112" s="54"/>
      <c r="H112" s="43">
        <f>'3. Input (des)investeringen '!F137</f>
        <v>2022</v>
      </c>
      <c r="I112" s="48" t="str">
        <f>'3. Input (des)investeringen '!G137</f>
        <v>nvt</v>
      </c>
      <c r="J112" s="48">
        <f>'3. Input (des)investeringen '!H137</f>
        <v>15</v>
      </c>
      <c r="K112" s="48">
        <f>'3. Input (des)investeringen '!I137</f>
        <v>0</v>
      </c>
      <c r="M112" s="49">
        <f t="shared" si="8"/>
        <v>0</v>
      </c>
      <c r="N112" s="49">
        <f t="shared" si="9"/>
        <v>0</v>
      </c>
      <c r="P112" s="147">
        <f t="shared" si="31"/>
        <v>0</v>
      </c>
      <c r="Q112" s="147">
        <f t="shared" si="10"/>
        <v>0</v>
      </c>
      <c r="S112" s="49">
        <f t="shared" si="11"/>
        <v>7689046.2734296853</v>
      </c>
      <c r="T112" s="44">
        <f t="shared" si="12"/>
        <v>15</v>
      </c>
      <c r="V112" s="49">
        <f t="shared" si="32"/>
        <v>299872.80466375774</v>
      </c>
      <c r="W112" s="49">
        <f t="shared" si="32"/>
        <v>573756.6329233232</v>
      </c>
      <c r="X112" s="49">
        <f t="shared" si="32"/>
        <v>524031.05806996854</v>
      </c>
      <c r="Y112" s="49">
        <f t="shared" si="32"/>
        <v>478615.03303723788</v>
      </c>
      <c r="Z112" s="49">
        <f t="shared" si="32"/>
        <v>438597.05368629826</v>
      </c>
      <c r="AB112" s="49">
        <f t="shared" si="33"/>
        <v>25630.154244765621</v>
      </c>
      <c r="AC112" s="49">
        <f t="shared" si="33"/>
        <v>51260.308489531235</v>
      </c>
      <c r="AD112" s="49">
        <f t="shared" si="33"/>
        <v>51260.308489531235</v>
      </c>
      <c r="AE112" s="49">
        <f t="shared" si="33"/>
        <v>51260.308489531235</v>
      </c>
      <c r="AF112" s="49">
        <f t="shared" si="33"/>
        <v>51260.308489531235</v>
      </c>
      <c r="AH112" s="49">
        <f t="shared" si="15"/>
        <v>325502.95890852337</v>
      </c>
      <c r="AI112" s="49">
        <f t="shared" si="16"/>
        <v>625016.94141285447</v>
      </c>
      <c r="AJ112" s="49">
        <f t="shared" si="17"/>
        <v>575291.36655949976</v>
      </c>
      <c r="AK112" s="49">
        <f t="shared" si="18"/>
        <v>529875.3415267691</v>
      </c>
      <c r="AL112" s="49">
        <f t="shared" si="19"/>
        <v>489857.36217582948</v>
      </c>
      <c r="AN112" s="49">
        <f t="shared" si="20"/>
        <v>7363543.3145211618</v>
      </c>
      <c r="AO112" s="49">
        <f t="shared" si="21"/>
        <v>6738526.3731083069</v>
      </c>
      <c r="AP112" s="49">
        <f t="shared" si="22"/>
        <v>6163235.006548807</v>
      </c>
      <c r="AQ112" s="49">
        <f t="shared" si="23"/>
        <v>5633359.6650220379</v>
      </c>
      <c r="AR112" s="49">
        <f t="shared" si="24"/>
        <v>5143502.3028462082</v>
      </c>
      <c r="AT112" s="49">
        <f t="shared" si="34"/>
        <v>76890.46273429686</v>
      </c>
      <c r="AU112" s="49">
        <f t="shared" si="34"/>
        <v>81331.04073812798</v>
      </c>
      <c r="AV112" s="49">
        <f t="shared" si="34"/>
        <v>87486.173901189512</v>
      </c>
      <c r="AW112" s="49">
        <f t="shared" si="34"/>
        <v>89576.043623341116</v>
      </c>
      <c r="AX112" s="49">
        <f t="shared" si="34"/>
        <v>90734.441019478138</v>
      </c>
      <c r="AZ112" s="53">
        <f t="shared" si="26"/>
        <v>652753.89433653979</v>
      </c>
      <c r="BA112" s="53">
        <f t="shared" si="27"/>
        <v>928719.35246355657</v>
      </c>
      <c r="BB112" s="53">
        <f t="shared" si="28"/>
        <v>896980.47070954391</v>
      </c>
      <c r="BC112" s="53">
        <f t="shared" si="29"/>
        <v>833519.0524209477</v>
      </c>
      <c r="BD112" s="53">
        <f t="shared" si="30"/>
        <v>776044.89070346358</v>
      </c>
    </row>
    <row r="113" spans="2:56">
      <c r="B113" s="43">
        <f>'3. Input (des)investeringen '!B138</f>
        <v>1581</v>
      </c>
      <c r="C113" s="54"/>
      <c r="D113" s="54"/>
      <c r="E113" s="54"/>
      <c r="F113" s="48">
        <f>'3. Input (des)investeringen '!D138</f>
        <v>7629142.1872137021</v>
      </c>
      <c r="G113" s="54"/>
      <c r="H113" s="43">
        <f>'3. Input (des)investeringen '!F138</f>
        <v>2022</v>
      </c>
      <c r="I113" s="48" t="str">
        <f>'3. Input (des)investeringen '!G138</f>
        <v>nvt</v>
      </c>
      <c r="J113" s="48">
        <f>'3. Input (des)investeringen '!H138</f>
        <v>30</v>
      </c>
      <c r="K113" s="48">
        <f>'3. Input (des)investeringen '!I138</f>
        <v>0</v>
      </c>
      <c r="M113" s="49">
        <f t="shared" si="8"/>
        <v>0</v>
      </c>
      <c r="N113" s="49">
        <f t="shared" si="9"/>
        <v>0</v>
      </c>
      <c r="P113" s="147">
        <f t="shared" si="31"/>
        <v>0</v>
      </c>
      <c r="Q113" s="147">
        <f t="shared" si="10"/>
        <v>0</v>
      </c>
      <c r="S113" s="49">
        <f t="shared" si="11"/>
        <v>7629142.1872137021</v>
      </c>
      <c r="T113" s="44">
        <f t="shared" si="12"/>
        <v>30</v>
      </c>
      <c r="V113" s="49">
        <f>IF($J113=0, 0, IF(OR($H113&gt;V$59,$H113+$J113&lt;V$59),0,
IF(OR($H113=2020,$H113=2021),VDB($S113*(1-$F$28),0,$T113,V$59-2022,MIN($T113,V$59-2021),$F$22,FALSE),
VDB($S113*(1-$F$28),0,$T113,MAX(0,V$59-$H113-0.5),MIN($T113,V$59-$H113+0.5),$F$22,FALSE))))</f>
        <v>148768.2726506672</v>
      </c>
      <c r="W113" s="49">
        <f t="shared" si="32"/>
        <v>291089.92015313881</v>
      </c>
      <c r="X113" s="49">
        <f t="shared" si="32"/>
        <v>278476.02361316944</v>
      </c>
      <c r="Y113" s="49">
        <f t="shared" si="32"/>
        <v>266408.72925659874</v>
      </c>
      <c r="Z113" s="49">
        <f t="shared" si="32"/>
        <v>254864.35098881283</v>
      </c>
      <c r="AB113" s="49">
        <f t="shared" si="33"/>
        <v>12715.236978689503</v>
      </c>
      <c r="AC113" s="49">
        <f t="shared" si="33"/>
        <v>25430.473957379007</v>
      </c>
      <c r="AD113" s="49">
        <f t="shared" si="33"/>
        <v>25430.473957379007</v>
      </c>
      <c r="AE113" s="49">
        <f t="shared" si="33"/>
        <v>25430.473957379007</v>
      </c>
      <c r="AF113" s="49">
        <f t="shared" si="33"/>
        <v>25430.473957379007</v>
      </c>
      <c r="AH113" s="49">
        <f t="shared" si="15"/>
        <v>161483.5096293567</v>
      </c>
      <c r="AI113" s="49">
        <f t="shared" si="16"/>
        <v>316520.39411051781</v>
      </c>
      <c r="AJ113" s="49">
        <f t="shared" si="17"/>
        <v>303906.49757054844</v>
      </c>
      <c r="AK113" s="49">
        <f t="shared" si="18"/>
        <v>291839.20321397774</v>
      </c>
      <c r="AL113" s="49">
        <f t="shared" si="19"/>
        <v>280294.82494619186</v>
      </c>
      <c r="AN113" s="49">
        <f t="shared" si="20"/>
        <v>7467658.6775843455</v>
      </c>
      <c r="AO113" s="49">
        <f t="shared" si="21"/>
        <v>7151138.2834738279</v>
      </c>
      <c r="AP113" s="49">
        <f t="shared" si="22"/>
        <v>6847231.7859032797</v>
      </c>
      <c r="AQ113" s="49">
        <f t="shared" si="23"/>
        <v>6555392.582689302</v>
      </c>
      <c r="AR113" s="49">
        <f t="shared" si="24"/>
        <v>6275097.7577431099</v>
      </c>
      <c r="AT113" s="49">
        <f t="shared" si="34"/>
        <v>76291.421872137027</v>
      </c>
      <c r="AU113" s="49">
        <f t="shared" si="34"/>
        <v>80697.404068096686</v>
      </c>
      <c r="AV113" s="49">
        <f t="shared" si="34"/>
        <v>86804.583607970257</v>
      </c>
      <c r="AW113" s="49">
        <f t="shared" si="34"/>
        <v>88878.171501197445</v>
      </c>
      <c r="AX113" s="49">
        <f t="shared" si="34"/>
        <v>90027.544015050924</v>
      </c>
      <c r="AZ113" s="53">
        <f t="shared" si="26"/>
        <v>491675.3265393615</v>
      </c>
      <c r="BA113" s="53">
        <f t="shared" si="27"/>
        <v>633205.36153325078</v>
      </c>
      <c r="BB113" s="53">
        <f t="shared" si="28"/>
        <v>650905.88904284337</v>
      </c>
      <c r="BC113" s="53">
        <f t="shared" si="29"/>
        <v>629822.29285736871</v>
      </c>
      <c r="BD113" s="53">
        <f t="shared" si="30"/>
        <v>608776.08375548106</v>
      </c>
    </row>
    <row r="114" spans="2:56">
      <c r="B114" s="43">
        <f>'3. Input (des)investeringen '!B139</f>
        <v>1582</v>
      </c>
      <c r="C114" s="54"/>
      <c r="D114" s="54"/>
      <c r="E114" s="54"/>
      <c r="F114" s="48">
        <f>'3. Input (des)investeringen '!D139</f>
        <v>0</v>
      </c>
      <c r="G114" s="54"/>
      <c r="H114" s="43">
        <f>'3. Input (des)investeringen '!F139</f>
        <v>2022</v>
      </c>
      <c r="I114" s="48" t="str">
        <f>'3. Input (des)investeringen '!G139</f>
        <v>nvt</v>
      </c>
      <c r="J114" s="48">
        <f>'3. Input (des)investeringen '!H139</f>
        <v>55</v>
      </c>
      <c r="K114" s="48">
        <f>'3. Input (des)investeringen '!I139</f>
        <v>0</v>
      </c>
      <c r="M114" s="49">
        <f t="shared" si="8"/>
        <v>0</v>
      </c>
      <c r="N114" s="49">
        <f t="shared" si="9"/>
        <v>0</v>
      </c>
      <c r="P114" s="147">
        <f t="shared" si="31"/>
        <v>0</v>
      </c>
      <c r="Q114" s="147">
        <f t="shared" si="10"/>
        <v>0</v>
      </c>
      <c r="S114" s="49">
        <f t="shared" si="11"/>
        <v>0</v>
      </c>
      <c r="T114" s="44">
        <f>IF($J114=0, 0, IF(H114&lt;2022,J114-2021+H114-0.5,J114))</f>
        <v>55</v>
      </c>
      <c r="V114" s="49">
        <f>IF($J114=0, 0, IF(OR($H114&gt;V$59,$H114+$J114&lt;V$59),0,
IF(OR($H114=2020,$H114=2021),VDB($S114*(1-$F$28),0,$T114,V$59-2022,MIN($T114,V$59-2021),$F$22,FALSE),
VDB($S114*(1-$F$28),0,$T114,MAX(0,V$59-$H114-0.5),MIN($T114,V$59-$H114+0.5),$F$22,FALSE))))</f>
        <v>0</v>
      </c>
      <c r="W114" s="49">
        <f t="shared" si="32"/>
        <v>0</v>
      </c>
      <c r="X114" s="49">
        <f t="shared" si="32"/>
        <v>0</v>
      </c>
      <c r="Y114" s="49">
        <f t="shared" si="32"/>
        <v>0</v>
      </c>
      <c r="Z114" s="49">
        <f t="shared" si="32"/>
        <v>0</v>
      </c>
      <c r="AB114" s="49">
        <f>IF($J114=0, 0, IF(OR($H114&gt;AB$59,$H114+$J114&lt;AB$59),0,
IF(OR($H114=2020,$H114=2021),VDB($S114*$F$28,0,$T114,AB$59-2022,MIN($T114,AB$59-2021),1),
VDB($S114*$F$28,0,$T114,MAX(0,AB$59-$H114-0.5),MIN($T114,AB$59-$H114+0.5),1))))</f>
        <v>0</v>
      </c>
      <c r="AC114" s="49">
        <f t="shared" si="33"/>
        <v>0</v>
      </c>
      <c r="AD114" s="49">
        <f t="shared" si="33"/>
        <v>0</v>
      </c>
      <c r="AE114" s="49">
        <f t="shared" si="33"/>
        <v>0</v>
      </c>
      <c r="AF114" s="49">
        <f t="shared" si="33"/>
        <v>0</v>
      </c>
      <c r="AH114" s="49">
        <f t="shared" si="15"/>
        <v>0</v>
      </c>
      <c r="AI114" s="49">
        <f t="shared" si="16"/>
        <v>0</v>
      </c>
      <c r="AJ114" s="49">
        <f t="shared" si="17"/>
        <v>0</v>
      </c>
      <c r="AK114" s="49">
        <f t="shared" si="18"/>
        <v>0</v>
      </c>
      <c r="AL114" s="49">
        <f t="shared" si="19"/>
        <v>0</v>
      </c>
      <c r="AN114" s="49">
        <f t="shared" si="20"/>
        <v>0</v>
      </c>
      <c r="AO114" s="49">
        <f t="shared" si="21"/>
        <v>0</v>
      </c>
      <c r="AP114" s="49">
        <f t="shared" si="22"/>
        <v>0</v>
      </c>
      <c r="AQ114" s="49">
        <f t="shared" si="23"/>
        <v>0</v>
      </c>
      <c r="AR114" s="49">
        <f t="shared" si="24"/>
        <v>0</v>
      </c>
      <c r="AT114" s="49">
        <f t="shared" si="34"/>
        <v>0</v>
      </c>
      <c r="AU114" s="49">
        <f t="shared" si="34"/>
        <v>0</v>
      </c>
      <c r="AV114" s="49">
        <f t="shared" si="34"/>
        <v>0</v>
      </c>
      <c r="AW114" s="49">
        <f t="shared" si="34"/>
        <v>0</v>
      </c>
      <c r="AX114" s="49">
        <f t="shared" si="34"/>
        <v>0</v>
      </c>
      <c r="AZ114" s="53">
        <f t="shared" si="26"/>
        <v>0</v>
      </c>
      <c r="BA114" s="53">
        <f t="shared" si="27"/>
        <v>0</v>
      </c>
      <c r="BB114" s="53">
        <f t="shared" si="28"/>
        <v>0</v>
      </c>
      <c r="BC114" s="53">
        <f t="shared" si="29"/>
        <v>0</v>
      </c>
      <c r="BD114" s="53">
        <f t="shared" si="30"/>
        <v>0</v>
      </c>
    </row>
    <row r="115" spans="2:56">
      <c r="B115" s="43">
        <f>'3. Input (des)investeringen '!B140</f>
        <v>1583</v>
      </c>
      <c r="C115" s="54"/>
      <c r="D115" s="54"/>
      <c r="E115" s="54"/>
      <c r="F115" s="48">
        <f>'3. Input (des)investeringen '!D140</f>
        <v>0</v>
      </c>
      <c r="G115" s="54"/>
      <c r="H115" s="43">
        <f>'3. Input (des)investeringen '!F140</f>
        <v>2023</v>
      </c>
      <c r="I115" s="48" t="str">
        <f>'3. Input (des)investeringen '!G140</f>
        <v>nvt</v>
      </c>
      <c r="J115" s="48">
        <f>'3. Input (des)investeringen '!H140</f>
        <v>0</v>
      </c>
      <c r="K115" s="48">
        <f>'3. Input (des)investeringen '!I140</f>
        <v>1</v>
      </c>
      <c r="M115" s="49">
        <f t="shared" si="8"/>
        <v>0</v>
      </c>
      <c r="N115" s="49">
        <f t="shared" si="9"/>
        <v>0</v>
      </c>
      <c r="P115" s="147">
        <f t="shared" si="31"/>
        <v>0</v>
      </c>
      <c r="Q115" s="147">
        <f t="shared" si="10"/>
        <v>0</v>
      </c>
      <c r="S115" s="49">
        <f t="shared" si="11"/>
        <v>0</v>
      </c>
      <c r="T115" s="44">
        <f t="shared" si="12"/>
        <v>0</v>
      </c>
      <c r="V115" s="49">
        <f t="shared" si="32"/>
        <v>0</v>
      </c>
      <c r="W115" s="49">
        <f t="shared" si="32"/>
        <v>0</v>
      </c>
      <c r="X115" s="49">
        <f t="shared" si="32"/>
        <v>0</v>
      </c>
      <c r="Y115" s="49">
        <f t="shared" si="32"/>
        <v>0</v>
      </c>
      <c r="Z115" s="49">
        <f t="shared" si="32"/>
        <v>0</v>
      </c>
      <c r="AB115" s="49">
        <f t="shared" si="33"/>
        <v>0</v>
      </c>
      <c r="AC115" s="49">
        <f t="shared" si="33"/>
        <v>0</v>
      </c>
      <c r="AD115" s="49">
        <f t="shared" si="33"/>
        <v>0</v>
      </c>
      <c r="AE115" s="49">
        <f t="shared" si="33"/>
        <v>0</v>
      </c>
      <c r="AF115" s="49">
        <f t="shared" si="33"/>
        <v>0</v>
      </c>
      <c r="AH115" s="49">
        <f t="shared" si="15"/>
        <v>0</v>
      </c>
      <c r="AI115" s="49">
        <f t="shared" si="16"/>
        <v>0</v>
      </c>
      <c r="AJ115" s="49">
        <f t="shared" si="17"/>
        <v>0</v>
      </c>
      <c r="AK115" s="49">
        <f t="shared" si="18"/>
        <v>0</v>
      </c>
      <c r="AL115" s="49">
        <f t="shared" si="19"/>
        <v>0</v>
      </c>
      <c r="AN115" s="49">
        <f t="shared" si="20"/>
        <v>0</v>
      </c>
      <c r="AO115" s="49">
        <f t="shared" si="21"/>
        <v>0</v>
      </c>
      <c r="AP115" s="49">
        <f t="shared" si="22"/>
        <v>0</v>
      </c>
      <c r="AQ115" s="49">
        <f t="shared" si="23"/>
        <v>0</v>
      </c>
      <c r="AR115" s="49">
        <f t="shared" si="24"/>
        <v>0</v>
      </c>
      <c r="AT115" s="49">
        <f t="shared" si="34"/>
        <v>0</v>
      </c>
      <c r="AU115" s="49">
        <f t="shared" si="34"/>
        <v>0</v>
      </c>
      <c r="AV115" s="49">
        <f t="shared" si="34"/>
        <v>0</v>
      </c>
      <c r="AW115" s="49">
        <f t="shared" si="34"/>
        <v>0</v>
      </c>
      <c r="AX115" s="49">
        <f t="shared" si="34"/>
        <v>0</v>
      </c>
      <c r="AZ115" s="53">
        <f t="shared" si="26"/>
        <v>0</v>
      </c>
      <c r="BA115" s="53">
        <f t="shared" si="27"/>
        <v>0</v>
      </c>
      <c r="BB115" s="53">
        <f t="shared" si="28"/>
        <v>0</v>
      </c>
      <c r="BC115" s="53">
        <f t="shared" si="29"/>
        <v>0</v>
      </c>
      <c r="BD115" s="53">
        <f t="shared" si="30"/>
        <v>0</v>
      </c>
    </row>
    <row r="116" spans="2:56">
      <c r="B116" s="43">
        <f>'3. Input (des)investeringen '!B141</f>
        <v>1584</v>
      </c>
      <c r="C116" s="54"/>
      <c r="D116" s="54"/>
      <c r="E116" s="54"/>
      <c r="F116" s="48">
        <f>'3. Input (des)investeringen '!D141</f>
        <v>17108593.055793844</v>
      </c>
      <c r="G116" s="54"/>
      <c r="H116" s="43">
        <f>'3. Input (des)investeringen '!F141</f>
        <v>2023</v>
      </c>
      <c r="I116" s="48" t="str">
        <f>'3. Input (des)investeringen '!G141</f>
        <v>nvt</v>
      </c>
      <c r="J116" s="48">
        <f>'3. Input (des)investeringen '!H141</f>
        <v>5</v>
      </c>
      <c r="K116" s="48">
        <f>'3. Input (des)investeringen '!I141</f>
        <v>1</v>
      </c>
      <c r="M116" s="49">
        <f t="shared" si="8"/>
        <v>0</v>
      </c>
      <c r="N116" s="49">
        <f t="shared" si="9"/>
        <v>0</v>
      </c>
      <c r="P116" s="147">
        <f t="shared" si="31"/>
        <v>0</v>
      </c>
      <c r="Q116" s="147">
        <f t="shared" si="10"/>
        <v>0</v>
      </c>
      <c r="S116" s="49">
        <f t="shared" si="11"/>
        <v>17108593.055793844</v>
      </c>
      <c r="T116" s="44">
        <f t="shared" si="12"/>
        <v>5</v>
      </c>
      <c r="V116" s="49">
        <f t="shared" si="32"/>
        <v>0</v>
      </c>
      <c r="W116" s="49">
        <f t="shared" si="32"/>
        <v>2001705.3875278798</v>
      </c>
      <c r="X116" s="49">
        <f t="shared" si="32"/>
        <v>3482967.3742985111</v>
      </c>
      <c r="Y116" s="49">
        <f t="shared" si="32"/>
        <v>2832303.1395394481</v>
      </c>
      <c r="Z116" s="49">
        <f t="shared" si="32"/>
        <v>2832303.1395394481</v>
      </c>
      <c r="AB116" s="49">
        <f t="shared" si="33"/>
        <v>0</v>
      </c>
      <c r="AC116" s="49">
        <f t="shared" si="33"/>
        <v>171085.93055793847</v>
      </c>
      <c r="AD116" s="49">
        <f t="shared" si="33"/>
        <v>342171.86111587688</v>
      </c>
      <c r="AE116" s="49">
        <f t="shared" si="33"/>
        <v>342171.86111587688</v>
      </c>
      <c r="AF116" s="49">
        <f t="shared" si="33"/>
        <v>342171.86111587688</v>
      </c>
      <c r="AH116" s="49">
        <f t="shared" si="15"/>
        <v>0</v>
      </c>
      <c r="AI116" s="49">
        <f t="shared" si="16"/>
        <v>2172791.3180858181</v>
      </c>
      <c r="AJ116" s="49">
        <f t="shared" si="17"/>
        <v>3825139.2354143881</v>
      </c>
      <c r="AK116" s="49">
        <f t="shared" si="18"/>
        <v>3174475.0006553251</v>
      </c>
      <c r="AL116" s="49">
        <f t="shared" si="19"/>
        <v>3174475.0006553251</v>
      </c>
      <c r="AN116" s="49">
        <f t="shared" si="20"/>
        <v>0</v>
      </c>
      <c r="AO116" s="49">
        <f t="shared" si="21"/>
        <v>14935801.737708027</v>
      </c>
      <c r="AP116" s="49">
        <f t="shared" si="22"/>
        <v>11110662.502293639</v>
      </c>
      <c r="AQ116" s="49">
        <f t="shared" si="23"/>
        <v>7936187.5016383138</v>
      </c>
      <c r="AR116" s="49">
        <f t="shared" si="24"/>
        <v>4761712.5009829886</v>
      </c>
      <c r="AT116" s="49">
        <f t="shared" si="34"/>
        <v>0</v>
      </c>
      <c r="AU116" s="49">
        <f t="shared" si="34"/>
        <v>171085.93055793844</v>
      </c>
      <c r="AV116" s="49">
        <f t="shared" si="34"/>
        <v>184033.71378256325</v>
      </c>
      <c r="AW116" s="49">
        <f t="shared" si="34"/>
        <v>188429.91113740113</v>
      </c>
      <c r="AX116" s="49">
        <f t="shared" si="34"/>
        <v>190866.68674822993</v>
      </c>
      <c r="AZ116" s="53">
        <f t="shared" si="26"/>
        <v>0</v>
      </c>
      <c r="BA116" s="53">
        <f t="shared" si="27"/>
        <v>2836758.7059881212</v>
      </c>
      <c r="BB116" s="53">
        <f t="shared" si="28"/>
        <v>4431378.1242841091</v>
      </c>
      <c r="BC116" s="53">
        <f t="shared" si="29"/>
        <v>3664480.0368549824</v>
      </c>
      <c r="BD116" s="53">
        <f t="shared" si="30"/>
        <v>3546286.7624409087</v>
      </c>
    </row>
    <row r="117" spans="2:56">
      <c r="B117" s="43">
        <f>'3. Input (des)investeringen '!B142</f>
        <v>1585</v>
      </c>
      <c r="C117" s="54"/>
      <c r="D117" s="54"/>
      <c r="E117" s="54"/>
      <c r="F117" s="48">
        <f>'3. Input (des)investeringen '!D142</f>
        <v>5189405.6983328583</v>
      </c>
      <c r="G117" s="54"/>
      <c r="H117" s="43">
        <f>'3. Input (des)investeringen '!F142</f>
        <v>2023</v>
      </c>
      <c r="I117" s="48" t="str">
        <f>'3. Input (des)investeringen '!G142</f>
        <v>nvt</v>
      </c>
      <c r="J117" s="48">
        <f>'3. Input (des)investeringen '!H142</f>
        <v>10</v>
      </c>
      <c r="K117" s="48">
        <f>'3. Input (des)investeringen '!I142</f>
        <v>1</v>
      </c>
      <c r="M117" s="49">
        <f t="shared" si="8"/>
        <v>0</v>
      </c>
      <c r="N117" s="49">
        <f t="shared" si="9"/>
        <v>0</v>
      </c>
      <c r="P117" s="147">
        <f t="shared" si="31"/>
        <v>0</v>
      </c>
      <c r="Q117" s="147">
        <f t="shared" si="10"/>
        <v>0</v>
      </c>
      <c r="S117" s="49">
        <f t="shared" si="11"/>
        <v>5189405.6983328583</v>
      </c>
      <c r="T117" s="44">
        <f t="shared" si="12"/>
        <v>10</v>
      </c>
      <c r="V117" s="49">
        <f t="shared" si="32"/>
        <v>0</v>
      </c>
      <c r="W117" s="49">
        <f t="shared" si="32"/>
        <v>303580.23335247219</v>
      </c>
      <c r="X117" s="49">
        <f t="shared" si="32"/>
        <v>567695.03636912303</v>
      </c>
      <c r="Y117" s="49">
        <f t="shared" si="32"/>
        <v>493894.68164113705</v>
      </c>
      <c r="Z117" s="49">
        <f t="shared" si="32"/>
        <v>440706.02361824532</v>
      </c>
      <c r="AB117" s="49">
        <f t="shared" si="33"/>
        <v>0</v>
      </c>
      <c r="AC117" s="49">
        <f t="shared" si="33"/>
        <v>25947.028491664296</v>
      </c>
      <c r="AD117" s="49">
        <f t="shared" si="33"/>
        <v>51894.056983328592</v>
      </c>
      <c r="AE117" s="49">
        <f t="shared" si="33"/>
        <v>51894.056983328592</v>
      </c>
      <c r="AF117" s="49">
        <f t="shared" si="33"/>
        <v>51894.056983328592</v>
      </c>
      <c r="AH117" s="49">
        <f t="shared" si="15"/>
        <v>0</v>
      </c>
      <c r="AI117" s="49">
        <f t="shared" si="16"/>
        <v>329527.26184413646</v>
      </c>
      <c r="AJ117" s="49">
        <f t="shared" si="17"/>
        <v>619589.09335245157</v>
      </c>
      <c r="AK117" s="49">
        <f t="shared" si="18"/>
        <v>545788.73862446565</v>
      </c>
      <c r="AL117" s="49">
        <f t="shared" si="19"/>
        <v>492600.08060157392</v>
      </c>
      <c r="AN117" s="49">
        <f t="shared" si="20"/>
        <v>0</v>
      </c>
      <c r="AO117" s="49">
        <f t="shared" si="21"/>
        <v>4859878.4364887215</v>
      </c>
      <c r="AP117" s="49">
        <f t="shared" si="22"/>
        <v>4240289.3431362696</v>
      </c>
      <c r="AQ117" s="49">
        <f t="shared" si="23"/>
        <v>3694500.6045118039</v>
      </c>
      <c r="AR117" s="49">
        <f t="shared" si="24"/>
        <v>3201900.52391023</v>
      </c>
      <c r="AT117" s="49">
        <f t="shared" si="34"/>
        <v>0</v>
      </c>
      <c r="AU117" s="49">
        <f t="shared" si="34"/>
        <v>51894.056983328584</v>
      </c>
      <c r="AV117" s="49">
        <f t="shared" si="34"/>
        <v>55821.399215826896</v>
      </c>
      <c r="AW117" s="49">
        <f t="shared" si="34"/>
        <v>57154.860800294569</v>
      </c>
      <c r="AX117" s="49">
        <f t="shared" si="34"/>
        <v>57893.98746016396</v>
      </c>
      <c r="AZ117" s="53">
        <f t="shared" si="26"/>
        <v>0</v>
      </c>
      <c r="BA117" s="53">
        <f t="shared" si="27"/>
        <v>541797.30723159283</v>
      </c>
      <c r="BB117" s="53">
        <f t="shared" si="28"/>
        <v>836541.48760745663</v>
      </c>
      <c r="BC117" s="53">
        <f t="shared" si="29"/>
        <v>743334.6223962087</v>
      </c>
      <c r="BD117" s="53">
        <f t="shared" si="30"/>
        <v>672166.28797032672</v>
      </c>
    </row>
    <row r="118" spans="2:56">
      <c r="B118" s="43">
        <f>'3. Input (des)investeringen '!B143</f>
        <v>1586</v>
      </c>
      <c r="C118" s="54"/>
      <c r="D118" s="54"/>
      <c r="E118" s="54"/>
      <c r="F118" s="48">
        <f>'3. Input (des)investeringen '!D143</f>
        <v>24478081.893697795</v>
      </c>
      <c r="G118" s="54"/>
      <c r="H118" s="43">
        <f>'3. Input (des)investeringen '!F143</f>
        <v>2023</v>
      </c>
      <c r="I118" s="48" t="str">
        <f>'3. Input (des)investeringen '!G143</f>
        <v>nvt</v>
      </c>
      <c r="J118" s="48">
        <f>'3. Input (des)investeringen '!H143</f>
        <v>15</v>
      </c>
      <c r="K118" s="48">
        <f>'3. Input (des)investeringen '!I143</f>
        <v>1</v>
      </c>
      <c r="M118" s="49">
        <f t="shared" si="8"/>
        <v>0</v>
      </c>
      <c r="N118" s="49">
        <f t="shared" si="9"/>
        <v>0</v>
      </c>
      <c r="P118" s="147">
        <f t="shared" si="31"/>
        <v>0</v>
      </c>
      <c r="Q118" s="147">
        <f t="shared" si="10"/>
        <v>0</v>
      </c>
      <c r="S118" s="49">
        <f t="shared" si="11"/>
        <v>24478081.893697795</v>
      </c>
      <c r="T118" s="44">
        <f t="shared" si="12"/>
        <v>15</v>
      </c>
      <c r="V118" s="49">
        <f t="shared" si="32"/>
        <v>0</v>
      </c>
      <c r="W118" s="49">
        <f t="shared" si="32"/>
        <v>954645.19385421404</v>
      </c>
      <c r="X118" s="49">
        <f t="shared" si="32"/>
        <v>1826554.4709077296</v>
      </c>
      <c r="Y118" s="49">
        <f t="shared" si="32"/>
        <v>1668253.0834290597</v>
      </c>
      <c r="Z118" s="49">
        <f t="shared" si="32"/>
        <v>1523671.1495318746</v>
      </c>
      <c r="AB118" s="49">
        <f t="shared" si="33"/>
        <v>0</v>
      </c>
      <c r="AC118" s="49">
        <f t="shared" si="33"/>
        <v>81593.606312325981</v>
      </c>
      <c r="AD118" s="49">
        <f t="shared" si="33"/>
        <v>163187.21262465196</v>
      </c>
      <c r="AE118" s="49">
        <f t="shared" si="33"/>
        <v>163187.21262465196</v>
      </c>
      <c r="AF118" s="49">
        <f t="shared" si="33"/>
        <v>163187.21262465196</v>
      </c>
      <c r="AH118" s="49">
        <f t="shared" si="15"/>
        <v>0</v>
      </c>
      <c r="AI118" s="49">
        <f t="shared" si="16"/>
        <v>1036238.8001665401</v>
      </c>
      <c r="AJ118" s="49">
        <f t="shared" si="17"/>
        <v>1989741.6835323814</v>
      </c>
      <c r="AK118" s="49">
        <f t="shared" si="18"/>
        <v>1831440.2960537118</v>
      </c>
      <c r="AL118" s="49">
        <f t="shared" si="19"/>
        <v>1686858.3621565267</v>
      </c>
      <c r="AN118" s="49">
        <f t="shared" si="20"/>
        <v>0</v>
      </c>
      <c r="AO118" s="49">
        <f t="shared" si="21"/>
        <v>23441843.093531255</v>
      </c>
      <c r="AP118" s="49">
        <f t="shared" si="22"/>
        <v>21452101.409998871</v>
      </c>
      <c r="AQ118" s="49">
        <f t="shared" si="23"/>
        <v>19620661.11394516</v>
      </c>
      <c r="AR118" s="49">
        <f t="shared" si="24"/>
        <v>17933802.751788635</v>
      </c>
      <c r="AT118" s="49">
        <f t="shared" si="34"/>
        <v>0</v>
      </c>
      <c r="AU118" s="49">
        <f t="shared" si="34"/>
        <v>244780.81893697794</v>
      </c>
      <c r="AV118" s="49">
        <f t="shared" si="34"/>
        <v>263305.83131412847</v>
      </c>
      <c r="AW118" s="49">
        <f t="shared" si="34"/>
        <v>269595.68101256038</v>
      </c>
      <c r="AX118" s="49">
        <f t="shared" si="34"/>
        <v>273082.09235941473</v>
      </c>
      <c r="AZ118" s="53">
        <f t="shared" si="26"/>
        <v>0</v>
      </c>
      <c r="BA118" s="53">
        <f t="shared" si="27"/>
        <v>2054600.4411900495</v>
      </c>
      <c r="BB118" s="53">
        <f t="shared" si="28"/>
        <v>3068227.3684264668</v>
      </c>
      <c r="BC118" s="53">
        <f t="shared" si="29"/>
        <v>2846621.0993961887</v>
      </c>
      <c r="BD118" s="53">
        <f t="shared" si="30"/>
        <v>2641424.9590839096</v>
      </c>
    </row>
    <row r="119" spans="2:56">
      <c r="B119" s="43">
        <f>'3. Input (des)investeringen '!B144</f>
        <v>1587</v>
      </c>
      <c r="C119" s="54"/>
      <c r="D119" s="54"/>
      <c r="E119" s="54"/>
      <c r="F119" s="48">
        <f>'3. Input (des)investeringen '!D144</f>
        <v>30064216.026644446</v>
      </c>
      <c r="G119" s="54"/>
      <c r="H119" s="43">
        <f>'3. Input (des)investeringen '!F144</f>
        <v>2023</v>
      </c>
      <c r="I119" s="48" t="str">
        <f>'3. Input (des)investeringen '!G144</f>
        <v>nvt</v>
      </c>
      <c r="J119" s="48">
        <f>'3. Input (des)investeringen '!H144</f>
        <v>30</v>
      </c>
      <c r="K119" s="48">
        <f>'3. Input (des)investeringen '!I144</f>
        <v>1</v>
      </c>
      <c r="M119" s="49">
        <f t="shared" si="8"/>
        <v>0</v>
      </c>
      <c r="N119" s="49">
        <f t="shared" si="9"/>
        <v>0</v>
      </c>
      <c r="P119" s="147">
        <f t="shared" si="31"/>
        <v>0</v>
      </c>
      <c r="Q119" s="147">
        <f t="shared" si="10"/>
        <v>0</v>
      </c>
      <c r="S119" s="49">
        <f t="shared" si="11"/>
        <v>30064216.026644446</v>
      </c>
      <c r="T119" s="44">
        <f t="shared" si="12"/>
        <v>30</v>
      </c>
      <c r="V119" s="49">
        <f t="shared" si="32"/>
        <v>0</v>
      </c>
      <c r="W119" s="49">
        <f t="shared" si="32"/>
        <v>586252.21251956676</v>
      </c>
      <c r="X119" s="49">
        <f t="shared" si="32"/>
        <v>1147100.1624966189</v>
      </c>
      <c r="Y119" s="49">
        <f t="shared" si="32"/>
        <v>1097392.488788432</v>
      </c>
      <c r="Z119" s="49">
        <f t="shared" si="32"/>
        <v>1049838.8142742666</v>
      </c>
      <c r="AB119" s="49">
        <f t="shared" si="33"/>
        <v>0</v>
      </c>
      <c r="AC119" s="49">
        <f t="shared" si="33"/>
        <v>50107.026711074075</v>
      </c>
      <c r="AD119" s="49">
        <f t="shared" si="33"/>
        <v>100214.05342214815</v>
      </c>
      <c r="AE119" s="49">
        <f t="shared" si="33"/>
        <v>100214.05342214815</v>
      </c>
      <c r="AF119" s="49">
        <f t="shared" si="33"/>
        <v>100214.05342214815</v>
      </c>
      <c r="AH119" s="49">
        <f t="shared" si="15"/>
        <v>0</v>
      </c>
      <c r="AI119" s="49">
        <f t="shared" si="16"/>
        <v>636359.23923064081</v>
      </c>
      <c r="AJ119" s="49">
        <f t="shared" si="17"/>
        <v>1247314.215918767</v>
      </c>
      <c r="AK119" s="49">
        <f t="shared" si="18"/>
        <v>1197606.5422105801</v>
      </c>
      <c r="AL119" s="49">
        <f t="shared" si="19"/>
        <v>1150052.8676964147</v>
      </c>
      <c r="AN119" s="49">
        <f t="shared" si="20"/>
        <v>0</v>
      </c>
      <c r="AO119" s="49">
        <f t="shared" si="21"/>
        <v>29427856.787413806</v>
      </c>
      <c r="AP119" s="49">
        <f t="shared" si="22"/>
        <v>28180542.571495038</v>
      </c>
      <c r="AQ119" s="49">
        <f t="shared" si="23"/>
        <v>26982936.029284459</v>
      </c>
      <c r="AR119" s="49">
        <f t="shared" si="24"/>
        <v>25832883.161588043</v>
      </c>
      <c r="AT119" s="49">
        <f t="shared" si="34"/>
        <v>0</v>
      </c>
      <c r="AU119" s="49">
        <f t="shared" si="34"/>
        <v>300642.16026644449</v>
      </c>
      <c r="AV119" s="49">
        <f t="shared" si="34"/>
        <v>323394.75895540899</v>
      </c>
      <c r="AW119" s="49">
        <f t="shared" si="34"/>
        <v>331120.01295733586</v>
      </c>
      <c r="AX119" s="49">
        <f t="shared" si="34"/>
        <v>335402.0569649</v>
      </c>
      <c r="AZ119" s="53">
        <f t="shared" si="26"/>
        <v>0</v>
      </c>
      <c r="BA119" s="53">
        <f t="shared" si="27"/>
        <v>1908120.673481741</v>
      </c>
      <c r="BB119" s="53">
        <f t="shared" si="28"/>
        <v>2641569.5925909872</v>
      </c>
      <c r="BC119" s="53">
        <f t="shared" si="29"/>
        <v>2554078.1242807251</v>
      </c>
      <c r="BD119" s="53">
        <f t="shared" si="30"/>
        <v>2467104.4848016603</v>
      </c>
    </row>
    <row r="120" spans="2:56">
      <c r="B120" s="43">
        <f>'3. Input (des)investeringen '!B145</f>
        <v>1588</v>
      </c>
      <c r="C120" s="54"/>
      <c r="D120" s="54"/>
      <c r="E120" s="54"/>
      <c r="F120" s="48">
        <f>'3. Input (des)investeringen '!D145</f>
        <v>83221993.783928484</v>
      </c>
      <c r="G120" s="54"/>
      <c r="H120" s="43">
        <f>'3. Input (des)investeringen '!F145</f>
        <v>2023</v>
      </c>
      <c r="I120" s="48" t="str">
        <f>'3. Input (des)investeringen '!G145</f>
        <v>nvt</v>
      </c>
      <c r="J120" s="48">
        <f>'3. Input (des)investeringen '!H145</f>
        <v>55</v>
      </c>
      <c r="K120" s="48">
        <f>'3. Input (des)investeringen '!I145</f>
        <v>1</v>
      </c>
      <c r="M120" s="49">
        <f t="shared" si="8"/>
        <v>0</v>
      </c>
      <c r="N120" s="49">
        <f t="shared" si="9"/>
        <v>0</v>
      </c>
      <c r="P120" s="147">
        <f t="shared" si="31"/>
        <v>0</v>
      </c>
      <c r="Q120" s="147">
        <f t="shared" si="10"/>
        <v>0</v>
      </c>
      <c r="S120" s="49">
        <f t="shared" si="11"/>
        <v>83221993.783928484</v>
      </c>
      <c r="T120" s="44">
        <f t="shared" si="12"/>
        <v>55</v>
      </c>
      <c r="V120" s="49">
        <f t="shared" si="32"/>
        <v>0</v>
      </c>
      <c r="W120" s="49">
        <f t="shared" si="32"/>
        <v>885179.38842905755</v>
      </c>
      <c r="X120" s="49">
        <f t="shared" si="32"/>
        <v>1749436.3549497919</v>
      </c>
      <c r="Y120" s="49">
        <f t="shared" si="32"/>
        <v>1708086.0411055242</v>
      </c>
      <c r="Z120" s="49">
        <f t="shared" si="32"/>
        <v>1667713.0983157572</v>
      </c>
      <c r="AB120" s="49">
        <f t="shared" si="33"/>
        <v>0</v>
      </c>
      <c r="AC120" s="49">
        <f t="shared" si="33"/>
        <v>75656.357985389535</v>
      </c>
      <c r="AD120" s="49">
        <f t="shared" si="33"/>
        <v>151312.71597077907</v>
      </c>
      <c r="AE120" s="49">
        <f t="shared" si="33"/>
        <v>151312.71597077907</v>
      </c>
      <c r="AF120" s="49">
        <f t="shared" si="33"/>
        <v>151312.71597077907</v>
      </c>
      <c r="AH120" s="49">
        <f t="shared" si="15"/>
        <v>0</v>
      </c>
      <c r="AI120" s="49">
        <f t="shared" si="16"/>
        <v>960835.74641444709</v>
      </c>
      <c r="AJ120" s="49">
        <f t="shared" si="17"/>
        <v>1900749.070920571</v>
      </c>
      <c r="AK120" s="49">
        <f t="shared" si="18"/>
        <v>1859398.7570763032</v>
      </c>
      <c r="AL120" s="49">
        <f t="shared" si="19"/>
        <v>1819025.8142865363</v>
      </c>
      <c r="AN120" s="49">
        <f t="shared" si="20"/>
        <v>0</v>
      </c>
      <c r="AO120" s="49">
        <f t="shared" si="21"/>
        <v>82261158.037514031</v>
      </c>
      <c r="AP120" s="49">
        <f t="shared" si="22"/>
        <v>80360408.966593459</v>
      </c>
      <c r="AQ120" s="49">
        <f t="shared" si="23"/>
        <v>78501010.209517151</v>
      </c>
      <c r="AR120" s="49">
        <f t="shared" si="24"/>
        <v>76681984.395230621</v>
      </c>
      <c r="AT120" s="49">
        <f t="shared" si="34"/>
        <v>0</v>
      </c>
      <c r="AU120" s="49">
        <f t="shared" si="34"/>
        <v>832219.93783928489</v>
      </c>
      <c r="AV120" s="49">
        <f t="shared" si="34"/>
        <v>895202.34273496212</v>
      </c>
      <c r="AW120" s="49">
        <f t="shared" si="34"/>
        <v>916586.93629821483</v>
      </c>
      <c r="AX120" s="49">
        <f t="shared" si="34"/>
        <v>928440.23855842312</v>
      </c>
      <c r="AZ120" s="53">
        <f t="shared" si="26"/>
        <v>0</v>
      </c>
      <c r="BA120" s="53">
        <f t="shared" si="27"/>
        <v>4507673.8994916948</v>
      </c>
      <c r="BB120" s="53">
        <f t="shared" si="28"/>
        <v>5849646.9543860843</v>
      </c>
      <c r="BC120" s="53">
        <f t="shared" si="29"/>
        <v>5759024.0813361695</v>
      </c>
      <c r="BD120" s="53">
        <f t="shared" si="30"/>
        <v>5661381.4598637223</v>
      </c>
    </row>
    <row r="121" spans="2:56">
      <c r="B121" s="43">
        <f>'3. Input (des)investeringen '!B146</f>
        <v>1589</v>
      </c>
      <c r="C121" s="54"/>
      <c r="D121" s="54"/>
      <c r="E121" s="54"/>
      <c r="F121" s="48">
        <f>'3. Input (des)investeringen '!D146</f>
        <v>-31765.350435964345</v>
      </c>
      <c r="G121" s="54"/>
      <c r="H121" s="43">
        <f>'3. Input (des)investeringen '!F146</f>
        <v>2023</v>
      </c>
      <c r="I121" s="48" t="str">
        <f>'3. Input (des)investeringen '!G146</f>
        <v>nvt</v>
      </c>
      <c r="J121" s="48">
        <f>'3. Input (des)investeringen '!H146</f>
        <v>0</v>
      </c>
      <c r="K121" s="48">
        <f>'3. Input (des)investeringen '!I146</f>
        <v>0</v>
      </c>
      <c r="M121" s="49">
        <f t="shared" si="8"/>
        <v>0</v>
      </c>
      <c r="N121" s="49">
        <f t="shared" si="9"/>
        <v>0</v>
      </c>
      <c r="P121" s="147">
        <f t="shared" si="31"/>
        <v>0</v>
      </c>
      <c r="Q121" s="147">
        <f t="shared" si="10"/>
        <v>0</v>
      </c>
      <c r="S121" s="49">
        <f t="shared" si="11"/>
        <v>-31765.350435964345</v>
      </c>
      <c r="T121" s="44">
        <f t="shared" si="12"/>
        <v>0</v>
      </c>
      <c r="V121" s="49">
        <f t="shared" si="32"/>
        <v>0</v>
      </c>
      <c r="W121" s="49">
        <f t="shared" si="32"/>
        <v>0</v>
      </c>
      <c r="X121" s="49">
        <f t="shared" si="32"/>
        <v>0</v>
      </c>
      <c r="Y121" s="49">
        <f t="shared" si="32"/>
        <v>0</v>
      </c>
      <c r="Z121" s="49">
        <f t="shared" si="32"/>
        <v>0</v>
      </c>
      <c r="AB121" s="49">
        <f t="shared" si="33"/>
        <v>0</v>
      </c>
      <c r="AC121" s="49">
        <f t="shared" si="33"/>
        <v>0</v>
      </c>
      <c r="AD121" s="49">
        <f t="shared" si="33"/>
        <v>0</v>
      </c>
      <c r="AE121" s="49">
        <f t="shared" si="33"/>
        <v>0</v>
      </c>
      <c r="AF121" s="49">
        <f t="shared" si="33"/>
        <v>0</v>
      </c>
      <c r="AH121" s="49">
        <f t="shared" si="15"/>
        <v>0</v>
      </c>
      <c r="AI121" s="49">
        <f t="shared" si="16"/>
        <v>0</v>
      </c>
      <c r="AJ121" s="49">
        <f t="shared" si="17"/>
        <v>0</v>
      </c>
      <c r="AK121" s="49">
        <f t="shared" si="18"/>
        <v>0</v>
      </c>
      <c r="AL121" s="49">
        <f t="shared" si="19"/>
        <v>0</v>
      </c>
      <c r="AN121" s="49">
        <f t="shared" si="20"/>
        <v>0</v>
      </c>
      <c r="AO121" s="49">
        <f t="shared" si="21"/>
        <v>-31765.350435964345</v>
      </c>
      <c r="AP121" s="49">
        <f t="shared" si="22"/>
        <v>-31765.350435964345</v>
      </c>
      <c r="AQ121" s="49">
        <f t="shared" si="23"/>
        <v>-31765.350435964345</v>
      </c>
      <c r="AR121" s="49">
        <f t="shared" si="24"/>
        <v>-31765.350435964345</v>
      </c>
      <c r="AT121" s="49">
        <f t="shared" si="34"/>
        <v>0</v>
      </c>
      <c r="AU121" s="49">
        <f t="shared" si="34"/>
        <v>-317.65350435964348</v>
      </c>
      <c r="AV121" s="49">
        <f t="shared" si="34"/>
        <v>-341.69352156958126</v>
      </c>
      <c r="AW121" s="49">
        <f t="shared" si="34"/>
        <v>-349.85589641283542</v>
      </c>
      <c r="AX121" s="49">
        <f t="shared" si="34"/>
        <v>-354.38023286524617</v>
      </c>
      <c r="AZ121" s="53">
        <f t="shared" si="26"/>
        <v>0</v>
      </c>
      <c r="BA121" s="53">
        <f t="shared" si="27"/>
        <v>-1365.9100687464668</v>
      </c>
      <c r="BB121" s="53">
        <f t="shared" si="28"/>
        <v>-1548.7768381362264</v>
      </c>
      <c r="BC121" s="53">
        <f t="shared" si="29"/>
        <v>-1556.9392129794805</v>
      </c>
      <c r="BD121" s="53">
        <f t="shared" si="30"/>
        <v>-1561.4635494318914</v>
      </c>
    </row>
    <row r="122" spans="2:56">
      <c r="B122" s="43">
        <f>'3. Input (des)investeringen '!B147</f>
        <v>1590</v>
      </c>
      <c r="C122" s="54"/>
      <c r="D122" s="54"/>
      <c r="E122" s="54"/>
      <c r="F122" s="48">
        <f>'3. Input (des)investeringen '!D147</f>
        <v>447398.87404737127</v>
      </c>
      <c r="G122" s="54"/>
      <c r="H122" s="43">
        <f>'3. Input (des)investeringen '!F147</f>
        <v>2023</v>
      </c>
      <c r="I122" s="48" t="str">
        <f>'3. Input (des)investeringen '!G147</f>
        <v>nvt</v>
      </c>
      <c r="J122" s="48">
        <f>'3. Input (des)investeringen '!H147</f>
        <v>5</v>
      </c>
      <c r="K122" s="48">
        <f>'3. Input (des)investeringen '!I147</f>
        <v>0</v>
      </c>
      <c r="M122" s="49">
        <f t="shared" si="8"/>
        <v>0</v>
      </c>
      <c r="N122" s="49">
        <f t="shared" si="9"/>
        <v>0</v>
      </c>
      <c r="P122" s="147">
        <f t="shared" si="31"/>
        <v>0</v>
      </c>
      <c r="Q122" s="147">
        <f t="shared" si="10"/>
        <v>0</v>
      </c>
      <c r="S122" s="49">
        <f t="shared" si="11"/>
        <v>447398.87404737127</v>
      </c>
      <c r="T122" s="44">
        <f t="shared" si="12"/>
        <v>5</v>
      </c>
      <c r="V122" s="49">
        <f t="shared" si="32"/>
        <v>0</v>
      </c>
      <c r="W122" s="49">
        <f t="shared" si="32"/>
        <v>52345.668263542444</v>
      </c>
      <c r="X122" s="49">
        <f t="shared" si="32"/>
        <v>91081.462778563844</v>
      </c>
      <c r="Y122" s="49">
        <f t="shared" si="32"/>
        <v>74066.244457293666</v>
      </c>
      <c r="Z122" s="49">
        <f t="shared" si="32"/>
        <v>74066.244457293666</v>
      </c>
      <c r="AB122" s="49">
        <f t="shared" si="33"/>
        <v>0</v>
      </c>
      <c r="AC122" s="49">
        <f t="shared" si="33"/>
        <v>4473.9887404737128</v>
      </c>
      <c r="AD122" s="49">
        <f t="shared" si="33"/>
        <v>8947.9774809474256</v>
      </c>
      <c r="AE122" s="49">
        <f t="shared" si="33"/>
        <v>8947.9774809474256</v>
      </c>
      <c r="AF122" s="49">
        <f t="shared" si="33"/>
        <v>8947.9774809474256</v>
      </c>
      <c r="AH122" s="49">
        <f t="shared" si="15"/>
        <v>0</v>
      </c>
      <c r="AI122" s="49">
        <f t="shared" si="16"/>
        <v>56819.65700401616</v>
      </c>
      <c r="AJ122" s="49">
        <f t="shared" si="17"/>
        <v>100029.44025951126</v>
      </c>
      <c r="AK122" s="49">
        <f t="shared" si="18"/>
        <v>83014.221938241099</v>
      </c>
      <c r="AL122" s="49">
        <f t="shared" si="19"/>
        <v>83014.221938241099</v>
      </c>
      <c r="AN122" s="49">
        <f t="shared" si="20"/>
        <v>0</v>
      </c>
      <c r="AO122" s="49">
        <f t="shared" si="21"/>
        <v>390579.21704335511</v>
      </c>
      <c r="AP122" s="49">
        <f t="shared" si="22"/>
        <v>290549.77678384387</v>
      </c>
      <c r="AQ122" s="49">
        <f t="shared" si="23"/>
        <v>207535.55484560278</v>
      </c>
      <c r="AR122" s="49">
        <f t="shared" si="24"/>
        <v>124521.33290736168</v>
      </c>
      <c r="AT122" s="49">
        <f t="shared" si="34"/>
        <v>0</v>
      </c>
      <c r="AU122" s="49">
        <f t="shared" si="34"/>
        <v>4473.9887404737128</v>
      </c>
      <c r="AV122" s="49">
        <f t="shared" si="34"/>
        <v>4812.5802083527633</v>
      </c>
      <c r="AW122" s="49">
        <f t="shared" si="34"/>
        <v>4927.5431243698949</v>
      </c>
      <c r="AX122" s="49">
        <f t="shared" si="34"/>
        <v>4991.2661120542452</v>
      </c>
      <c r="AZ122" s="53">
        <f t="shared" si="26"/>
        <v>0</v>
      </c>
      <c r="BA122" s="53">
        <f t="shared" si="27"/>
        <v>74182.75990692059</v>
      </c>
      <c r="BB122" s="53">
        <f t="shared" si="28"/>
        <v>115882.91198565009</v>
      </c>
      <c r="BC122" s="53">
        <f t="shared" si="29"/>
        <v>95828.116146743909</v>
      </c>
      <c r="BD122" s="53">
        <f t="shared" si="30"/>
        <v>92737.298700775093</v>
      </c>
    </row>
    <row r="123" spans="2:56">
      <c r="B123" s="43">
        <f>'3. Input (des)investeringen '!B148</f>
        <v>1591</v>
      </c>
      <c r="C123" s="54"/>
      <c r="D123" s="54"/>
      <c r="E123" s="54"/>
      <c r="F123" s="48">
        <f>'3. Input (des)investeringen '!D148</f>
        <v>1604404.348819593</v>
      </c>
      <c r="G123" s="54"/>
      <c r="H123" s="43">
        <f>'3. Input (des)investeringen '!F148</f>
        <v>2023</v>
      </c>
      <c r="I123" s="48" t="str">
        <f>'3. Input (des)investeringen '!G148</f>
        <v>nvt</v>
      </c>
      <c r="J123" s="48">
        <f>'3. Input (des)investeringen '!H148</f>
        <v>10</v>
      </c>
      <c r="K123" s="48">
        <f>'3. Input (des)investeringen '!I148</f>
        <v>0</v>
      </c>
      <c r="M123" s="49">
        <f t="shared" si="8"/>
        <v>0</v>
      </c>
      <c r="N123" s="49">
        <f t="shared" si="9"/>
        <v>0</v>
      </c>
      <c r="P123" s="147">
        <f t="shared" si="31"/>
        <v>0</v>
      </c>
      <c r="Q123" s="147">
        <f t="shared" si="10"/>
        <v>0</v>
      </c>
      <c r="S123" s="49">
        <f t="shared" si="11"/>
        <v>1604404.348819593</v>
      </c>
      <c r="T123" s="44">
        <f t="shared" si="12"/>
        <v>10</v>
      </c>
      <c r="V123" s="49">
        <f t="shared" si="32"/>
        <v>0</v>
      </c>
      <c r="W123" s="49">
        <f t="shared" si="32"/>
        <v>93857.654405946188</v>
      </c>
      <c r="X123" s="49">
        <f t="shared" si="32"/>
        <v>175513.81373911939</v>
      </c>
      <c r="Y123" s="49">
        <f t="shared" si="32"/>
        <v>152697.01795303385</v>
      </c>
      <c r="Z123" s="49">
        <f t="shared" si="32"/>
        <v>136252.72371193793</v>
      </c>
      <c r="AB123" s="49">
        <f t="shared" si="33"/>
        <v>0</v>
      </c>
      <c r="AC123" s="49">
        <f t="shared" si="33"/>
        <v>8022.0217440979659</v>
      </c>
      <c r="AD123" s="49">
        <f t="shared" si="33"/>
        <v>16044.043488195932</v>
      </c>
      <c r="AE123" s="49">
        <f t="shared" si="33"/>
        <v>16044.043488195932</v>
      </c>
      <c r="AF123" s="49">
        <f t="shared" si="33"/>
        <v>16044.043488195932</v>
      </c>
      <c r="AH123" s="49">
        <f t="shared" si="15"/>
        <v>0</v>
      </c>
      <c r="AI123" s="49">
        <f t="shared" si="16"/>
        <v>101879.67615004415</v>
      </c>
      <c r="AJ123" s="49">
        <f t="shared" si="17"/>
        <v>191557.85722731531</v>
      </c>
      <c r="AK123" s="49">
        <f t="shared" si="18"/>
        <v>168741.06144122977</v>
      </c>
      <c r="AL123" s="49">
        <f t="shared" si="19"/>
        <v>152296.76720013385</v>
      </c>
      <c r="AN123" s="49">
        <f t="shared" si="20"/>
        <v>0</v>
      </c>
      <c r="AO123" s="49">
        <f t="shared" si="21"/>
        <v>1502524.6726695488</v>
      </c>
      <c r="AP123" s="49">
        <f t="shared" si="22"/>
        <v>1310966.8154422333</v>
      </c>
      <c r="AQ123" s="49">
        <f t="shared" si="23"/>
        <v>1142225.7540010037</v>
      </c>
      <c r="AR123" s="49">
        <f t="shared" si="24"/>
        <v>989928.98680086981</v>
      </c>
      <c r="AT123" s="49">
        <f t="shared" si="34"/>
        <v>0</v>
      </c>
      <c r="AU123" s="49">
        <f t="shared" si="34"/>
        <v>16044.04348819593</v>
      </c>
      <c r="AV123" s="49">
        <f t="shared" si="34"/>
        <v>17258.2566993826</v>
      </c>
      <c r="AW123" s="49">
        <f t="shared" si="34"/>
        <v>17670.521935417451</v>
      </c>
      <c r="AX123" s="49">
        <f t="shared" si="34"/>
        <v>17899.037125086266</v>
      </c>
      <c r="AZ123" s="53">
        <f t="shared" si="26"/>
        <v>0</v>
      </c>
      <c r="BA123" s="53">
        <f t="shared" si="27"/>
        <v>167507.03383633518</v>
      </c>
      <c r="BB123" s="53">
        <f t="shared" si="28"/>
        <v>258632.85291350275</v>
      </c>
      <c r="BC123" s="53">
        <f t="shared" si="29"/>
        <v>229816.16202868536</v>
      </c>
      <c r="BD123" s="53">
        <f t="shared" si="30"/>
        <v>207813.10582365317</v>
      </c>
    </row>
    <row r="124" spans="2:56">
      <c r="B124" s="43">
        <f>'3. Input (des)investeringen '!B149</f>
        <v>1592</v>
      </c>
      <c r="C124" s="54"/>
      <c r="D124" s="54"/>
      <c r="E124" s="54"/>
      <c r="F124" s="48">
        <f>'3. Input (des)investeringen '!D149</f>
        <v>4821440.5639281506</v>
      </c>
      <c r="G124" s="54"/>
      <c r="H124" s="43">
        <f>'3. Input (des)investeringen '!F149</f>
        <v>2023</v>
      </c>
      <c r="I124" s="48" t="str">
        <f>'3. Input (des)investeringen '!G149</f>
        <v>nvt</v>
      </c>
      <c r="J124" s="48">
        <f>'3. Input (des)investeringen '!H149</f>
        <v>15</v>
      </c>
      <c r="K124" s="48">
        <f>'3. Input (des)investeringen '!I149</f>
        <v>0</v>
      </c>
      <c r="M124" s="49">
        <f t="shared" si="8"/>
        <v>0</v>
      </c>
      <c r="N124" s="49">
        <f t="shared" si="9"/>
        <v>0</v>
      </c>
      <c r="P124" s="147">
        <f t="shared" si="31"/>
        <v>0</v>
      </c>
      <c r="Q124" s="147">
        <f t="shared" si="10"/>
        <v>0</v>
      </c>
      <c r="S124" s="49">
        <f t="shared" si="11"/>
        <v>4821440.5639281506</v>
      </c>
      <c r="T124" s="44">
        <f t="shared" si="12"/>
        <v>15</v>
      </c>
      <c r="V124" s="49">
        <f t="shared" si="32"/>
        <v>0</v>
      </c>
      <c r="W124" s="49">
        <f t="shared" si="32"/>
        <v>188036.18199319788</v>
      </c>
      <c r="X124" s="49">
        <f t="shared" si="32"/>
        <v>359775.89488031861</v>
      </c>
      <c r="Y124" s="49">
        <f t="shared" si="32"/>
        <v>328595.31732402433</v>
      </c>
      <c r="Z124" s="49">
        <f t="shared" si="32"/>
        <v>300117.05648927559</v>
      </c>
      <c r="AB124" s="49">
        <f t="shared" si="33"/>
        <v>0</v>
      </c>
      <c r="AC124" s="49">
        <f t="shared" si="33"/>
        <v>16071.46854642717</v>
      </c>
      <c r="AD124" s="49">
        <f t="shared" si="33"/>
        <v>32142.937092854339</v>
      </c>
      <c r="AE124" s="49">
        <f t="shared" si="33"/>
        <v>32142.937092854339</v>
      </c>
      <c r="AF124" s="49">
        <f t="shared" si="33"/>
        <v>32142.937092854339</v>
      </c>
      <c r="AH124" s="49">
        <f t="shared" si="15"/>
        <v>0</v>
      </c>
      <c r="AI124" s="49">
        <f t="shared" si="16"/>
        <v>204107.65053962506</v>
      </c>
      <c r="AJ124" s="49">
        <f t="shared" si="17"/>
        <v>391918.83197317296</v>
      </c>
      <c r="AK124" s="49">
        <f t="shared" si="18"/>
        <v>360738.25441687868</v>
      </c>
      <c r="AL124" s="49">
        <f t="shared" si="19"/>
        <v>332259.99358212994</v>
      </c>
      <c r="AN124" s="49">
        <f t="shared" si="20"/>
        <v>0</v>
      </c>
      <c r="AO124" s="49">
        <f t="shared" si="21"/>
        <v>4617332.9133885251</v>
      </c>
      <c r="AP124" s="49">
        <f t="shared" si="22"/>
        <v>4225414.0814153524</v>
      </c>
      <c r="AQ124" s="49">
        <f t="shared" si="23"/>
        <v>3864675.8269984736</v>
      </c>
      <c r="AR124" s="49">
        <f t="shared" si="24"/>
        <v>3532415.8334163437</v>
      </c>
      <c r="AT124" s="49">
        <f t="shared" si="34"/>
        <v>0</v>
      </c>
      <c r="AU124" s="49">
        <f t="shared" si="34"/>
        <v>48214.405639281504</v>
      </c>
      <c r="AV124" s="49">
        <f t="shared" si="34"/>
        <v>51863.271858062326</v>
      </c>
      <c r="AW124" s="49">
        <f t="shared" si="34"/>
        <v>53102.181696207728</v>
      </c>
      <c r="AX124" s="49">
        <f t="shared" si="34"/>
        <v>53788.899109903083</v>
      </c>
      <c r="AZ124" s="53">
        <f t="shared" si="26"/>
        <v>0</v>
      </c>
      <c r="BA124" s="53">
        <f t="shared" si="27"/>
        <v>404694.04232072789</v>
      </c>
      <c r="BB124" s="53">
        <f t="shared" si="28"/>
        <v>604347.83892501867</v>
      </c>
      <c r="BC124" s="53">
        <f t="shared" si="29"/>
        <v>560698.1175390284</v>
      </c>
      <c r="BD124" s="53">
        <f t="shared" si="30"/>
        <v>520280.69436185405</v>
      </c>
    </row>
    <row r="125" spans="2:56">
      <c r="B125" s="43">
        <f>'3. Input (des)investeringen '!B150</f>
        <v>1593</v>
      </c>
      <c r="C125" s="54"/>
      <c r="D125" s="54"/>
      <c r="E125" s="54"/>
      <c r="F125" s="48">
        <f>'3. Input (des)investeringen '!D150</f>
        <v>27346413.49123003</v>
      </c>
      <c r="G125" s="54"/>
      <c r="H125" s="43">
        <f>'3. Input (des)investeringen '!F150</f>
        <v>2023</v>
      </c>
      <c r="I125" s="48" t="str">
        <f>'3. Input (des)investeringen '!G150</f>
        <v>nvt</v>
      </c>
      <c r="J125" s="48">
        <f>'3. Input (des)investeringen '!H150</f>
        <v>30</v>
      </c>
      <c r="K125" s="48">
        <f>'3. Input (des)investeringen '!I150</f>
        <v>0</v>
      </c>
      <c r="M125" s="49">
        <f t="shared" si="8"/>
        <v>0</v>
      </c>
      <c r="N125" s="49">
        <f t="shared" si="9"/>
        <v>0</v>
      </c>
      <c r="P125" s="147">
        <f t="shared" si="31"/>
        <v>0</v>
      </c>
      <c r="Q125" s="147">
        <f t="shared" si="10"/>
        <v>0</v>
      </c>
      <c r="S125" s="49">
        <f t="shared" si="11"/>
        <v>27346413.49123003</v>
      </c>
      <c r="T125" s="44">
        <f t="shared" si="12"/>
        <v>30</v>
      </c>
      <c r="V125" s="49">
        <f t="shared" si="32"/>
        <v>0</v>
      </c>
      <c r="W125" s="49">
        <f t="shared" si="32"/>
        <v>533255.06307898567</v>
      </c>
      <c r="X125" s="49">
        <f t="shared" si="32"/>
        <v>1043402.406757882</v>
      </c>
      <c r="Y125" s="49">
        <f t="shared" si="32"/>
        <v>998188.30246504035</v>
      </c>
      <c r="Z125" s="49">
        <f t="shared" si="32"/>
        <v>954933.47602488857</v>
      </c>
      <c r="AB125" s="49">
        <f t="shared" si="33"/>
        <v>0</v>
      </c>
      <c r="AC125" s="49">
        <f t="shared" si="33"/>
        <v>45577.355818716715</v>
      </c>
      <c r="AD125" s="49">
        <f t="shared" si="33"/>
        <v>91154.711637433429</v>
      </c>
      <c r="AE125" s="49">
        <f t="shared" si="33"/>
        <v>91154.711637433429</v>
      </c>
      <c r="AF125" s="49">
        <f t="shared" si="33"/>
        <v>91154.711637433429</v>
      </c>
      <c r="AH125" s="49">
        <f t="shared" si="15"/>
        <v>0</v>
      </c>
      <c r="AI125" s="49">
        <f t="shared" si="16"/>
        <v>578832.41889770236</v>
      </c>
      <c r="AJ125" s="49">
        <f t="shared" si="17"/>
        <v>1134557.1183953155</v>
      </c>
      <c r="AK125" s="49">
        <f t="shared" si="18"/>
        <v>1089343.0141024739</v>
      </c>
      <c r="AL125" s="49">
        <f t="shared" si="19"/>
        <v>1046088.187662322</v>
      </c>
      <c r="AN125" s="49">
        <f t="shared" si="20"/>
        <v>0</v>
      </c>
      <c r="AO125" s="49">
        <f t="shared" si="21"/>
        <v>26767581.072332326</v>
      </c>
      <c r="AP125" s="49">
        <f t="shared" si="22"/>
        <v>25633023.953937009</v>
      </c>
      <c r="AQ125" s="49">
        <f t="shared" si="23"/>
        <v>24543680.939834535</v>
      </c>
      <c r="AR125" s="49">
        <f t="shared" si="24"/>
        <v>23497592.752172213</v>
      </c>
      <c r="AT125" s="49">
        <f t="shared" si="34"/>
        <v>0</v>
      </c>
      <c r="AU125" s="49">
        <f t="shared" si="34"/>
        <v>273464.13491230027</v>
      </c>
      <c r="AV125" s="49">
        <f t="shared" si="34"/>
        <v>294159.90064246318</v>
      </c>
      <c r="AW125" s="49">
        <f t="shared" si="34"/>
        <v>301186.79234901036</v>
      </c>
      <c r="AX125" s="49">
        <f t="shared" si="34"/>
        <v>305081.73994766775</v>
      </c>
      <c r="AZ125" s="53">
        <f t="shared" si="26"/>
        <v>0</v>
      </c>
      <c r="BA125" s="53">
        <f t="shared" si="27"/>
        <v>1735626.7291969694</v>
      </c>
      <c r="BB125" s="53">
        <f t="shared" si="28"/>
        <v>2402771.9292873847</v>
      </c>
      <c r="BC125" s="53">
        <f t="shared" si="29"/>
        <v>2323189.6821651966</v>
      </c>
      <c r="BD125" s="53">
        <f t="shared" si="30"/>
        <v>2244078.4521925338</v>
      </c>
    </row>
    <row r="126" spans="2:56">
      <c r="B126" s="43">
        <f>'3. Input (des)investeringen '!B151</f>
        <v>1594</v>
      </c>
      <c r="C126" s="54"/>
      <c r="D126" s="54"/>
      <c r="E126" s="54"/>
      <c r="F126" s="48">
        <f>'3. Input (des)investeringen '!D151</f>
        <v>38630.691367044557</v>
      </c>
      <c r="G126" s="54"/>
      <c r="H126" s="43">
        <f>'3. Input (des)investeringen '!F151</f>
        <v>2023</v>
      </c>
      <c r="I126" s="48" t="str">
        <f>'3. Input (des)investeringen '!G151</f>
        <v>nvt</v>
      </c>
      <c r="J126" s="48">
        <f>'3. Input (des)investeringen '!H151</f>
        <v>55</v>
      </c>
      <c r="K126" s="48">
        <f>'3. Input (des)investeringen '!I151</f>
        <v>0</v>
      </c>
      <c r="M126" s="49">
        <f t="shared" ref="M126:M137" si="35">IF($J126=0, 0, IF($H126&lt;=M$59,
VDB($F126,0,$J126,MAX(0,M$59-$H126-0.5),MIN($J126,M$59-$H126+0.5),1)*INDEX(H$40:H$46,$H126-2019,1),
0))</f>
        <v>0</v>
      </c>
      <c r="N126" s="49">
        <f t="shared" ref="N126:N137" si="36">IF($J126=0, 0, IF($H126&lt;=N$59,
VDB($F126,0,$J126,MAX(0,N$59-$H126-0.5),MIN($J126,N$59-$H126+0.5),1)*INDEX(I$40:I$46,$H126-2019,1),
0))</f>
        <v>0</v>
      </c>
      <c r="P126" s="147">
        <f t="shared" ref="P126:P158" si="37">IF($J126=0,IF($H126=M$59,$F126,0),IF(OR($H126&gt;P$59,$H126+$J126&lt;=P$59),0,
F126-M126))</f>
        <v>0</v>
      </c>
      <c r="Q126" s="147">
        <f t="shared" ref="Q126:Q158" si="38">IF($J126=0,IF($H126=N$59,$F126,$P126*I$40),IF(OR($H126&gt;Q$59,$H126+$J126&lt;=Q$59),0,
IF($H126=Q$59,F126-N126,P126*I$40-N126)))</f>
        <v>0</v>
      </c>
      <c r="S126" s="49">
        <f t="shared" ref="S126:S189" si="39">IF($P126=0, IF(H126&lt;=2021, $Q126, IF(H126&gt;=2022, $F126,0)), IF(H126&lt;=2021,Q126,F126))</f>
        <v>38630.691367044557</v>
      </c>
      <c r="T126" s="44">
        <f t="shared" ref="T126:T137" si="40">IF($J126=0, 0, IF(H126&lt;2022,J126-2021+H126-0.5,J126))</f>
        <v>55</v>
      </c>
      <c r="V126" s="49">
        <f t="shared" si="32"/>
        <v>0</v>
      </c>
      <c r="W126" s="49">
        <f t="shared" si="32"/>
        <v>410.89008090401938</v>
      </c>
      <c r="X126" s="49">
        <f t="shared" si="32"/>
        <v>812.06821444121647</v>
      </c>
      <c r="Y126" s="49">
        <f t="shared" si="32"/>
        <v>792.87387482715144</v>
      </c>
      <c r="Z126" s="49">
        <f t="shared" si="32"/>
        <v>774.13321960396422</v>
      </c>
      <c r="AB126" s="49">
        <f t="shared" si="33"/>
        <v>0</v>
      </c>
      <c r="AC126" s="49">
        <f t="shared" si="33"/>
        <v>35.118810333676876</v>
      </c>
      <c r="AD126" s="49">
        <f t="shared" si="33"/>
        <v>70.237620667353752</v>
      </c>
      <c r="AE126" s="49">
        <f t="shared" si="33"/>
        <v>70.237620667353752</v>
      </c>
      <c r="AF126" s="49">
        <f t="shared" si="33"/>
        <v>70.237620667353752</v>
      </c>
      <c r="AH126" s="49">
        <f t="shared" ref="AH126:AH137" si="41">V126+AB126</f>
        <v>0</v>
      </c>
      <c r="AI126" s="49">
        <f t="shared" ref="AI126:AI137" si="42">W126+AC126</f>
        <v>446.00889123769628</v>
      </c>
      <c r="AJ126" s="49">
        <f t="shared" ref="AJ126:AJ137" si="43">X126+AD126</f>
        <v>882.30583510857025</v>
      </c>
      <c r="AK126" s="49">
        <f t="shared" ref="AK126:AK137" si="44">Y126+AE126</f>
        <v>863.11149549450522</v>
      </c>
      <c r="AL126" s="49">
        <f t="shared" ref="AL126:AL137" si="45">Z126+AF126</f>
        <v>844.370840271318</v>
      </c>
      <c r="AN126" s="49">
        <f t="shared" ref="AN126:AN189" si="46">IF($J126=0, IF($H126&gt;AN$59,0, $S126), IF(OR($H126&gt;AN$59,$H126+$J126&lt;=AN$59),0,
IF($H126=AN$59,$S126-AH126,
S126-AH126)))</f>
        <v>0</v>
      </c>
      <c r="AO126" s="49">
        <f t="shared" ref="AO126:AO189" si="47">IF($J126=0, IF($H126 &gt; AO$59, 0, IF($H126=AO$59, $F126, AN126)), IF(OR($H126&gt;AO$59,$H126+$J126&lt;=AO$59),0,
IF($H126=AO$59,$S126-AI126,
AN126-AI126)))</f>
        <v>38184.682475806861</v>
      </c>
      <c r="AP126" s="49">
        <f t="shared" ref="AP126:AP189" si="48">IF($J126=0, IF($H126 &gt; AP$59, 0, IF($H126=AP$59, $F126, AO126)), IF(OR($H126&gt;AP$59,$H126+$J126&lt;=AP$59),0,
IF($H126=AP$59,$S126-AJ126,
AO126-AJ126)))</f>
        <v>37302.37664069829</v>
      </c>
      <c r="AQ126" s="49">
        <f t="shared" ref="AQ126:AQ189" si="49">IF($J126=0, IF($H126 &gt; AQ$59, 0, IF($H126=AQ$59, $F126, AP126)), IF(OR($H126&gt;AQ$59,$H126+$J126&lt;=AQ$59),0,
IF($H126=AQ$59,$S126-AK126,
AP126-AK126)))</f>
        <v>36439.265145203783</v>
      </c>
      <c r="AR126" s="49">
        <f t="shared" ref="AR126:AR189" si="50">IF($J126=0, IF($H126 &gt; AR$59, 0, IF($H126=AR$59, $F126, AQ126)), IF(OR($H126&gt;AR$59,$H126+$J126&lt;=AR$59),0,
IF($H126=AR$59,$S126-AL126,
AQ126-AL126)))</f>
        <v>35594.894304932466</v>
      </c>
      <c r="AT126" s="49">
        <f t="shared" ref="AT126:AX157" si="51">IF($H126&lt;=AT$59,$F126*INDEX($H$40:$N$46,$H126-2019,AT$59-2019)*INDEX($H$49:$N$55,$H126-2019,AT$59-2019)*$F$19,0)</f>
        <v>0</v>
      </c>
      <c r="AU126" s="49">
        <f t="shared" si="51"/>
        <v>386.30691367044557</v>
      </c>
      <c r="AV126" s="49">
        <f t="shared" si="51"/>
        <v>415.54262089702496</v>
      </c>
      <c r="AW126" s="49">
        <f t="shared" si="51"/>
        <v>425.46910302501311</v>
      </c>
      <c r="AX126" s="49">
        <f t="shared" si="51"/>
        <v>430.97126946533245</v>
      </c>
      <c r="AZ126" s="53">
        <f t="shared" ref="AZ126:AZ137" si="52">(AH126+AN126*J$16+AT126)*IF($K126=1,$F$25,1)</f>
        <v>0</v>
      </c>
      <c r="BA126" s="53">
        <f t="shared" ref="BA126:BA137" si="53">(AI126+AO126*K$16+AU126)*IF($K126=1,$F$25,1)</f>
        <v>2092.4103266097686</v>
      </c>
      <c r="BB126" s="53">
        <f t="shared" ref="BB126:BB137" si="54">(AJ126+AP126*L$16+AV126)*IF($K126=1,$F$25,1)</f>
        <v>2715.33876835213</v>
      </c>
      <c r="BC126" s="53">
        <f t="shared" ref="BC126:BC137" si="55">(AK126+AQ126*M$16+AW126)*IF($K126=1,$F$25,1)</f>
        <v>2673.2726740372623</v>
      </c>
      <c r="BD126" s="53">
        <f t="shared" ref="BD126:BD137" si="56">(AL126+AR126*N$16+AX126)*IF($K126=1,$F$25,1)</f>
        <v>2627.9480933240843</v>
      </c>
    </row>
    <row r="127" spans="2:56">
      <c r="B127" s="43">
        <f>'3. Input (des)investeringen '!B152</f>
        <v>1595</v>
      </c>
      <c r="C127" s="54"/>
      <c r="D127" s="54"/>
      <c r="E127" s="54"/>
      <c r="F127" s="48">
        <f>'3. Input (des)investeringen '!D152</f>
        <v>0</v>
      </c>
      <c r="G127" s="54"/>
      <c r="H127" s="43">
        <f>'3. Input (des)investeringen '!F152</f>
        <v>2023</v>
      </c>
      <c r="I127" s="48" t="str">
        <f>'3. Input (des)investeringen '!G152</f>
        <v>nvt</v>
      </c>
      <c r="J127" s="48">
        <f>'3. Input (des)investeringen '!H152</f>
        <v>0</v>
      </c>
      <c r="K127" s="48">
        <f>'3. Input (des)investeringen '!I152</f>
        <v>0</v>
      </c>
      <c r="M127" s="49">
        <f t="shared" si="35"/>
        <v>0</v>
      </c>
      <c r="N127" s="49">
        <f t="shared" si="36"/>
        <v>0</v>
      </c>
      <c r="P127" s="147">
        <f t="shared" si="37"/>
        <v>0</v>
      </c>
      <c r="Q127" s="147">
        <f t="shared" si="38"/>
        <v>0</v>
      </c>
      <c r="S127" s="49">
        <f t="shared" si="39"/>
        <v>0</v>
      </c>
      <c r="T127" s="44">
        <f t="shared" si="40"/>
        <v>0</v>
      </c>
      <c r="V127" s="49">
        <f t="shared" si="32"/>
        <v>0</v>
      </c>
      <c r="W127" s="49">
        <f t="shared" si="32"/>
        <v>0</v>
      </c>
      <c r="X127" s="49">
        <f t="shared" si="32"/>
        <v>0</v>
      </c>
      <c r="Y127" s="49">
        <f t="shared" si="32"/>
        <v>0</v>
      </c>
      <c r="Z127" s="49">
        <f t="shared" si="32"/>
        <v>0</v>
      </c>
      <c r="AB127" s="49">
        <f t="shared" si="33"/>
        <v>0</v>
      </c>
      <c r="AC127" s="49">
        <f t="shared" si="33"/>
        <v>0</v>
      </c>
      <c r="AD127" s="49">
        <f t="shared" si="33"/>
        <v>0</v>
      </c>
      <c r="AE127" s="49">
        <f t="shared" si="33"/>
        <v>0</v>
      </c>
      <c r="AF127" s="49">
        <f t="shared" si="33"/>
        <v>0</v>
      </c>
      <c r="AH127" s="49">
        <f t="shared" si="41"/>
        <v>0</v>
      </c>
      <c r="AI127" s="49">
        <f t="shared" si="42"/>
        <v>0</v>
      </c>
      <c r="AJ127" s="49">
        <f t="shared" si="43"/>
        <v>0</v>
      </c>
      <c r="AK127" s="49">
        <f t="shared" si="44"/>
        <v>0</v>
      </c>
      <c r="AL127" s="49">
        <f t="shared" si="45"/>
        <v>0</v>
      </c>
      <c r="AN127" s="49">
        <f t="shared" si="46"/>
        <v>0</v>
      </c>
      <c r="AO127" s="49">
        <f t="shared" si="47"/>
        <v>0</v>
      </c>
      <c r="AP127" s="49">
        <f t="shared" si="48"/>
        <v>0</v>
      </c>
      <c r="AQ127" s="49">
        <f t="shared" si="49"/>
        <v>0</v>
      </c>
      <c r="AR127" s="49">
        <f t="shared" si="50"/>
        <v>0</v>
      </c>
      <c r="AT127" s="49">
        <f t="shared" si="51"/>
        <v>0</v>
      </c>
      <c r="AU127" s="49">
        <f t="shared" si="51"/>
        <v>0</v>
      </c>
      <c r="AV127" s="49">
        <f t="shared" si="51"/>
        <v>0</v>
      </c>
      <c r="AW127" s="49">
        <f t="shared" si="51"/>
        <v>0</v>
      </c>
      <c r="AX127" s="49">
        <f t="shared" si="51"/>
        <v>0</v>
      </c>
      <c r="AZ127" s="53">
        <f t="shared" si="52"/>
        <v>0</v>
      </c>
      <c r="BA127" s="53">
        <f t="shared" si="53"/>
        <v>0</v>
      </c>
      <c r="BB127" s="53">
        <f t="shared" si="54"/>
        <v>0</v>
      </c>
      <c r="BC127" s="53">
        <f t="shared" si="55"/>
        <v>0</v>
      </c>
      <c r="BD127" s="53">
        <f t="shared" si="56"/>
        <v>0</v>
      </c>
    </row>
    <row r="128" spans="2:56">
      <c r="B128" s="43">
        <f>'3. Input (des)investeringen '!B153</f>
        <v>1596</v>
      </c>
      <c r="C128" s="54"/>
      <c r="D128" s="54"/>
      <c r="E128" s="54"/>
      <c r="F128" s="48">
        <f>'3. Input (des)investeringen '!D153</f>
        <v>642958.60343053075</v>
      </c>
      <c r="G128" s="54"/>
      <c r="H128" s="43">
        <f>'3. Input (des)investeringen '!F153</f>
        <v>2023</v>
      </c>
      <c r="I128" s="48" t="str">
        <f>'3. Input (des)investeringen '!G153</f>
        <v>nvt</v>
      </c>
      <c r="J128" s="48">
        <f>'3. Input (des)investeringen '!H153</f>
        <v>5</v>
      </c>
      <c r="K128" s="48">
        <f>'3. Input (des)investeringen '!I153</f>
        <v>0</v>
      </c>
      <c r="M128" s="49">
        <f t="shared" si="35"/>
        <v>0</v>
      </c>
      <c r="N128" s="49">
        <f t="shared" si="36"/>
        <v>0</v>
      </c>
      <c r="P128" s="147">
        <f t="shared" si="37"/>
        <v>0</v>
      </c>
      <c r="Q128" s="147">
        <f t="shared" si="38"/>
        <v>0</v>
      </c>
      <c r="S128" s="49">
        <f t="shared" si="39"/>
        <v>642958.60343053075</v>
      </c>
      <c r="T128" s="44">
        <f t="shared" si="40"/>
        <v>5</v>
      </c>
      <c r="V128" s="49">
        <f t="shared" si="32"/>
        <v>0</v>
      </c>
      <c r="W128" s="49">
        <f t="shared" si="32"/>
        <v>75226.156601372117</v>
      </c>
      <c r="X128" s="49">
        <f t="shared" si="32"/>
        <v>130893.51248638747</v>
      </c>
      <c r="Y128" s="49">
        <f t="shared" si="32"/>
        <v>106440.87828563376</v>
      </c>
      <c r="Z128" s="49">
        <f t="shared" si="32"/>
        <v>106440.87828563376</v>
      </c>
      <c r="AB128" s="49">
        <f t="shared" si="33"/>
        <v>0</v>
      </c>
      <c r="AC128" s="49">
        <f t="shared" si="33"/>
        <v>6429.5860343053082</v>
      </c>
      <c r="AD128" s="49">
        <f t="shared" si="33"/>
        <v>12859.172068610616</v>
      </c>
      <c r="AE128" s="49">
        <f t="shared" si="33"/>
        <v>12859.172068610616</v>
      </c>
      <c r="AF128" s="49">
        <f t="shared" si="33"/>
        <v>12859.172068610616</v>
      </c>
      <c r="AH128" s="49">
        <f t="shared" si="41"/>
        <v>0</v>
      </c>
      <c r="AI128" s="49">
        <f t="shared" si="42"/>
        <v>81655.742635677423</v>
      </c>
      <c r="AJ128" s="49">
        <f t="shared" si="43"/>
        <v>143752.68455499809</v>
      </c>
      <c r="AK128" s="49">
        <f t="shared" si="44"/>
        <v>119300.05035424438</v>
      </c>
      <c r="AL128" s="49">
        <f t="shared" si="45"/>
        <v>119300.05035424438</v>
      </c>
      <c r="AN128" s="49">
        <f t="shared" si="46"/>
        <v>0</v>
      </c>
      <c r="AO128" s="49">
        <f t="shared" si="47"/>
        <v>561302.8607948533</v>
      </c>
      <c r="AP128" s="49">
        <f t="shared" si="48"/>
        <v>417550.17623985524</v>
      </c>
      <c r="AQ128" s="49">
        <f t="shared" si="49"/>
        <v>298250.12588561088</v>
      </c>
      <c r="AR128" s="49">
        <f t="shared" si="50"/>
        <v>178950.07553136651</v>
      </c>
      <c r="AT128" s="49">
        <f t="shared" si="51"/>
        <v>0</v>
      </c>
      <c r="AU128" s="49">
        <f t="shared" si="51"/>
        <v>6429.5860343053073</v>
      </c>
      <c r="AV128" s="49">
        <f t="shared" si="51"/>
        <v>6916.1771053815328</v>
      </c>
      <c r="AW128" s="49">
        <f t="shared" si="51"/>
        <v>7081.3907440748881</v>
      </c>
      <c r="AX128" s="49">
        <f t="shared" si="51"/>
        <v>7172.9672891772634</v>
      </c>
      <c r="AZ128" s="53">
        <f t="shared" si="52"/>
        <v>0</v>
      </c>
      <c r="BA128" s="53">
        <f t="shared" si="53"/>
        <v>106608.3230762129</v>
      </c>
      <c r="BB128" s="53">
        <f t="shared" si="54"/>
        <v>166535.76835749412</v>
      </c>
      <c r="BC128" s="53">
        <f t="shared" si="55"/>
        <v>137714.9458819725</v>
      </c>
      <c r="BD128" s="53">
        <f t="shared" si="56"/>
        <v>133273.12051361357</v>
      </c>
    </row>
    <row r="129" spans="2:56">
      <c r="B129" s="43">
        <f>'3. Input (des)investeringen '!B154</f>
        <v>1597</v>
      </c>
      <c r="C129" s="54"/>
      <c r="D129" s="54"/>
      <c r="E129" s="54"/>
      <c r="F129" s="48">
        <f>'3. Input (des)investeringen '!D154</f>
        <v>4759531.6466744374</v>
      </c>
      <c r="G129" s="54"/>
      <c r="H129" s="43">
        <f>'3. Input (des)investeringen '!F154</f>
        <v>2023</v>
      </c>
      <c r="I129" s="48" t="str">
        <f>'3. Input (des)investeringen '!G154</f>
        <v>nvt</v>
      </c>
      <c r="J129" s="48">
        <f>'3. Input (des)investeringen '!H154</f>
        <v>10</v>
      </c>
      <c r="K129" s="48">
        <f>'3. Input (des)investeringen '!I154</f>
        <v>0</v>
      </c>
      <c r="M129" s="49">
        <f t="shared" si="35"/>
        <v>0</v>
      </c>
      <c r="N129" s="49">
        <f t="shared" si="36"/>
        <v>0</v>
      </c>
      <c r="P129" s="147">
        <f t="shared" si="37"/>
        <v>0</v>
      </c>
      <c r="Q129" s="147">
        <f t="shared" si="38"/>
        <v>0</v>
      </c>
      <c r="S129" s="49">
        <f t="shared" si="39"/>
        <v>4759531.6466744374</v>
      </c>
      <c r="T129" s="44">
        <f t="shared" si="40"/>
        <v>10</v>
      </c>
      <c r="V129" s="49">
        <f t="shared" si="32"/>
        <v>0</v>
      </c>
      <c r="W129" s="49">
        <f t="shared" si="32"/>
        <v>278432.60133045464</v>
      </c>
      <c r="X129" s="49">
        <f t="shared" si="32"/>
        <v>520668.96448795014</v>
      </c>
      <c r="Y129" s="49">
        <f t="shared" si="32"/>
        <v>452981.99910451664</v>
      </c>
      <c r="Z129" s="49">
        <f t="shared" si="32"/>
        <v>404199.32227787637</v>
      </c>
      <c r="AB129" s="49">
        <f t="shared" si="33"/>
        <v>0</v>
      </c>
      <c r="AC129" s="49">
        <f t="shared" si="33"/>
        <v>23797.658233372189</v>
      </c>
      <c r="AD129" s="49">
        <f t="shared" si="33"/>
        <v>47595.316466744378</v>
      </c>
      <c r="AE129" s="49">
        <f t="shared" si="33"/>
        <v>47595.316466744378</v>
      </c>
      <c r="AF129" s="49">
        <f t="shared" si="33"/>
        <v>47595.316466744378</v>
      </c>
      <c r="AH129" s="49">
        <f t="shared" si="41"/>
        <v>0</v>
      </c>
      <c r="AI129" s="49">
        <f t="shared" si="42"/>
        <v>302230.25956382684</v>
      </c>
      <c r="AJ129" s="49">
        <f t="shared" si="43"/>
        <v>568264.28095469449</v>
      </c>
      <c r="AK129" s="49">
        <f t="shared" si="44"/>
        <v>500577.31557126099</v>
      </c>
      <c r="AL129" s="49">
        <f t="shared" si="45"/>
        <v>451794.63874462072</v>
      </c>
      <c r="AN129" s="49">
        <f t="shared" si="46"/>
        <v>0</v>
      </c>
      <c r="AO129" s="49">
        <f t="shared" si="47"/>
        <v>4457301.3871106105</v>
      </c>
      <c r="AP129" s="49">
        <f t="shared" si="48"/>
        <v>3889037.1061559161</v>
      </c>
      <c r="AQ129" s="49">
        <f t="shared" si="49"/>
        <v>3388459.790584655</v>
      </c>
      <c r="AR129" s="49">
        <f t="shared" si="50"/>
        <v>2936665.1518400344</v>
      </c>
      <c r="AT129" s="49">
        <f t="shared" si="51"/>
        <v>0</v>
      </c>
      <c r="AU129" s="49">
        <f t="shared" si="51"/>
        <v>47595.316466744378</v>
      </c>
      <c r="AV129" s="49">
        <f t="shared" si="51"/>
        <v>51197.330016947592</v>
      </c>
      <c r="AW129" s="49">
        <f t="shared" si="51"/>
        <v>52420.331836392441</v>
      </c>
      <c r="AX129" s="49">
        <f t="shared" si="51"/>
        <v>53098.231567700655</v>
      </c>
      <c r="AZ129" s="53">
        <f t="shared" si="52"/>
        <v>0</v>
      </c>
      <c r="BA129" s="53">
        <f t="shared" si="53"/>
        <v>496916.52180522133</v>
      </c>
      <c r="BB129" s="53">
        <f t="shared" si="54"/>
        <v>767245.02100556693</v>
      </c>
      <c r="BC129" s="53">
        <f t="shared" si="55"/>
        <v>681759.11944987031</v>
      </c>
      <c r="BD129" s="53">
        <f t="shared" si="56"/>
        <v>616486.14608224272</v>
      </c>
    </row>
    <row r="130" spans="2:56">
      <c r="B130" s="43">
        <f>'3. Input (des)investeringen '!B155</f>
        <v>1598</v>
      </c>
      <c r="C130" s="54"/>
      <c r="D130" s="54"/>
      <c r="E130" s="54"/>
      <c r="F130" s="48">
        <f>'3. Input (des)investeringen '!D155</f>
        <v>7788481.0198376775</v>
      </c>
      <c r="G130" s="54"/>
      <c r="H130" s="43">
        <f>'3. Input (des)investeringen '!F155</f>
        <v>2023</v>
      </c>
      <c r="I130" s="48" t="str">
        <f>'3. Input (des)investeringen '!G155</f>
        <v>nvt</v>
      </c>
      <c r="J130" s="48">
        <f>'3. Input (des)investeringen '!H155</f>
        <v>15</v>
      </c>
      <c r="K130" s="48">
        <f>'3. Input (des)investeringen '!I155</f>
        <v>0</v>
      </c>
      <c r="M130" s="49">
        <f t="shared" si="35"/>
        <v>0</v>
      </c>
      <c r="N130" s="49">
        <f t="shared" si="36"/>
        <v>0</v>
      </c>
      <c r="P130" s="147">
        <f t="shared" si="37"/>
        <v>0</v>
      </c>
      <c r="Q130" s="147">
        <f t="shared" si="38"/>
        <v>0</v>
      </c>
      <c r="S130" s="49">
        <f t="shared" si="39"/>
        <v>7788481.0198376775</v>
      </c>
      <c r="T130" s="44">
        <f t="shared" si="40"/>
        <v>15</v>
      </c>
      <c r="V130" s="49">
        <f t="shared" si="32"/>
        <v>0</v>
      </c>
      <c r="W130" s="49">
        <f t="shared" si="32"/>
        <v>303750.75977366942</v>
      </c>
      <c r="X130" s="49">
        <f t="shared" si="32"/>
        <v>581176.4537002875</v>
      </c>
      <c r="Y130" s="49">
        <f t="shared" si="32"/>
        <v>530807.82771292923</v>
      </c>
      <c r="Z130" s="49">
        <f t="shared" si="32"/>
        <v>484804.48264447541</v>
      </c>
      <c r="AB130" s="49">
        <f t="shared" si="33"/>
        <v>0</v>
      </c>
      <c r="AC130" s="49">
        <f t="shared" si="33"/>
        <v>25961.603399458927</v>
      </c>
      <c r="AD130" s="49">
        <f t="shared" si="33"/>
        <v>51923.206798917854</v>
      </c>
      <c r="AE130" s="49">
        <f t="shared" si="33"/>
        <v>51923.206798917854</v>
      </c>
      <c r="AF130" s="49">
        <f t="shared" si="33"/>
        <v>51923.206798917854</v>
      </c>
      <c r="AH130" s="49">
        <f t="shared" si="41"/>
        <v>0</v>
      </c>
      <c r="AI130" s="49">
        <f t="shared" si="42"/>
        <v>329712.36317312834</v>
      </c>
      <c r="AJ130" s="49">
        <f t="shared" si="43"/>
        <v>633099.66049920535</v>
      </c>
      <c r="AK130" s="49">
        <f t="shared" si="44"/>
        <v>582731.03451184707</v>
      </c>
      <c r="AL130" s="49">
        <f t="shared" si="45"/>
        <v>536727.68944339326</v>
      </c>
      <c r="AN130" s="49">
        <f t="shared" si="46"/>
        <v>0</v>
      </c>
      <c r="AO130" s="49">
        <f t="shared" si="47"/>
        <v>7458768.6566645494</v>
      </c>
      <c r="AP130" s="49">
        <f t="shared" si="48"/>
        <v>6825668.9961653445</v>
      </c>
      <c r="AQ130" s="49">
        <f t="shared" si="49"/>
        <v>6242937.9616534971</v>
      </c>
      <c r="AR130" s="49">
        <f t="shared" si="50"/>
        <v>5706210.2722101035</v>
      </c>
      <c r="AT130" s="49">
        <f t="shared" si="51"/>
        <v>0</v>
      </c>
      <c r="AU130" s="49">
        <f t="shared" si="51"/>
        <v>77884.81019837677</v>
      </c>
      <c r="AV130" s="49">
        <f t="shared" si="51"/>
        <v>83779.13263418994</v>
      </c>
      <c r="AW130" s="49">
        <f t="shared" si="51"/>
        <v>85780.448554555478</v>
      </c>
      <c r="AX130" s="49">
        <f t="shared" si="51"/>
        <v>86889.761315262978</v>
      </c>
      <c r="AZ130" s="53">
        <f t="shared" si="52"/>
        <v>0</v>
      </c>
      <c r="BA130" s="53">
        <f t="shared" si="53"/>
        <v>653736.53904143523</v>
      </c>
      <c r="BB130" s="53">
        <f t="shared" si="54"/>
        <v>976254.21498767834</v>
      </c>
      <c r="BC130" s="53">
        <f t="shared" si="55"/>
        <v>905743.12560923537</v>
      </c>
      <c r="BD130" s="53">
        <f t="shared" si="56"/>
        <v>840453.44110264012</v>
      </c>
    </row>
    <row r="131" spans="2:56">
      <c r="B131" s="43">
        <f>'3. Input (des)investeringen '!B156</f>
        <v>1599</v>
      </c>
      <c r="C131" s="54"/>
      <c r="D131" s="54"/>
      <c r="E131" s="54"/>
      <c r="F131" s="48">
        <f>'3. Input (des)investeringen '!D156</f>
        <v>7727802.2539787497</v>
      </c>
      <c r="G131" s="54"/>
      <c r="H131" s="43">
        <f>'3. Input (des)investeringen '!F156</f>
        <v>2023</v>
      </c>
      <c r="I131" s="48" t="str">
        <f>'3. Input (des)investeringen '!G156</f>
        <v>nvt</v>
      </c>
      <c r="J131" s="48">
        <f>'3. Input (des)investeringen '!H156</f>
        <v>30</v>
      </c>
      <c r="K131" s="48">
        <f>'3. Input (des)investeringen '!I156</f>
        <v>0</v>
      </c>
      <c r="M131" s="49">
        <f t="shared" si="35"/>
        <v>0</v>
      </c>
      <c r="N131" s="49">
        <f t="shared" si="36"/>
        <v>0</v>
      </c>
      <c r="P131" s="147">
        <f t="shared" si="37"/>
        <v>0</v>
      </c>
      <c r="Q131" s="147">
        <f t="shared" si="38"/>
        <v>0</v>
      </c>
      <c r="S131" s="49">
        <f t="shared" si="39"/>
        <v>7727802.2539787497</v>
      </c>
      <c r="T131" s="44">
        <f t="shared" si="40"/>
        <v>30</v>
      </c>
      <c r="V131" s="49">
        <f t="shared" si="32"/>
        <v>0</v>
      </c>
      <c r="W131" s="49">
        <f t="shared" si="32"/>
        <v>150692.14395258564</v>
      </c>
      <c r="X131" s="49">
        <f t="shared" si="32"/>
        <v>294854.29500055924</v>
      </c>
      <c r="Y131" s="49">
        <f t="shared" si="32"/>
        <v>282077.27555053495</v>
      </c>
      <c r="Z131" s="49">
        <f t="shared" si="32"/>
        <v>269853.92694334511</v>
      </c>
      <c r="AB131" s="49">
        <f t="shared" si="33"/>
        <v>0</v>
      </c>
      <c r="AC131" s="49">
        <f t="shared" si="33"/>
        <v>12879.670423297917</v>
      </c>
      <c r="AD131" s="49">
        <f t="shared" si="33"/>
        <v>25759.340846595835</v>
      </c>
      <c r="AE131" s="49">
        <f t="shared" si="33"/>
        <v>25759.340846595835</v>
      </c>
      <c r="AF131" s="49">
        <f t="shared" si="33"/>
        <v>25759.340846595835</v>
      </c>
      <c r="AH131" s="49">
        <f t="shared" si="41"/>
        <v>0</v>
      </c>
      <c r="AI131" s="49">
        <f t="shared" si="42"/>
        <v>163571.81437588355</v>
      </c>
      <c r="AJ131" s="49">
        <f t="shared" si="43"/>
        <v>320613.63584715506</v>
      </c>
      <c r="AK131" s="49">
        <f t="shared" si="44"/>
        <v>307836.61639713077</v>
      </c>
      <c r="AL131" s="49">
        <f t="shared" si="45"/>
        <v>295613.26778994093</v>
      </c>
      <c r="AN131" s="49">
        <f t="shared" si="46"/>
        <v>0</v>
      </c>
      <c r="AO131" s="49">
        <f t="shared" si="47"/>
        <v>7564230.4396028658</v>
      </c>
      <c r="AP131" s="49">
        <f t="shared" si="48"/>
        <v>7243616.8037557108</v>
      </c>
      <c r="AQ131" s="49">
        <f t="shared" si="49"/>
        <v>6935780.1873585805</v>
      </c>
      <c r="AR131" s="49">
        <f t="shared" si="50"/>
        <v>6640166.9195686392</v>
      </c>
      <c r="AT131" s="49">
        <f t="shared" si="51"/>
        <v>0</v>
      </c>
      <c r="AU131" s="49">
        <f t="shared" si="51"/>
        <v>77278.022539787504</v>
      </c>
      <c r="AV131" s="49">
        <f t="shared" si="51"/>
        <v>83126.423285598619</v>
      </c>
      <c r="AW131" s="49">
        <f t="shared" si="51"/>
        <v>85112.147285044994</v>
      </c>
      <c r="AX131" s="49">
        <f t="shared" si="51"/>
        <v>86212.81757373517</v>
      </c>
      <c r="AZ131" s="53">
        <f t="shared" si="52"/>
        <v>0</v>
      </c>
      <c r="BA131" s="53">
        <f t="shared" si="53"/>
        <v>490469.44142256567</v>
      </c>
      <c r="BB131" s="53">
        <f t="shared" si="54"/>
        <v>678997.49767547077</v>
      </c>
      <c r="BC131" s="53">
        <f t="shared" si="55"/>
        <v>656508.41080180183</v>
      </c>
      <c r="BD131" s="53">
        <f t="shared" si="56"/>
        <v>634152.42830728437</v>
      </c>
    </row>
    <row r="132" spans="2:56">
      <c r="B132" s="43">
        <f>'3. Input (des)investeringen '!B157</f>
        <v>1600</v>
      </c>
      <c r="C132" s="54"/>
      <c r="D132" s="54"/>
      <c r="E132" s="54"/>
      <c r="F132" s="48">
        <f>'3. Input (des)investeringen '!D157</f>
        <v>0</v>
      </c>
      <c r="G132" s="54"/>
      <c r="H132" s="43">
        <f>'3. Input (des)investeringen '!F157</f>
        <v>2023</v>
      </c>
      <c r="I132" s="48" t="str">
        <f>'3. Input (des)investeringen '!G157</f>
        <v>nvt</v>
      </c>
      <c r="J132" s="48">
        <f>'3. Input (des)investeringen '!H157</f>
        <v>55</v>
      </c>
      <c r="K132" s="48">
        <f>'3. Input (des)investeringen '!I157</f>
        <v>0</v>
      </c>
      <c r="M132" s="49">
        <f t="shared" si="35"/>
        <v>0</v>
      </c>
      <c r="N132" s="49">
        <f t="shared" si="36"/>
        <v>0</v>
      </c>
      <c r="P132" s="147">
        <f t="shared" si="37"/>
        <v>0</v>
      </c>
      <c r="Q132" s="147">
        <f t="shared" si="38"/>
        <v>0</v>
      </c>
      <c r="S132" s="49">
        <f t="shared" si="39"/>
        <v>0</v>
      </c>
      <c r="T132" s="44">
        <f t="shared" si="40"/>
        <v>55</v>
      </c>
      <c r="V132" s="49">
        <f t="shared" si="32"/>
        <v>0</v>
      </c>
      <c r="W132" s="49">
        <f t="shared" si="32"/>
        <v>0</v>
      </c>
      <c r="X132" s="49">
        <f t="shared" si="32"/>
        <v>0</v>
      </c>
      <c r="Y132" s="49">
        <f t="shared" si="32"/>
        <v>0</v>
      </c>
      <c r="Z132" s="49">
        <f t="shared" si="32"/>
        <v>0</v>
      </c>
      <c r="AB132" s="49">
        <f t="shared" si="33"/>
        <v>0</v>
      </c>
      <c r="AC132" s="49">
        <f t="shared" si="33"/>
        <v>0</v>
      </c>
      <c r="AD132" s="49">
        <f t="shared" si="33"/>
        <v>0</v>
      </c>
      <c r="AE132" s="49">
        <f t="shared" si="33"/>
        <v>0</v>
      </c>
      <c r="AF132" s="49">
        <f t="shared" si="33"/>
        <v>0</v>
      </c>
      <c r="AH132" s="49">
        <f t="shared" si="41"/>
        <v>0</v>
      </c>
      <c r="AI132" s="49">
        <f t="shared" si="42"/>
        <v>0</v>
      </c>
      <c r="AJ132" s="49">
        <f t="shared" si="43"/>
        <v>0</v>
      </c>
      <c r="AK132" s="49">
        <f t="shared" si="44"/>
        <v>0</v>
      </c>
      <c r="AL132" s="49">
        <f t="shared" si="45"/>
        <v>0</v>
      </c>
      <c r="AN132" s="49">
        <f t="shared" si="46"/>
        <v>0</v>
      </c>
      <c r="AO132" s="49">
        <f t="shared" si="47"/>
        <v>0</v>
      </c>
      <c r="AP132" s="49">
        <f t="shared" si="48"/>
        <v>0</v>
      </c>
      <c r="AQ132" s="49">
        <f t="shared" si="49"/>
        <v>0</v>
      </c>
      <c r="AR132" s="49">
        <f t="shared" si="50"/>
        <v>0</v>
      </c>
      <c r="AT132" s="49">
        <f t="shared" si="51"/>
        <v>0</v>
      </c>
      <c r="AU132" s="49">
        <f t="shared" si="51"/>
        <v>0</v>
      </c>
      <c r="AV132" s="49">
        <f t="shared" si="51"/>
        <v>0</v>
      </c>
      <c r="AW132" s="49">
        <f t="shared" si="51"/>
        <v>0</v>
      </c>
      <c r="AX132" s="49">
        <f t="shared" si="51"/>
        <v>0</v>
      </c>
      <c r="AZ132" s="53">
        <f t="shared" si="52"/>
        <v>0</v>
      </c>
      <c r="BA132" s="53">
        <f t="shared" si="53"/>
        <v>0</v>
      </c>
      <c r="BB132" s="53">
        <f t="shared" si="54"/>
        <v>0</v>
      </c>
      <c r="BC132" s="53">
        <f t="shared" si="55"/>
        <v>0</v>
      </c>
      <c r="BD132" s="53">
        <f t="shared" si="56"/>
        <v>0</v>
      </c>
    </row>
    <row r="133" spans="2:56">
      <c r="B133" s="43">
        <f>'3. Input (des)investeringen '!B158</f>
        <v>1601</v>
      </c>
      <c r="C133" s="54"/>
      <c r="D133" s="54"/>
      <c r="E133" s="54"/>
      <c r="F133" s="48">
        <f>'3. Input (des)investeringen '!D158</f>
        <v>0</v>
      </c>
      <c r="G133" s="54"/>
      <c r="H133" s="43">
        <f>'3. Input (des)investeringen '!F158</f>
        <v>2024</v>
      </c>
      <c r="I133" s="48" t="str">
        <f>'3. Input (des)investeringen '!G158</f>
        <v>nvt</v>
      </c>
      <c r="J133" s="48">
        <f>'3. Input (des)investeringen '!H158</f>
        <v>0</v>
      </c>
      <c r="K133" s="48">
        <f>'3. Input (des)investeringen '!I158</f>
        <v>1</v>
      </c>
      <c r="M133" s="49">
        <f t="shared" si="35"/>
        <v>0</v>
      </c>
      <c r="N133" s="49">
        <f t="shared" si="36"/>
        <v>0</v>
      </c>
      <c r="P133" s="147">
        <f t="shared" si="37"/>
        <v>0</v>
      </c>
      <c r="Q133" s="147">
        <f t="shared" si="38"/>
        <v>0</v>
      </c>
      <c r="S133" s="49">
        <f t="shared" si="39"/>
        <v>0</v>
      </c>
      <c r="T133" s="44">
        <f t="shared" si="40"/>
        <v>0</v>
      </c>
      <c r="V133" s="49">
        <f t="shared" si="32"/>
        <v>0</v>
      </c>
      <c r="W133" s="49">
        <f t="shared" si="32"/>
        <v>0</v>
      </c>
      <c r="X133" s="49">
        <f t="shared" si="32"/>
        <v>0</v>
      </c>
      <c r="Y133" s="49">
        <f t="shared" si="32"/>
        <v>0</v>
      </c>
      <c r="Z133" s="49">
        <f t="shared" si="32"/>
        <v>0</v>
      </c>
      <c r="AB133" s="49">
        <f t="shared" si="33"/>
        <v>0</v>
      </c>
      <c r="AC133" s="49">
        <f t="shared" si="33"/>
        <v>0</v>
      </c>
      <c r="AD133" s="49">
        <f t="shared" si="33"/>
        <v>0</v>
      </c>
      <c r="AE133" s="49">
        <f t="shared" si="33"/>
        <v>0</v>
      </c>
      <c r="AF133" s="49">
        <f t="shared" si="33"/>
        <v>0</v>
      </c>
      <c r="AH133" s="49">
        <f t="shared" si="41"/>
        <v>0</v>
      </c>
      <c r="AI133" s="49">
        <f t="shared" si="42"/>
        <v>0</v>
      </c>
      <c r="AJ133" s="49">
        <f t="shared" si="43"/>
        <v>0</v>
      </c>
      <c r="AK133" s="49">
        <f t="shared" si="44"/>
        <v>0</v>
      </c>
      <c r="AL133" s="49">
        <f t="shared" si="45"/>
        <v>0</v>
      </c>
      <c r="AN133" s="49">
        <f t="shared" si="46"/>
        <v>0</v>
      </c>
      <c r="AO133" s="49">
        <f t="shared" si="47"/>
        <v>0</v>
      </c>
      <c r="AP133" s="49">
        <f t="shared" si="48"/>
        <v>0</v>
      </c>
      <c r="AQ133" s="49">
        <f t="shared" si="49"/>
        <v>0</v>
      </c>
      <c r="AR133" s="49">
        <f t="shared" si="50"/>
        <v>0</v>
      </c>
      <c r="AT133" s="49">
        <f t="shared" si="51"/>
        <v>0</v>
      </c>
      <c r="AU133" s="49">
        <f t="shared" si="51"/>
        <v>0</v>
      </c>
      <c r="AV133" s="49">
        <f t="shared" si="51"/>
        <v>0</v>
      </c>
      <c r="AW133" s="49">
        <f t="shared" si="51"/>
        <v>0</v>
      </c>
      <c r="AX133" s="49">
        <f t="shared" si="51"/>
        <v>0</v>
      </c>
      <c r="AZ133" s="53">
        <f t="shared" si="52"/>
        <v>0</v>
      </c>
      <c r="BA133" s="53">
        <f t="shared" si="53"/>
        <v>0</v>
      </c>
      <c r="BB133" s="53">
        <f t="shared" si="54"/>
        <v>0</v>
      </c>
      <c r="BC133" s="53">
        <f t="shared" si="55"/>
        <v>0</v>
      </c>
      <c r="BD133" s="53">
        <f t="shared" si="56"/>
        <v>0</v>
      </c>
    </row>
    <row r="134" spans="2:56">
      <c r="B134" s="43">
        <f>'3. Input (des)investeringen '!B159</f>
        <v>1602</v>
      </c>
      <c r="C134" s="54"/>
      <c r="D134" s="54"/>
      <c r="E134" s="54"/>
      <c r="F134" s="48">
        <f>'3. Input (des)investeringen '!D159</f>
        <v>17329841.381191369</v>
      </c>
      <c r="G134" s="54"/>
      <c r="H134" s="43">
        <f>'3. Input (des)investeringen '!F159</f>
        <v>2024</v>
      </c>
      <c r="I134" s="48" t="str">
        <f>'3. Input (des)investeringen '!G159</f>
        <v>nvt</v>
      </c>
      <c r="J134" s="48">
        <f>'3. Input (des)investeringen '!H159</f>
        <v>5</v>
      </c>
      <c r="K134" s="48">
        <f>'3. Input (des)investeringen '!I159</f>
        <v>1</v>
      </c>
      <c r="M134" s="49">
        <f t="shared" si="35"/>
        <v>0</v>
      </c>
      <c r="N134" s="49">
        <f t="shared" si="36"/>
        <v>0</v>
      </c>
      <c r="P134" s="147">
        <f t="shared" si="37"/>
        <v>0</v>
      </c>
      <c r="Q134" s="147">
        <f t="shared" si="38"/>
        <v>0</v>
      </c>
      <c r="S134" s="49">
        <f t="shared" si="39"/>
        <v>17329841.381191369</v>
      </c>
      <c r="T134" s="44">
        <f t="shared" si="40"/>
        <v>5</v>
      </c>
      <c r="V134" s="49">
        <f t="shared" si="32"/>
        <v>0</v>
      </c>
      <c r="W134" s="49">
        <f t="shared" si="32"/>
        <v>0</v>
      </c>
      <c r="X134" s="49">
        <f t="shared" si="32"/>
        <v>2027591.4415993902</v>
      </c>
      <c r="Y134" s="49">
        <f t="shared" si="32"/>
        <v>3528009.1083829394</v>
      </c>
      <c r="Z134" s="49">
        <f t="shared" si="32"/>
        <v>2868930.4837399721</v>
      </c>
      <c r="AB134" s="49">
        <f t="shared" si="33"/>
        <v>0</v>
      </c>
      <c r="AC134" s="49">
        <f t="shared" si="33"/>
        <v>0</v>
      </c>
      <c r="AD134" s="49">
        <f t="shared" si="33"/>
        <v>173298.41381191369</v>
      </c>
      <c r="AE134" s="49">
        <f t="shared" si="33"/>
        <v>346596.82762382738</v>
      </c>
      <c r="AF134" s="49">
        <f t="shared" si="33"/>
        <v>346596.82762382738</v>
      </c>
      <c r="AH134" s="49">
        <f t="shared" si="41"/>
        <v>0</v>
      </c>
      <c r="AI134" s="49">
        <f t="shared" si="42"/>
        <v>0</v>
      </c>
      <c r="AJ134" s="49">
        <f t="shared" si="43"/>
        <v>2200889.8554113042</v>
      </c>
      <c r="AK134" s="49">
        <f t="shared" si="44"/>
        <v>3874605.9360067667</v>
      </c>
      <c r="AL134" s="49">
        <f t="shared" si="45"/>
        <v>3215527.3113637995</v>
      </c>
      <c r="AN134" s="49">
        <f t="shared" si="46"/>
        <v>0</v>
      </c>
      <c r="AO134" s="49">
        <f t="shared" si="47"/>
        <v>0</v>
      </c>
      <c r="AP134" s="49">
        <f t="shared" si="48"/>
        <v>15128951.525780065</v>
      </c>
      <c r="AQ134" s="49">
        <f t="shared" si="49"/>
        <v>11254345.589773297</v>
      </c>
      <c r="AR134" s="49">
        <f t="shared" si="50"/>
        <v>8038818.2784094978</v>
      </c>
      <c r="AT134" s="49">
        <f t="shared" si="51"/>
        <v>0</v>
      </c>
      <c r="AU134" s="49">
        <f t="shared" si="51"/>
        <v>0</v>
      </c>
      <c r="AV134" s="49">
        <f t="shared" si="51"/>
        <v>173298.41381191369</v>
      </c>
      <c r="AW134" s="49">
        <f t="shared" si="51"/>
        <v>177438.16632105267</v>
      </c>
      <c r="AX134" s="49">
        <f t="shared" si="51"/>
        <v>179732.79668791653</v>
      </c>
      <c r="AZ134" s="53">
        <f t="shared" si="52"/>
        <v>0</v>
      </c>
      <c r="BA134" s="53">
        <f t="shared" si="53"/>
        <v>0</v>
      </c>
      <c r="BB134" s="53">
        <f t="shared" si="54"/>
        <v>2949088.4272028604</v>
      </c>
      <c r="BC134" s="53">
        <f t="shared" si="55"/>
        <v>4479709.2347392039</v>
      </c>
      <c r="BD134" s="53">
        <f t="shared" si="56"/>
        <v>3700735.2026312766</v>
      </c>
    </row>
    <row r="135" spans="2:56">
      <c r="B135" s="43">
        <f>'3. Input (des)investeringen '!B160</f>
        <v>1603</v>
      </c>
      <c r="C135" s="54"/>
      <c r="D135" s="54"/>
      <c r="E135" s="54"/>
      <c r="F135" s="48">
        <f>'3. Input (des)investeringen '!D160</f>
        <v>5256515.0928236982</v>
      </c>
      <c r="G135" s="54"/>
      <c r="H135" s="43">
        <f>'3. Input (des)investeringen '!F160</f>
        <v>2024</v>
      </c>
      <c r="I135" s="48" t="str">
        <f>'3. Input (des)investeringen '!G160</f>
        <v>nvt</v>
      </c>
      <c r="J135" s="48">
        <f>'3. Input (des)investeringen '!H160</f>
        <v>10</v>
      </c>
      <c r="K135" s="48">
        <f>'3. Input (des)investeringen '!I160</f>
        <v>1</v>
      </c>
      <c r="M135" s="49">
        <f t="shared" si="35"/>
        <v>0</v>
      </c>
      <c r="N135" s="49">
        <f t="shared" si="36"/>
        <v>0</v>
      </c>
      <c r="P135" s="147">
        <f t="shared" si="37"/>
        <v>0</v>
      </c>
      <c r="Q135" s="147">
        <f t="shared" si="38"/>
        <v>0</v>
      </c>
      <c r="S135" s="49">
        <f t="shared" si="39"/>
        <v>5256515.0928236982</v>
      </c>
      <c r="T135" s="44">
        <f t="shared" si="40"/>
        <v>10</v>
      </c>
      <c r="V135" s="49">
        <f t="shared" si="32"/>
        <v>0</v>
      </c>
      <c r="W135" s="49">
        <f t="shared" si="32"/>
        <v>0</v>
      </c>
      <c r="X135" s="49">
        <f t="shared" si="32"/>
        <v>307506.13293018634</v>
      </c>
      <c r="Y135" s="49">
        <f t="shared" si="32"/>
        <v>575036.46857944841</v>
      </c>
      <c r="Z135" s="49">
        <f t="shared" si="32"/>
        <v>500281.72766412015</v>
      </c>
      <c r="AB135" s="49">
        <f t="shared" si="33"/>
        <v>0</v>
      </c>
      <c r="AC135" s="49">
        <f t="shared" si="33"/>
        <v>0</v>
      </c>
      <c r="AD135" s="49">
        <f t="shared" si="33"/>
        <v>26282.575464118494</v>
      </c>
      <c r="AE135" s="49">
        <f t="shared" si="33"/>
        <v>52565.150928236988</v>
      </c>
      <c r="AF135" s="49">
        <f t="shared" si="33"/>
        <v>52565.150928236988</v>
      </c>
      <c r="AH135" s="49">
        <f t="shared" si="41"/>
        <v>0</v>
      </c>
      <c r="AI135" s="49">
        <f t="shared" si="42"/>
        <v>0</v>
      </c>
      <c r="AJ135" s="49">
        <f t="shared" si="43"/>
        <v>333788.70839430485</v>
      </c>
      <c r="AK135" s="49">
        <f t="shared" si="44"/>
        <v>627601.61950768542</v>
      </c>
      <c r="AL135" s="49">
        <f t="shared" si="45"/>
        <v>552846.87859235716</v>
      </c>
      <c r="AN135" s="49">
        <f t="shared" si="46"/>
        <v>0</v>
      </c>
      <c r="AO135" s="49">
        <f t="shared" si="47"/>
        <v>0</v>
      </c>
      <c r="AP135" s="49">
        <f t="shared" si="48"/>
        <v>4922726.3844293933</v>
      </c>
      <c r="AQ135" s="49">
        <f t="shared" si="49"/>
        <v>4295124.764921708</v>
      </c>
      <c r="AR135" s="49">
        <f t="shared" si="50"/>
        <v>3742277.886329351</v>
      </c>
      <c r="AT135" s="49">
        <f t="shared" si="51"/>
        <v>0</v>
      </c>
      <c r="AU135" s="49">
        <f t="shared" si="51"/>
        <v>0</v>
      </c>
      <c r="AV135" s="49">
        <f t="shared" si="51"/>
        <v>52565.150928236981</v>
      </c>
      <c r="AW135" s="49">
        <f t="shared" si="51"/>
        <v>53820.827253610711</v>
      </c>
      <c r="AX135" s="49">
        <f t="shared" si="51"/>
        <v>54516.838191654395</v>
      </c>
      <c r="AZ135" s="53">
        <f t="shared" si="52"/>
        <v>0</v>
      </c>
      <c r="BA135" s="53">
        <f t="shared" si="53"/>
        <v>0</v>
      </c>
      <c r="BB135" s="53">
        <f t="shared" si="54"/>
        <v>573417.46193085879</v>
      </c>
      <c r="BC135" s="53">
        <f t="shared" si="55"/>
        <v>844637.18782832101</v>
      </c>
      <c r="BD135" s="53">
        <f t="shared" si="56"/>
        <v>749570.27646452689</v>
      </c>
    </row>
    <row r="136" spans="2:56">
      <c r="B136" s="43">
        <f>'3. Input (des)investeringen '!B161</f>
        <v>1604</v>
      </c>
      <c r="C136" s="54"/>
      <c r="D136" s="54"/>
      <c r="E136" s="54"/>
      <c r="F136" s="48">
        <f>'3. Input (des)investeringen '!D161</f>
        <v>24794632.448747091</v>
      </c>
      <c r="G136" s="54"/>
      <c r="H136" s="43">
        <f>'3. Input (des)investeringen '!F161</f>
        <v>2024</v>
      </c>
      <c r="I136" s="48" t="str">
        <f>'3. Input (des)investeringen '!G161</f>
        <v>nvt</v>
      </c>
      <c r="J136" s="48">
        <f>'3. Input (des)investeringen '!H161</f>
        <v>15</v>
      </c>
      <c r="K136" s="48">
        <f>'3. Input (des)investeringen '!I161</f>
        <v>1</v>
      </c>
      <c r="M136" s="49">
        <f t="shared" si="35"/>
        <v>0</v>
      </c>
      <c r="N136" s="49">
        <f t="shared" si="36"/>
        <v>0</v>
      </c>
      <c r="P136" s="147">
        <f t="shared" si="37"/>
        <v>0</v>
      </c>
      <c r="Q136" s="147">
        <f t="shared" si="38"/>
        <v>0</v>
      </c>
      <c r="S136" s="49">
        <f t="shared" si="39"/>
        <v>24794632.448747091</v>
      </c>
      <c r="T136" s="44">
        <f t="shared" si="40"/>
        <v>15</v>
      </c>
      <c r="V136" s="49">
        <f t="shared" si="32"/>
        <v>0</v>
      </c>
      <c r="W136" s="49">
        <f t="shared" si="32"/>
        <v>0</v>
      </c>
      <c r="X136" s="49">
        <f t="shared" si="32"/>
        <v>966990.66550113657</v>
      </c>
      <c r="Y136" s="49">
        <f t="shared" si="32"/>
        <v>1850175.4733255082</v>
      </c>
      <c r="Z136" s="49">
        <f t="shared" si="32"/>
        <v>1689826.9323039639</v>
      </c>
      <c r="AB136" s="49">
        <f t="shared" si="33"/>
        <v>0</v>
      </c>
      <c r="AC136" s="49">
        <f t="shared" si="33"/>
        <v>0</v>
      </c>
      <c r="AD136" s="49">
        <f t="shared" si="33"/>
        <v>82648.774829156973</v>
      </c>
      <c r="AE136" s="49">
        <f t="shared" si="33"/>
        <v>165297.54965831395</v>
      </c>
      <c r="AF136" s="49">
        <f t="shared" si="33"/>
        <v>165297.54965831395</v>
      </c>
      <c r="AH136" s="49">
        <f t="shared" si="41"/>
        <v>0</v>
      </c>
      <c r="AI136" s="49">
        <f t="shared" si="42"/>
        <v>0</v>
      </c>
      <c r="AJ136" s="49">
        <f t="shared" si="43"/>
        <v>1049639.4403302935</v>
      </c>
      <c r="AK136" s="49">
        <f t="shared" si="44"/>
        <v>2015473.022983822</v>
      </c>
      <c r="AL136" s="49">
        <f t="shared" si="45"/>
        <v>1855124.4819622778</v>
      </c>
      <c r="AN136" s="49">
        <f t="shared" si="46"/>
        <v>0</v>
      </c>
      <c r="AO136" s="49">
        <f t="shared" si="47"/>
        <v>0</v>
      </c>
      <c r="AP136" s="49">
        <f t="shared" si="48"/>
        <v>23744993.008416798</v>
      </c>
      <c r="AQ136" s="49">
        <f t="shared" si="49"/>
        <v>21729519.985432975</v>
      </c>
      <c r="AR136" s="49">
        <f t="shared" si="50"/>
        <v>19874395.503470697</v>
      </c>
      <c r="AT136" s="49">
        <f t="shared" si="51"/>
        <v>0</v>
      </c>
      <c r="AU136" s="49">
        <f t="shared" si="51"/>
        <v>0</v>
      </c>
      <c r="AV136" s="49">
        <f t="shared" si="51"/>
        <v>247946.32448747091</v>
      </c>
      <c r="AW136" s="49">
        <f t="shared" si="51"/>
        <v>253869.26628682762</v>
      </c>
      <c r="AX136" s="49">
        <f t="shared" si="51"/>
        <v>257152.30363844882</v>
      </c>
      <c r="AZ136" s="53">
        <f t="shared" si="52"/>
        <v>0</v>
      </c>
      <c r="BA136" s="53">
        <f t="shared" si="53"/>
        <v>0</v>
      </c>
      <c r="BB136" s="53">
        <f t="shared" si="54"/>
        <v>2199895.4991376027</v>
      </c>
      <c r="BC136" s="53">
        <f t="shared" si="55"/>
        <v>3095064.048717103</v>
      </c>
      <c r="BD136" s="53">
        <f t="shared" si="56"/>
        <v>2867503.814732613</v>
      </c>
    </row>
    <row r="137" spans="2:56">
      <c r="B137" s="43">
        <f>'3. Input (des)investeringen '!B162</f>
        <v>1605</v>
      </c>
      <c r="C137" s="54"/>
      <c r="D137" s="54"/>
      <c r="E137" s="54"/>
      <c r="F137" s="48">
        <f>'3. Input (des)investeringen '!D162</f>
        <v>30453006.468301013</v>
      </c>
      <c r="G137" s="54"/>
      <c r="H137" s="43">
        <f>'3. Input (des)investeringen '!F162</f>
        <v>2024</v>
      </c>
      <c r="I137" s="48" t="str">
        <f>'3. Input (des)investeringen '!G162</f>
        <v>nvt</v>
      </c>
      <c r="J137" s="48">
        <f>'3. Input (des)investeringen '!H162</f>
        <v>30</v>
      </c>
      <c r="K137" s="48">
        <f>'3. Input (des)investeringen '!I162</f>
        <v>1</v>
      </c>
      <c r="M137" s="49">
        <f t="shared" si="35"/>
        <v>0</v>
      </c>
      <c r="N137" s="49">
        <f t="shared" si="36"/>
        <v>0</v>
      </c>
      <c r="P137" s="147">
        <f t="shared" si="37"/>
        <v>0</v>
      </c>
      <c r="Q137" s="147">
        <f t="shared" si="38"/>
        <v>0</v>
      </c>
      <c r="S137" s="49">
        <f t="shared" si="39"/>
        <v>30453006.468301013</v>
      </c>
      <c r="T137" s="44">
        <f t="shared" si="40"/>
        <v>30</v>
      </c>
      <c r="V137" s="49">
        <f t="shared" si="32"/>
        <v>0</v>
      </c>
      <c r="W137" s="49">
        <f t="shared" si="32"/>
        <v>0</v>
      </c>
      <c r="X137" s="49">
        <f t="shared" si="32"/>
        <v>593833.62613186974</v>
      </c>
      <c r="Y137" s="49">
        <f t="shared" si="32"/>
        <v>1161934.4617980253</v>
      </c>
      <c r="Z137" s="49">
        <f t="shared" si="32"/>
        <v>1111583.9684534443</v>
      </c>
      <c r="AB137" s="49">
        <f t="shared" si="33"/>
        <v>0</v>
      </c>
      <c r="AC137" s="49">
        <f t="shared" si="33"/>
        <v>0</v>
      </c>
      <c r="AD137" s="49">
        <f t="shared" si="33"/>
        <v>50755.010780501689</v>
      </c>
      <c r="AE137" s="49">
        <f t="shared" si="33"/>
        <v>101510.02156100339</v>
      </c>
      <c r="AF137" s="49">
        <f t="shared" si="33"/>
        <v>101510.02156100339</v>
      </c>
      <c r="AH137" s="49">
        <f t="shared" si="41"/>
        <v>0</v>
      </c>
      <c r="AI137" s="49">
        <f t="shared" si="42"/>
        <v>0</v>
      </c>
      <c r="AJ137" s="49">
        <f t="shared" si="43"/>
        <v>644588.63691237138</v>
      </c>
      <c r="AK137" s="49">
        <f t="shared" si="44"/>
        <v>1263444.4833590286</v>
      </c>
      <c r="AL137" s="49">
        <f t="shared" si="45"/>
        <v>1213093.9900144476</v>
      </c>
      <c r="AN137" s="49">
        <f t="shared" si="46"/>
        <v>0</v>
      </c>
      <c r="AO137" s="49">
        <f t="shared" si="47"/>
        <v>0</v>
      </c>
      <c r="AP137" s="49">
        <f t="shared" si="48"/>
        <v>29808417.831388641</v>
      </c>
      <c r="AQ137" s="49">
        <f t="shared" si="49"/>
        <v>28544973.348029613</v>
      </c>
      <c r="AR137" s="49">
        <f t="shared" si="50"/>
        <v>27331879.358015165</v>
      </c>
      <c r="AT137" s="49">
        <f t="shared" si="51"/>
        <v>0</v>
      </c>
      <c r="AU137" s="49">
        <f t="shared" si="51"/>
        <v>0</v>
      </c>
      <c r="AV137" s="49">
        <f t="shared" si="51"/>
        <v>304530.06468301016</v>
      </c>
      <c r="AW137" s="49">
        <f t="shared" si="51"/>
        <v>311804.67886815785</v>
      </c>
      <c r="AX137" s="49">
        <f t="shared" si="51"/>
        <v>315836.93697528087</v>
      </c>
      <c r="AZ137" s="53">
        <f t="shared" si="52"/>
        <v>0</v>
      </c>
      <c r="BA137" s="53">
        <f t="shared" si="53"/>
        <v>0</v>
      </c>
      <c r="BB137" s="53">
        <f t="shared" si="54"/>
        <v>2081838.5791881497</v>
      </c>
      <c r="BC137" s="53">
        <f t="shared" si="55"/>
        <v>2659958.1494523119</v>
      </c>
      <c r="BD137" s="53">
        <f t="shared" si="56"/>
        <v>2567542.3425943046</v>
      </c>
    </row>
    <row r="138" spans="2:56">
      <c r="B138" s="43">
        <f>'3. Input (des)investeringen '!B163</f>
        <v>1606</v>
      </c>
      <c r="C138" s="54"/>
      <c r="D138" s="54"/>
      <c r="E138" s="54"/>
      <c r="F138" s="48">
        <f>'3. Input (des)investeringen '!D163</f>
        <v>84298220.607542247</v>
      </c>
      <c r="G138" s="54"/>
      <c r="H138" s="43">
        <f>'3. Input (des)investeringen '!F163</f>
        <v>2024</v>
      </c>
      <c r="I138" s="48" t="str">
        <f>'3. Input (des)investeringen '!G163</f>
        <v>nvt</v>
      </c>
      <c r="J138" s="48">
        <f>'3. Input (des)investeringen '!H163</f>
        <v>55</v>
      </c>
      <c r="K138" s="48">
        <f>'3. Input (des)investeringen '!I163</f>
        <v>1</v>
      </c>
      <c r="M138" s="49">
        <f t="shared" ref="M138:M158" si="57">IF($J138=0, 0, IF($H138&lt;=M$59,
VDB($F138,0,$J138,MAX(0,M$59-$H138-0.5),MIN($J138,M$59-$H138+0.5),1)*INDEX(H$40:H$46,$H138-2019,1),
0))</f>
        <v>0</v>
      </c>
      <c r="N138" s="49">
        <f t="shared" ref="N138:N158" si="58">IF($J138=0, 0, IF($H138&lt;=N$59,
VDB($F138,0,$J138,MAX(0,N$59-$H138-0.5),MIN($J138,N$59-$H138+0.5),1)*INDEX(I$40:I$46,$H138-2019,1),
0))</f>
        <v>0</v>
      </c>
      <c r="P138" s="147">
        <f t="shared" si="37"/>
        <v>0</v>
      </c>
      <c r="Q138" s="147">
        <f t="shared" si="38"/>
        <v>0</v>
      </c>
      <c r="S138" s="49">
        <f t="shared" si="39"/>
        <v>84298220.607542247</v>
      </c>
      <c r="T138" s="44">
        <f t="shared" ref="T138:T158" si="59">IF($J138=0, 0, IF(H138&lt;2022,J138-2021+H138-0.5,J138))</f>
        <v>55</v>
      </c>
      <c r="V138" s="49">
        <f t="shared" si="32"/>
        <v>0</v>
      </c>
      <c r="W138" s="49">
        <f t="shared" si="32"/>
        <v>0</v>
      </c>
      <c r="X138" s="49">
        <f t="shared" si="32"/>
        <v>896626.52828022209</v>
      </c>
      <c r="Y138" s="49">
        <f t="shared" si="32"/>
        <v>1772060.0658920023</v>
      </c>
      <c r="Z138" s="49">
        <f t="shared" si="32"/>
        <v>1730175.0097891006</v>
      </c>
      <c r="AB138" s="49">
        <f t="shared" si="33"/>
        <v>0</v>
      </c>
      <c r="AC138" s="49">
        <f t="shared" si="33"/>
        <v>0</v>
      </c>
      <c r="AD138" s="49">
        <f t="shared" si="33"/>
        <v>76634.746006856585</v>
      </c>
      <c r="AE138" s="49">
        <f t="shared" si="33"/>
        <v>153269.49201371317</v>
      </c>
      <c r="AF138" s="49">
        <f t="shared" si="33"/>
        <v>153269.49201371317</v>
      </c>
      <c r="AH138" s="49">
        <f t="shared" ref="AH138:AH158" si="60">V138+AB138</f>
        <v>0</v>
      </c>
      <c r="AI138" s="49">
        <f t="shared" ref="AI138:AI158" si="61">W138+AC138</f>
        <v>0</v>
      </c>
      <c r="AJ138" s="49">
        <f t="shared" ref="AJ138:AJ158" si="62">X138+AD138</f>
        <v>973261.27428707865</v>
      </c>
      <c r="AK138" s="49">
        <f t="shared" ref="AK138:AK158" si="63">Y138+AE138</f>
        <v>1925329.5579057154</v>
      </c>
      <c r="AL138" s="49">
        <f t="shared" ref="AL138:AL158" si="64">Z138+AF138</f>
        <v>1883444.5018028137</v>
      </c>
      <c r="AN138" s="49">
        <f t="shared" si="46"/>
        <v>0</v>
      </c>
      <c r="AO138" s="49">
        <f t="shared" si="47"/>
        <v>0</v>
      </c>
      <c r="AP138" s="49">
        <f t="shared" si="48"/>
        <v>83324959.333255172</v>
      </c>
      <c r="AQ138" s="49">
        <f t="shared" si="49"/>
        <v>81399629.775349453</v>
      </c>
      <c r="AR138" s="49">
        <f t="shared" si="50"/>
        <v>79516185.273546636</v>
      </c>
      <c r="AT138" s="49">
        <f t="shared" si="51"/>
        <v>0</v>
      </c>
      <c r="AU138" s="49">
        <f t="shared" si="51"/>
        <v>0</v>
      </c>
      <c r="AV138" s="49">
        <f t="shared" si="51"/>
        <v>842982.20607542247</v>
      </c>
      <c r="AW138" s="49">
        <f t="shared" si="51"/>
        <v>863119.36501415225</v>
      </c>
      <c r="AX138" s="49">
        <f t="shared" si="51"/>
        <v>874281.22464251507</v>
      </c>
      <c r="AZ138" s="53">
        <f t="shared" ref="AZ138:AZ158" si="65">(AH138+AN138*J$16+AT138)*IF($K138=1,$F$25,1)</f>
        <v>0</v>
      </c>
      <c r="BA138" s="53">
        <f t="shared" ref="BA138:BA158" si="66">(AI138+AO138*K$16+AU138)*IF($K138=1,$F$25,1)</f>
        <v>0</v>
      </c>
      <c r="BB138" s="53">
        <f t="shared" ref="BB138:BB158" si="67">(AJ138+AP138*L$16+AV138)*IF($K138=1,$F$25,1)</f>
        <v>4982591.9350261968</v>
      </c>
      <c r="BC138" s="53">
        <f t="shared" ref="BC138:BC158" si="68">(AK138+AQ138*M$16+AW138)*IF($K138=1,$F$25,1)</f>
        <v>5881634.8543831473</v>
      </c>
      <c r="BD138" s="53">
        <f t="shared" ref="BD138:BD158" si="69">(AL138+AR138*N$16+AX138)*IF($K138=1,$F$25,1)</f>
        <v>5779340.7668401012</v>
      </c>
    </row>
    <row r="139" spans="2:56">
      <c r="B139" s="43">
        <f>'3. Input (des)investeringen '!B164</f>
        <v>1607</v>
      </c>
      <c r="C139" s="54"/>
      <c r="D139" s="54"/>
      <c r="E139" s="54"/>
      <c r="F139" s="48">
        <f>'3. Input (des)investeringen '!D164</f>
        <v>-32176.139947802236</v>
      </c>
      <c r="G139" s="54"/>
      <c r="H139" s="43">
        <f>'3. Input (des)investeringen '!F164</f>
        <v>2024</v>
      </c>
      <c r="I139" s="48" t="str">
        <f>'3. Input (des)investeringen '!G164</f>
        <v>nvt</v>
      </c>
      <c r="J139" s="48">
        <f>'3. Input (des)investeringen '!H164</f>
        <v>0</v>
      </c>
      <c r="K139" s="48">
        <f>'3. Input (des)investeringen '!I164</f>
        <v>0</v>
      </c>
      <c r="M139" s="49">
        <f t="shared" si="57"/>
        <v>0</v>
      </c>
      <c r="N139" s="49">
        <f t="shared" si="58"/>
        <v>0</v>
      </c>
      <c r="P139" s="147">
        <f t="shared" si="37"/>
        <v>0</v>
      </c>
      <c r="Q139" s="147">
        <f t="shared" si="38"/>
        <v>0</v>
      </c>
      <c r="S139" s="49">
        <f t="shared" si="39"/>
        <v>-32176.139947802236</v>
      </c>
      <c r="T139" s="44">
        <f t="shared" si="59"/>
        <v>0</v>
      </c>
      <c r="V139" s="49">
        <f t="shared" ref="V139:Z159" si="70">IF($J139=0, 0, IF(OR($H139&gt;V$59,$H139+$J139&lt;V$59),0,
IF(OR($H139=2020,$H139=2021),VDB($S139*(1-$F$28),0,$T139,V$59-2022,MIN($T139,V$59-2021),$F$22,FALSE),
VDB($S139*(1-$F$28),0,$T139,MAX(0,V$59-$H139-0.5),MIN($T139,V$59-$H139+0.5),$F$22,FALSE))))</f>
        <v>0</v>
      </c>
      <c r="W139" s="49">
        <f t="shared" si="70"/>
        <v>0</v>
      </c>
      <c r="X139" s="49">
        <f t="shared" si="70"/>
        <v>0</v>
      </c>
      <c r="Y139" s="49">
        <f t="shared" si="70"/>
        <v>0</v>
      </c>
      <c r="Z139" s="49">
        <f t="shared" si="70"/>
        <v>0</v>
      </c>
      <c r="AB139" s="49">
        <f t="shared" ref="AB139:AF159" si="71">IF($J139=0, 0, IF(OR($H139&gt;AB$59,$H139+$J139&lt;AB$59),0,
IF(OR($H139=2020,$H139=2021),VDB($S139*$F$28,0,$T139,AB$59-2022,MIN($T139,AB$59-2021),1),
VDB($S139*$F$28,0,$T139,MAX(0,AB$59-$H139-0.5),MIN($T139,AB$59-$H139+0.5),1))))</f>
        <v>0</v>
      </c>
      <c r="AC139" s="49">
        <f t="shared" si="71"/>
        <v>0</v>
      </c>
      <c r="AD139" s="49">
        <f t="shared" si="71"/>
        <v>0</v>
      </c>
      <c r="AE139" s="49">
        <f t="shared" si="71"/>
        <v>0</v>
      </c>
      <c r="AF139" s="49">
        <f t="shared" si="71"/>
        <v>0</v>
      </c>
      <c r="AH139" s="49">
        <f t="shared" si="60"/>
        <v>0</v>
      </c>
      <c r="AI139" s="49">
        <f t="shared" si="61"/>
        <v>0</v>
      </c>
      <c r="AJ139" s="49">
        <f t="shared" si="62"/>
        <v>0</v>
      </c>
      <c r="AK139" s="49">
        <f t="shared" si="63"/>
        <v>0</v>
      </c>
      <c r="AL139" s="49">
        <f t="shared" si="64"/>
        <v>0</v>
      </c>
      <c r="AN139" s="49">
        <f t="shared" si="46"/>
        <v>0</v>
      </c>
      <c r="AO139" s="49">
        <f t="shared" si="47"/>
        <v>0</v>
      </c>
      <c r="AP139" s="49">
        <f t="shared" si="48"/>
        <v>-32176.139947802236</v>
      </c>
      <c r="AQ139" s="49">
        <f t="shared" si="49"/>
        <v>-32176.139947802236</v>
      </c>
      <c r="AR139" s="49">
        <f t="shared" si="50"/>
        <v>-32176.139947802236</v>
      </c>
      <c r="AT139" s="49">
        <f t="shared" si="51"/>
        <v>0</v>
      </c>
      <c r="AU139" s="49">
        <f t="shared" si="51"/>
        <v>0</v>
      </c>
      <c r="AV139" s="49">
        <f t="shared" si="51"/>
        <v>-321.76139947802238</v>
      </c>
      <c r="AW139" s="49">
        <f t="shared" si="51"/>
        <v>-329.44763578875342</v>
      </c>
      <c r="AX139" s="49">
        <f t="shared" si="51"/>
        <v>-333.70805261477346</v>
      </c>
      <c r="AZ139" s="53">
        <f t="shared" si="65"/>
        <v>0</v>
      </c>
      <c r="BA139" s="53">
        <f t="shared" si="66"/>
        <v>0</v>
      </c>
      <c r="BB139" s="53">
        <f t="shared" si="67"/>
        <v>-1544.4547174945073</v>
      </c>
      <c r="BC139" s="53">
        <f t="shared" si="68"/>
        <v>-1552.1409538052383</v>
      </c>
      <c r="BD139" s="53">
        <f t="shared" si="69"/>
        <v>-1556.4013706312585</v>
      </c>
    </row>
    <row r="140" spans="2:56">
      <c r="B140" s="43">
        <f>'3. Input (des)investeringen '!B165</f>
        <v>1608</v>
      </c>
      <c r="C140" s="54"/>
      <c r="D140" s="54"/>
      <c r="E140" s="54"/>
      <c r="F140" s="48">
        <f>'3. Input (des)investeringen '!D165</f>
        <v>453184.63628655189</v>
      </c>
      <c r="G140" s="54"/>
      <c r="H140" s="43">
        <f>'3. Input (des)investeringen '!F165</f>
        <v>2024</v>
      </c>
      <c r="I140" s="48" t="str">
        <f>'3. Input (des)investeringen '!G165</f>
        <v>nvt</v>
      </c>
      <c r="J140" s="48">
        <f>'3. Input (des)investeringen '!H165</f>
        <v>5</v>
      </c>
      <c r="K140" s="48">
        <f>'3. Input (des)investeringen '!I165</f>
        <v>0</v>
      </c>
      <c r="M140" s="49">
        <f t="shared" si="57"/>
        <v>0</v>
      </c>
      <c r="N140" s="49">
        <f t="shared" si="58"/>
        <v>0</v>
      </c>
      <c r="P140" s="147">
        <f t="shared" si="37"/>
        <v>0</v>
      </c>
      <c r="Q140" s="147">
        <f t="shared" si="38"/>
        <v>0</v>
      </c>
      <c r="S140" s="49">
        <f t="shared" si="39"/>
        <v>453184.63628655189</v>
      </c>
      <c r="T140" s="44">
        <f t="shared" si="59"/>
        <v>5</v>
      </c>
      <c r="V140" s="49">
        <f t="shared" si="70"/>
        <v>0</v>
      </c>
      <c r="W140" s="49">
        <f t="shared" si="70"/>
        <v>0</v>
      </c>
      <c r="X140" s="49">
        <f t="shared" si="70"/>
        <v>53022.602445526572</v>
      </c>
      <c r="Y140" s="49">
        <f t="shared" si="70"/>
        <v>92259.328255216242</v>
      </c>
      <c r="Z140" s="49">
        <f t="shared" si="70"/>
        <v>75024.069130615404</v>
      </c>
      <c r="AB140" s="49">
        <f t="shared" si="71"/>
        <v>0</v>
      </c>
      <c r="AC140" s="49">
        <f t="shared" si="71"/>
        <v>0</v>
      </c>
      <c r="AD140" s="49">
        <f t="shared" si="71"/>
        <v>4531.846362865519</v>
      </c>
      <c r="AE140" s="49">
        <f t="shared" si="71"/>
        <v>9063.6927257310381</v>
      </c>
      <c r="AF140" s="49">
        <f t="shared" si="71"/>
        <v>9063.6927257310381</v>
      </c>
      <c r="AH140" s="49">
        <f t="shared" si="60"/>
        <v>0</v>
      </c>
      <c r="AI140" s="49">
        <f t="shared" si="61"/>
        <v>0</v>
      </c>
      <c r="AJ140" s="49">
        <f t="shared" si="62"/>
        <v>57554.448808392088</v>
      </c>
      <c r="AK140" s="49">
        <f t="shared" si="63"/>
        <v>101323.02098094727</v>
      </c>
      <c r="AL140" s="49">
        <f t="shared" si="64"/>
        <v>84087.761856346449</v>
      </c>
      <c r="AN140" s="49">
        <f t="shared" si="46"/>
        <v>0</v>
      </c>
      <c r="AO140" s="49">
        <f t="shared" si="47"/>
        <v>0</v>
      </c>
      <c r="AP140" s="49">
        <f t="shared" si="48"/>
        <v>395630.18747815979</v>
      </c>
      <c r="AQ140" s="49">
        <f t="shared" si="49"/>
        <v>294307.16649721249</v>
      </c>
      <c r="AR140" s="49">
        <f t="shared" si="50"/>
        <v>210219.40464086604</v>
      </c>
      <c r="AT140" s="49">
        <f t="shared" si="51"/>
        <v>0</v>
      </c>
      <c r="AU140" s="49">
        <f t="shared" si="51"/>
        <v>0</v>
      </c>
      <c r="AV140" s="49">
        <f t="shared" si="51"/>
        <v>4531.846362865519</v>
      </c>
      <c r="AW140" s="49">
        <f t="shared" si="51"/>
        <v>4640.10310878165</v>
      </c>
      <c r="AX140" s="49">
        <f t="shared" si="51"/>
        <v>4700.108922184414</v>
      </c>
      <c r="AZ140" s="53">
        <f t="shared" si="65"/>
        <v>0</v>
      </c>
      <c r="BA140" s="53">
        <f t="shared" si="66"/>
        <v>0</v>
      </c>
      <c r="BB140" s="53">
        <f t="shared" si="67"/>
        <v>77120.24229542767</v>
      </c>
      <c r="BC140" s="53">
        <f t="shared" si="68"/>
        <v>117146.79641662299</v>
      </c>
      <c r="BD140" s="53">
        <f t="shared" si="69"/>
        <v>96776.208154883774</v>
      </c>
    </row>
    <row r="141" spans="2:56">
      <c r="B141" s="43">
        <f>'3. Input (des)investeringen '!B166</f>
        <v>1609</v>
      </c>
      <c r="C141" s="54"/>
      <c r="D141" s="54"/>
      <c r="E141" s="54"/>
      <c r="F141" s="48">
        <f>'3. Input (des)investeringen '!D166</f>
        <v>1625152.505858528</v>
      </c>
      <c r="G141" s="54"/>
      <c r="H141" s="43">
        <f>'3. Input (des)investeringen '!F166</f>
        <v>2024</v>
      </c>
      <c r="I141" s="48" t="str">
        <f>'3. Input (des)investeringen '!G166</f>
        <v>nvt</v>
      </c>
      <c r="J141" s="48">
        <f>'3. Input (des)investeringen '!H166</f>
        <v>10</v>
      </c>
      <c r="K141" s="48">
        <f>'3. Input (des)investeringen '!I166</f>
        <v>0</v>
      </c>
      <c r="M141" s="49">
        <f t="shared" si="57"/>
        <v>0</v>
      </c>
      <c r="N141" s="49">
        <f t="shared" si="58"/>
        <v>0</v>
      </c>
      <c r="P141" s="147">
        <f t="shared" si="37"/>
        <v>0</v>
      </c>
      <c r="Q141" s="147">
        <f t="shared" si="38"/>
        <v>0</v>
      </c>
      <c r="S141" s="49">
        <f t="shared" si="39"/>
        <v>1625152.505858528</v>
      </c>
      <c r="T141" s="44">
        <f t="shared" si="59"/>
        <v>10</v>
      </c>
      <c r="V141" s="49">
        <f t="shared" si="70"/>
        <v>0</v>
      </c>
      <c r="W141" s="49">
        <f t="shared" si="70"/>
        <v>0</v>
      </c>
      <c r="X141" s="49">
        <f t="shared" si="70"/>
        <v>95071.421592723898</v>
      </c>
      <c r="Y141" s="49">
        <f t="shared" si="70"/>
        <v>177783.5583783937</v>
      </c>
      <c r="Z141" s="49">
        <f t="shared" si="70"/>
        <v>154671.69578920252</v>
      </c>
      <c r="AB141" s="49">
        <f t="shared" si="71"/>
        <v>0</v>
      </c>
      <c r="AC141" s="49">
        <f t="shared" si="71"/>
        <v>0</v>
      </c>
      <c r="AD141" s="49">
        <f t="shared" si="71"/>
        <v>8125.7625292926405</v>
      </c>
      <c r="AE141" s="49">
        <f t="shared" si="71"/>
        <v>16251.525058585281</v>
      </c>
      <c r="AF141" s="49">
        <f t="shared" si="71"/>
        <v>16251.525058585281</v>
      </c>
      <c r="AH141" s="49">
        <f t="shared" si="60"/>
        <v>0</v>
      </c>
      <c r="AI141" s="49">
        <f t="shared" si="61"/>
        <v>0</v>
      </c>
      <c r="AJ141" s="49">
        <f t="shared" si="62"/>
        <v>103197.18412201654</v>
      </c>
      <c r="AK141" s="49">
        <f t="shared" si="63"/>
        <v>194035.08343697898</v>
      </c>
      <c r="AL141" s="49">
        <f t="shared" si="64"/>
        <v>170923.2208477878</v>
      </c>
      <c r="AN141" s="49">
        <f t="shared" si="46"/>
        <v>0</v>
      </c>
      <c r="AO141" s="49">
        <f t="shared" si="47"/>
        <v>0</v>
      </c>
      <c r="AP141" s="49">
        <f t="shared" si="48"/>
        <v>1521955.3217365113</v>
      </c>
      <c r="AQ141" s="49">
        <f t="shared" si="49"/>
        <v>1327920.2382995323</v>
      </c>
      <c r="AR141" s="49">
        <f t="shared" si="50"/>
        <v>1156997.0174517445</v>
      </c>
      <c r="AT141" s="49">
        <f t="shared" si="51"/>
        <v>0</v>
      </c>
      <c r="AU141" s="49">
        <f t="shared" si="51"/>
        <v>0</v>
      </c>
      <c r="AV141" s="49">
        <f t="shared" si="51"/>
        <v>16251.525058585279</v>
      </c>
      <c r="AW141" s="49">
        <f t="shared" si="51"/>
        <v>16639.741489184766</v>
      </c>
      <c r="AX141" s="49">
        <f t="shared" si="51"/>
        <v>16854.926626122899</v>
      </c>
      <c r="AZ141" s="53">
        <f t="shared" si="65"/>
        <v>0</v>
      </c>
      <c r="BA141" s="53">
        <f t="shared" si="66"/>
        <v>0</v>
      </c>
      <c r="BB141" s="53">
        <f t="shared" si="67"/>
        <v>177283.01140658924</v>
      </c>
      <c r="BC141" s="53">
        <f t="shared" si="68"/>
        <v>261135.79398154598</v>
      </c>
      <c r="BD141" s="53">
        <f t="shared" si="69"/>
        <v>231744.03413707699</v>
      </c>
    </row>
    <row r="142" spans="2:56">
      <c r="B142" s="43">
        <f>'3. Input (des)investeringen '!B167</f>
        <v>1610</v>
      </c>
      <c r="C142" s="54"/>
      <c r="D142" s="54"/>
      <c r="E142" s="54"/>
      <c r="F142" s="48">
        <f>'3. Input (des)investeringen '!D167</f>
        <v>4883791.4333008695</v>
      </c>
      <c r="G142" s="54"/>
      <c r="H142" s="43">
        <f>'3. Input (des)investeringen '!F167</f>
        <v>2024</v>
      </c>
      <c r="I142" s="48" t="str">
        <f>'3. Input (des)investeringen '!G167</f>
        <v>nvt</v>
      </c>
      <c r="J142" s="48">
        <f>'3. Input (des)investeringen '!H167</f>
        <v>15</v>
      </c>
      <c r="K142" s="48">
        <f>'3. Input (des)investeringen '!I167</f>
        <v>0</v>
      </c>
      <c r="M142" s="49">
        <f t="shared" si="57"/>
        <v>0</v>
      </c>
      <c r="N142" s="49">
        <f t="shared" si="58"/>
        <v>0</v>
      </c>
      <c r="P142" s="147">
        <f t="shared" si="37"/>
        <v>0</v>
      </c>
      <c r="Q142" s="147">
        <f t="shared" si="38"/>
        <v>0</v>
      </c>
      <c r="S142" s="49">
        <f t="shared" si="39"/>
        <v>4883791.4333008695</v>
      </c>
      <c r="T142" s="44">
        <f t="shared" si="59"/>
        <v>15</v>
      </c>
      <c r="V142" s="49">
        <f t="shared" si="70"/>
        <v>0</v>
      </c>
      <c r="W142" s="49">
        <f t="shared" si="70"/>
        <v>0</v>
      </c>
      <c r="X142" s="49">
        <f t="shared" si="70"/>
        <v>190467.86589873393</v>
      </c>
      <c r="Y142" s="49">
        <f t="shared" si="70"/>
        <v>364428.51675291092</v>
      </c>
      <c r="Z142" s="49">
        <f t="shared" si="70"/>
        <v>332844.7119676586</v>
      </c>
      <c r="AB142" s="49">
        <f t="shared" si="71"/>
        <v>0</v>
      </c>
      <c r="AC142" s="49">
        <f t="shared" si="71"/>
        <v>0</v>
      </c>
      <c r="AD142" s="49">
        <f t="shared" si="71"/>
        <v>16279.304777669566</v>
      </c>
      <c r="AE142" s="49">
        <f t="shared" si="71"/>
        <v>32558.609555339131</v>
      </c>
      <c r="AF142" s="49">
        <f t="shared" si="71"/>
        <v>32558.609555339131</v>
      </c>
      <c r="AH142" s="49">
        <f t="shared" si="60"/>
        <v>0</v>
      </c>
      <c r="AI142" s="49">
        <f t="shared" si="61"/>
        <v>0</v>
      </c>
      <c r="AJ142" s="49">
        <f t="shared" si="62"/>
        <v>206747.1706764035</v>
      </c>
      <c r="AK142" s="49">
        <f t="shared" si="63"/>
        <v>396987.12630825007</v>
      </c>
      <c r="AL142" s="49">
        <f t="shared" si="64"/>
        <v>365403.32152299775</v>
      </c>
      <c r="AN142" s="49">
        <f t="shared" si="46"/>
        <v>0</v>
      </c>
      <c r="AO142" s="49">
        <f t="shared" si="47"/>
        <v>0</v>
      </c>
      <c r="AP142" s="49">
        <f t="shared" si="48"/>
        <v>4677044.2626244659</v>
      </c>
      <c r="AQ142" s="49">
        <f t="shared" si="49"/>
        <v>4280057.1363162156</v>
      </c>
      <c r="AR142" s="49">
        <f t="shared" si="50"/>
        <v>3914653.8147932179</v>
      </c>
      <c r="AT142" s="49">
        <f t="shared" si="51"/>
        <v>0</v>
      </c>
      <c r="AU142" s="49">
        <f t="shared" si="51"/>
        <v>0</v>
      </c>
      <c r="AV142" s="49">
        <f t="shared" si="51"/>
        <v>48837.914333008695</v>
      </c>
      <c r="AW142" s="49">
        <f t="shared" si="51"/>
        <v>50004.554430595606</v>
      </c>
      <c r="AX142" s="49">
        <f t="shared" si="51"/>
        <v>50651.213328492056</v>
      </c>
      <c r="AZ142" s="53">
        <f t="shared" si="65"/>
        <v>0</v>
      </c>
      <c r="BA142" s="53">
        <f t="shared" si="66"/>
        <v>0</v>
      </c>
      <c r="BB142" s="53">
        <f t="shared" si="67"/>
        <v>433312.76698914194</v>
      </c>
      <c r="BC142" s="53">
        <f t="shared" si="68"/>
        <v>609633.85191886185</v>
      </c>
      <c r="BD142" s="53">
        <f t="shared" si="69"/>
        <v>564811.37981363211</v>
      </c>
    </row>
    <row r="143" spans="2:56">
      <c r="B143" s="43">
        <f>'3. Input (des)investeringen '!B168</f>
        <v>1611</v>
      </c>
      <c r="C143" s="54"/>
      <c r="D143" s="54"/>
      <c r="E143" s="54"/>
      <c r="F143" s="48">
        <f>'3. Input (des)investeringen '!D168</f>
        <v>27700057.310498618</v>
      </c>
      <c r="G143" s="54"/>
      <c r="H143" s="43">
        <f>'3. Input (des)investeringen '!F168</f>
        <v>2024</v>
      </c>
      <c r="I143" s="48" t="str">
        <f>'3. Input (des)investeringen '!G168</f>
        <v>nvt</v>
      </c>
      <c r="J143" s="48">
        <f>'3. Input (des)investeringen '!H168</f>
        <v>30</v>
      </c>
      <c r="K143" s="48">
        <f>'3. Input (des)investeringen '!I168</f>
        <v>0</v>
      </c>
      <c r="M143" s="49">
        <f t="shared" si="57"/>
        <v>0</v>
      </c>
      <c r="N143" s="49">
        <f t="shared" si="58"/>
        <v>0</v>
      </c>
      <c r="P143" s="147">
        <f t="shared" si="37"/>
        <v>0</v>
      </c>
      <c r="Q143" s="147">
        <f t="shared" si="38"/>
        <v>0</v>
      </c>
      <c r="S143" s="49">
        <f t="shared" si="39"/>
        <v>27700057.310498618</v>
      </c>
      <c r="T143" s="44">
        <f t="shared" si="59"/>
        <v>30</v>
      </c>
      <c r="V143" s="49">
        <f t="shared" si="70"/>
        <v>0</v>
      </c>
      <c r="W143" s="49">
        <f t="shared" si="70"/>
        <v>0</v>
      </c>
      <c r="X143" s="49">
        <f t="shared" si="70"/>
        <v>540151.11755472305</v>
      </c>
      <c r="Y143" s="49">
        <f t="shared" si="70"/>
        <v>1056895.6866820748</v>
      </c>
      <c r="Z143" s="49">
        <f t="shared" si="70"/>
        <v>1011096.8735925182</v>
      </c>
      <c r="AB143" s="49">
        <f t="shared" si="71"/>
        <v>0</v>
      </c>
      <c r="AC143" s="49">
        <f t="shared" si="71"/>
        <v>0</v>
      </c>
      <c r="AD143" s="49">
        <f t="shared" si="71"/>
        <v>46166.762184164363</v>
      </c>
      <c r="AE143" s="49">
        <f t="shared" si="71"/>
        <v>92333.524368328726</v>
      </c>
      <c r="AF143" s="49">
        <f t="shared" si="71"/>
        <v>92333.524368328726</v>
      </c>
      <c r="AH143" s="49">
        <f t="shared" si="60"/>
        <v>0</v>
      </c>
      <c r="AI143" s="49">
        <f t="shared" si="61"/>
        <v>0</v>
      </c>
      <c r="AJ143" s="49">
        <f t="shared" si="62"/>
        <v>586317.87973888742</v>
      </c>
      <c r="AK143" s="49">
        <f t="shared" si="63"/>
        <v>1149229.2110504035</v>
      </c>
      <c r="AL143" s="49">
        <f t="shared" si="64"/>
        <v>1103430.3979608468</v>
      </c>
      <c r="AN143" s="49">
        <f t="shared" si="46"/>
        <v>0</v>
      </c>
      <c r="AO143" s="49">
        <f t="shared" si="47"/>
        <v>0</v>
      </c>
      <c r="AP143" s="49">
        <f t="shared" si="48"/>
        <v>27113739.430759732</v>
      </c>
      <c r="AQ143" s="49">
        <f t="shared" si="49"/>
        <v>25964510.219709329</v>
      </c>
      <c r="AR143" s="49">
        <f t="shared" si="50"/>
        <v>24861079.821748484</v>
      </c>
      <c r="AT143" s="49">
        <f t="shared" si="51"/>
        <v>0</v>
      </c>
      <c r="AU143" s="49">
        <f t="shared" si="51"/>
        <v>0</v>
      </c>
      <c r="AV143" s="49">
        <f t="shared" si="51"/>
        <v>277000.57310498616</v>
      </c>
      <c r="AW143" s="49">
        <f t="shared" si="51"/>
        <v>283617.56279531808</v>
      </c>
      <c r="AX143" s="49">
        <f t="shared" si="51"/>
        <v>287285.30511738709</v>
      </c>
      <c r="AZ143" s="53">
        <f t="shared" si="65"/>
        <v>0</v>
      </c>
      <c r="BA143" s="53">
        <f t="shared" si="66"/>
        <v>0</v>
      </c>
      <c r="BB143" s="53">
        <f t="shared" si="67"/>
        <v>1893640.5512127434</v>
      </c>
      <c r="BC143" s="53">
        <f t="shared" si="68"/>
        <v>2419498.1621946762</v>
      </c>
      <c r="BD143" s="53">
        <f t="shared" si="69"/>
        <v>2335436.7363046762</v>
      </c>
    </row>
    <row r="144" spans="2:56">
      <c r="B144" s="43">
        <f>'3. Input (des)investeringen '!B169</f>
        <v>1612</v>
      </c>
      <c r="C144" s="54"/>
      <c r="D144" s="54"/>
      <c r="E144" s="54"/>
      <c r="F144" s="48">
        <f>'3. Input (des)investeringen '!D169</f>
        <v>39130.263467803168</v>
      </c>
      <c r="G144" s="54"/>
      <c r="H144" s="43">
        <f>'3. Input (des)investeringen '!F169</f>
        <v>2024</v>
      </c>
      <c r="I144" s="48" t="str">
        <f>'3. Input (des)investeringen '!G169</f>
        <v>nvt</v>
      </c>
      <c r="J144" s="48">
        <f>'3. Input (des)investeringen '!H169</f>
        <v>55</v>
      </c>
      <c r="K144" s="48">
        <f>'3. Input (des)investeringen '!I169</f>
        <v>0</v>
      </c>
      <c r="M144" s="49">
        <f t="shared" si="57"/>
        <v>0</v>
      </c>
      <c r="N144" s="49">
        <f t="shared" si="58"/>
        <v>0</v>
      </c>
      <c r="P144" s="147">
        <f t="shared" si="37"/>
        <v>0</v>
      </c>
      <c r="Q144" s="147">
        <f t="shared" si="38"/>
        <v>0</v>
      </c>
      <c r="S144" s="49">
        <f t="shared" si="39"/>
        <v>39130.263467803168</v>
      </c>
      <c r="T144" s="44">
        <f t="shared" si="59"/>
        <v>55</v>
      </c>
      <c r="V144" s="49">
        <f t="shared" si="70"/>
        <v>0</v>
      </c>
      <c r="W144" s="49">
        <f t="shared" si="70"/>
        <v>0</v>
      </c>
      <c r="X144" s="49">
        <f t="shared" si="70"/>
        <v>416.20371143027006</v>
      </c>
      <c r="Y144" s="49">
        <f t="shared" si="70"/>
        <v>822.56988059037008</v>
      </c>
      <c r="Z144" s="49">
        <f t="shared" si="70"/>
        <v>803.1273197764159</v>
      </c>
      <c r="AB144" s="49">
        <f t="shared" si="71"/>
        <v>0</v>
      </c>
      <c r="AC144" s="49">
        <f t="shared" si="71"/>
        <v>0</v>
      </c>
      <c r="AD144" s="49">
        <f t="shared" si="71"/>
        <v>35.57296678891197</v>
      </c>
      <c r="AE144" s="49">
        <f t="shared" si="71"/>
        <v>71.145933577823953</v>
      </c>
      <c r="AF144" s="49">
        <f t="shared" si="71"/>
        <v>71.145933577823953</v>
      </c>
      <c r="AH144" s="49">
        <f t="shared" si="60"/>
        <v>0</v>
      </c>
      <c r="AI144" s="49">
        <f t="shared" si="61"/>
        <v>0</v>
      </c>
      <c r="AJ144" s="49">
        <f t="shared" si="62"/>
        <v>451.77667821918203</v>
      </c>
      <c r="AK144" s="49">
        <f t="shared" si="63"/>
        <v>893.71581416819402</v>
      </c>
      <c r="AL144" s="49">
        <f t="shared" si="64"/>
        <v>874.27325335423984</v>
      </c>
      <c r="AN144" s="49">
        <f t="shared" si="46"/>
        <v>0</v>
      </c>
      <c r="AO144" s="49">
        <f t="shared" si="47"/>
        <v>0</v>
      </c>
      <c r="AP144" s="49">
        <f t="shared" si="48"/>
        <v>38678.486789583985</v>
      </c>
      <c r="AQ144" s="49">
        <f t="shared" si="49"/>
        <v>37784.770975415791</v>
      </c>
      <c r="AR144" s="49">
        <f t="shared" si="50"/>
        <v>36910.497722061555</v>
      </c>
      <c r="AT144" s="49">
        <f t="shared" si="51"/>
        <v>0</v>
      </c>
      <c r="AU144" s="49">
        <f t="shared" si="51"/>
        <v>0</v>
      </c>
      <c r="AV144" s="49">
        <f t="shared" si="51"/>
        <v>391.30263467803167</v>
      </c>
      <c r="AW144" s="49">
        <f t="shared" si="51"/>
        <v>400.65007201522053</v>
      </c>
      <c r="AX144" s="49">
        <f t="shared" si="51"/>
        <v>405.83127874652126</v>
      </c>
      <c r="AZ144" s="53">
        <f t="shared" si="65"/>
        <v>0</v>
      </c>
      <c r="BA144" s="53">
        <f t="shared" si="66"/>
        <v>0</v>
      </c>
      <c r="BB144" s="53">
        <f t="shared" si="67"/>
        <v>2312.8618109014051</v>
      </c>
      <c r="BC144" s="53">
        <f t="shared" si="68"/>
        <v>2730.1871832492143</v>
      </c>
      <c r="BD144" s="53">
        <f t="shared" si="69"/>
        <v>2682.7034455390999</v>
      </c>
    </row>
    <row r="145" spans="2:56">
      <c r="B145" s="43">
        <f>'3. Input (des)investeringen '!B170</f>
        <v>1613</v>
      </c>
      <c r="C145" s="54"/>
      <c r="D145" s="54"/>
      <c r="E145" s="54"/>
      <c r="F145" s="48">
        <f>'3. Input (des)investeringen '!D170</f>
        <v>0</v>
      </c>
      <c r="G145" s="54"/>
      <c r="H145" s="43">
        <f>'3. Input (des)investeringen '!F170</f>
        <v>2024</v>
      </c>
      <c r="I145" s="48" t="str">
        <f>'3. Input (des)investeringen '!G170</f>
        <v>nvt</v>
      </c>
      <c r="J145" s="48">
        <f>'3. Input (des)investeringen '!H170</f>
        <v>0</v>
      </c>
      <c r="K145" s="48">
        <f>'3. Input (des)investeringen '!I170</f>
        <v>0</v>
      </c>
      <c r="M145" s="49">
        <f t="shared" si="57"/>
        <v>0</v>
      </c>
      <c r="N145" s="49">
        <f t="shared" si="58"/>
        <v>0</v>
      </c>
      <c r="P145" s="147">
        <f t="shared" si="37"/>
        <v>0</v>
      </c>
      <c r="Q145" s="147">
        <f t="shared" si="38"/>
        <v>0</v>
      </c>
      <c r="S145" s="49">
        <f t="shared" si="39"/>
        <v>0</v>
      </c>
      <c r="T145" s="44">
        <f t="shared" si="59"/>
        <v>0</v>
      </c>
      <c r="V145" s="49">
        <f t="shared" si="70"/>
        <v>0</v>
      </c>
      <c r="W145" s="49">
        <f t="shared" si="70"/>
        <v>0</v>
      </c>
      <c r="X145" s="49">
        <f t="shared" si="70"/>
        <v>0</v>
      </c>
      <c r="Y145" s="49">
        <f t="shared" si="70"/>
        <v>0</v>
      </c>
      <c r="Z145" s="49">
        <f t="shared" si="70"/>
        <v>0</v>
      </c>
      <c r="AB145" s="49">
        <f t="shared" si="71"/>
        <v>0</v>
      </c>
      <c r="AC145" s="49">
        <f t="shared" si="71"/>
        <v>0</v>
      </c>
      <c r="AD145" s="49">
        <f t="shared" si="71"/>
        <v>0</v>
      </c>
      <c r="AE145" s="49">
        <f t="shared" si="71"/>
        <v>0</v>
      </c>
      <c r="AF145" s="49">
        <f t="shared" si="71"/>
        <v>0</v>
      </c>
      <c r="AH145" s="49">
        <f t="shared" si="60"/>
        <v>0</v>
      </c>
      <c r="AI145" s="49">
        <f t="shared" si="61"/>
        <v>0</v>
      </c>
      <c r="AJ145" s="49">
        <f t="shared" si="62"/>
        <v>0</v>
      </c>
      <c r="AK145" s="49">
        <f t="shared" si="63"/>
        <v>0</v>
      </c>
      <c r="AL145" s="49">
        <f t="shared" si="64"/>
        <v>0</v>
      </c>
      <c r="AN145" s="49">
        <f t="shared" si="46"/>
        <v>0</v>
      </c>
      <c r="AO145" s="49">
        <f t="shared" si="47"/>
        <v>0</v>
      </c>
      <c r="AP145" s="49">
        <f t="shared" si="48"/>
        <v>0</v>
      </c>
      <c r="AQ145" s="49">
        <f t="shared" si="49"/>
        <v>0</v>
      </c>
      <c r="AR145" s="49">
        <f t="shared" si="50"/>
        <v>0</v>
      </c>
      <c r="AT145" s="49">
        <f t="shared" si="51"/>
        <v>0</v>
      </c>
      <c r="AU145" s="49">
        <f t="shared" si="51"/>
        <v>0</v>
      </c>
      <c r="AV145" s="49">
        <f t="shared" si="51"/>
        <v>0</v>
      </c>
      <c r="AW145" s="49">
        <f t="shared" si="51"/>
        <v>0</v>
      </c>
      <c r="AX145" s="49">
        <f t="shared" si="51"/>
        <v>0</v>
      </c>
      <c r="AZ145" s="53">
        <f t="shared" si="65"/>
        <v>0</v>
      </c>
      <c r="BA145" s="53">
        <f t="shared" si="66"/>
        <v>0</v>
      </c>
      <c r="BB145" s="53">
        <f t="shared" si="67"/>
        <v>0</v>
      </c>
      <c r="BC145" s="53">
        <f t="shared" si="68"/>
        <v>0</v>
      </c>
      <c r="BD145" s="53">
        <f t="shared" si="69"/>
        <v>0</v>
      </c>
    </row>
    <row r="146" spans="2:56">
      <c r="B146" s="43">
        <f>'3. Input (des)investeringen '!B171</f>
        <v>1614</v>
      </c>
      <c r="C146" s="54"/>
      <c r="D146" s="54"/>
      <c r="E146" s="54"/>
      <c r="F146" s="48">
        <f>'3. Input (des)investeringen '!D171</f>
        <v>651273.34409009432</v>
      </c>
      <c r="G146" s="54"/>
      <c r="H146" s="43">
        <f>'3. Input (des)investeringen '!F171</f>
        <v>2024</v>
      </c>
      <c r="I146" s="48" t="str">
        <f>'3. Input (des)investeringen '!G171</f>
        <v>nvt</v>
      </c>
      <c r="J146" s="48">
        <f>'3. Input (des)investeringen '!H171</f>
        <v>5</v>
      </c>
      <c r="K146" s="48">
        <f>'3. Input (des)investeringen '!I171</f>
        <v>0</v>
      </c>
      <c r="M146" s="49">
        <f t="shared" si="57"/>
        <v>0</v>
      </c>
      <c r="N146" s="49">
        <f t="shared" si="58"/>
        <v>0</v>
      </c>
      <c r="P146" s="147">
        <f t="shared" si="37"/>
        <v>0</v>
      </c>
      <c r="Q146" s="147">
        <f t="shared" si="38"/>
        <v>0</v>
      </c>
      <c r="S146" s="49">
        <f t="shared" si="39"/>
        <v>651273.34409009432</v>
      </c>
      <c r="T146" s="44">
        <f t="shared" si="59"/>
        <v>5</v>
      </c>
      <c r="V146" s="49">
        <f t="shared" si="70"/>
        <v>0</v>
      </c>
      <c r="W146" s="49">
        <f t="shared" si="70"/>
        <v>0</v>
      </c>
      <c r="X146" s="49">
        <f t="shared" si="70"/>
        <v>76198.98125854104</v>
      </c>
      <c r="Y146" s="49">
        <f t="shared" si="70"/>
        <v>132586.22738986139</v>
      </c>
      <c r="Z146" s="49">
        <f t="shared" si="70"/>
        <v>107817.37172362355</v>
      </c>
      <c r="AB146" s="49">
        <f t="shared" si="71"/>
        <v>0</v>
      </c>
      <c r="AC146" s="49">
        <f t="shared" si="71"/>
        <v>0</v>
      </c>
      <c r="AD146" s="49">
        <f t="shared" si="71"/>
        <v>6512.7334409009436</v>
      </c>
      <c r="AE146" s="49">
        <f t="shared" si="71"/>
        <v>13025.466881801887</v>
      </c>
      <c r="AF146" s="49">
        <f t="shared" si="71"/>
        <v>13025.466881801887</v>
      </c>
      <c r="AH146" s="49">
        <f t="shared" si="60"/>
        <v>0</v>
      </c>
      <c r="AI146" s="49">
        <f t="shared" si="61"/>
        <v>0</v>
      </c>
      <c r="AJ146" s="49">
        <f t="shared" si="62"/>
        <v>82711.714699441989</v>
      </c>
      <c r="AK146" s="49">
        <f t="shared" si="63"/>
        <v>145611.69427166329</v>
      </c>
      <c r="AL146" s="49">
        <f t="shared" si="64"/>
        <v>120842.83860542544</v>
      </c>
      <c r="AN146" s="49">
        <f t="shared" si="46"/>
        <v>0</v>
      </c>
      <c r="AO146" s="49">
        <f t="shared" si="47"/>
        <v>0</v>
      </c>
      <c r="AP146" s="49">
        <f t="shared" si="48"/>
        <v>568561.62939065229</v>
      </c>
      <c r="AQ146" s="49">
        <f t="shared" si="49"/>
        <v>422949.93511898897</v>
      </c>
      <c r="AR146" s="49">
        <f t="shared" si="50"/>
        <v>302107.09651356353</v>
      </c>
      <c r="AT146" s="49">
        <f t="shared" si="51"/>
        <v>0</v>
      </c>
      <c r="AU146" s="49">
        <f t="shared" si="51"/>
        <v>0</v>
      </c>
      <c r="AV146" s="49">
        <f t="shared" si="51"/>
        <v>6512.7334409009436</v>
      </c>
      <c r="AW146" s="49">
        <f t="shared" si="51"/>
        <v>6668.309617337185</v>
      </c>
      <c r="AX146" s="49">
        <f t="shared" si="51"/>
        <v>6754.544197308589</v>
      </c>
      <c r="AZ146" s="53">
        <f t="shared" si="65"/>
        <v>0</v>
      </c>
      <c r="BA146" s="53">
        <f t="shared" si="66"/>
        <v>0</v>
      </c>
      <c r="BB146" s="53">
        <f t="shared" si="67"/>
        <v>110829.79005718773</v>
      </c>
      <c r="BC146" s="53">
        <f t="shared" si="68"/>
        <v>168352.10142352205</v>
      </c>
      <c r="BD146" s="53">
        <f t="shared" si="69"/>
        <v>139077.45247024944</v>
      </c>
    </row>
    <row r="147" spans="2:56">
      <c r="B147" s="43">
        <f>'3. Input (des)investeringen '!B172</f>
        <v>1615</v>
      </c>
      <c r="C147" s="54"/>
      <c r="D147" s="54"/>
      <c r="E147" s="54"/>
      <c r="F147" s="48">
        <f>'3. Input (des)investeringen '!D172</f>
        <v>4821081.9099292308</v>
      </c>
      <c r="G147" s="54"/>
      <c r="H147" s="43">
        <f>'3. Input (des)investeringen '!F172</f>
        <v>2024</v>
      </c>
      <c r="I147" s="48" t="str">
        <f>'3. Input (des)investeringen '!G172</f>
        <v>nvt</v>
      </c>
      <c r="J147" s="48">
        <f>'3. Input (des)investeringen '!H172</f>
        <v>10</v>
      </c>
      <c r="K147" s="48">
        <f>'3. Input (des)investeringen '!I172</f>
        <v>0</v>
      </c>
      <c r="M147" s="49">
        <f t="shared" si="57"/>
        <v>0</v>
      </c>
      <c r="N147" s="49">
        <f t="shared" si="58"/>
        <v>0</v>
      </c>
      <c r="P147" s="147">
        <f t="shared" si="37"/>
        <v>0</v>
      </c>
      <c r="Q147" s="147">
        <f t="shared" si="38"/>
        <v>0</v>
      </c>
      <c r="S147" s="49">
        <f t="shared" si="39"/>
        <v>4821081.9099292308</v>
      </c>
      <c r="T147" s="44">
        <f t="shared" si="59"/>
        <v>10</v>
      </c>
      <c r="V147" s="49">
        <f t="shared" si="70"/>
        <v>0</v>
      </c>
      <c r="W147" s="49">
        <f t="shared" si="70"/>
        <v>0</v>
      </c>
      <c r="X147" s="49">
        <f t="shared" si="70"/>
        <v>282033.29173086007</v>
      </c>
      <c r="Y147" s="49">
        <f t="shared" si="70"/>
        <v>527402.25553670828</v>
      </c>
      <c r="Z147" s="49">
        <f t="shared" si="70"/>
        <v>458839.96231693623</v>
      </c>
      <c r="AB147" s="49">
        <f t="shared" si="71"/>
        <v>0</v>
      </c>
      <c r="AC147" s="49">
        <f t="shared" si="71"/>
        <v>0</v>
      </c>
      <c r="AD147" s="49">
        <f t="shared" si="71"/>
        <v>24105.409549646156</v>
      </c>
      <c r="AE147" s="49">
        <f t="shared" si="71"/>
        <v>48210.819099292312</v>
      </c>
      <c r="AF147" s="49">
        <f t="shared" si="71"/>
        <v>48210.819099292312</v>
      </c>
      <c r="AH147" s="49">
        <f t="shared" si="60"/>
        <v>0</v>
      </c>
      <c r="AI147" s="49">
        <f t="shared" si="61"/>
        <v>0</v>
      </c>
      <c r="AJ147" s="49">
        <f t="shared" si="62"/>
        <v>306138.70128050621</v>
      </c>
      <c r="AK147" s="49">
        <f t="shared" si="63"/>
        <v>575613.07463600056</v>
      </c>
      <c r="AL147" s="49">
        <f t="shared" si="64"/>
        <v>507050.78141622856</v>
      </c>
      <c r="AN147" s="49">
        <f t="shared" si="46"/>
        <v>0</v>
      </c>
      <c r="AO147" s="49">
        <f t="shared" si="47"/>
        <v>0</v>
      </c>
      <c r="AP147" s="49">
        <f t="shared" si="48"/>
        <v>4514943.2086487245</v>
      </c>
      <c r="AQ147" s="49">
        <f t="shared" si="49"/>
        <v>3939330.1340127238</v>
      </c>
      <c r="AR147" s="49">
        <f t="shared" si="50"/>
        <v>3432279.3525964953</v>
      </c>
      <c r="AT147" s="49">
        <f t="shared" si="51"/>
        <v>0</v>
      </c>
      <c r="AU147" s="49">
        <f t="shared" si="51"/>
        <v>0</v>
      </c>
      <c r="AV147" s="49">
        <f t="shared" si="51"/>
        <v>48210.819099292312</v>
      </c>
      <c r="AW147" s="49">
        <f t="shared" si="51"/>
        <v>49362.479145936202</v>
      </c>
      <c r="AX147" s="49">
        <f t="shared" si="51"/>
        <v>50000.834726251436</v>
      </c>
      <c r="AZ147" s="53">
        <f t="shared" si="65"/>
        <v>0</v>
      </c>
      <c r="BA147" s="53">
        <f t="shared" si="66"/>
        <v>0</v>
      </c>
      <c r="BB147" s="53">
        <f t="shared" si="67"/>
        <v>525917.36230845004</v>
      </c>
      <c r="BC147" s="53">
        <f t="shared" si="68"/>
        <v>774670.09887442028</v>
      </c>
      <c r="BD147" s="53">
        <f t="shared" si="69"/>
        <v>687478.23154114676</v>
      </c>
    </row>
    <row r="148" spans="2:56">
      <c r="B148" s="43">
        <f>'3. Input (des)investeringen '!B173</f>
        <v>1616</v>
      </c>
      <c r="C148" s="54"/>
      <c r="D148" s="54"/>
      <c r="E148" s="54"/>
      <c r="F148" s="48">
        <f>'3. Input (des)investeringen '!D173</f>
        <v>7889201.656386218</v>
      </c>
      <c r="G148" s="54"/>
      <c r="H148" s="43">
        <f>'3. Input (des)investeringen '!F173</f>
        <v>2024</v>
      </c>
      <c r="I148" s="48" t="str">
        <f>'3. Input (des)investeringen '!G173</f>
        <v>nvt</v>
      </c>
      <c r="J148" s="48">
        <f>'3. Input (des)investeringen '!H173</f>
        <v>15</v>
      </c>
      <c r="K148" s="48">
        <f>'3. Input (des)investeringen '!I173</f>
        <v>0</v>
      </c>
      <c r="M148" s="49">
        <f t="shared" si="57"/>
        <v>0</v>
      </c>
      <c r="N148" s="49">
        <f t="shared" si="58"/>
        <v>0</v>
      </c>
      <c r="P148" s="147">
        <f t="shared" si="37"/>
        <v>0</v>
      </c>
      <c r="Q148" s="147">
        <f t="shared" si="38"/>
        <v>0</v>
      </c>
      <c r="S148" s="49">
        <f t="shared" si="39"/>
        <v>7889201.656386218</v>
      </c>
      <c r="T148" s="44">
        <f t="shared" si="59"/>
        <v>15</v>
      </c>
      <c r="V148" s="49">
        <f t="shared" si="70"/>
        <v>0</v>
      </c>
      <c r="W148" s="49">
        <f t="shared" si="70"/>
        <v>0</v>
      </c>
      <c r="X148" s="49">
        <f t="shared" si="70"/>
        <v>307678.86459906254</v>
      </c>
      <c r="Y148" s="49">
        <f t="shared" si="70"/>
        <v>588692.22759953968</v>
      </c>
      <c r="Z148" s="49">
        <f t="shared" si="70"/>
        <v>537672.2345409129</v>
      </c>
      <c r="AB148" s="49">
        <f t="shared" si="71"/>
        <v>0</v>
      </c>
      <c r="AC148" s="49">
        <f t="shared" si="71"/>
        <v>0</v>
      </c>
      <c r="AD148" s="49">
        <f t="shared" si="71"/>
        <v>26297.338854620732</v>
      </c>
      <c r="AE148" s="49">
        <f t="shared" si="71"/>
        <v>52594.677709241463</v>
      </c>
      <c r="AF148" s="49">
        <f t="shared" si="71"/>
        <v>52594.677709241463</v>
      </c>
      <c r="AH148" s="49">
        <f t="shared" si="60"/>
        <v>0</v>
      </c>
      <c r="AI148" s="49">
        <f t="shared" si="61"/>
        <v>0</v>
      </c>
      <c r="AJ148" s="49">
        <f t="shared" si="62"/>
        <v>333976.20345368329</v>
      </c>
      <c r="AK148" s="49">
        <f t="shared" si="63"/>
        <v>641286.90530878119</v>
      </c>
      <c r="AL148" s="49">
        <f t="shared" si="64"/>
        <v>590266.91225015442</v>
      </c>
      <c r="AN148" s="49">
        <f t="shared" si="46"/>
        <v>0</v>
      </c>
      <c r="AO148" s="49">
        <f t="shared" si="47"/>
        <v>0</v>
      </c>
      <c r="AP148" s="49">
        <f t="shared" si="48"/>
        <v>7555225.4529325347</v>
      </c>
      <c r="AQ148" s="49">
        <f t="shared" si="49"/>
        <v>6913938.5476237535</v>
      </c>
      <c r="AR148" s="49">
        <f t="shared" si="50"/>
        <v>6323671.6353735989</v>
      </c>
      <c r="AT148" s="49">
        <f t="shared" si="51"/>
        <v>0</v>
      </c>
      <c r="AU148" s="49">
        <f t="shared" si="51"/>
        <v>0</v>
      </c>
      <c r="AV148" s="49">
        <f t="shared" si="51"/>
        <v>78892.016563862184</v>
      </c>
      <c r="AW148" s="49">
        <f t="shared" si="51"/>
        <v>80776.58905553972</v>
      </c>
      <c r="AX148" s="49">
        <f t="shared" si="51"/>
        <v>81821.191905205953</v>
      </c>
      <c r="AZ148" s="53">
        <f t="shared" si="65"/>
        <v>0</v>
      </c>
      <c r="BA148" s="53">
        <f t="shared" si="66"/>
        <v>0</v>
      </c>
      <c r="BB148" s="53">
        <f t="shared" si="67"/>
        <v>699966.78722898185</v>
      </c>
      <c r="BC148" s="53">
        <f t="shared" si="68"/>
        <v>984793.15917402355</v>
      </c>
      <c r="BD148" s="53">
        <f t="shared" si="69"/>
        <v>912387.62629955716</v>
      </c>
    </row>
    <row r="149" spans="2:56">
      <c r="B149" s="43">
        <f>'3. Input (des)investeringen '!B174</f>
        <v>1617</v>
      </c>
      <c r="C149" s="54"/>
      <c r="D149" s="54"/>
      <c r="E149" s="54"/>
      <c r="F149" s="48">
        <f>'3. Input (des)investeringen '!D174</f>
        <v>7827738.1927272025</v>
      </c>
      <c r="G149" s="54"/>
      <c r="H149" s="43">
        <f>'3. Input (des)investeringen '!F174</f>
        <v>2024</v>
      </c>
      <c r="I149" s="48" t="str">
        <f>'3. Input (des)investeringen '!G174</f>
        <v>nvt</v>
      </c>
      <c r="J149" s="48">
        <f>'3. Input (des)investeringen '!H174</f>
        <v>30</v>
      </c>
      <c r="K149" s="48">
        <f>'3. Input (des)investeringen '!I174</f>
        <v>0</v>
      </c>
      <c r="M149" s="49">
        <f t="shared" si="57"/>
        <v>0</v>
      </c>
      <c r="N149" s="49">
        <f t="shared" si="58"/>
        <v>0</v>
      </c>
      <c r="P149" s="147">
        <f t="shared" si="37"/>
        <v>0</v>
      </c>
      <c r="Q149" s="147">
        <f t="shared" si="38"/>
        <v>0</v>
      </c>
      <c r="S149" s="49">
        <f t="shared" si="39"/>
        <v>7827738.1927272025</v>
      </c>
      <c r="T149" s="44">
        <f t="shared" si="59"/>
        <v>30</v>
      </c>
      <c r="V149" s="49">
        <f t="shared" si="70"/>
        <v>0</v>
      </c>
      <c r="W149" s="49">
        <f t="shared" si="70"/>
        <v>0</v>
      </c>
      <c r="X149" s="49">
        <f t="shared" si="70"/>
        <v>152640.89475818045</v>
      </c>
      <c r="Y149" s="49">
        <f t="shared" si="70"/>
        <v>298667.35074350639</v>
      </c>
      <c r="Z149" s="49">
        <f t="shared" si="70"/>
        <v>285725.09887795447</v>
      </c>
      <c r="AB149" s="49">
        <f t="shared" si="71"/>
        <v>0</v>
      </c>
      <c r="AC149" s="49">
        <f t="shared" si="71"/>
        <v>0</v>
      </c>
      <c r="AD149" s="49">
        <f t="shared" si="71"/>
        <v>13046.230321212004</v>
      </c>
      <c r="AE149" s="49">
        <f t="shared" si="71"/>
        <v>26092.460642424008</v>
      </c>
      <c r="AF149" s="49">
        <f t="shared" si="71"/>
        <v>26092.460642424008</v>
      </c>
      <c r="AH149" s="49">
        <f t="shared" si="60"/>
        <v>0</v>
      </c>
      <c r="AI149" s="49">
        <f t="shared" si="61"/>
        <v>0</v>
      </c>
      <c r="AJ149" s="49">
        <f t="shared" si="62"/>
        <v>165687.12507939246</v>
      </c>
      <c r="AK149" s="49">
        <f t="shared" si="63"/>
        <v>324759.8113859304</v>
      </c>
      <c r="AL149" s="49">
        <f t="shared" si="64"/>
        <v>311817.55952037848</v>
      </c>
      <c r="AN149" s="49">
        <f t="shared" si="46"/>
        <v>0</v>
      </c>
      <c r="AO149" s="49">
        <f t="shared" si="47"/>
        <v>0</v>
      </c>
      <c r="AP149" s="49">
        <f t="shared" si="48"/>
        <v>7662051.0676478101</v>
      </c>
      <c r="AQ149" s="49">
        <f t="shared" si="49"/>
        <v>7337291.2562618796</v>
      </c>
      <c r="AR149" s="49">
        <f t="shared" si="50"/>
        <v>7025473.6967415009</v>
      </c>
      <c r="AT149" s="49">
        <f t="shared" si="51"/>
        <v>0</v>
      </c>
      <c r="AU149" s="49">
        <f t="shared" si="51"/>
        <v>0</v>
      </c>
      <c r="AV149" s="49">
        <f t="shared" si="51"/>
        <v>78277.381927272028</v>
      </c>
      <c r="AW149" s="49">
        <f t="shared" si="51"/>
        <v>80147.27202675071</v>
      </c>
      <c r="AX149" s="49">
        <f t="shared" si="51"/>
        <v>81183.736548600631</v>
      </c>
      <c r="AZ149" s="53">
        <f t="shared" si="65"/>
        <v>0</v>
      </c>
      <c r="BA149" s="53">
        <f t="shared" si="66"/>
        <v>0</v>
      </c>
      <c r="BB149" s="53">
        <f t="shared" si="67"/>
        <v>535122.44757728127</v>
      </c>
      <c r="BC149" s="53">
        <f t="shared" si="68"/>
        <v>683724.15115063253</v>
      </c>
      <c r="BD149" s="53">
        <f t="shared" si="69"/>
        <v>659969.29654515616</v>
      </c>
    </row>
    <row r="150" spans="2:56">
      <c r="B150" s="43">
        <f>'3. Input (des)investeringen '!B175</f>
        <v>1618</v>
      </c>
      <c r="C150" s="54"/>
      <c r="D150" s="54"/>
      <c r="E150" s="54"/>
      <c r="F150" s="48">
        <f>'3. Input (des)investeringen '!D175</f>
        <v>0</v>
      </c>
      <c r="G150" s="54"/>
      <c r="H150" s="43">
        <f>'3. Input (des)investeringen '!F175</f>
        <v>2024</v>
      </c>
      <c r="I150" s="48" t="str">
        <f>'3. Input (des)investeringen '!G175</f>
        <v>nvt</v>
      </c>
      <c r="J150" s="48">
        <f>'3. Input (des)investeringen '!H175</f>
        <v>55</v>
      </c>
      <c r="K150" s="48">
        <f>'3. Input (des)investeringen '!I175</f>
        <v>0</v>
      </c>
      <c r="M150" s="49">
        <f t="shared" si="57"/>
        <v>0</v>
      </c>
      <c r="N150" s="49">
        <f t="shared" si="58"/>
        <v>0</v>
      </c>
      <c r="P150" s="147">
        <f t="shared" si="37"/>
        <v>0</v>
      </c>
      <c r="Q150" s="147">
        <f t="shared" si="38"/>
        <v>0</v>
      </c>
      <c r="S150" s="49">
        <f t="shared" si="39"/>
        <v>0</v>
      </c>
      <c r="T150" s="44">
        <f t="shared" si="59"/>
        <v>55</v>
      </c>
      <c r="V150" s="49">
        <f t="shared" si="70"/>
        <v>0</v>
      </c>
      <c r="W150" s="49">
        <f t="shared" si="70"/>
        <v>0</v>
      </c>
      <c r="X150" s="49">
        <f t="shared" si="70"/>
        <v>0</v>
      </c>
      <c r="Y150" s="49">
        <f t="shared" si="70"/>
        <v>0</v>
      </c>
      <c r="Z150" s="49">
        <f t="shared" si="70"/>
        <v>0</v>
      </c>
      <c r="AB150" s="49">
        <f t="shared" si="71"/>
        <v>0</v>
      </c>
      <c r="AC150" s="49">
        <f t="shared" si="71"/>
        <v>0</v>
      </c>
      <c r="AD150" s="49">
        <f t="shared" si="71"/>
        <v>0</v>
      </c>
      <c r="AE150" s="49">
        <f t="shared" si="71"/>
        <v>0</v>
      </c>
      <c r="AF150" s="49">
        <f t="shared" si="71"/>
        <v>0</v>
      </c>
      <c r="AH150" s="49">
        <f t="shared" si="60"/>
        <v>0</v>
      </c>
      <c r="AI150" s="49">
        <f t="shared" si="61"/>
        <v>0</v>
      </c>
      <c r="AJ150" s="49">
        <f t="shared" si="62"/>
        <v>0</v>
      </c>
      <c r="AK150" s="49">
        <f t="shared" si="63"/>
        <v>0</v>
      </c>
      <c r="AL150" s="49">
        <f t="shared" si="64"/>
        <v>0</v>
      </c>
      <c r="AN150" s="49">
        <f t="shared" si="46"/>
        <v>0</v>
      </c>
      <c r="AO150" s="49">
        <f t="shared" si="47"/>
        <v>0</v>
      </c>
      <c r="AP150" s="49">
        <f t="shared" si="48"/>
        <v>0</v>
      </c>
      <c r="AQ150" s="49">
        <f t="shared" si="49"/>
        <v>0</v>
      </c>
      <c r="AR150" s="49">
        <f t="shared" si="50"/>
        <v>0</v>
      </c>
      <c r="AT150" s="49">
        <f t="shared" si="51"/>
        <v>0</v>
      </c>
      <c r="AU150" s="49">
        <f t="shared" si="51"/>
        <v>0</v>
      </c>
      <c r="AV150" s="49">
        <f t="shared" si="51"/>
        <v>0</v>
      </c>
      <c r="AW150" s="49">
        <f t="shared" si="51"/>
        <v>0</v>
      </c>
      <c r="AX150" s="49">
        <f t="shared" si="51"/>
        <v>0</v>
      </c>
      <c r="AZ150" s="53">
        <f t="shared" si="65"/>
        <v>0</v>
      </c>
      <c r="BA150" s="53">
        <f t="shared" si="66"/>
        <v>0</v>
      </c>
      <c r="BB150" s="53">
        <f t="shared" si="67"/>
        <v>0</v>
      </c>
      <c r="BC150" s="53">
        <f t="shared" si="68"/>
        <v>0</v>
      </c>
      <c r="BD150" s="53">
        <f t="shared" si="69"/>
        <v>0</v>
      </c>
    </row>
    <row r="151" spans="2:56">
      <c r="B151" s="43">
        <f>'3. Input (des)investeringen '!B176</f>
        <v>1619</v>
      </c>
      <c r="C151" s="54"/>
      <c r="D151" s="54"/>
      <c r="E151" s="54"/>
      <c r="F151" s="48">
        <f>'3. Input (des)investeringen '!D176</f>
        <v>0</v>
      </c>
      <c r="G151" s="54"/>
      <c r="H151" s="43">
        <f>'3. Input (des)investeringen '!F176</f>
        <v>2025</v>
      </c>
      <c r="I151" s="48" t="str">
        <f>'3. Input (des)investeringen '!G176</f>
        <v>nvt</v>
      </c>
      <c r="J151" s="48">
        <f>'3. Input (des)investeringen '!H176</f>
        <v>0</v>
      </c>
      <c r="K151" s="48">
        <f>'3. Input (des)investeringen '!I176</f>
        <v>1</v>
      </c>
      <c r="M151" s="49">
        <f t="shared" si="57"/>
        <v>0</v>
      </c>
      <c r="N151" s="49">
        <f t="shared" si="58"/>
        <v>0</v>
      </c>
      <c r="P151" s="147">
        <f t="shared" si="37"/>
        <v>0</v>
      </c>
      <c r="Q151" s="147">
        <f t="shared" si="38"/>
        <v>0</v>
      </c>
      <c r="S151" s="49">
        <f t="shared" si="39"/>
        <v>0</v>
      </c>
      <c r="T151" s="44">
        <f t="shared" si="59"/>
        <v>0</v>
      </c>
      <c r="V151" s="49">
        <f t="shared" si="70"/>
        <v>0</v>
      </c>
      <c r="W151" s="49">
        <f t="shared" si="70"/>
        <v>0</v>
      </c>
      <c r="X151" s="49">
        <f t="shared" si="70"/>
        <v>0</v>
      </c>
      <c r="Y151" s="49">
        <f t="shared" si="70"/>
        <v>0</v>
      </c>
      <c r="Z151" s="49">
        <f t="shared" si="70"/>
        <v>0</v>
      </c>
      <c r="AB151" s="49">
        <f t="shared" si="71"/>
        <v>0</v>
      </c>
      <c r="AC151" s="49">
        <f t="shared" si="71"/>
        <v>0</v>
      </c>
      <c r="AD151" s="49">
        <f t="shared" si="71"/>
        <v>0</v>
      </c>
      <c r="AE151" s="49">
        <f t="shared" si="71"/>
        <v>0</v>
      </c>
      <c r="AF151" s="49">
        <f t="shared" si="71"/>
        <v>0</v>
      </c>
      <c r="AH151" s="49">
        <f t="shared" si="60"/>
        <v>0</v>
      </c>
      <c r="AI151" s="49">
        <f t="shared" si="61"/>
        <v>0</v>
      </c>
      <c r="AJ151" s="49">
        <f t="shared" si="62"/>
        <v>0</v>
      </c>
      <c r="AK151" s="49">
        <f t="shared" si="63"/>
        <v>0</v>
      </c>
      <c r="AL151" s="49">
        <f t="shared" si="64"/>
        <v>0</v>
      </c>
      <c r="AN151" s="49">
        <f t="shared" si="46"/>
        <v>0</v>
      </c>
      <c r="AO151" s="49">
        <f t="shared" si="47"/>
        <v>0</v>
      </c>
      <c r="AP151" s="49">
        <f t="shared" si="48"/>
        <v>0</v>
      </c>
      <c r="AQ151" s="49">
        <f t="shared" si="49"/>
        <v>0</v>
      </c>
      <c r="AR151" s="49">
        <f t="shared" si="50"/>
        <v>0</v>
      </c>
      <c r="AT151" s="49">
        <f t="shared" si="51"/>
        <v>0</v>
      </c>
      <c r="AU151" s="49">
        <f t="shared" si="51"/>
        <v>0</v>
      </c>
      <c r="AV151" s="49">
        <f t="shared" si="51"/>
        <v>0</v>
      </c>
      <c r="AW151" s="49">
        <f t="shared" si="51"/>
        <v>0</v>
      </c>
      <c r="AX151" s="49">
        <f t="shared" si="51"/>
        <v>0</v>
      </c>
      <c r="AZ151" s="53">
        <f t="shared" si="65"/>
        <v>0</v>
      </c>
      <c r="BA151" s="53">
        <f t="shared" si="66"/>
        <v>0</v>
      </c>
      <c r="BB151" s="53">
        <f t="shared" si="67"/>
        <v>0</v>
      </c>
      <c r="BC151" s="53">
        <f t="shared" si="68"/>
        <v>0</v>
      </c>
      <c r="BD151" s="53">
        <f t="shared" si="69"/>
        <v>0</v>
      </c>
    </row>
    <row r="152" spans="2:56">
      <c r="B152" s="43">
        <f>'3. Input (des)investeringen '!B177</f>
        <v>1620</v>
      </c>
      <c r="C152" s="54"/>
      <c r="D152" s="54"/>
      <c r="E152" s="54"/>
      <c r="F152" s="48">
        <f>'3. Input (des)investeringen '!D177</f>
        <v>17553950.889932934</v>
      </c>
      <c r="G152" s="54"/>
      <c r="H152" s="43">
        <f>'3. Input (des)investeringen '!F177</f>
        <v>2025</v>
      </c>
      <c r="I152" s="48" t="str">
        <f>'3. Input (des)investeringen '!G177</f>
        <v>nvt</v>
      </c>
      <c r="J152" s="48">
        <f>'3. Input (des)investeringen '!H177</f>
        <v>5</v>
      </c>
      <c r="K152" s="48">
        <f>'3. Input (des)investeringen '!I177</f>
        <v>1</v>
      </c>
      <c r="M152" s="49">
        <f t="shared" si="57"/>
        <v>0</v>
      </c>
      <c r="N152" s="49">
        <f t="shared" si="58"/>
        <v>0</v>
      </c>
      <c r="P152" s="147">
        <f t="shared" si="37"/>
        <v>0</v>
      </c>
      <c r="Q152" s="147">
        <f t="shared" si="38"/>
        <v>0</v>
      </c>
      <c r="S152" s="49">
        <f t="shared" si="39"/>
        <v>17553950.889932934</v>
      </c>
      <c r="T152" s="44">
        <f t="shared" si="59"/>
        <v>5</v>
      </c>
      <c r="V152" s="49">
        <f t="shared" si="70"/>
        <v>0</v>
      </c>
      <c r="W152" s="49">
        <f t="shared" si="70"/>
        <v>0</v>
      </c>
      <c r="X152" s="49">
        <f t="shared" si="70"/>
        <v>0</v>
      </c>
      <c r="Y152" s="49">
        <f t="shared" si="70"/>
        <v>2053812.2541221536</v>
      </c>
      <c r="Z152" s="49">
        <f t="shared" si="70"/>
        <v>3573633.3221725472</v>
      </c>
      <c r="AB152" s="49">
        <f t="shared" si="71"/>
        <v>0</v>
      </c>
      <c r="AC152" s="49">
        <f t="shared" si="71"/>
        <v>0</v>
      </c>
      <c r="AD152" s="49">
        <f t="shared" si="71"/>
        <v>0</v>
      </c>
      <c r="AE152" s="49">
        <f t="shared" si="71"/>
        <v>175539.50889932935</v>
      </c>
      <c r="AF152" s="49">
        <f t="shared" si="71"/>
        <v>351079.01779865869</v>
      </c>
      <c r="AH152" s="49">
        <f t="shared" si="60"/>
        <v>0</v>
      </c>
      <c r="AI152" s="49">
        <f t="shared" si="61"/>
        <v>0</v>
      </c>
      <c r="AJ152" s="49">
        <f t="shared" si="62"/>
        <v>0</v>
      </c>
      <c r="AK152" s="49">
        <f t="shared" si="63"/>
        <v>2229351.7630214831</v>
      </c>
      <c r="AL152" s="49">
        <f t="shared" si="64"/>
        <v>3924712.3399712062</v>
      </c>
      <c r="AN152" s="49">
        <f t="shared" si="46"/>
        <v>0</v>
      </c>
      <c r="AO152" s="49">
        <f t="shared" si="47"/>
        <v>0</v>
      </c>
      <c r="AP152" s="49">
        <f t="shared" si="48"/>
        <v>0</v>
      </c>
      <c r="AQ152" s="49">
        <f t="shared" si="49"/>
        <v>15324599.12691145</v>
      </c>
      <c r="AR152" s="49">
        <f t="shared" si="50"/>
        <v>11399886.786940243</v>
      </c>
      <c r="AT152" s="49">
        <f t="shared" si="51"/>
        <v>0</v>
      </c>
      <c r="AU152" s="49">
        <f t="shared" si="51"/>
        <v>0</v>
      </c>
      <c r="AV152" s="49">
        <f t="shared" si="51"/>
        <v>0</v>
      </c>
      <c r="AW152" s="49">
        <f t="shared" si="51"/>
        <v>175539.50889932935</v>
      </c>
      <c r="AX152" s="49">
        <f t="shared" si="51"/>
        <v>177809.58582841547</v>
      </c>
      <c r="AZ152" s="53">
        <f t="shared" si="65"/>
        <v>0</v>
      </c>
      <c r="BA152" s="53">
        <f t="shared" si="66"/>
        <v>0</v>
      </c>
      <c r="BB152" s="53">
        <f t="shared" si="67"/>
        <v>0</v>
      </c>
      <c r="BC152" s="53">
        <f t="shared" si="68"/>
        <v>2987226.0387434475</v>
      </c>
      <c r="BD152" s="53">
        <f t="shared" si="69"/>
        <v>4535717.6237033503</v>
      </c>
    </row>
    <row r="153" spans="2:56">
      <c r="B153" s="43">
        <f>'3. Input (des)investeringen '!B178</f>
        <v>1621</v>
      </c>
      <c r="C153" s="54"/>
      <c r="D153" s="54"/>
      <c r="E153" s="54"/>
      <c r="F153" s="48">
        <f>'3. Input (des)investeringen '!D178</f>
        <v>5324492.346004094</v>
      </c>
      <c r="G153" s="54"/>
      <c r="H153" s="43">
        <f>'3. Input (des)investeringen '!F178</f>
        <v>2025</v>
      </c>
      <c r="I153" s="48" t="str">
        <f>'3. Input (des)investeringen '!G178</f>
        <v>nvt</v>
      </c>
      <c r="J153" s="48">
        <f>'3. Input (des)investeringen '!H178</f>
        <v>10</v>
      </c>
      <c r="K153" s="48">
        <f>'3. Input (des)investeringen '!I178</f>
        <v>1</v>
      </c>
      <c r="M153" s="49">
        <f t="shared" si="57"/>
        <v>0</v>
      </c>
      <c r="N153" s="49">
        <f t="shared" si="58"/>
        <v>0</v>
      </c>
      <c r="P153" s="147">
        <f t="shared" si="37"/>
        <v>0</v>
      </c>
      <c r="Q153" s="147">
        <f t="shared" si="38"/>
        <v>0</v>
      </c>
      <c r="S153" s="49">
        <f t="shared" si="39"/>
        <v>5324492.346004094</v>
      </c>
      <c r="T153" s="44">
        <f t="shared" si="59"/>
        <v>10</v>
      </c>
      <c r="V153" s="49">
        <f t="shared" si="70"/>
        <v>0</v>
      </c>
      <c r="W153" s="49">
        <f t="shared" si="70"/>
        <v>0</v>
      </c>
      <c r="X153" s="49">
        <f t="shared" si="70"/>
        <v>0</v>
      </c>
      <c r="Y153" s="49">
        <f t="shared" si="70"/>
        <v>311482.80224123952</v>
      </c>
      <c r="Z153" s="49">
        <f t="shared" si="70"/>
        <v>582472.84019111795</v>
      </c>
      <c r="AB153" s="49">
        <f t="shared" si="71"/>
        <v>0</v>
      </c>
      <c r="AC153" s="49">
        <f t="shared" si="71"/>
        <v>0</v>
      </c>
      <c r="AD153" s="49">
        <f t="shared" si="71"/>
        <v>0</v>
      </c>
      <c r="AE153" s="49">
        <f t="shared" si="71"/>
        <v>26622.46173002047</v>
      </c>
      <c r="AF153" s="49">
        <f t="shared" si="71"/>
        <v>53244.92346004094</v>
      </c>
      <c r="AH153" s="49">
        <f t="shared" si="60"/>
        <v>0</v>
      </c>
      <c r="AI153" s="49">
        <f t="shared" si="61"/>
        <v>0</v>
      </c>
      <c r="AJ153" s="49">
        <f t="shared" si="62"/>
        <v>0</v>
      </c>
      <c r="AK153" s="49">
        <f t="shared" si="63"/>
        <v>338105.26397125999</v>
      </c>
      <c r="AL153" s="49">
        <f t="shared" si="64"/>
        <v>635717.76365115889</v>
      </c>
      <c r="AN153" s="49">
        <f t="shared" si="46"/>
        <v>0</v>
      </c>
      <c r="AO153" s="49">
        <f t="shared" si="47"/>
        <v>0</v>
      </c>
      <c r="AP153" s="49">
        <f t="shared" si="48"/>
        <v>0</v>
      </c>
      <c r="AQ153" s="49">
        <f t="shared" si="49"/>
        <v>4986387.0820328342</v>
      </c>
      <c r="AR153" s="49">
        <f t="shared" si="50"/>
        <v>4350669.3183816755</v>
      </c>
      <c r="AT153" s="49">
        <f t="shared" si="51"/>
        <v>0</v>
      </c>
      <c r="AU153" s="49">
        <f t="shared" si="51"/>
        <v>0</v>
      </c>
      <c r="AV153" s="49">
        <f t="shared" si="51"/>
        <v>0</v>
      </c>
      <c r="AW153" s="49">
        <f t="shared" si="51"/>
        <v>53244.92346004094</v>
      </c>
      <c r="AX153" s="49">
        <f t="shared" si="51"/>
        <v>53933.48681022619</v>
      </c>
      <c r="AZ153" s="53">
        <f t="shared" si="65"/>
        <v>0</v>
      </c>
      <c r="BA153" s="53">
        <f t="shared" si="66"/>
        <v>0</v>
      </c>
      <c r="BB153" s="53">
        <f t="shared" si="67"/>
        <v>0</v>
      </c>
      <c r="BC153" s="53">
        <f t="shared" si="68"/>
        <v>580832.8965485486</v>
      </c>
      <c r="BD153" s="53">
        <f t="shared" si="69"/>
        <v>854976.68455988879</v>
      </c>
    </row>
    <row r="154" spans="2:56">
      <c r="B154" s="43">
        <f>'3. Input (des)investeringen '!B179</f>
        <v>1622</v>
      </c>
      <c r="C154" s="54"/>
      <c r="D154" s="54"/>
      <c r="E154" s="54"/>
      <c r="F154" s="48">
        <f>'3. Input (des)investeringen '!D179</f>
        <v>25115276.635574285</v>
      </c>
      <c r="G154" s="54"/>
      <c r="H154" s="43">
        <f>'3. Input (des)investeringen '!F179</f>
        <v>2025</v>
      </c>
      <c r="I154" s="48" t="str">
        <f>'3. Input (des)investeringen '!G179</f>
        <v>nvt</v>
      </c>
      <c r="J154" s="48">
        <f>'3. Input (des)investeringen '!H179</f>
        <v>15</v>
      </c>
      <c r="K154" s="48">
        <f>'3. Input (des)investeringen '!I179</f>
        <v>1</v>
      </c>
      <c r="M154" s="49">
        <f t="shared" si="57"/>
        <v>0</v>
      </c>
      <c r="N154" s="49">
        <f t="shared" si="58"/>
        <v>0</v>
      </c>
      <c r="P154" s="147">
        <f t="shared" si="37"/>
        <v>0</v>
      </c>
      <c r="Q154" s="147">
        <f t="shared" si="38"/>
        <v>0</v>
      </c>
      <c r="S154" s="49">
        <f t="shared" si="39"/>
        <v>25115276.635574285</v>
      </c>
      <c r="T154" s="44">
        <f t="shared" si="59"/>
        <v>15</v>
      </c>
      <c r="V154" s="49">
        <f t="shared" si="70"/>
        <v>0</v>
      </c>
      <c r="W154" s="49">
        <f t="shared" si="70"/>
        <v>0</v>
      </c>
      <c r="X154" s="49">
        <f t="shared" si="70"/>
        <v>0</v>
      </c>
      <c r="Y154" s="49">
        <f t="shared" si="70"/>
        <v>979495.78878739709</v>
      </c>
      <c r="Z154" s="49">
        <f t="shared" si="70"/>
        <v>1874101.942546553</v>
      </c>
      <c r="AB154" s="49">
        <f t="shared" si="71"/>
        <v>0</v>
      </c>
      <c r="AC154" s="49">
        <f t="shared" si="71"/>
        <v>0</v>
      </c>
      <c r="AD154" s="49">
        <f t="shared" si="71"/>
        <v>0</v>
      </c>
      <c r="AE154" s="49">
        <f t="shared" si="71"/>
        <v>83717.588785247615</v>
      </c>
      <c r="AF154" s="49">
        <f t="shared" si="71"/>
        <v>167435.17757049523</v>
      </c>
      <c r="AH154" s="49">
        <f t="shared" si="60"/>
        <v>0</v>
      </c>
      <c r="AI154" s="49">
        <f t="shared" si="61"/>
        <v>0</v>
      </c>
      <c r="AJ154" s="49">
        <f t="shared" si="62"/>
        <v>0</v>
      </c>
      <c r="AK154" s="49">
        <f t="shared" si="63"/>
        <v>1063213.3775726447</v>
      </c>
      <c r="AL154" s="49">
        <f t="shared" si="64"/>
        <v>2041537.1201170483</v>
      </c>
      <c r="AN154" s="49">
        <f t="shared" si="46"/>
        <v>0</v>
      </c>
      <c r="AO154" s="49">
        <f t="shared" si="47"/>
        <v>0</v>
      </c>
      <c r="AP154" s="49">
        <f t="shared" si="48"/>
        <v>0</v>
      </c>
      <c r="AQ154" s="49">
        <f t="shared" si="49"/>
        <v>24052063.25800164</v>
      </c>
      <c r="AR154" s="49">
        <f t="shared" si="50"/>
        <v>22010526.137884591</v>
      </c>
      <c r="AT154" s="49">
        <f t="shared" si="51"/>
        <v>0</v>
      </c>
      <c r="AU154" s="49">
        <f t="shared" si="51"/>
        <v>0</v>
      </c>
      <c r="AV154" s="49">
        <f t="shared" si="51"/>
        <v>0</v>
      </c>
      <c r="AW154" s="49">
        <f t="shared" si="51"/>
        <v>251152.76635574285</v>
      </c>
      <c r="AX154" s="49">
        <f t="shared" si="51"/>
        <v>254400.67393025529</v>
      </c>
      <c r="AZ154" s="53">
        <f t="shared" si="65"/>
        <v>0</v>
      </c>
      <c r="BA154" s="53">
        <f t="shared" si="66"/>
        <v>0</v>
      </c>
      <c r="BB154" s="53">
        <f t="shared" si="67"/>
        <v>0</v>
      </c>
      <c r="BC154" s="53">
        <f t="shared" si="68"/>
        <v>2228344.5477324496</v>
      </c>
      <c r="BD154" s="53">
        <f t="shared" si="69"/>
        <v>3132337.7872869181</v>
      </c>
    </row>
    <row r="155" spans="2:56">
      <c r="B155" s="43">
        <f>'3. Input (des)investeringen '!B180</f>
        <v>1623</v>
      </c>
      <c r="C155" s="54"/>
      <c r="D155" s="54"/>
      <c r="E155" s="54"/>
      <c r="F155" s="48">
        <f>'3. Input (des)investeringen '!D180</f>
        <v>30846824.747949079</v>
      </c>
      <c r="G155" s="54"/>
      <c r="H155" s="43">
        <f>'3. Input (des)investeringen '!F180</f>
        <v>2025</v>
      </c>
      <c r="I155" s="48" t="str">
        <f>'3. Input (des)investeringen '!G180</f>
        <v>nvt</v>
      </c>
      <c r="J155" s="48">
        <f>'3. Input (des)investeringen '!H180</f>
        <v>30</v>
      </c>
      <c r="K155" s="48">
        <f>'3. Input (des)investeringen '!I180</f>
        <v>1</v>
      </c>
      <c r="M155" s="49">
        <f t="shared" si="57"/>
        <v>0</v>
      </c>
      <c r="N155" s="49">
        <f t="shared" si="58"/>
        <v>0</v>
      </c>
      <c r="P155" s="147">
        <f t="shared" si="37"/>
        <v>0</v>
      </c>
      <c r="Q155" s="147">
        <f t="shared" si="38"/>
        <v>0</v>
      </c>
      <c r="S155" s="49">
        <f t="shared" si="39"/>
        <v>30846824.747949079</v>
      </c>
      <c r="T155" s="44">
        <f t="shared" si="59"/>
        <v>30</v>
      </c>
      <c r="V155" s="49">
        <f t="shared" si="70"/>
        <v>0</v>
      </c>
      <c r="W155" s="49">
        <f t="shared" si="70"/>
        <v>0</v>
      </c>
      <c r="X155" s="49">
        <f t="shared" si="70"/>
        <v>0</v>
      </c>
      <c r="Y155" s="49">
        <f t="shared" si="70"/>
        <v>601513.08258500707</v>
      </c>
      <c r="Z155" s="49">
        <f t="shared" si="70"/>
        <v>1176960.5982579973</v>
      </c>
      <c r="AB155" s="49">
        <f t="shared" si="71"/>
        <v>0</v>
      </c>
      <c r="AC155" s="49">
        <f t="shared" si="71"/>
        <v>0</v>
      </c>
      <c r="AD155" s="49">
        <f t="shared" si="71"/>
        <v>0</v>
      </c>
      <c r="AE155" s="49">
        <f t="shared" si="71"/>
        <v>51411.374579915129</v>
      </c>
      <c r="AF155" s="49">
        <f t="shared" si="71"/>
        <v>102822.74915983026</v>
      </c>
      <c r="AH155" s="49">
        <f t="shared" si="60"/>
        <v>0</v>
      </c>
      <c r="AI155" s="49">
        <f t="shared" si="61"/>
        <v>0</v>
      </c>
      <c r="AJ155" s="49">
        <f t="shared" si="62"/>
        <v>0</v>
      </c>
      <c r="AK155" s="49">
        <f t="shared" si="63"/>
        <v>652924.45716492215</v>
      </c>
      <c r="AL155" s="49">
        <f t="shared" si="64"/>
        <v>1279783.3474178275</v>
      </c>
      <c r="AN155" s="49">
        <f t="shared" si="46"/>
        <v>0</v>
      </c>
      <c r="AO155" s="49">
        <f t="shared" si="47"/>
        <v>0</v>
      </c>
      <c r="AP155" s="49">
        <f t="shared" si="48"/>
        <v>0</v>
      </c>
      <c r="AQ155" s="49">
        <f t="shared" si="49"/>
        <v>30193900.290784158</v>
      </c>
      <c r="AR155" s="49">
        <f t="shared" si="50"/>
        <v>28914116.94336633</v>
      </c>
      <c r="AT155" s="49">
        <f t="shared" si="51"/>
        <v>0</v>
      </c>
      <c r="AU155" s="49">
        <f t="shared" si="51"/>
        <v>0</v>
      </c>
      <c r="AV155" s="49">
        <f t="shared" si="51"/>
        <v>0</v>
      </c>
      <c r="AW155" s="49">
        <f t="shared" si="51"/>
        <v>308468.24747949082</v>
      </c>
      <c r="AX155" s="49">
        <f t="shared" si="51"/>
        <v>312457.35885589558</v>
      </c>
      <c r="AZ155" s="53">
        <f t="shared" si="65"/>
        <v>0</v>
      </c>
      <c r="BA155" s="53">
        <f t="shared" si="66"/>
        <v>0</v>
      </c>
      <c r="BB155" s="53">
        <f t="shared" si="67"/>
        <v>0</v>
      </c>
      <c r="BC155" s="53">
        <f t="shared" si="68"/>
        <v>2108760.9156942111</v>
      </c>
      <c r="BD155" s="53">
        <f t="shared" si="69"/>
        <v>2690977.1501216437</v>
      </c>
    </row>
    <row r="156" spans="2:56">
      <c r="B156" s="43">
        <f>'3. Input (des)investeringen '!B181</f>
        <v>1624</v>
      </c>
      <c r="C156" s="54"/>
      <c r="D156" s="54"/>
      <c r="E156" s="54"/>
      <c r="F156" s="48">
        <f>'3. Input (des)investeringen '!D181</f>
        <v>85388365.196438983</v>
      </c>
      <c r="G156" s="54"/>
      <c r="H156" s="43">
        <f>'3. Input (des)investeringen '!F181</f>
        <v>2025</v>
      </c>
      <c r="I156" s="48" t="str">
        <f>'3. Input (des)investeringen '!G181</f>
        <v>nvt</v>
      </c>
      <c r="J156" s="48">
        <f>'3. Input (des)investeringen '!H181</f>
        <v>55</v>
      </c>
      <c r="K156" s="48">
        <f>'3. Input (des)investeringen '!I181</f>
        <v>1</v>
      </c>
      <c r="M156" s="49">
        <f t="shared" si="57"/>
        <v>0</v>
      </c>
      <c r="N156" s="49">
        <f t="shared" si="58"/>
        <v>0</v>
      </c>
      <c r="P156" s="147">
        <f t="shared" si="37"/>
        <v>0</v>
      </c>
      <c r="Q156" s="147">
        <f t="shared" si="38"/>
        <v>0</v>
      </c>
      <c r="S156" s="49">
        <f t="shared" si="39"/>
        <v>85388365.196438983</v>
      </c>
      <c r="T156" s="44">
        <f t="shared" si="59"/>
        <v>55</v>
      </c>
      <c r="V156" s="49">
        <f t="shared" si="70"/>
        <v>0</v>
      </c>
      <c r="W156" s="49">
        <f t="shared" si="70"/>
        <v>0</v>
      </c>
      <c r="X156" s="49">
        <f t="shared" si="70"/>
        <v>0</v>
      </c>
      <c r="Y156" s="49">
        <f t="shared" si="70"/>
        <v>908221.70254394179</v>
      </c>
      <c r="Z156" s="49">
        <f t="shared" si="70"/>
        <v>1794976.3466641176</v>
      </c>
      <c r="AB156" s="49">
        <f t="shared" si="71"/>
        <v>0</v>
      </c>
      <c r="AC156" s="49">
        <f t="shared" si="71"/>
        <v>0</v>
      </c>
      <c r="AD156" s="49">
        <f t="shared" si="71"/>
        <v>0</v>
      </c>
      <c r="AE156" s="49">
        <f t="shared" si="71"/>
        <v>77625.786542217262</v>
      </c>
      <c r="AF156" s="49">
        <f t="shared" si="71"/>
        <v>155251.57308443452</v>
      </c>
      <c r="AH156" s="49">
        <f t="shared" si="60"/>
        <v>0</v>
      </c>
      <c r="AI156" s="49">
        <f t="shared" si="61"/>
        <v>0</v>
      </c>
      <c r="AJ156" s="49">
        <f t="shared" si="62"/>
        <v>0</v>
      </c>
      <c r="AK156" s="49">
        <f t="shared" si="63"/>
        <v>985847.48908615904</v>
      </c>
      <c r="AL156" s="49">
        <f t="shared" si="64"/>
        <v>1950227.9197485521</v>
      </c>
      <c r="AN156" s="49">
        <f t="shared" si="46"/>
        <v>0</v>
      </c>
      <c r="AO156" s="49">
        <f t="shared" si="47"/>
        <v>0</v>
      </c>
      <c r="AP156" s="49">
        <f t="shared" si="48"/>
        <v>0</v>
      </c>
      <c r="AQ156" s="49">
        <f t="shared" si="49"/>
        <v>84402517.707352817</v>
      </c>
      <c r="AR156" s="49">
        <f t="shared" si="50"/>
        <v>82452289.787604272</v>
      </c>
      <c r="AT156" s="49">
        <f t="shared" si="51"/>
        <v>0</v>
      </c>
      <c r="AU156" s="49">
        <f t="shared" si="51"/>
        <v>0</v>
      </c>
      <c r="AV156" s="49">
        <f t="shared" si="51"/>
        <v>0</v>
      </c>
      <c r="AW156" s="49">
        <f t="shared" si="51"/>
        <v>853883.65196438984</v>
      </c>
      <c r="AX156" s="49">
        <f t="shared" si="51"/>
        <v>864926.0753515932</v>
      </c>
      <c r="AZ156" s="53">
        <f t="shared" si="65"/>
        <v>0</v>
      </c>
      <c r="BA156" s="53">
        <f t="shared" si="66"/>
        <v>0</v>
      </c>
      <c r="BB156" s="53">
        <f t="shared" si="67"/>
        <v>0</v>
      </c>
      <c r="BC156" s="53">
        <f t="shared" si="68"/>
        <v>5047026.8139299564</v>
      </c>
      <c r="BD156" s="53">
        <f t="shared" si="69"/>
        <v>5948341.0070291078</v>
      </c>
    </row>
    <row r="157" spans="2:56">
      <c r="B157" s="43">
        <f>'3. Input (des)investeringen '!B182</f>
        <v>1625</v>
      </c>
      <c r="C157" s="54"/>
      <c r="D157" s="54"/>
      <c r="E157" s="54"/>
      <c r="F157" s="48">
        <f>'3. Input (des)investeringen '!D182</f>
        <v>-32592.241789607215</v>
      </c>
      <c r="G157" s="54"/>
      <c r="H157" s="43">
        <f>'3. Input (des)investeringen '!F182</f>
        <v>2025</v>
      </c>
      <c r="I157" s="48" t="str">
        <f>'3. Input (des)investeringen '!G182</f>
        <v>nvt</v>
      </c>
      <c r="J157" s="48">
        <f>'3. Input (des)investeringen '!H182</f>
        <v>0</v>
      </c>
      <c r="K157" s="48">
        <f>'3. Input (des)investeringen '!I182</f>
        <v>0</v>
      </c>
      <c r="M157" s="49">
        <f t="shared" si="57"/>
        <v>0</v>
      </c>
      <c r="N157" s="49">
        <f t="shared" si="58"/>
        <v>0</v>
      </c>
      <c r="P157" s="147">
        <f t="shared" si="37"/>
        <v>0</v>
      </c>
      <c r="Q157" s="147">
        <f t="shared" si="38"/>
        <v>0</v>
      </c>
      <c r="S157" s="49">
        <f t="shared" si="39"/>
        <v>-32592.241789607215</v>
      </c>
      <c r="T157" s="44">
        <f t="shared" si="59"/>
        <v>0</v>
      </c>
      <c r="V157" s="49">
        <f t="shared" si="70"/>
        <v>0</v>
      </c>
      <c r="W157" s="49">
        <f t="shared" si="70"/>
        <v>0</v>
      </c>
      <c r="X157" s="49">
        <f t="shared" si="70"/>
        <v>0</v>
      </c>
      <c r="Y157" s="49">
        <f t="shared" si="70"/>
        <v>0</v>
      </c>
      <c r="Z157" s="49">
        <f t="shared" si="70"/>
        <v>0</v>
      </c>
      <c r="AB157" s="49">
        <f t="shared" si="71"/>
        <v>0</v>
      </c>
      <c r="AC157" s="49">
        <f t="shared" si="71"/>
        <v>0</v>
      </c>
      <c r="AD157" s="49">
        <f t="shared" si="71"/>
        <v>0</v>
      </c>
      <c r="AE157" s="49">
        <f t="shared" si="71"/>
        <v>0</v>
      </c>
      <c r="AF157" s="49">
        <f t="shared" si="71"/>
        <v>0</v>
      </c>
      <c r="AH157" s="49">
        <f t="shared" si="60"/>
        <v>0</v>
      </c>
      <c r="AI157" s="49">
        <f t="shared" si="61"/>
        <v>0</v>
      </c>
      <c r="AJ157" s="49">
        <f t="shared" si="62"/>
        <v>0</v>
      </c>
      <c r="AK157" s="49">
        <f t="shared" si="63"/>
        <v>0</v>
      </c>
      <c r="AL157" s="49">
        <f t="shared" si="64"/>
        <v>0</v>
      </c>
      <c r="AN157" s="49">
        <f t="shared" si="46"/>
        <v>0</v>
      </c>
      <c r="AO157" s="49">
        <f t="shared" si="47"/>
        <v>0</v>
      </c>
      <c r="AP157" s="49">
        <f t="shared" si="48"/>
        <v>0</v>
      </c>
      <c r="AQ157" s="49">
        <f t="shared" si="49"/>
        <v>-32592.241789607215</v>
      </c>
      <c r="AR157" s="49">
        <f t="shared" si="50"/>
        <v>-32592.241789607215</v>
      </c>
      <c r="AT157" s="49">
        <f t="shared" si="51"/>
        <v>0</v>
      </c>
      <c r="AU157" s="49">
        <f t="shared" si="51"/>
        <v>0</v>
      </c>
      <c r="AV157" s="49">
        <f t="shared" si="51"/>
        <v>0</v>
      </c>
      <c r="AW157" s="49">
        <f t="shared" si="51"/>
        <v>-325.92241789607215</v>
      </c>
      <c r="AX157" s="49">
        <f t="shared" si="51"/>
        <v>-330.13724660430415</v>
      </c>
      <c r="AZ157" s="53">
        <f t="shared" si="65"/>
        <v>0</v>
      </c>
      <c r="BA157" s="53">
        <f t="shared" si="66"/>
        <v>0</v>
      </c>
      <c r="BB157" s="53">
        <f t="shared" si="67"/>
        <v>0</v>
      </c>
      <c r="BC157" s="53">
        <f t="shared" si="68"/>
        <v>-1564.4276059011463</v>
      </c>
      <c r="BD157" s="53">
        <f t="shared" si="69"/>
        <v>-1568.6424346093784</v>
      </c>
    </row>
    <row r="158" spans="2:56">
      <c r="B158" s="43">
        <f>'3. Input (des)investeringen '!B183</f>
        <v>1626</v>
      </c>
      <c r="C158" s="54"/>
      <c r="D158" s="54"/>
      <c r="E158" s="54"/>
      <c r="F158" s="48">
        <f>'3. Input (des)investeringen '!D183</f>
        <v>459045.22000300954</v>
      </c>
      <c r="G158" s="54"/>
      <c r="H158" s="43">
        <f>'3. Input (des)investeringen '!F183</f>
        <v>2025</v>
      </c>
      <c r="I158" s="48" t="str">
        <f>'3. Input (des)investeringen '!G183</f>
        <v>nvt</v>
      </c>
      <c r="J158" s="48">
        <f>'3. Input (des)investeringen '!H183</f>
        <v>5</v>
      </c>
      <c r="K158" s="48">
        <f>'3. Input (des)investeringen '!I183</f>
        <v>0</v>
      </c>
      <c r="M158" s="49">
        <f t="shared" si="57"/>
        <v>0</v>
      </c>
      <c r="N158" s="49">
        <f t="shared" si="58"/>
        <v>0</v>
      </c>
      <c r="P158" s="147">
        <f t="shared" si="37"/>
        <v>0</v>
      </c>
      <c r="Q158" s="147">
        <f t="shared" si="38"/>
        <v>0</v>
      </c>
      <c r="S158" s="49">
        <f t="shared" si="39"/>
        <v>459045.22000300954</v>
      </c>
      <c r="T158" s="44">
        <f t="shared" si="59"/>
        <v>5</v>
      </c>
      <c r="V158" s="49">
        <f t="shared" si="70"/>
        <v>0</v>
      </c>
      <c r="W158" s="49">
        <f t="shared" si="70"/>
        <v>0</v>
      </c>
      <c r="X158" s="49">
        <f t="shared" si="70"/>
        <v>0</v>
      </c>
      <c r="Y158" s="49">
        <f t="shared" si="70"/>
        <v>53708.290740352124</v>
      </c>
      <c r="Z158" s="49">
        <f t="shared" si="70"/>
        <v>93452.425888212689</v>
      </c>
      <c r="AB158" s="49">
        <f t="shared" si="71"/>
        <v>0</v>
      </c>
      <c r="AC158" s="49">
        <f t="shared" si="71"/>
        <v>0</v>
      </c>
      <c r="AD158" s="49">
        <f t="shared" si="71"/>
        <v>0</v>
      </c>
      <c r="AE158" s="49">
        <f t="shared" si="71"/>
        <v>4590.4522000300958</v>
      </c>
      <c r="AF158" s="49">
        <f t="shared" si="71"/>
        <v>9180.9044000601934</v>
      </c>
      <c r="AH158" s="49">
        <f t="shared" si="60"/>
        <v>0</v>
      </c>
      <c r="AI158" s="49">
        <f t="shared" si="61"/>
        <v>0</v>
      </c>
      <c r="AJ158" s="49">
        <f t="shared" si="62"/>
        <v>0</v>
      </c>
      <c r="AK158" s="49">
        <f t="shared" si="63"/>
        <v>58298.742940382217</v>
      </c>
      <c r="AL158" s="49">
        <f t="shared" si="64"/>
        <v>102633.33028827287</v>
      </c>
      <c r="AN158" s="49">
        <f t="shared" si="46"/>
        <v>0</v>
      </c>
      <c r="AO158" s="49">
        <f t="shared" si="47"/>
        <v>0</v>
      </c>
      <c r="AP158" s="49">
        <f t="shared" si="48"/>
        <v>0</v>
      </c>
      <c r="AQ158" s="49">
        <f t="shared" si="49"/>
        <v>400746.47706262732</v>
      </c>
      <c r="AR158" s="49">
        <f t="shared" si="50"/>
        <v>298113.14677435445</v>
      </c>
      <c r="AT158" s="49">
        <f t="shared" ref="AT158:AX200" si="72">IF($H158&lt;=AT$59,$F158*INDEX($H$40:$N$46,$H158-2019,AT$59-2019)*INDEX($H$49:$N$55,$H158-2019,AT$59-2019)*$F$19,0)</f>
        <v>0</v>
      </c>
      <c r="AU158" s="49">
        <f t="shared" si="72"/>
        <v>0</v>
      </c>
      <c r="AV158" s="49">
        <f t="shared" si="72"/>
        <v>0</v>
      </c>
      <c r="AW158" s="49">
        <f t="shared" si="72"/>
        <v>4590.4522000300958</v>
      </c>
      <c r="AX158" s="49">
        <f t="shared" si="72"/>
        <v>4649.8159278808844</v>
      </c>
      <c r="AZ158" s="53">
        <f t="shared" si="65"/>
        <v>0</v>
      </c>
      <c r="BA158" s="53">
        <f t="shared" si="66"/>
        <v>0</v>
      </c>
      <c r="BB158" s="53">
        <f t="shared" si="67"/>
        <v>0</v>
      </c>
      <c r="BC158" s="53">
        <f t="shared" si="68"/>
        <v>78117.561268792153</v>
      </c>
      <c r="BD158" s="53">
        <f t="shared" si="69"/>
        <v>118611.44579357923</v>
      </c>
    </row>
    <row r="159" spans="2:56">
      <c r="B159" s="43">
        <f>'3. Input (des)investeringen '!B184</f>
        <v>1627</v>
      </c>
      <c r="C159" s="54"/>
      <c r="D159" s="54"/>
      <c r="E159" s="54"/>
      <c r="F159" s="48">
        <f>'3. Input (des)investeringen '!D184</f>
        <v>1646168.9780642902</v>
      </c>
      <c r="G159" s="54"/>
      <c r="H159" s="43">
        <f>'3. Input (des)investeringen '!F184</f>
        <v>2025</v>
      </c>
      <c r="I159" s="48" t="str">
        <f>'3. Input (des)investeringen '!G184</f>
        <v>nvt</v>
      </c>
      <c r="J159" s="48">
        <f>'3. Input (des)investeringen '!H184</f>
        <v>10</v>
      </c>
      <c r="K159" s="48">
        <f>'3. Input (des)investeringen '!I184</f>
        <v>0</v>
      </c>
      <c r="M159" s="49">
        <f t="shared" ref="M159:M200" si="73">IF($J159=0, 0, IF($H159&lt;=M$59,
VDB($F159,0,$J159,MAX(0,M$59-$H159-0.5),MIN($J159,M$59-$H159+0.5),1)*INDEX(H$40:H$46,$H159-2019,1),
0))</f>
        <v>0</v>
      </c>
      <c r="N159" s="49">
        <f t="shared" ref="N159:N200" si="74">IF($J159=0, 0, IF($H159&lt;=N$59,
VDB($F159,0,$J159,MAX(0,N$59-$H159-0.5),MIN($J159,N$59-$H159+0.5),1)*INDEX(I$40:I$46,$H159-2019,1),
0))</f>
        <v>0</v>
      </c>
      <c r="P159" s="147">
        <f t="shared" ref="P159:P200" si="75">IF($J159=0,IF($H159=M$59,$F159,0),IF(OR($H159&gt;P$59,$H159+$J159&lt;=P$59),0,
F159-M159))</f>
        <v>0</v>
      </c>
      <c r="Q159" s="147">
        <f t="shared" ref="Q159:Q200" si="76">IF($J159=0,IF($H159=N$59,$F159,$P159*I$40),IF(OR($H159&gt;Q$59,$H159+$J159&lt;=Q$59),0,
IF($H159=Q$59,F159-N159,P159*I$40-N159)))</f>
        <v>0</v>
      </c>
      <c r="S159" s="49">
        <f t="shared" si="39"/>
        <v>1646168.9780642902</v>
      </c>
      <c r="T159" s="44">
        <f t="shared" ref="T159:T200" si="77">IF($J159=0, 0, IF(H159&lt;2022,J159-2021+H159-0.5,J159))</f>
        <v>10</v>
      </c>
      <c r="V159" s="49">
        <f t="shared" si="70"/>
        <v>0</v>
      </c>
      <c r="W159" s="49">
        <f t="shared" si="70"/>
        <v>0</v>
      </c>
      <c r="X159" s="49">
        <f t="shared" si="70"/>
        <v>0</v>
      </c>
      <c r="Y159" s="49">
        <f t="shared" si="70"/>
        <v>96300.885216760973</v>
      </c>
      <c r="Z159" s="49">
        <f t="shared" si="70"/>
        <v>180082.65535534304</v>
      </c>
      <c r="AB159" s="49">
        <f t="shared" si="71"/>
        <v>0</v>
      </c>
      <c r="AC159" s="49">
        <f t="shared" si="71"/>
        <v>0</v>
      </c>
      <c r="AD159" s="49">
        <f t="shared" si="71"/>
        <v>0</v>
      </c>
      <c r="AE159" s="49">
        <f t="shared" si="71"/>
        <v>8230.8448903214521</v>
      </c>
      <c r="AF159" s="49">
        <f t="shared" si="71"/>
        <v>16461.689780642904</v>
      </c>
      <c r="AH159" s="49">
        <f t="shared" ref="AH159:AH200" si="78">V159+AB159</f>
        <v>0</v>
      </c>
      <c r="AI159" s="49">
        <f t="shared" ref="AI159:AI200" si="79">W159+AC159</f>
        <v>0</v>
      </c>
      <c r="AJ159" s="49">
        <f t="shared" ref="AJ159:AJ200" si="80">X159+AD159</f>
        <v>0</v>
      </c>
      <c r="AK159" s="49">
        <f t="shared" ref="AK159:AK200" si="81">Y159+AE159</f>
        <v>104531.73010708243</v>
      </c>
      <c r="AL159" s="49">
        <f t="shared" ref="AL159:AL200" si="82">Z159+AF159</f>
        <v>196544.34513598593</v>
      </c>
      <c r="AN159" s="49">
        <f t="shared" si="46"/>
        <v>0</v>
      </c>
      <c r="AO159" s="49">
        <f t="shared" si="47"/>
        <v>0</v>
      </c>
      <c r="AP159" s="49">
        <f t="shared" si="48"/>
        <v>0</v>
      </c>
      <c r="AQ159" s="49">
        <f t="shared" si="49"/>
        <v>1541637.2479572077</v>
      </c>
      <c r="AR159" s="49">
        <f t="shared" si="50"/>
        <v>1345092.9028212219</v>
      </c>
      <c r="AT159" s="49">
        <f t="shared" si="72"/>
        <v>0</v>
      </c>
      <c r="AU159" s="49">
        <f t="shared" si="72"/>
        <v>0</v>
      </c>
      <c r="AV159" s="49">
        <f t="shared" si="72"/>
        <v>0</v>
      </c>
      <c r="AW159" s="49">
        <f t="shared" si="72"/>
        <v>16461.689780642904</v>
      </c>
      <c r="AX159" s="49">
        <f t="shared" si="72"/>
        <v>16674.572352886174</v>
      </c>
      <c r="AZ159" s="53">
        <f t="shared" ref="AZ159:AZ200" si="83">(AH159+AN159*J$16+AT159)*IF($K159=1,$F$25,1)</f>
        <v>0</v>
      </c>
      <c r="BA159" s="53">
        <f t="shared" ref="BA159:BA200" si="84">(AI159+AO159*K$16+AU159)*IF($K159=1,$F$25,1)</f>
        <v>0</v>
      </c>
      <c r="BB159" s="53">
        <f t="shared" ref="BB159:BB200" si="85">(AJ159+AP159*L$16+AV159)*IF($K159=1,$F$25,1)</f>
        <v>0</v>
      </c>
      <c r="BC159" s="53">
        <f t="shared" ref="BC159:BC200" si="86">(AK159+AQ159*M$16+AW159)*IF($K159=1,$F$25,1)</f>
        <v>179575.63531009923</v>
      </c>
      <c r="BD159" s="53">
        <f t="shared" ref="BD159:BD200" si="87">(AL159+AR159*N$16+AX159)*IF($K159=1,$F$25,1)</f>
        <v>264332.44779607857</v>
      </c>
    </row>
    <row r="160" spans="2:56">
      <c r="B160" s="43">
        <f>'3. Input (des)investeringen '!B185</f>
        <v>1628</v>
      </c>
      <c r="C160" s="54"/>
      <c r="D160" s="54"/>
      <c r="E160" s="54"/>
      <c r="F160" s="48">
        <f>'3. Input (des)investeringen '!D185</f>
        <v>4946948.6241163164</v>
      </c>
      <c r="G160" s="54"/>
      <c r="H160" s="43">
        <f>'3. Input (des)investeringen '!F185</f>
        <v>2025</v>
      </c>
      <c r="I160" s="48" t="str">
        <f>'3. Input (des)investeringen '!G185</f>
        <v>nvt</v>
      </c>
      <c r="J160" s="48">
        <f>'3. Input (des)investeringen '!H185</f>
        <v>15</v>
      </c>
      <c r="K160" s="48">
        <f>'3. Input (des)investeringen '!I185</f>
        <v>0</v>
      </c>
      <c r="M160" s="49">
        <f t="shared" si="73"/>
        <v>0</v>
      </c>
      <c r="N160" s="49">
        <f t="shared" si="74"/>
        <v>0</v>
      </c>
      <c r="P160" s="147">
        <f t="shared" si="75"/>
        <v>0</v>
      </c>
      <c r="Q160" s="147">
        <f t="shared" si="76"/>
        <v>0</v>
      </c>
      <c r="S160" s="49">
        <f t="shared" si="39"/>
        <v>4946948.6241163164</v>
      </c>
      <c r="T160" s="44">
        <f t="shared" si="77"/>
        <v>15</v>
      </c>
      <c r="V160" s="49">
        <f t="shared" ref="V160:Z200" si="88">IF($J160=0, 0, IF(OR($H160&gt;V$59,$H160+$J160&lt;V$59),0,
IF(OR($H160=2020,$H160=2021),VDB($S160*(1-$F$28),0,$T160,V$59-2022,MIN($T160,V$59-2021),$F$22,FALSE),
VDB($S160*(1-$F$28),0,$T160,MAX(0,V$59-$H160-0.5),MIN($T160,V$59-$H160+0.5),$F$22,FALSE))))</f>
        <v>0</v>
      </c>
      <c r="W160" s="49">
        <f t="shared" si="88"/>
        <v>0</v>
      </c>
      <c r="X160" s="49">
        <f t="shared" si="88"/>
        <v>0</v>
      </c>
      <c r="Y160" s="49">
        <f t="shared" si="88"/>
        <v>192930.99634053637</v>
      </c>
      <c r="Z160" s="49">
        <f t="shared" si="88"/>
        <v>369141.30633155955</v>
      </c>
      <c r="AB160" s="49">
        <f t="shared" ref="AB160:AF200" si="89">IF($J160=0, 0, IF(OR($H160&gt;AB$59,$H160+$J160&lt;AB$59),0,
IF(OR($H160=2020,$H160=2021),VDB($S160*$F$28,0,$T160,AB$59-2022,MIN($T160,AB$59-2021),1),
VDB($S160*$F$28,0,$T160,MAX(0,AB$59-$H160-0.5),MIN($T160,AB$59-$H160+0.5),1))))</f>
        <v>0</v>
      </c>
      <c r="AC160" s="49">
        <f t="shared" si="89"/>
        <v>0</v>
      </c>
      <c r="AD160" s="49">
        <f t="shared" si="89"/>
        <v>0</v>
      </c>
      <c r="AE160" s="49">
        <f t="shared" si="89"/>
        <v>16489.828747054391</v>
      </c>
      <c r="AF160" s="49">
        <f t="shared" si="89"/>
        <v>32979.657494108782</v>
      </c>
      <c r="AH160" s="49">
        <f t="shared" si="78"/>
        <v>0</v>
      </c>
      <c r="AI160" s="49">
        <f t="shared" si="79"/>
        <v>0</v>
      </c>
      <c r="AJ160" s="49">
        <f t="shared" si="80"/>
        <v>0</v>
      </c>
      <c r="AK160" s="49">
        <f t="shared" si="81"/>
        <v>209420.82508759075</v>
      </c>
      <c r="AL160" s="49">
        <f t="shared" si="82"/>
        <v>402120.96382566832</v>
      </c>
      <c r="AN160" s="49">
        <f t="shared" si="46"/>
        <v>0</v>
      </c>
      <c r="AO160" s="49">
        <f t="shared" si="47"/>
        <v>0</v>
      </c>
      <c r="AP160" s="49">
        <f t="shared" si="48"/>
        <v>0</v>
      </c>
      <c r="AQ160" s="49">
        <f t="shared" si="49"/>
        <v>4737527.7990287254</v>
      </c>
      <c r="AR160" s="49">
        <f t="shared" si="50"/>
        <v>4335406.8352030572</v>
      </c>
      <c r="AT160" s="49">
        <f t="shared" si="72"/>
        <v>0</v>
      </c>
      <c r="AU160" s="49">
        <f t="shared" si="72"/>
        <v>0</v>
      </c>
      <c r="AV160" s="49">
        <f t="shared" si="72"/>
        <v>0</v>
      </c>
      <c r="AW160" s="49">
        <f t="shared" si="72"/>
        <v>49469.486241163162</v>
      </c>
      <c r="AX160" s="49">
        <f t="shared" si="72"/>
        <v>50109.225637233882</v>
      </c>
      <c r="AZ160" s="53">
        <f t="shared" si="83"/>
        <v>0</v>
      </c>
      <c r="BA160" s="53">
        <f t="shared" si="84"/>
        <v>0</v>
      </c>
      <c r="BB160" s="53">
        <f t="shared" si="85"/>
        <v>0</v>
      </c>
      <c r="BC160" s="53">
        <f t="shared" si="86"/>
        <v>438916.36769184546</v>
      </c>
      <c r="BD160" s="53">
        <f t="shared" si="87"/>
        <v>616975.64920061838</v>
      </c>
    </row>
    <row r="161" spans="2:56">
      <c r="B161" s="43">
        <f>'3. Input (des)investeringen '!B186</f>
        <v>1629</v>
      </c>
      <c r="C161" s="54"/>
      <c r="D161" s="54"/>
      <c r="E161" s="54"/>
      <c r="F161" s="48">
        <f>'3. Input (des)investeringen '!D186</f>
        <v>28058274.451637983</v>
      </c>
      <c r="G161" s="54"/>
      <c r="H161" s="43">
        <f>'3. Input (des)investeringen '!F186</f>
        <v>2025</v>
      </c>
      <c r="I161" s="48" t="str">
        <f>'3. Input (des)investeringen '!G186</f>
        <v>nvt</v>
      </c>
      <c r="J161" s="48">
        <f>'3. Input (des)investeringen '!H186</f>
        <v>30</v>
      </c>
      <c r="K161" s="48">
        <f>'3. Input (des)investeringen '!I186</f>
        <v>0</v>
      </c>
      <c r="M161" s="49">
        <f t="shared" si="73"/>
        <v>0</v>
      </c>
      <c r="N161" s="49">
        <f t="shared" si="74"/>
        <v>0</v>
      </c>
      <c r="P161" s="147">
        <f t="shared" si="75"/>
        <v>0</v>
      </c>
      <c r="Q161" s="147">
        <f t="shared" si="76"/>
        <v>0</v>
      </c>
      <c r="S161" s="49">
        <f t="shared" si="39"/>
        <v>28058274.451637983</v>
      </c>
      <c r="T161" s="44">
        <f t="shared" si="77"/>
        <v>30</v>
      </c>
      <c r="V161" s="49">
        <f t="shared" si="88"/>
        <v>0</v>
      </c>
      <c r="W161" s="49">
        <f t="shared" si="88"/>
        <v>0</v>
      </c>
      <c r="X161" s="49">
        <f t="shared" si="88"/>
        <v>0</v>
      </c>
      <c r="Y161" s="49">
        <f t="shared" si="88"/>
        <v>547136.35180694074</v>
      </c>
      <c r="Z161" s="49">
        <f t="shared" si="88"/>
        <v>1070563.4617022472</v>
      </c>
      <c r="AB161" s="49">
        <f t="shared" si="89"/>
        <v>0</v>
      </c>
      <c r="AC161" s="49">
        <f t="shared" si="89"/>
        <v>0</v>
      </c>
      <c r="AD161" s="49">
        <f t="shared" si="89"/>
        <v>0</v>
      </c>
      <c r="AE161" s="49">
        <f t="shared" si="89"/>
        <v>46763.790752729976</v>
      </c>
      <c r="AF161" s="49">
        <f t="shared" si="89"/>
        <v>93527.581505459952</v>
      </c>
      <c r="AH161" s="49">
        <f t="shared" si="78"/>
        <v>0</v>
      </c>
      <c r="AI161" s="49">
        <f t="shared" si="79"/>
        <v>0</v>
      </c>
      <c r="AJ161" s="49">
        <f t="shared" si="80"/>
        <v>0</v>
      </c>
      <c r="AK161" s="49">
        <f t="shared" si="81"/>
        <v>593900.14255967073</v>
      </c>
      <c r="AL161" s="49">
        <f t="shared" si="82"/>
        <v>1164091.0432077071</v>
      </c>
      <c r="AN161" s="49">
        <f t="shared" si="46"/>
        <v>0</v>
      </c>
      <c r="AO161" s="49">
        <f t="shared" si="47"/>
        <v>0</v>
      </c>
      <c r="AP161" s="49">
        <f t="shared" si="48"/>
        <v>0</v>
      </c>
      <c r="AQ161" s="49">
        <f t="shared" si="49"/>
        <v>27464374.309078313</v>
      </c>
      <c r="AR161" s="49">
        <f t="shared" si="50"/>
        <v>26300283.265870605</v>
      </c>
      <c r="AT161" s="49">
        <f t="shared" si="72"/>
        <v>0</v>
      </c>
      <c r="AU161" s="49">
        <f t="shared" si="72"/>
        <v>0</v>
      </c>
      <c r="AV161" s="49">
        <f t="shared" si="72"/>
        <v>0</v>
      </c>
      <c r="AW161" s="49">
        <f t="shared" si="72"/>
        <v>280582.74451637984</v>
      </c>
      <c r="AX161" s="49">
        <f t="shared" si="72"/>
        <v>284211.24056846561</v>
      </c>
      <c r="AZ161" s="53">
        <f t="shared" si="83"/>
        <v>0</v>
      </c>
      <c r="BA161" s="53">
        <f t="shared" si="84"/>
        <v>0</v>
      </c>
      <c r="BB161" s="53">
        <f t="shared" si="85"/>
        <v>0</v>
      </c>
      <c r="BC161" s="53">
        <f t="shared" si="86"/>
        <v>1918129.1108210266</v>
      </c>
      <c r="BD161" s="53">
        <f t="shared" si="87"/>
        <v>2447713.0478792554</v>
      </c>
    </row>
    <row r="162" spans="2:56">
      <c r="B162" s="43">
        <f>'3. Input (des)investeringen '!B187</f>
        <v>1630</v>
      </c>
      <c r="C162" s="54"/>
      <c r="D162" s="54"/>
      <c r="E162" s="54"/>
      <c r="F162" s="48">
        <f>'3. Input (des)investeringen '!D187</f>
        <v>39636.2960349688</v>
      </c>
      <c r="G162" s="54"/>
      <c r="H162" s="43">
        <f>'3. Input (des)investeringen '!F187</f>
        <v>2025</v>
      </c>
      <c r="I162" s="48" t="str">
        <f>'3. Input (des)investeringen '!G187</f>
        <v>nvt</v>
      </c>
      <c r="J162" s="48">
        <f>'3. Input (des)investeringen '!H187</f>
        <v>55</v>
      </c>
      <c r="K162" s="48">
        <f>'3. Input (des)investeringen '!I187</f>
        <v>0</v>
      </c>
      <c r="M162" s="49">
        <f t="shared" si="73"/>
        <v>0</v>
      </c>
      <c r="N162" s="49">
        <f t="shared" si="74"/>
        <v>0</v>
      </c>
      <c r="P162" s="147">
        <f t="shared" si="75"/>
        <v>0</v>
      </c>
      <c r="Q162" s="147">
        <f t="shared" si="76"/>
        <v>0</v>
      </c>
      <c r="S162" s="49">
        <f t="shared" si="39"/>
        <v>39636.2960349688</v>
      </c>
      <c r="T162" s="44">
        <f t="shared" si="77"/>
        <v>55</v>
      </c>
      <c r="V162" s="49">
        <f t="shared" si="88"/>
        <v>0</v>
      </c>
      <c r="W162" s="49">
        <f t="shared" si="88"/>
        <v>0</v>
      </c>
      <c r="X162" s="49">
        <f t="shared" si="88"/>
        <v>0</v>
      </c>
      <c r="Y162" s="49">
        <f t="shared" si="88"/>
        <v>421.58605782648635</v>
      </c>
      <c r="Z162" s="49">
        <f t="shared" si="88"/>
        <v>833.2073542861649</v>
      </c>
      <c r="AB162" s="49">
        <f t="shared" si="89"/>
        <v>0</v>
      </c>
      <c r="AC162" s="49">
        <f t="shared" si="89"/>
        <v>0</v>
      </c>
      <c r="AD162" s="49">
        <f t="shared" si="89"/>
        <v>0</v>
      </c>
      <c r="AE162" s="49">
        <f t="shared" si="89"/>
        <v>36.032996395426181</v>
      </c>
      <c r="AF162" s="49">
        <f t="shared" si="89"/>
        <v>72.065992790852363</v>
      </c>
      <c r="AH162" s="49">
        <f t="shared" si="78"/>
        <v>0</v>
      </c>
      <c r="AI162" s="49">
        <f t="shared" si="79"/>
        <v>0</v>
      </c>
      <c r="AJ162" s="49">
        <f t="shared" si="80"/>
        <v>0</v>
      </c>
      <c r="AK162" s="49">
        <f t="shared" si="81"/>
        <v>457.61905422191251</v>
      </c>
      <c r="AL162" s="49">
        <f t="shared" si="82"/>
        <v>905.27334707701721</v>
      </c>
      <c r="AN162" s="49">
        <f t="shared" si="46"/>
        <v>0</v>
      </c>
      <c r="AO162" s="49">
        <f t="shared" si="47"/>
        <v>0</v>
      </c>
      <c r="AP162" s="49">
        <f t="shared" si="48"/>
        <v>0</v>
      </c>
      <c r="AQ162" s="49">
        <f t="shared" si="49"/>
        <v>39178.676980746888</v>
      </c>
      <c r="AR162" s="49">
        <f t="shared" si="50"/>
        <v>38273.40363366987</v>
      </c>
      <c r="AT162" s="49">
        <f t="shared" si="72"/>
        <v>0</v>
      </c>
      <c r="AU162" s="49">
        <f t="shared" si="72"/>
        <v>0</v>
      </c>
      <c r="AV162" s="49">
        <f t="shared" si="72"/>
        <v>0</v>
      </c>
      <c r="AW162" s="49">
        <f t="shared" si="72"/>
        <v>396.36296034968802</v>
      </c>
      <c r="AX162" s="49">
        <f t="shared" si="72"/>
        <v>401.4887261529301</v>
      </c>
      <c r="AZ162" s="53">
        <f t="shared" si="83"/>
        <v>0</v>
      </c>
      <c r="BA162" s="53">
        <f t="shared" si="84"/>
        <v>0</v>
      </c>
      <c r="BB162" s="53">
        <f t="shared" si="85"/>
        <v>0</v>
      </c>
      <c r="BC162" s="53">
        <f t="shared" si="86"/>
        <v>2342.7717398399823</v>
      </c>
      <c r="BD162" s="53">
        <f t="shared" si="87"/>
        <v>2761.1514113094026</v>
      </c>
    </row>
    <row r="163" spans="2:56">
      <c r="B163" s="43">
        <f>'3. Input (des)investeringen '!B188</f>
        <v>1631</v>
      </c>
      <c r="C163" s="54"/>
      <c r="D163" s="54"/>
      <c r="E163" s="54"/>
      <c r="F163" s="48">
        <f>'3. Input (des)investeringen '!D188</f>
        <v>0</v>
      </c>
      <c r="G163" s="54"/>
      <c r="H163" s="43">
        <f>'3. Input (des)investeringen '!F188</f>
        <v>2025</v>
      </c>
      <c r="I163" s="48" t="str">
        <f>'3. Input (des)investeringen '!G188</f>
        <v>nvt</v>
      </c>
      <c r="J163" s="48">
        <f>'3. Input (des)investeringen '!H188</f>
        <v>0</v>
      </c>
      <c r="K163" s="48">
        <f>'3. Input (des)investeringen '!I188</f>
        <v>0</v>
      </c>
      <c r="M163" s="49">
        <f t="shared" si="73"/>
        <v>0</v>
      </c>
      <c r="N163" s="49">
        <f t="shared" si="74"/>
        <v>0</v>
      </c>
      <c r="P163" s="147">
        <f t="shared" si="75"/>
        <v>0</v>
      </c>
      <c r="Q163" s="147">
        <f t="shared" si="76"/>
        <v>0</v>
      </c>
      <c r="S163" s="49">
        <f t="shared" si="39"/>
        <v>0</v>
      </c>
      <c r="T163" s="44">
        <f t="shared" si="77"/>
        <v>0</v>
      </c>
      <c r="V163" s="49">
        <f t="shared" si="88"/>
        <v>0</v>
      </c>
      <c r="W163" s="49">
        <f t="shared" si="88"/>
        <v>0</v>
      </c>
      <c r="X163" s="49">
        <f t="shared" si="88"/>
        <v>0</v>
      </c>
      <c r="Y163" s="49">
        <f t="shared" si="88"/>
        <v>0</v>
      </c>
      <c r="Z163" s="49">
        <f t="shared" si="88"/>
        <v>0</v>
      </c>
      <c r="AB163" s="49">
        <f t="shared" si="89"/>
        <v>0</v>
      </c>
      <c r="AC163" s="49">
        <f t="shared" si="89"/>
        <v>0</v>
      </c>
      <c r="AD163" s="49">
        <f t="shared" si="89"/>
        <v>0</v>
      </c>
      <c r="AE163" s="49">
        <f t="shared" si="89"/>
        <v>0</v>
      </c>
      <c r="AF163" s="49">
        <f t="shared" si="89"/>
        <v>0</v>
      </c>
      <c r="AH163" s="49">
        <f t="shared" si="78"/>
        <v>0</v>
      </c>
      <c r="AI163" s="49">
        <f t="shared" si="79"/>
        <v>0</v>
      </c>
      <c r="AJ163" s="49">
        <f t="shared" si="80"/>
        <v>0</v>
      </c>
      <c r="AK163" s="49">
        <f t="shared" si="81"/>
        <v>0</v>
      </c>
      <c r="AL163" s="49">
        <f t="shared" si="82"/>
        <v>0</v>
      </c>
      <c r="AN163" s="49">
        <f t="shared" si="46"/>
        <v>0</v>
      </c>
      <c r="AO163" s="49">
        <f t="shared" si="47"/>
        <v>0</v>
      </c>
      <c r="AP163" s="49">
        <f t="shared" si="48"/>
        <v>0</v>
      </c>
      <c r="AQ163" s="49">
        <f t="shared" si="49"/>
        <v>0</v>
      </c>
      <c r="AR163" s="49">
        <f t="shared" si="50"/>
        <v>0</v>
      </c>
      <c r="AT163" s="49">
        <f t="shared" si="72"/>
        <v>0</v>
      </c>
      <c r="AU163" s="49">
        <f t="shared" si="72"/>
        <v>0</v>
      </c>
      <c r="AV163" s="49">
        <f t="shared" si="72"/>
        <v>0</v>
      </c>
      <c r="AW163" s="49">
        <f t="shared" si="72"/>
        <v>0</v>
      </c>
      <c r="AX163" s="49">
        <f t="shared" si="72"/>
        <v>0</v>
      </c>
      <c r="AZ163" s="53">
        <f t="shared" si="83"/>
        <v>0</v>
      </c>
      <c r="BA163" s="53">
        <f t="shared" si="84"/>
        <v>0</v>
      </c>
      <c r="BB163" s="53">
        <f t="shared" si="85"/>
        <v>0</v>
      </c>
      <c r="BC163" s="53">
        <f t="shared" si="86"/>
        <v>0</v>
      </c>
      <c r="BD163" s="53">
        <f t="shared" si="87"/>
        <v>0</v>
      </c>
    </row>
    <row r="164" spans="2:56">
      <c r="B164" s="43">
        <f>'3. Input (des)investeringen '!B189</f>
        <v>1632</v>
      </c>
      <c r="C164" s="54"/>
      <c r="D164" s="54"/>
      <c r="E164" s="54"/>
      <c r="F164" s="48">
        <f>'3. Input (des)investeringen '!D189</f>
        <v>659695.61097586737</v>
      </c>
      <c r="G164" s="54"/>
      <c r="H164" s="43">
        <f>'3. Input (des)investeringen '!F189</f>
        <v>2025</v>
      </c>
      <c r="I164" s="48" t="str">
        <f>'3. Input (des)investeringen '!G189</f>
        <v>nvt</v>
      </c>
      <c r="J164" s="48">
        <f>'3. Input (des)investeringen '!H189</f>
        <v>5</v>
      </c>
      <c r="K164" s="48">
        <f>'3. Input (des)investeringen '!I189</f>
        <v>0</v>
      </c>
      <c r="M164" s="49">
        <f t="shared" si="73"/>
        <v>0</v>
      </c>
      <c r="N164" s="49">
        <f t="shared" si="74"/>
        <v>0</v>
      </c>
      <c r="P164" s="147">
        <f t="shared" si="75"/>
        <v>0</v>
      </c>
      <c r="Q164" s="147">
        <f t="shared" si="76"/>
        <v>0</v>
      </c>
      <c r="S164" s="49">
        <f t="shared" si="39"/>
        <v>659695.61097586737</v>
      </c>
      <c r="T164" s="44">
        <f t="shared" si="77"/>
        <v>5</v>
      </c>
      <c r="V164" s="49">
        <f t="shared" si="88"/>
        <v>0</v>
      </c>
      <c r="W164" s="49">
        <f t="shared" si="88"/>
        <v>0</v>
      </c>
      <c r="X164" s="49">
        <f t="shared" si="88"/>
        <v>0</v>
      </c>
      <c r="Y164" s="49">
        <f t="shared" si="88"/>
        <v>77184.386484176488</v>
      </c>
      <c r="Z164" s="49">
        <f t="shared" si="88"/>
        <v>134300.83248246709</v>
      </c>
      <c r="AB164" s="49">
        <f t="shared" si="89"/>
        <v>0</v>
      </c>
      <c r="AC164" s="49">
        <f t="shared" si="89"/>
        <v>0</v>
      </c>
      <c r="AD164" s="49">
        <f t="shared" si="89"/>
        <v>0</v>
      </c>
      <c r="AE164" s="49">
        <f t="shared" si="89"/>
        <v>6596.9561097586748</v>
      </c>
      <c r="AF164" s="49">
        <f t="shared" si="89"/>
        <v>13193.912219517348</v>
      </c>
      <c r="AH164" s="49">
        <f t="shared" si="78"/>
        <v>0</v>
      </c>
      <c r="AI164" s="49">
        <f t="shared" si="79"/>
        <v>0</v>
      </c>
      <c r="AJ164" s="49">
        <f t="shared" si="80"/>
        <v>0</v>
      </c>
      <c r="AK164" s="49">
        <f t="shared" si="81"/>
        <v>83781.342593935158</v>
      </c>
      <c r="AL164" s="49">
        <f t="shared" si="82"/>
        <v>147494.74470198443</v>
      </c>
      <c r="AN164" s="49">
        <f t="shared" si="46"/>
        <v>0</v>
      </c>
      <c r="AO164" s="49">
        <f t="shared" si="47"/>
        <v>0</v>
      </c>
      <c r="AP164" s="49">
        <f t="shared" si="48"/>
        <v>0</v>
      </c>
      <c r="AQ164" s="49">
        <f t="shared" si="49"/>
        <v>575914.26838193217</v>
      </c>
      <c r="AR164" s="49">
        <f t="shared" si="50"/>
        <v>428419.52367994771</v>
      </c>
      <c r="AT164" s="49">
        <f t="shared" si="72"/>
        <v>0</v>
      </c>
      <c r="AU164" s="49">
        <f t="shared" si="72"/>
        <v>0</v>
      </c>
      <c r="AV164" s="49">
        <f t="shared" si="72"/>
        <v>0</v>
      </c>
      <c r="AW164" s="49">
        <f t="shared" si="72"/>
        <v>6596.9561097586738</v>
      </c>
      <c r="AX164" s="49">
        <f t="shared" si="72"/>
        <v>6682.2679461700718</v>
      </c>
      <c r="AZ164" s="53">
        <f t="shared" si="83"/>
        <v>0</v>
      </c>
      <c r="BA164" s="53">
        <f t="shared" si="84"/>
        <v>0</v>
      </c>
      <c r="BB164" s="53">
        <f t="shared" si="85"/>
        <v>0</v>
      </c>
      <c r="BC164" s="53">
        <f t="shared" si="86"/>
        <v>112263.04090220726</v>
      </c>
      <c r="BD164" s="53">
        <f t="shared" si="87"/>
        <v>170456.9545479925</v>
      </c>
    </row>
    <row r="165" spans="2:56">
      <c r="B165" s="43">
        <f>'3. Input (des)investeringen '!B190</f>
        <v>1633</v>
      </c>
      <c r="C165" s="54"/>
      <c r="D165" s="54"/>
      <c r="E165" s="54"/>
      <c r="F165" s="48">
        <f>'3. Input (des)investeringen '!D190</f>
        <v>4883428.1411884353</v>
      </c>
      <c r="G165" s="54"/>
      <c r="H165" s="43">
        <f>'3. Input (des)investeringen '!F190</f>
        <v>2025</v>
      </c>
      <c r="I165" s="48" t="str">
        <f>'3. Input (des)investeringen '!G190</f>
        <v>nvt</v>
      </c>
      <c r="J165" s="48">
        <f>'3. Input (des)investeringen '!H190</f>
        <v>10</v>
      </c>
      <c r="K165" s="48">
        <f>'3. Input (des)investeringen '!I190</f>
        <v>0</v>
      </c>
      <c r="M165" s="49">
        <f t="shared" si="73"/>
        <v>0</v>
      </c>
      <c r="N165" s="49">
        <f t="shared" si="74"/>
        <v>0</v>
      </c>
      <c r="P165" s="147">
        <f t="shared" si="75"/>
        <v>0</v>
      </c>
      <c r="Q165" s="147">
        <f t="shared" si="76"/>
        <v>0</v>
      </c>
      <c r="S165" s="49">
        <f t="shared" si="39"/>
        <v>4883428.1411884353</v>
      </c>
      <c r="T165" s="44">
        <f t="shared" si="77"/>
        <v>10</v>
      </c>
      <c r="V165" s="49">
        <f t="shared" si="88"/>
        <v>0</v>
      </c>
      <c r="W165" s="49">
        <f t="shared" si="88"/>
        <v>0</v>
      </c>
      <c r="X165" s="49">
        <f t="shared" si="88"/>
        <v>0</v>
      </c>
      <c r="Y165" s="49">
        <f t="shared" si="88"/>
        <v>285680.54625952349</v>
      </c>
      <c r="Z165" s="49">
        <f t="shared" si="88"/>
        <v>534222.6215053089</v>
      </c>
      <c r="AB165" s="49">
        <f t="shared" si="89"/>
        <v>0</v>
      </c>
      <c r="AC165" s="49">
        <f t="shared" si="89"/>
        <v>0</v>
      </c>
      <c r="AD165" s="49">
        <f t="shared" si="89"/>
        <v>0</v>
      </c>
      <c r="AE165" s="49">
        <f t="shared" si="89"/>
        <v>24417.140705942176</v>
      </c>
      <c r="AF165" s="49">
        <f t="shared" si="89"/>
        <v>48834.281411884353</v>
      </c>
      <c r="AH165" s="49">
        <f t="shared" si="78"/>
        <v>0</v>
      </c>
      <c r="AI165" s="49">
        <f t="shared" si="79"/>
        <v>0</v>
      </c>
      <c r="AJ165" s="49">
        <f t="shared" si="80"/>
        <v>0</v>
      </c>
      <c r="AK165" s="49">
        <f t="shared" si="81"/>
        <v>310097.68696546566</v>
      </c>
      <c r="AL165" s="49">
        <f t="shared" si="82"/>
        <v>583056.90291719325</v>
      </c>
      <c r="AN165" s="49">
        <f t="shared" si="46"/>
        <v>0</v>
      </c>
      <c r="AO165" s="49">
        <f t="shared" si="47"/>
        <v>0</v>
      </c>
      <c r="AP165" s="49">
        <f t="shared" si="48"/>
        <v>0</v>
      </c>
      <c r="AQ165" s="49">
        <f t="shared" si="49"/>
        <v>4573330.4542229697</v>
      </c>
      <c r="AR165" s="49">
        <f t="shared" si="50"/>
        <v>3990273.5513057765</v>
      </c>
      <c r="AT165" s="49">
        <f t="shared" si="72"/>
        <v>0</v>
      </c>
      <c r="AU165" s="49">
        <f t="shared" si="72"/>
        <v>0</v>
      </c>
      <c r="AV165" s="49">
        <f t="shared" si="72"/>
        <v>0</v>
      </c>
      <c r="AW165" s="49">
        <f t="shared" si="72"/>
        <v>48834.281411884353</v>
      </c>
      <c r="AX165" s="49">
        <f t="shared" si="72"/>
        <v>49465.806339102834</v>
      </c>
      <c r="AZ165" s="53">
        <f t="shared" si="83"/>
        <v>0</v>
      </c>
      <c r="BA165" s="53">
        <f t="shared" si="84"/>
        <v>0</v>
      </c>
      <c r="BB165" s="53">
        <f t="shared" si="85"/>
        <v>0</v>
      </c>
      <c r="BC165" s="53">
        <f t="shared" si="86"/>
        <v>532718.52563782292</v>
      </c>
      <c r="BD165" s="53">
        <f t="shared" si="87"/>
        <v>784153.10420591559</v>
      </c>
    </row>
    <row r="166" spans="2:56">
      <c r="B166" s="43">
        <f>'3. Input (des)investeringen '!B191</f>
        <v>1634</v>
      </c>
      <c r="C166" s="54"/>
      <c r="D166" s="54"/>
      <c r="E166" s="54"/>
      <c r="F166" s="48">
        <f>'3. Input (des)investeringen '!D191</f>
        <v>7991224.8122066045</v>
      </c>
      <c r="G166" s="54"/>
      <c r="H166" s="43">
        <f>'3. Input (des)investeringen '!F191</f>
        <v>2025</v>
      </c>
      <c r="I166" s="48" t="str">
        <f>'3. Input (des)investeringen '!G191</f>
        <v>nvt</v>
      </c>
      <c r="J166" s="48">
        <f>'3. Input (des)investeringen '!H191</f>
        <v>15</v>
      </c>
      <c r="K166" s="48">
        <f>'3. Input (des)investeringen '!I191</f>
        <v>0</v>
      </c>
      <c r="M166" s="49">
        <f t="shared" si="73"/>
        <v>0</v>
      </c>
      <c r="N166" s="49">
        <f t="shared" si="74"/>
        <v>0</v>
      </c>
      <c r="P166" s="147">
        <f t="shared" si="75"/>
        <v>0</v>
      </c>
      <c r="Q166" s="147">
        <f t="shared" si="76"/>
        <v>0</v>
      </c>
      <c r="S166" s="49">
        <f t="shared" si="39"/>
        <v>7991224.8122066045</v>
      </c>
      <c r="T166" s="44">
        <f t="shared" si="77"/>
        <v>15</v>
      </c>
      <c r="V166" s="49">
        <f t="shared" si="88"/>
        <v>0</v>
      </c>
      <c r="W166" s="49">
        <f t="shared" si="88"/>
        <v>0</v>
      </c>
      <c r="X166" s="49">
        <f t="shared" si="88"/>
        <v>0</v>
      </c>
      <c r="Y166" s="49">
        <f t="shared" si="88"/>
        <v>311657.76767605759</v>
      </c>
      <c r="Z166" s="49">
        <f t="shared" si="88"/>
        <v>596305.19548685686</v>
      </c>
      <c r="AB166" s="49">
        <f t="shared" si="89"/>
        <v>0</v>
      </c>
      <c r="AC166" s="49">
        <f t="shared" si="89"/>
        <v>0</v>
      </c>
      <c r="AD166" s="49">
        <f t="shared" si="89"/>
        <v>0</v>
      </c>
      <c r="AE166" s="49">
        <f t="shared" si="89"/>
        <v>26637.416040688684</v>
      </c>
      <c r="AF166" s="49">
        <f t="shared" si="89"/>
        <v>53274.832081377368</v>
      </c>
      <c r="AH166" s="49">
        <f t="shared" si="78"/>
        <v>0</v>
      </c>
      <c r="AI166" s="49">
        <f t="shared" si="79"/>
        <v>0</v>
      </c>
      <c r="AJ166" s="49">
        <f t="shared" si="80"/>
        <v>0</v>
      </c>
      <c r="AK166" s="49">
        <f t="shared" si="81"/>
        <v>338295.18371674628</v>
      </c>
      <c r="AL166" s="49">
        <f t="shared" si="82"/>
        <v>649580.02756823425</v>
      </c>
      <c r="AN166" s="49">
        <f t="shared" si="46"/>
        <v>0</v>
      </c>
      <c r="AO166" s="49">
        <f t="shared" si="47"/>
        <v>0</v>
      </c>
      <c r="AP166" s="49">
        <f t="shared" si="48"/>
        <v>0</v>
      </c>
      <c r="AQ166" s="49">
        <f t="shared" si="49"/>
        <v>7652929.6284898585</v>
      </c>
      <c r="AR166" s="49">
        <f t="shared" si="50"/>
        <v>7003349.6009216243</v>
      </c>
      <c r="AT166" s="49">
        <f t="shared" si="72"/>
        <v>0</v>
      </c>
      <c r="AU166" s="49">
        <f t="shared" si="72"/>
        <v>0</v>
      </c>
      <c r="AV166" s="49">
        <f t="shared" si="72"/>
        <v>0</v>
      </c>
      <c r="AW166" s="49">
        <f t="shared" si="72"/>
        <v>79912.248122066041</v>
      </c>
      <c r="AX166" s="49">
        <f t="shared" si="72"/>
        <v>80945.673314780594</v>
      </c>
      <c r="AZ166" s="53">
        <f t="shared" si="83"/>
        <v>0</v>
      </c>
      <c r="BA166" s="53">
        <f t="shared" si="84"/>
        <v>0</v>
      </c>
      <c r="BB166" s="53">
        <f t="shared" si="85"/>
        <v>0</v>
      </c>
      <c r="BC166" s="53">
        <f t="shared" si="86"/>
        <v>709018.7577214269</v>
      </c>
      <c r="BD166" s="53">
        <f t="shared" si="87"/>
        <v>996652.98571803654</v>
      </c>
    </row>
    <row r="167" spans="2:56">
      <c r="B167" s="43">
        <f>'3. Input (des)investeringen '!B192</f>
        <v>1635</v>
      </c>
      <c r="C167" s="54"/>
      <c r="D167" s="54"/>
      <c r="E167" s="54"/>
      <c r="F167" s="48">
        <f>'3. Input (des)investeringen '!D192</f>
        <v>7928966.50303555</v>
      </c>
      <c r="G167" s="54"/>
      <c r="H167" s="43">
        <f>'3. Input (des)investeringen '!F192</f>
        <v>2025</v>
      </c>
      <c r="I167" s="48" t="str">
        <f>'3. Input (des)investeringen '!G192</f>
        <v>nvt</v>
      </c>
      <c r="J167" s="48">
        <f>'3. Input (des)investeringen '!H192</f>
        <v>30</v>
      </c>
      <c r="K167" s="48">
        <f>'3. Input (des)investeringen '!I192</f>
        <v>0</v>
      </c>
      <c r="M167" s="49">
        <f t="shared" si="73"/>
        <v>0</v>
      </c>
      <c r="N167" s="49">
        <f t="shared" si="74"/>
        <v>0</v>
      </c>
      <c r="P167" s="147">
        <f t="shared" si="75"/>
        <v>0</v>
      </c>
      <c r="Q167" s="147">
        <f t="shared" si="76"/>
        <v>0</v>
      </c>
      <c r="S167" s="49">
        <f t="shared" si="39"/>
        <v>7928966.50303555</v>
      </c>
      <c r="T167" s="44">
        <f t="shared" si="77"/>
        <v>30</v>
      </c>
      <c r="V167" s="49">
        <f t="shared" si="88"/>
        <v>0</v>
      </c>
      <c r="W167" s="49">
        <f t="shared" si="88"/>
        <v>0</v>
      </c>
      <c r="X167" s="49">
        <f t="shared" si="88"/>
        <v>0</v>
      </c>
      <c r="Y167" s="49">
        <f t="shared" si="88"/>
        <v>154614.84680919323</v>
      </c>
      <c r="Z167" s="49">
        <f t="shared" si="88"/>
        <v>302529.71692332142</v>
      </c>
      <c r="AB167" s="49">
        <f t="shared" si="89"/>
        <v>0</v>
      </c>
      <c r="AC167" s="49">
        <f t="shared" si="89"/>
        <v>0</v>
      </c>
      <c r="AD167" s="49">
        <f t="shared" si="89"/>
        <v>0</v>
      </c>
      <c r="AE167" s="49">
        <f t="shared" si="89"/>
        <v>13214.944171725918</v>
      </c>
      <c r="AF167" s="49">
        <f t="shared" si="89"/>
        <v>26429.888343451836</v>
      </c>
      <c r="AH167" s="49">
        <f t="shared" si="78"/>
        <v>0</v>
      </c>
      <c r="AI167" s="49">
        <f t="shared" si="79"/>
        <v>0</v>
      </c>
      <c r="AJ167" s="49">
        <f t="shared" si="80"/>
        <v>0</v>
      </c>
      <c r="AK167" s="49">
        <f t="shared" si="81"/>
        <v>167829.79098091915</v>
      </c>
      <c r="AL167" s="49">
        <f t="shared" si="82"/>
        <v>328959.60526677326</v>
      </c>
      <c r="AN167" s="49">
        <f t="shared" si="46"/>
        <v>0</v>
      </c>
      <c r="AO167" s="49">
        <f t="shared" si="47"/>
        <v>0</v>
      </c>
      <c r="AP167" s="49">
        <f t="shared" si="48"/>
        <v>0</v>
      </c>
      <c r="AQ167" s="49">
        <f t="shared" si="49"/>
        <v>7761136.7120546307</v>
      </c>
      <c r="AR167" s="49">
        <f t="shared" si="50"/>
        <v>7432177.1067878576</v>
      </c>
      <c r="AT167" s="49">
        <f t="shared" si="72"/>
        <v>0</v>
      </c>
      <c r="AU167" s="49">
        <f t="shared" si="72"/>
        <v>0</v>
      </c>
      <c r="AV167" s="49">
        <f t="shared" si="72"/>
        <v>0</v>
      </c>
      <c r="AW167" s="49">
        <f t="shared" si="72"/>
        <v>79289.665030355507</v>
      </c>
      <c r="AX167" s="49">
        <f t="shared" si="72"/>
        <v>80315.038978528042</v>
      </c>
      <c r="AZ167" s="53">
        <f t="shared" si="83"/>
        <v>0</v>
      </c>
      <c r="BA167" s="53">
        <f t="shared" si="84"/>
        <v>0</v>
      </c>
      <c r="BB167" s="53">
        <f t="shared" si="85"/>
        <v>0</v>
      </c>
      <c r="BC167" s="53">
        <f t="shared" si="86"/>
        <v>542042.65106935054</v>
      </c>
      <c r="BD167" s="53">
        <f t="shared" si="87"/>
        <v>691697.37430323986</v>
      </c>
    </row>
    <row r="168" spans="2:56">
      <c r="B168" s="43">
        <f>'3. Input (des)investeringen '!B193</f>
        <v>1636</v>
      </c>
      <c r="C168" s="54"/>
      <c r="D168" s="54"/>
      <c r="E168" s="54"/>
      <c r="F168" s="48">
        <f>'3. Input (des)investeringen '!D193</f>
        <v>0</v>
      </c>
      <c r="G168" s="54"/>
      <c r="H168" s="43">
        <f>'3. Input (des)investeringen '!F193</f>
        <v>2025</v>
      </c>
      <c r="I168" s="48" t="str">
        <f>'3. Input (des)investeringen '!G193</f>
        <v>nvt</v>
      </c>
      <c r="J168" s="48">
        <f>'3. Input (des)investeringen '!H193</f>
        <v>55</v>
      </c>
      <c r="K168" s="48">
        <f>'3. Input (des)investeringen '!I193</f>
        <v>0</v>
      </c>
      <c r="M168" s="49">
        <f t="shared" si="73"/>
        <v>0</v>
      </c>
      <c r="N168" s="49">
        <f t="shared" si="74"/>
        <v>0</v>
      </c>
      <c r="P168" s="147">
        <f t="shared" si="75"/>
        <v>0</v>
      </c>
      <c r="Q168" s="147">
        <f t="shared" si="76"/>
        <v>0</v>
      </c>
      <c r="S168" s="49">
        <f t="shared" si="39"/>
        <v>0</v>
      </c>
      <c r="T168" s="44">
        <f t="shared" si="77"/>
        <v>55</v>
      </c>
      <c r="V168" s="49">
        <f t="shared" si="88"/>
        <v>0</v>
      </c>
      <c r="W168" s="49">
        <f t="shared" si="88"/>
        <v>0</v>
      </c>
      <c r="X168" s="49">
        <f t="shared" si="88"/>
        <v>0</v>
      </c>
      <c r="Y168" s="49">
        <f t="shared" si="88"/>
        <v>0</v>
      </c>
      <c r="Z168" s="49">
        <f t="shared" si="88"/>
        <v>0</v>
      </c>
      <c r="AB168" s="49">
        <f t="shared" si="89"/>
        <v>0</v>
      </c>
      <c r="AC168" s="49">
        <f t="shared" si="89"/>
        <v>0</v>
      </c>
      <c r="AD168" s="49">
        <f t="shared" si="89"/>
        <v>0</v>
      </c>
      <c r="AE168" s="49">
        <f t="shared" si="89"/>
        <v>0</v>
      </c>
      <c r="AF168" s="49">
        <f t="shared" si="89"/>
        <v>0</v>
      </c>
      <c r="AH168" s="49">
        <f t="shared" si="78"/>
        <v>0</v>
      </c>
      <c r="AI168" s="49">
        <f t="shared" si="79"/>
        <v>0</v>
      </c>
      <c r="AJ168" s="49">
        <f t="shared" si="80"/>
        <v>0</v>
      </c>
      <c r="AK168" s="49">
        <f t="shared" si="81"/>
        <v>0</v>
      </c>
      <c r="AL168" s="49">
        <f t="shared" si="82"/>
        <v>0</v>
      </c>
      <c r="AN168" s="49">
        <f t="shared" si="46"/>
        <v>0</v>
      </c>
      <c r="AO168" s="49">
        <f t="shared" si="47"/>
        <v>0</v>
      </c>
      <c r="AP168" s="49">
        <f t="shared" si="48"/>
        <v>0</v>
      </c>
      <c r="AQ168" s="49">
        <f t="shared" si="49"/>
        <v>0</v>
      </c>
      <c r="AR168" s="49">
        <f t="shared" si="50"/>
        <v>0</v>
      </c>
      <c r="AT168" s="49">
        <f t="shared" si="72"/>
        <v>0</v>
      </c>
      <c r="AU168" s="49">
        <f t="shared" si="72"/>
        <v>0</v>
      </c>
      <c r="AV168" s="49">
        <f t="shared" si="72"/>
        <v>0</v>
      </c>
      <c r="AW168" s="49">
        <f t="shared" si="72"/>
        <v>0</v>
      </c>
      <c r="AX168" s="49">
        <f t="shared" si="72"/>
        <v>0</v>
      </c>
      <c r="AZ168" s="53">
        <f t="shared" si="83"/>
        <v>0</v>
      </c>
      <c r="BA168" s="53">
        <f t="shared" si="84"/>
        <v>0</v>
      </c>
      <c r="BB168" s="53">
        <f t="shared" si="85"/>
        <v>0</v>
      </c>
      <c r="BC168" s="53">
        <f t="shared" si="86"/>
        <v>0</v>
      </c>
      <c r="BD168" s="53">
        <f t="shared" si="87"/>
        <v>0</v>
      </c>
    </row>
    <row r="169" spans="2:56">
      <c r="B169" s="43">
        <f>'3. Input (des)investeringen '!B194</f>
        <v>1637</v>
      </c>
      <c r="C169" s="54"/>
      <c r="D169" s="54"/>
      <c r="E169" s="54"/>
      <c r="F169" s="48">
        <f>'3. Input (des)investeringen '!D194</f>
        <v>0</v>
      </c>
      <c r="G169" s="54"/>
      <c r="H169" s="43">
        <f>'3. Input (des)investeringen '!F194</f>
        <v>2026</v>
      </c>
      <c r="I169" s="48" t="str">
        <f>'3. Input (des)investeringen '!G194</f>
        <v>nvt</v>
      </c>
      <c r="J169" s="48">
        <f>'3. Input (des)investeringen '!H194</f>
        <v>0</v>
      </c>
      <c r="K169" s="48">
        <f>'3. Input (des)investeringen '!I194</f>
        <v>1</v>
      </c>
      <c r="M169" s="49">
        <f t="shared" si="73"/>
        <v>0</v>
      </c>
      <c r="N169" s="49">
        <f t="shared" si="74"/>
        <v>0</v>
      </c>
      <c r="P169" s="147">
        <f t="shared" si="75"/>
        <v>0</v>
      </c>
      <c r="Q169" s="147">
        <f t="shared" si="76"/>
        <v>0</v>
      </c>
      <c r="S169" s="49">
        <f t="shared" si="39"/>
        <v>0</v>
      </c>
      <c r="T169" s="44">
        <f t="shared" si="77"/>
        <v>0</v>
      </c>
      <c r="V169" s="49">
        <f t="shared" si="88"/>
        <v>0</v>
      </c>
      <c r="W169" s="49">
        <f t="shared" si="88"/>
        <v>0</v>
      </c>
      <c r="X169" s="49">
        <f t="shared" si="88"/>
        <v>0</v>
      </c>
      <c r="Y169" s="49">
        <f t="shared" si="88"/>
        <v>0</v>
      </c>
      <c r="Z169" s="49">
        <f t="shared" si="88"/>
        <v>0</v>
      </c>
      <c r="AB169" s="49">
        <f t="shared" si="89"/>
        <v>0</v>
      </c>
      <c r="AC169" s="49">
        <f t="shared" si="89"/>
        <v>0</v>
      </c>
      <c r="AD169" s="49">
        <f t="shared" si="89"/>
        <v>0</v>
      </c>
      <c r="AE169" s="49">
        <f t="shared" si="89"/>
        <v>0</v>
      </c>
      <c r="AF169" s="49">
        <f t="shared" si="89"/>
        <v>0</v>
      </c>
      <c r="AH169" s="49">
        <f t="shared" si="78"/>
        <v>0</v>
      </c>
      <c r="AI169" s="49">
        <f t="shared" si="79"/>
        <v>0</v>
      </c>
      <c r="AJ169" s="49">
        <f t="shared" si="80"/>
        <v>0</v>
      </c>
      <c r="AK169" s="49">
        <f t="shared" si="81"/>
        <v>0</v>
      </c>
      <c r="AL169" s="49">
        <f t="shared" si="82"/>
        <v>0</v>
      </c>
      <c r="AN169" s="49">
        <f t="shared" si="46"/>
        <v>0</v>
      </c>
      <c r="AO169" s="49">
        <f t="shared" si="47"/>
        <v>0</v>
      </c>
      <c r="AP169" s="49">
        <f t="shared" si="48"/>
        <v>0</v>
      </c>
      <c r="AQ169" s="49">
        <f t="shared" si="49"/>
        <v>0</v>
      </c>
      <c r="AR169" s="49">
        <f t="shared" si="50"/>
        <v>0</v>
      </c>
      <c r="AT169" s="49">
        <f t="shared" si="72"/>
        <v>0</v>
      </c>
      <c r="AU169" s="49">
        <f t="shared" si="72"/>
        <v>0</v>
      </c>
      <c r="AV169" s="49">
        <f t="shared" si="72"/>
        <v>0</v>
      </c>
      <c r="AW169" s="49">
        <f t="shared" si="72"/>
        <v>0</v>
      </c>
      <c r="AX169" s="49">
        <f t="shared" si="72"/>
        <v>0</v>
      </c>
      <c r="AZ169" s="53">
        <f t="shared" si="83"/>
        <v>0</v>
      </c>
      <c r="BA169" s="53">
        <f t="shared" si="84"/>
        <v>0</v>
      </c>
      <c r="BB169" s="53">
        <f t="shared" si="85"/>
        <v>0</v>
      </c>
      <c r="BC169" s="53">
        <f t="shared" si="86"/>
        <v>0</v>
      </c>
      <c r="BD169" s="53">
        <f t="shared" si="87"/>
        <v>0</v>
      </c>
    </row>
    <row r="170" spans="2:56">
      <c r="B170" s="43">
        <f>'3. Input (des)investeringen '!B195</f>
        <v>1638</v>
      </c>
      <c r="C170" s="54"/>
      <c r="D170" s="54"/>
      <c r="E170" s="54"/>
      <c r="F170" s="48">
        <f>'3. Input (des)investeringen '!D195</f>
        <v>17780958.582841545</v>
      </c>
      <c r="G170" s="54"/>
      <c r="H170" s="43">
        <f>'3. Input (des)investeringen '!F195</f>
        <v>2026</v>
      </c>
      <c r="I170" s="48" t="str">
        <f>'3. Input (des)investeringen '!G195</f>
        <v>nvt</v>
      </c>
      <c r="J170" s="48">
        <f>'3. Input (des)investeringen '!H195</f>
        <v>5</v>
      </c>
      <c r="K170" s="48">
        <f>'3. Input (des)investeringen '!I195</f>
        <v>1</v>
      </c>
      <c r="M170" s="49">
        <f t="shared" si="73"/>
        <v>0</v>
      </c>
      <c r="N170" s="49">
        <f t="shared" si="74"/>
        <v>0</v>
      </c>
      <c r="P170" s="147">
        <f t="shared" si="75"/>
        <v>0</v>
      </c>
      <c r="Q170" s="147">
        <f t="shared" si="76"/>
        <v>0</v>
      </c>
      <c r="S170" s="49">
        <f t="shared" si="39"/>
        <v>17780958.582841545</v>
      </c>
      <c r="T170" s="44">
        <f t="shared" si="77"/>
        <v>5</v>
      </c>
      <c r="V170" s="49">
        <f t="shared" si="88"/>
        <v>0</v>
      </c>
      <c r="W170" s="49">
        <f t="shared" si="88"/>
        <v>0</v>
      </c>
      <c r="X170" s="49">
        <f t="shared" si="88"/>
        <v>0</v>
      </c>
      <c r="Y170" s="49">
        <f t="shared" si="88"/>
        <v>0</v>
      </c>
      <c r="Z170" s="49">
        <f t="shared" si="88"/>
        <v>2080372.1541924609</v>
      </c>
      <c r="AB170" s="49">
        <f t="shared" si="89"/>
        <v>0</v>
      </c>
      <c r="AC170" s="49">
        <f t="shared" si="89"/>
        <v>0</v>
      </c>
      <c r="AD170" s="49">
        <f t="shared" si="89"/>
        <v>0</v>
      </c>
      <c r="AE170" s="49">
        <f t="shared" si="89"/>
        <v>0</v>
      </c>
      <c r="AF170" s="49">
        <f t="shared" si="89"/>
        <v>177809.58582841547</v>
      </c>
      <c r="AH170" s="49">
        <f t="shared" si="78"/>
        <v>0</v>
      </c>
      <c r="AI170" s="49">
        <f t="shared" si="79"/>
        <v>0</v>
      </c>
      <c r="AJ170" s="49">
        <f t="shared" si="80"/>
        <v>0</v>
      </c>
      <c r="AK170" s="49">
        <f t="shared" si="81"/>
        <v>0</v>
      </c>
      <c r="AL170" s="49">
        <f t="shared" si="82"/>
        <v>2258181.7400208763</v>
      </c>
      <c r="AN170" s="49">
        <f t="shared" si="46"/>
        <v>0</v>
      </c>
      <c r="AO170" s="49">
        <f t="shared" si="47"/>
        <v>0</v>
      </c>
      <c r="AP170" s="49">
        <f t="shared" si="48"/>
        <v>0</v>
      </c>
      <c r="AQ170" s="49">
        <f t="shared" si="49"/>
        <v>0</v>
      </c>
      <c r="AR170" s="49">
        <f t="shared" si="50"/>
        <v>15522776.842820669</v>
      </c>
      <c r="AT170" s="49">
        <f t="shared" si="72"/>
        <v>0</v>
      </c>
      <c r="AU170" s="49">
        <f t="shared" si="72"/>
        <v>0</v>
      </c>
      <c r="AV170" s="49">
        <f t="shared" si="72"/>
        <v>0</v>
      </c>
      <c r="AW170" s="49">
        <f t="shared" si="72"/>
        <v>0</v>
      </c>
      <c r="AX170" s="49">
        <f t="shared" si="72"/>
        <v>177809.58582841547</v>
      </c>
      <c r="AZ170" s="53">
        <f t="shared" si="83"/>
        <v>0</v>
      </c>
      <c r="BA170" s="53">
        <f t="shared" si="84"/>
        <v>0</v>
      </c>
      <c r="BB170" s="53">
        <f t="shared" si="85"/>
        <v>0</v>
      </c>
      <c r="BC170" s="53">
        <f t="shared" si="86"/>
        <v>0</v>
      </c>
      <c r="BD170" s="53">
        <f t="shared" si="87"/>
        <v>3025856.8458764772</v>
      </c>
    </row>
    <row r="171" spans="2:56">
      <c r="B171" s="43">
        <f>'3. Input (des)investeringen '!B196</f>
        <v>1639</v>
      </c>
      <c r="C171" s="54"/>
      <c r="D171" s="54"/>
      <c r="E171" s="54"/>
      <c r="F171" s="48">
        <f>'3. Input (des)investeringen '!D196</f>
        <v>5393348.681022618</v>
      </c>
      <c r="G171" s="54"/>
      <c r="H171" s="43">
        <f>'3. Input (des)investeringen '!F196</f>
        <v>2026</v>
      </c>
      <c r="I171" s="48" t="str">
        <f>'3. Input (des)investeringen '!G196</f>
        <v>nvt</v>
      </c>
      <c r="J171" s="48">
        <f>'3. Input (des)investeringen '!H196</f>
        <v>10</v>
      </c>
      <c r="K171" s="48">
        <f>'3. Input (des)investeringen '!I196</f>
        <v>1</v>
      </c>
      <c r="M171" s="49">
        <f t="shared" si="73"/>
        <v>0</v>
      </c>
      <c r="N171" s="49">
        <f t="shared" si="74"/>
        <v>0</v>
      </c>
      <c r="P171" s="147">
        <f t="shared" si="75"/>
        <v>0</v>
      </c>
      <c r="Q171" s="147">
        <f t="shared" si="76"/>
        <v>0</v>
      </c>
      <c r="S171" s="49">
        <f t="shared" si="39"/>
        <v>5393348.681022618</v>
      </c>
      <c r="T171" s="44">
        <f t="shared" si="77"/>
        <v>10</v>
      </c>
      <c r="V171" s="49">
        <f t="shared" si="88"/>
        <v>0</v>
      </c>
      <c r="W171" s="49">
        <f t="shared" si="88"/>
        <v>0</v>
      </c>
      <c r="X171" s="49">
        <f t="shared" si="88"/>
        <v>0</v>
      </c>
      <c r="Y171" s="49">
        <f t="shared" si="88"/>
        <v>0</v>
      </c>
      <c r="Z171" s="49">
        <f t="shared" si="88"/>
        <v>315510.89783982316</v>
      </c>
      <c r="AB171" s="49">
        <f t="shared" si="89"/>
        <v>0</v>
      </c>
      <c r="AC171" s="49">
        <f t="shared" si="89"/>
        <v>0</v>
      </c>
      <c r="AD171" s="49">
        <f t="shared" si="89"/>
        <v>0</v>
      </c>
      <c r="AE171" s="49">
        <f t="shared" si="89"/>
        <v>0</v>
      </c>
      <c r="AF171" s="49">
        <f t="shared" si="89"/>
        <v>26966.743405113091</v>
      </c>
      <c r="AH171" s="49">
        <f t="shared" si="78"/>
        <v>0</v>
      </c>
      <c r="AI171" s="49">
        <f t="shared" si="79"/>
        <v>0</v>
      </c>
      <c r="AJ171" s="49">
        <f t="shared" si="80"/>
        <v>0</v>
      </c>
      <c r="AK171" s="49">
        <f t="shared" si="81"/>
        <v>0</v>
      </c>
      <c r="AL171" s="49">
        <f t="shared" si="82"/>
        <v>342477.64124493627</v>
      </c>
      <c r="AN171" s="49">
        <f t="shared" si="46"/>
        <v>0</v>
      </c>
      <c r="AO171" s="49">
        <f t="shared" si="47"/>
        <v>0</v>
      </c>
      <c r="AP171" s="49">
        <f t="shared" si="48"/>
        <v>0</v>
      </c>
      <c r="AQ171" s="49">
        <f t="shared" si="49"/>
        <v>0</v>
      </c>
      <c r="AR171" s="49">
        <f t="shared" si="50"/>
        <v>5050871.0397776812</v>
      </c>
      <c r="AT171" s="49">
        <f t="shared" si="72"/>
        <v>0</v>
      </c>
      <c r="AU171" s="49">
        <f t="shared" si="72"/>
        <v>0</v>
      </c>
      <c r="AV171" s="49">
        <f t="shared" si="72"/>
        <v>0</v>
      </c>
      <c r="AW171" s="49">
        <f t="shared" si="72"/>
        <v>0</v>
      </c>
      <c r="AX171" s="49">
        <f t="shared" si="72"/>
        <v>53933.486810226183</v>
      </c>
      <c r="AZ171" s="53">
        <f t="shared" si="83"/>
        <v>0</v>
      </c>
      <c r="BA171" s="53">
        <f t="shared" si="84"/>
        <v>0</v>
      </c>
      <c r="BB171" s="53">
        <f t="shared" si="85"/>
        <v>0</v>
      </c>
      <c r="BC171" s="53">
        <f t="shared" si="86"/>
        <v>0</v>
      </c>
      <c r="BD171" s="53">
        <f t="shared" si="87"/>
        <v>588344.2275667144</v>
      </c>
    </row>
    <row r="172" spans="2:56">
      <c r="B172" s="43">
        <f>'3. Input (des)investeringen '!B197</f>
        <v>1640</v>
      </c>
      <c r="C172" s="54"/>
      <c r="D172" s="54"/>
      <c r="E172" s="54"/>
      <c r="F172" s="48">
        <f>'3. Input (des)investeringen '!D197</f>
        <v>25440067.393025532</v>
      </c>
      <c r="G172" s="54"/>
      <c r="H172" s="43">
        <f>'3. Input (des)investeringen '!F197</f>
        <v>2026</v>
      </c>
      <c r="I172" s="48" t="str">
        <f>'3. Input (des)investeringen '!G197</f>
        <v>nvt</v>
      </c>
      <c r="J172" s="48">
        <f>'3. Input (des)investeringen '!H197</f>
        <v>15</v>
      </c>
      <c r="K172" s="48">
        <f>'3. Input (des)investeringen '!I197</f>
        <v>1</v>
      </c>
      <c r="M172" s="49">
        <f t="shared" si="73"/>
        <v>0</v>
      </c>
      <c r="N172" s="49">
        <f t="shared" si="74"/>
        <v>0</v>
      </c>
      <c r="P172" s="147">
        <f t="shared" si="75"/>
        <v>0</v>
      </c>
      <c r="Q172" s="147">
        <f t="shared" si="76"/>
        <v>0</v>
      </c>
      <c r="S172" s="49">
        <f t="shared" si="39"/>
        <v>25440067.393025532</v>
      </c>
      <c r="T172" s="44">
        <f t="shared" si="77"/>
        <v>15</v>
      </c>
      <c r="V172" s="49">
        <f t="shared" si="88"/>
        <v>0</v>
      </c>
      <c r="W172" s="49">
        <f t="shared" si="88"/>
        <v>0</v>
      </c>
      <c r="X172" s="49">
        <f t="shared" si="88"/>
        <v>0</v>
      </c>
      <c r="Y172" s="49">
        <f t="shared" si="88"/>
        <v>0</v>
      </c>
      <c r="Z172" s="49">
        <f t="shared" si="88"/>
        <v>992162.62832799577</v>
      </c>
      <c r="AB172" s="49">
        <f t="shared" si="89"/>
        <v>0</v>
      </c>
      <c r="AC172" s="49">
        <f t="shared" si="89"/>
        <v>0</v>
      </c>
      <c r="AD172" s="49">
        <f t="shared" si="89"/>
        <v>0</v>
      </c>
      <c r="AE172" s="49">
        <f t="shared" si="89"/>
        <v>0</v>
      </c>
      <c r="AF172" s="49">
        <f t="shared" si="89"/>
        <v>84800.224643418434</v>
      </c>
      <c r="AH172" s="49">
        <f t="shared" si="78"/>
        <v>0</v>
      </c>
      <c r="AI172" s="49">
        <f t="shared" si="79"/>
        <v>0</v>
      </c>
      <c r="AJ172" s="49">
        <f t="shared" si="80"/>
        <v>0</v>
      </c>
      <c r="AK172" s="49">
        <f t="shared" si="81"/>
        <v>0</v>
      </c>
      <c r="AL172" s="49">
        <f t="shared" si="82"/>
        <v>1076962.8529714141</v>
      </c>
      <c r="AN172" s="49">
        <f t="shared" si="46"/>
        <v>0</v>
      </c>
      <c r="AO172" s="49">
        <f t="shared" si="47"/>
        <v>0</v>
      </c>
      <c r="AP172" s="49">
        <f t="shared" si="48"/>
        <v>0</v>
      </c>
      <c r="AQ172" s="49">
        <f t="shared" si="49"/>
        <v>0</v>
      </c>
      <c r="AR172" s="49">
        <f t="shared" si="50"/>
        <v>24363104.54005412</v>
      </c>
      <c r="AT172" s="49">
        <f t="shared" si="72"/>
        <v>0</v>
      </c>
      <c r="AU172" s="49">
        <f t="shared" si="72"/>
        <v>0</v>
      </c>
      <c r="AV172" s="49">
        <f t="shared" si="72"/>
        <v>0</v>
      </c>
      <c r="AW172" s="49">
        <f t="shared" si="72"/>
        <v>0</v>
      </c>
      <c r="AX172" s="49">
        <f t="shared" si="72"/>
        <v>254400.67393025532</v>
      </c>
      <c r="AZ172" s="53">
        <f t="shared" si="83"/>
        <v>0</v>
      </c>
      <c r="BA172" s="53">
        <f t="shared" si="84"/>
        <v>0</v>
      </c>
      <c r="BB172" s="53">
        <f t="shared" si="85"/>
        <v>0</v>
      </c>
      <c r="BC172" s="53">
        <f t="shared" si="86"/>
        <v>0</v>
      </c>
      <c r="BD172" s="53">
        <f t="shared" si="87"/>
        <v>2257161.499423726</v>
      </c>
    </row>
    <row r="173" spans="2:56">
      <c r="B173" s="43">
        <f>'3. Input (des)investeringen '!B198</f>
        <v>1641</v>
      </c>
      <c r="C173" s="54"/>
      <c r="D173" s="54"/>
      <c r="E173" s="54"/>
      <c r="F173" s="48">
        <f>'3. Input (des)investeringen '!D198</f>
        <v>31245735.885589555</v>
      </c>
      <c r="G173" s="54"/>
      <c r="H173" s="43">
        <f>'3. Input (des)investeringen '!F198</f>
        <v>2026</v>
      </c>
      <c r="I173" s="48" t="str">
        <f>'3. Input (des)investeringen '!G198</f>
        <v>nvt</v>
      </c>
      <c r="J173" s="48">
        <f>'3. Input (des)investeringen '!H198</f>
        <v>30</v>
      </c>
      <c r="K173" s="48">
        <f>'3. Input (des)investeringen '!I198</f>
        <v>1</v>
      </c>
      <c r="M173" s="49">
        <f t="shared" si="73"/>
        <v>0</v>
      </c>
      <c r="N173" s="49">
        <f t="shared" si="74"/>
        <v>0</v>
      </c>
      <c r="P173" s="147">
        <f t="shared" si="75"/>
        <v>0</v>
      </c>
      <c r="Q173" s="147">
        <f t="shared" si="76"/>
        <v>0</v>
      </c>
      <c r="S173" s="49">
        <f t="shared" si="39"/>
        <v>31245735.885589555</v>
      </c>
      <c r="T173" s="44">
        <f t="shared" si="77"/>
        <v>30</v>
      </c>
      <c r="V173" s="49">
        <f t="shared" si="88"/>
        <v>0</v>
      </c>
      <c r="W173" s="49">
        <f t="shared" si="88"/>
        <v>0</v>
      </c>
      <c r="X173" s="49">
        <f t="shared" si="88"/>
        <v>0</v>
      </c>
      <c r="Y173" s="49">
        <f t="shared" si="88"/>
        <v>0</v>
      </c>
      <c r="Z173" s="49">
        <f t="shared" si="88"/>
        <v>609291.84976899636</v>
      </c>
      <c r="AB173" s="49">
        <f t="shared" si="89"/>
        <v>0</v>
      </c>
      <c r="AC173" s="49">
        <f t="shared" si="89"/>
        <v>0</v>
      </c>
      <c r="AD173" s="49">
        <f t="shared" si="89"/>
        <v>0</v>
      </c>
      <c r="AE173" s="49">
        <f t="shared" si="89"/>
        <v>0</v>
      </c>
      <c r="AF173" s="49">
        <f t="shared" si="89"/>
        <v>52076.226475982592</v>
      </c>
      <c r="AH173" s="49">
        <f t="shared" si="78"/>
        <v>0</v>
      </c>
      <c r="AI173" s="49">
        <f t="shared" si="79"/>
        <v>0</v>
      </c>
      <c r="AJ173" s="49">
        <f t="shared" si="80"/>
        <v>0</v>
      </c>
      <c r="AK173" s="49">
        <f t="shared" si="81"/>
        <v>0</v>
      </c>
      <c r="AL173" s="49">
        <f t="shared" si="82"/>
        <v>661368.07624497893</v>
      </c>
      <c r="AN173" s="49">
        <f t="shared" si="46"/>
        <v>0</v>
      </c>
      <c r="AO173" s="49">
        <f t="shared" si="47"/>
        <v>0</v>
      </c>
      <c r="AP173" s="49">
        <f t="shared" si="48"/>
        <v>0</v>
      </c>
      <c r="AQ173" s="49">
        <f t="shared" si="49"/>
        <v>0</v>
      </c>
      <c r="AR173" s="49">
        <f t="shared" si="50"/>
        <v>30584367.809344575</v>
      </c>
      <c r="AT173" s="49">
        <f t="shared" si="72"/>
        <v>0</v>
      </c>
      <c r="AU173" s="49">
        <f t="shared" si="72"/>
        <v>0</v>
      </c>
      <c r="AV173" s="49">
        <f t="shared" si="72"/>
        <v>0</v>
      </c>
      <c r="AW173" s="49">
        <f t="shared" si="72"/>
        <v>0</v>
      </c>
      <c r="AX173" s="49">
        <f t="shared" si="72"/>
        <v>312457.35885589558</v>
      </c>
      <c r="AZ173" s="53">
        <f t="shared" si="83"/>
        <v>0</v>
      </c>
      <c r="BA173" s="53">
        <f t="shared" si="84"/>
        <v>0</v>
      </c>
      <c r="BB173" s="53">
        <f t="shared" si="85"/>
        <v>0</v>
      </c>
      <c r="BC173" s="53">
        <f t="shared" si="86"/>
        <v>0</v>
      </c>
      <c r="BD173" s="53">
        <f t="shared" si="87"/>
        <v>2136031.4118559682</v>
      </c>
    </row>
    <row r="174" spans="2:56">
      <c r="B174" s="43">
        <f>'3. Input (des)investeringen '!B199</f>
        <v>1642</v>
      </c>
      <c r="C174" s="54"/>
      <c r="D174" s="54"/>
      <c r="E174" s="54"/>
      <c r="F174" s="48">
        <f>'3. Input (des)investeringen '!D199</f>
        <v>86492607.535159335</v>
      </c>
      <c r="G174" s="54"/>
      <c r="H174" s="43">
        <f>'3. Input (des)investeringen '!F199</f>
        <v>2026</v>
      </c>
      <c r="I174" s="48" t="str">
        <f>'3. Input (des)investeringen '!G199</f>
        <v>nvt</v>
      </c>
      <c r="J174" s="48">
        <f>'3. Input (des)investeringen '!H199</f>
        <v>55</v>
      </c>
      <c r="K174" s="48">
        <f>'3. Input (des)investeringen '!I199</f>
        <v>1</v>
      </c>
      <c r="M174" s="49">
        <f t="shared" si="73"/>
        <v>0</v>
      </c>
      <c r="N174" s="49">
        <f t="shared" si="74"/>
        <v>0</v>
      </c>
      <c r="P174" s="147">
        <f t="shared" si="75"/>
        <v>0</v>
      </c>
      <c r="Q174" s="147">
        <f t="shared" si="76"/>
        <v>0</v>
      </c>
      <c r="S174" s="49">
        <f t="shared" si="39"/>
        <v>86492607.535159335</v>
      </c>
      <c r="T174" s="44">
        <f t="shared" si="77"/>
        <v>55</v>
      </c>
      <c r="V174" s="49">
        <f t="shared" si="88"/>
        <v>0</v>
      </c>
      <c r="W174" s="49">
        <f t="shared" si="88"/>
        <v>0</v>
      </c>
      <c r="X174" s="49">
        <f t="shared" si="88"/>
        <v>0</v>
      </c>
      <c r="Y174" s="49">
        <f t="shared" si="88"/>
        <v>0</v>
      </c>
      <c r="Z174" s="49">
        <f t="shared" si="88"/>
        <v>919966.82560124027</v>
      </c>
      <c r="AB174" s="49">
        <f t="shared" si="89"/>
        <v>0</v>
      </c>
      <c r="AC174" s="49">
        <f t="shared" si="89"/>
        <v>0</v>
      </c>
      <c r="AD174" s="49">
        <f t="shared" si="89"/>
        <v>0</v>
      </c>
      <c r="AE174" s="49">
        <f t="shared" si="89"/>
        <v>0</v>
      </c>
      <c r="AF174" s="49">
        <f t="shared" si="89"/>
        <v>78629.643213781223</v>
      </c>
      <c r="AH174" s="49">
        <f t="shared" si="78"/>
        <v>0</v>
      </c>
      <c r="AI174" s="49">
        <f t="shared" si="79"/>
        <v>0</v>
      </c>
      <c r="AJ174" s="49">
        <f t="shared" si="80"/>
        <v>0</v>
      </c>
      <c r="AK174" s="49">
        <f t="shared" si="81"/>
        <v>0</v>
      </c>
      <c r="AL174" s="49">
        <f t="shared" si="82"/>
        <v>998596.46881502145</v>
      </c>
      <c r="AN174" s="49">
        <f t="shared" si="46"/>
        <v>0</v>
      </c>
      <c r="AO174" s="49">
        <f t="shared" si="47"/>
        <v>0</v>
      </c>
      <c r="AP174" s="49">
        <f t="shared" si="48"/>
        <v>0</v>
      </c>
      <c r="AQ174" s="49">
        <f t="shared" si="49"/>
        <v>0</v>
      </c>
      <c r="AR174" s="49">
        <f t="shared" si="50"/>
        <v>85494011.066344306</v>
      </c>
      <c r="AT174" s="49">
        <f t="shared" si="72"/>
        <v>0</v>
      </c>
      <c r="AU174" s="49">
        <f t="shared" si="72"/>
        <v>0</v>
      </c>
      <c r="AV174" s="49">
        <f t="shared" si="72"/>
        <v>0</v>
      </c>
      <c r="AW174" s="49">
        <f t="shared" si="72"/>
        <v>0</v>
      </c>
      <c r="AX174" s="49">
        <f t="shared" si="72"/>
        <v>864926.07535159332</v>
      </c>
      <c r="AZ174" s="53">
        <f t="shared" si="83"/>
        <v>0</v>
      </c>
      <c r="BA174" s="53">
        <f t="shared" si="84"/>
        <v>0</v>
      </c>
      <c r="BB174" s="53">
        <f t="shared" si="85"/>
        <v>0</v>
      </c>
      <c r="BC174" s="53">
        <f t="shared" si="86"/>
        <v>0</v>
      </c>
      <c r="BD174" s="53">
        <f t="shared" si="87"/>
        <v>5112294.9646876985</v>
      </c>
    </row>
    <row r="175" spans="2:56">
      <c r="B175" s="43">
        <f>'3. Input (des)investeringen '!B200</f>
        <v>1643</v>
      </c>
      <c r="C175" s="54"/>
      <c r="D175" s="54"/>
      <c r="E175" s="54"/>
      <c r="F175" s="48">
        <f>'3. Input (des)investeringen '!D200</f>
        <v>-33013.724660430409</v>
      </c>
      <c r="G175" s="54"/>
      <c r="H175" s="43">
        <f>'3. Input (des)investeringen '!F200</f>
        <v>2026</v>
      </c>
      <c r="I175" s="48" t="str">
        <f>'3. Input (des)investeringen '!G200</f>
        <v>nvt</v>
      </c>
      <c r="J175" s="48">
        <f>'3. Input (des)investeringen '!H200</f>
        <v>0</v>
      </c>
      <c r="K175" s="48">
        <f>'3. Input (des)investeringen '!I200</f>
        <v>0</v>
      </c>
      <c r="M175" s="49">
        <f t="shared" si="73"/>
        <v>0</v>
      </c>
      <c r="N175" s="49">
        <f t="shared" si="74"/>
        <v>0</v>
      </c>
      <c r="P175" s="147">
        <f t="shared" si="75"/>
        <v>0</v>
      </c>
      <c r="Q175" s="147">
        <f t="shared" si="76"/>
        <v>0</v>
      </c>
      <c r="S175" s="49">
        <f t="shared" si="39"/>
        <v>-33013.724660430409</v>
      </c>
      <c r="T175" s="44">
        <f t="shared" si="77"/>
        <v>0</v>
      </c>
      <c r="V175" s="49">
        <f t="shared" si="88"/>
        <v>0</v>
      </c>
      <c r="W175" s="49">
        <f t="shared" si="88"/>
        <v>0</v>
      </c>
      <c r="X175" s="49">
        <f t="shared" si="88"/>
        <v>0</v>
      </c>
      <c r="Y175" s="49">
        <f t="shared" si="88"/>
        <v>0</v>
      </c>
      <c r="Z175" s="49">
        <f t="shared" si="88"/>
        <v>0</v>
      </c>
      <c r="AB175" s="49">
        <f t="shared" si="89"/>
        <v>0</v>
      </c>
      <c r="AC175" s="49">
        <f t="shared" si="89"/>
        <v>0</v>
      </c>
      <c r="AD175" s="49">
        <f t="shared" si="89"/>
        <v>0</v>
      </c>
      <c r="AE175" s="49">
        <f t="shared" si="89"/>
        <v>0</v>
      </c>
      <c r="AF175" s="49">
        <f t="shared" si="89"/>
        <v>0</v>
      </c>
      <c r="AH175" s="49">
        <f t="shared" si="78"/>
        <v>0</v>
      </c>
      <c r="AI175" s="49">
        <f t="shared" si="79"/>
        <v>0</v>
      </c>
      <c r="AJ175" s="49">
        <f t="shared" si="80"/>
        <v>0</v>
      </c>
      <c r="AK175" s="49">
        <f t="shared" si="81"/>
        <v>0</v>
      </c>
      <c r="AL175" s="49">
        <f t="shared" si="82"/>
        <v>0</v>
      </c>
      <c r="AN175" s="49">
        <f t="shared" si="46"/>
        <v>0</v>
      </c>
      <c r="AO175" s="49">
        <f t="shared" si="47"/>
        <v>0</v>
      </c>
      <c r="AP175" s="49">
        <f t="shared" si="48"/>
        <v>0</v>
      </c>
      <c r="AQ175" s="49">
        <f t="shared" si="49"/>
        <v>0</v>
      </c>
      <c r="AR175" s="49">
        <f t="shared" si="50"/>
        <v>-33013.724660430409</v>
      </c>
      <c r="AT175" s="49">
        <f t="shared" si="72"/>
        <v>0</v>
      </c>
      <c r="AU175" s="49">
        <f t="shared" si="72"/>
        <v>0</v>
      </c>
      <c r="AV175" s="49">
        <f t="shared" si="72"/>
        <v>0</v>
      </c>
      <c r="AW175" s="49">
        <f t="shared" si="72"/>
        <v>0</v>
      </c>
      <c r="AX175" s="49">
        <f t="shared" si="72"/>
        <v>-330.1372466043041</v>
      </c>
      <c r="AZ175" s="53">
        <f t="shared" si="83"/>
        <v>0</v>
      </c>
      <c r="BA175" s="53">
        <f t="shared" si="84"/>
        <v>0</v>
      </c>
      <c r="BB175" s="53">
        <f t="shared" si="85"/>
        <v>0</v>
      </c>
      <c r="BC175" s="53">
        <f t="shared" si="86"/>
        <v>0</v>
      </c>
      <c r="BD175" s="53">
        <f t="shared" si="87"/>
        <v>-1584.6587837006596</v>
      </c>
    </row>
    <row r="176" spans="2:56">
      <c r="B176" s="43">
        <f>'3. Input (des)investeringen '!B201</f>
        <v>1644</v>
      </c>
      <c r="C176" s="54"/>
      <c r="D176" s="54"/>
      <c r="E176" s="54"/>
      <c r="F176" s="48">
        <f>'3. Input (des)investeringen '!D201</f>
        <v>464981.59278808843</v>
      </c>
      <c r="G176" s="54"/>
      <c r="H176" s="43">
        <f>'3. Input (des)investeringen '!F201</f>
        <v>2026</v>
      </c>
      <c r="I176" s="48" t="str">
        <f>'3. Input (des)investeringen '!G201</f>
        <v>nvt</v>
      </c>
      <c r="J176" s="48">
        <f>'3. Input (des)investeringen '!H201</f>
        <v>5</v>
      </c>
      <c r="K176" s="48">
        <f>'3. Input (des)investeringen '!I201</f>
        <v>0</v>
      </c>
      <c r="M176" s="49">
        <f t="shared" si="73"/>
        <v>0</v>
      </c>
      <c r="N176" s="49">
        <f t="shared" si="74"/>
        <v>0</v>
      </c>
      <c r="P176" s="147">
        <f t="shared" si="75"/>
        <v>0</v>
      </c>
      <c r="Q176" s="147">
        <f t="shared" si="76"/>
        <v>0</v>
      </c>
      <c r="S176" s="49">
        <f t="shared" si="39"/>
        <v>464981.59278808843</v>
      </c>
      <c r="T176" s="44">
        <f t="shared" si="77"/>
        <v>5</v>
      </c>
      <c r="V176" s="49">
        <f t="shared" si="88"/>
        <v>0</v>
      </c>
      <c r="W176" s="49">
        <f t="shared" si="88"/>
        <v>0</v>
      </c>
      <c r="X176" s="49">
        <f t="shared" si="88"/>
        <v>0</v>
      </c>
      <c r="Y176" s="49">
        <f t="shared" si="88"/>
        <v>0</v>
      </c>
      <c r="Z176" s="49">
        <f t="shared" si="88"/>
        <v>54402.846356206348</v>
      </c>
      <c r="AB176" s="49">
        <f t="shared" si="89"/>
        <v>0</v>
      </c>
      <c r="AC176" s="49">
        <f t="shared" si="89"/>
        <v>0</v>
      </c>
      <c r="AD176" s="49">
        <f t="shared" si="89"/>
        <v>0</v>
      </c>
      <c r="AE176" s="49">
        <f t="shared" si="89"/>
        <v>0</v>
      </c>
      <c r="AF176" s="49">
        <f t="shared" si="89"/>
        <v>4649.8159278808844</v>
      </c>
      <c r="AH176" s="49">
        <f t="shared" si="78"/>
        <v>0</v>
      </c>
      <c r="AI176" s="49">
        <f t="shared" si="79"/>
        <v>0</v>
      </c>
      <c r="AJ176" s="49">
        <f t="shared" si="80"/>
        <v>0</v>
      </c>
      <c r="AK176" s="49">
        <f t="shared" si="81"/>
        <v>0</v>
      </c>
      <c r="AL176" s="49">
        <f t="shared" si="82"/>
        <v>59052.66228408723</v>
      </c>
      <c r="AN176" s="49">
        <f t="shared" si="46"/>
        <v>0</v>
      </c>
      <c r="AO176" s="49">
        <f t="shared" si="47"/>
        <v>0</v>
      </c>
      <c r="AP176" s="49">
        <f t="shared" si="48"/>
        <v>0</v>
      </c>
      <c r="AQ176" s="49">
        <f t="shared" si="49"/>
        <v>0</v>
      </c>
      <c r="AR176" s="49">
        <f t="shared" si="50"/>
        <v>405928.93050400121</v>
      </c>
      <c r="AT176" s="49">
        <f t="shared" si="72"/>
        <v>0</v>
      </c>
      <c r="AU176" s="49">
        <f t="shared" si="72"/>
        <v>0</v>
      </c>
      <c r="AV176" s="49">
        <f t="shared" si="72"/>
        <v>0</v>
      </c>
      <c r="AW176" s="49">
        <f t="shared" si="72"/>
        <v>0</v>
      </c>
      <c r="AX176" s="49">
        <f t="shared" si="72"/>
        <v>4649.8159278808844</v>
      </c>
      <c r="AZ176" s="53">
        <f t="shared" si="83"/>
        <v>0</v>
      </c>
      <c r="BA176" s="53">
        <f t="shared" si="84"/>
        <v>0</v>
      </c>
      <c r="BB176" s="53">
        <f t="shared" si="85"/>
        <v>0</v>
      </c>
      <c r="BC176" s="53">
        <f t="shared" si="86"/>
        <v>0</v>
      </c>
      <c r="BD176" s="53">
        <f t="shared" si="87"/>
        <v>79127.777571120168</v>
      </c>
    </row>
    <row r="177" spans="2:56">
      <c r="B177" s="43">
        <f>'3. Input (des)investeringen '!B202</f>
        <v>1645</v>
      </c>
      <c r="C177" s="54"/>
      <c r="D177" s="54"/>
      <c r="E177" s="54"/>
      <c r="F177" s="48">
        <f>'3. Input (des)investeringen '!D202</f>
        <v>1667457.2352886177</v>
      </c>
      <c r="G177" s="54"/>
      <c r="H177" s="43">
        <f>'3. Input (des)investeringen '!F202</f>
        <v>2026</v>
      </c>
      <c r="I177" s="48" t="str">
        <f>'3. Input (des)investeringen '!G202</f>
        <v>nvt</v>
      </c>
      <c r="J177" s="48">
        <f>'3. Input (des)investeringen '!H202</f>
        <v>10</v>
      </c>
      <c r="K177" s="48">
        <f>'3. Input (des)investeringen '!I202</f>
        <v>0</v>
      </c>
      <c r="M177" s="49">
        <f t="shared" si="73"/>
        <v>0</v>
      </c>
      <c r="N177" s="49">
        <f t="shared" si="74"/>
        <v>0</v>
      </c>
      <c r="P177" s="147">
        <f t="shared" si="75"/>
        <v>0</v>
      </c>
      <c r="Q177" s="147">
        <f t="shared" si="76"/>
        <v>0</v>
      </c>
      <c r="S177" s="49">
        <f t="shared" si="39"/>
        <v>1667457.2352886177</v>
      </c>
      <c r="T177" s="44">
        <f t="shared" si="77"/>
        <v>10</v>
      </c>
      <c r="V177" s="49">
        <f t="shared" si="88"/>
        <v>0</v>
      </c>
      <c r="W177" s="49">
        <f t="shared" si="88"/>
        <v>0</v>
      </c>
      <c r="X177" s="49">
        <f t="shared" si="88"/>
        <v>0</v>
      </c>
      <c r="Y177" s="49">
        <f t="shared" si="88"/>
        <v>0</v>
      </c>
      <c r="Z177" s="49">
        <f t="shared" si="88"/>
        <v>97546.248264384136</v>
      </c>
      <c r="AB177" s="49">
        <f t="shared" si="89"/>
        <v>0</v>
      </c>
      <c r="AC177" s="49">
        <f t="shared" si="89"/>
        <v>0</v>
      </c>
      <c r="AD177" s="49">
        <f t="shared" si="89"/>
        <v>0</v>
      </c>
      <c r="AE177" s="49">
        <f t="shared" si="89"/>
        <v>0</v>
      </c>
      <c r="AF177" s="49">
        <f t="shared" si="89"/>
        <v>8337.2861764430891</v>
      </c>
      <c r="AH177" s="49">
        <f t="shared" si="78"/>
        <v>0</v>
      </c>
      <c r="AI177" s="49">
        <f t="shared" si="79"/>
        <v>0</v>
      </c>
      <c r="AJ177" s="49">
        <f t="shared" si="80"/>
        <v>0</v>
      </c>
      <c r="AK177" s="49">
        <f t="shared" si="81"/>
        <v>0</v>
      </c>
      <c r="AL177" s="49">
        <f t="shared" si="82"/>
        <v>105883.53444082722</v>
      </c>
      <c r="AN177" s="49">
        <f t="shared" si="46"/>
        <v>0</v>
      </c>
      <c r="AO177" s="49">
        <f t="shared" si="47"/>
        <v>0</v>
      </c>
      <c r="AP177" s="49">
        <f t="shared" si="48"/>
        <v>0</v>
      </c>
      <c r="AQ177" s="49">
        <f t="shared" si="49"/>
        <v>0</v>
      </c>
      <c r="AR177" s="49">
        <f t="shared" si="50"/>
        <v>1561573.7008477903</v>
      </c>
      <c r="AT177" s="49">
        <f t="shared" si="72"/>
        <v>0</v>
      </c>
      <c r="AU177" s="49">
        <f t="shared" si="72"/>
        <v>0</v>
      </c>
      <c r="AV177" s="49">
        <f t="shared" si="72"/>
        <v>0</v>
      </c>
      <c r="AW177" s="49">
        <f t="shared" si="72"/>
        <v>0</v>
      </c>
      <c r="AX177" s="49">
        <f t="shared" si="72"/>
        <v>16674.572352886178</v>
      </c>
      <c r="AZ177" s="53">
        <f t="shared" si="83"/>
        <v>0</v>
      </c>
      <c r="BA177" s="53">
        <f t="shared" si="84"/>
        <v>0</v>
      </c>
      <c r="BB177" s="53">
        <f t="shared" si="85"/>
        <v>0</v>
      </c>
      <c r="BC177" s="53">
        <f t="shared" si="86"/>
        <v>0</v>
      </c>
      <c r="BD177" s="53">
        <f t="shared" si="87"/>
        <v>181897.90742592941</v>
      </c>
    </row>
    <row r="178" spans="2:56">
      <c r="B178" s="43">
        <f>'3. Input (des)investeringen '!B203</f>
        <v>1646</v>
      </c>
      <c r="C178" s="54"/>
      <c r="D178" s="54"/>
      <c r="E178" s="54"/>
      <c r="F178" s="48">
        <f>'3. Input (des)investeringen '!D203</f>
        <v>5010922.5637233881</v>
      </c>
      <c r="G178" s="54"/>
      <c r="H178" s="43">
        <f>'3. Input (des)investeringen '!F203</f>
        <v>2026</v>
      </c>
      <c r="I178" s="48" t="str">
        <f>'3. Input (des)investeringen '!G203</f>
        <v>nvt</v>
      </c>
      <c r="J178" s="48">
        <f>'3. Input (des)investeringen '!H203</f>
        <v>15</v>
      </c>
      <c r="K178" s="48">
        <f>'3. Input (des)investeringen '!I203</f>
        <v>0</v>
      </c>
      <c r="M178" s="49">
        <f t="shared" si="73"/>
        <v>0</v>
      </c>
      <c r="N178" s="49">
        <f t="shared" si="74"/>
        <v>0</v>
      </c>
      <c r="P178" s="147">
        <f t="shared" si="75"/>
        <v>0</v>
      </c>
      <c r="Q178" s="147">
        <f t="shared" si="76"/>
        <v>0</v>
      </c>
      <c r="S178" s="49">
        <f t="shared" si="39"/>
        <v>5010922.5637233881</v>
      </c>
      <c r="T178" s="44">
        <f t="shared" si="77"/>
        <v>15</v>
      </c>
      <c r="V178" s="49">
        <f t="shared" si="88"/>
        <v>0</v>
      </c>
      <c r="W178" s="49">
        <f t="shared" si="88"/>
        <v>0</v>
      </c>
      <c r="X178" s="49">
        <f t="shared" si="88"/>
        <v>0</v>
      </c>
      <c r="Y178" s="49">
        <f t="shared" si="88"/>
        <v>0</v>
      </c>
      <c r="Z178" s="49">
        <f t="shared" si="88"/>
        <v>195425.97998521212</v>
      </c>
      <c r="AB178" s="49">
        <f t="shared" si="89"/>
        <v>0</v>
      </c>
      <c r="AC178" s="49">
        <f t="shared" si="89"/>
        <v>0</v>
      </c>
      <c r="AD178" s="49">
        <f t="shared" si="89"/>
        <v>0</v>
      </c>
      <c r="AE178" s="49">
        <f t="shared" si="89"/>
        <v>0</v>
      </c>
      <c r="AF178" s="49">
        <f t="shared" si="89"/>
        <v>16703.075212411295</v>
      </c>
      <c r="AH178" s="49">
        <f t="shared" si="78"/>
        <v>0</v>
      </c>
      <c r="AI178" s="49">
        <f t="shared" si="79"/>
        <v>0</v>
      </c>
      <c r="AJ178" s="49">
        <f t="shared" si="80"/>
        <v>0</v>
      </c>
      <c r="AK178" s="49">
        <f t="shared" si="81"/>
        <v>0</v>
      </c>
      <c r="AL178" s="49">
        <f t="shared" si="82"/>
        <v>212129.05519762341</v>
      </c>
      <c r="AN178" s="49">
        <f t="shared" si="46"/>
        <v>0</v>
      </c>
      <c r="AO178" s="49">
        <f t="shared" si="47"/>
        <v>0</v>
      </c>
      <c r="AP178" s="49">
        <f t="shared" si="48"/>
        <v>0</v>
      </c>
      <c r="AQ178" s="49">
        <f t="shared" si="49"/>
        <v>0</v>
      </c>
      <c r="AR178" s="49">
        <f t="shared" si="50"/>
        <v>4798793.5085257646</v>
      </c>
      <c r="AT178" s="49">
        <f t="shared" si="72"/>
        <v>0</v>
      </c>
      <c r="AU178" s="49">
        <f t="shared" si="72"/>
        <v>0</v>
      </c>
      <c r="AV178" s="49">
        <f t="shared" si="72"/>
        <v>0</v>
      </c>
      <c r="AW178" s="49">
        <f t="shared" si="72"/>
        <v>0</v>
      </c>
      <c r="AX178" s="49">
        <f t="shared" si="72"/>
        <v>50109.225637233882</v>
      </c>
      <c r="AZ178" s="53">
        <f t="shared" si="83"/>
        <v>0</v>
      </c>
      <c r="BA178" s="53">
        <f t="shared" si="84"/>
        <v>0</v>
      </c>
      <c r="BB178" s="53">
        <f t="shared" si="85"/>
        <v>0</v>
      </c>
      <c r="BC178" s="53">
        <f t="shared" si="86"/>
        <v>0</v>
      </c>
      <c r="BD178" s="53">
        <f t="shared" si="87"/>
        <v>444592.43415883632</v>
      </c>
    </row>
    <row r="179" spans="2:56">
      <c r="B179" s="43">
        <f>'3. Input (des)investeringen '!B204</f>
        <v>1647</v>
      </c>
      <c r="C179" s="54"/>
      <c r="D179" s="54"/>
      <c r="E179" s="54"/>
      <c r="F179" s="48">
        <f>'3. Input (des)investeringen '!D204</f>
        <v>28421124.056846563</v>
      </c>
      <c r="G179" s="54"/>
      <c r="H179" s="43">
        <f>'3. Input (des)investeringen '!F204</f>
        <v>2026</v>
      </c>
      <c r="I179" s="48" t="str">
        <f>'3. Input (des)investeringen '!G204</f>
        <v>nvt</v>
      </c>
      <c r="J179" s="48">
        <f>'3. Input (des)investeringen '!H204</f>
        <v>30</v>
      </c>
      <c r="K179" s="48">
        <f>'3. Input (des)investeringen '!I204</f>
        <v>0</v>
      </c>
      <c r="M179" s="49">
        <f t="shared" si="73"/>
        <v>0</v>
      </c>
      <c r="N179" s="49">
        <f t="shared" si="74"/>
        <v>0</v>
      </c>
      <c r="P179" s="147">
        <f t="shared" si="75"/>
        <v>0</v>
      </c>
      <c r="Q179" s="147">
        <f t="shared" si="76"/>
        <v>0</v>
      </c>
      <c r="S179" s="49">
        <f t="shared" si="39"/>
        <v>28421124.056846563</v>
      </c>
      <c r="T179" s="44">
        <f t="shared" si="77"/>
        <v>30</v>
      </c>
      <c r="V179" s="49">
        <f t="shared" si="88"/>
        <v>0</v>
      </c>
      <c r="W179" s="49">
        <f t="shared" si="88"/>
        <v>0</v>
      </c>
      <c r="X179" s="49">
        <f t="shared" si="88"/>
        <v>0</v>
      </c>
      <c r="Y179" s="49">
        <f t="shared" si="88"/>
        <v>0</v>
      </c>
      <c r="Z179" s="49">
        <f t="shared" si="88"/>
        <v>554211.91910850792</v>
      </c>
      <c r="AB179" s="49">
        <f t="shared" si="89"/>
        <v>0</v>
      </c>
      <c r="AC179" s="49">
        <f t="shared" si="89"/>
        <v>0</v>
      </c>
      <c r="AD179" s="49">
        <f t="shared" si="89"/>
        <v>0</v>
      </c>
      <c r="AE179" s="49">
        <f t="shared" si="89"/>
        <v>0</v>
      </c>
      <c r="AF179" s="49">
        <f t="shared" si="89"/>
        <v>47368.540094744276</v>
      </c>
      <c r="AH179" s="49">
        <f t="shared" si="78"/>
        <v>0</v>
      </c>
      <c r="AI179" s="49">
        <f t="shared" si="79"/>
        <v>0</v>
      </c>
      <c r="AJ179" s="49">
        <f t="shared" si="80"/>
        <v>0</v>
      </c>
      <c r="AK179" s="49">
        <f t="shared" si="81"/>
        <v>0</v>
      </c>
      <c r="AL179" s="49">
        <f t="shared" si="82"/>
        <v>601580.45920325222</v>
      </c>
      <c r="AN179" s="49">
        <f t="shared" si="46"/>
        <v>0</v>
      </c>
      <c r="AO179" s="49">
        <f t="shared" si="47"/>
        <v>0</v>
      </c>
      <c r="AP179" s="49">
        <f t="shared" si="48"/>
        <v>0</v>
      </c>
      <c r="AQ179" s="49">
        <f t="shared" si="49"/>
        <v>0</v>
      </c>
      <c r="AR179" s="49">
        <f t="shared" si="50"/>
        <v>27819543.597643312</v>
      </c>
      <c r="AT179" s="49">
        <f t="shared" si="72"/>
        <v>0</v>
      </c>
      <c r="AU179" s="49">
        <f t="shared" si="72"/>
        <v>0</v>
      </c>
      <c r="AV179" s="49">
        <f t="shared" si="72"/>
        <v>0</v>
      </c>
      <c r="AW179" s="49">
        <f t="shared" si="72"/>
        <v>0</v>
      </c>
      <c r="AX179" s="49">
        <f t="shared" si="72"/>
        <v>284211.24056846561</v>
      </c>
      <c r="AZ179" s="53">
        <f t="shared" si="83"/>
        <v>0</v>
      </c>
      <c r="BA179" s="53">
        <f t="shared" si="84"/>
        <v>0</v>
      </c>
      <c r="BB179" s="53">
        <f t="shared" si="85"/>
        <v>0</v>
      </c>
      <c r="BC179" s="53">
        <f t="shared" si="86"/>
        <v>0</v>
      </c>
      <c r="BD179" s="53">
        <f t="shared" si="87"/>
        <v>1942934.3564821635</v>
      </c>
    </row>
    <row r="180" spans="2:56">
      <c r="B180" s="43">
        <f>'3. Input (des)investeringen '!B205</f>
        <v>1648</v>
      </c>
      <c r="C180" s="54"/>
      <c r="D180" s="54"/>
      <c r="E180" s="54"/>
      <c r="F180" s="48">
        <f>'3. Input (des)investeringen '!D205</f>
        <v>40148.872615293018</v>
      </c>
      <c r="G180" s="54"/>
      <c r="H180" s="43">
        <f>'3. Input (des)investeringen '!F205</f>
        <v>2026</v>
      </c>
      <c r="I180" s="48" t="str">
        <f>'3. Input (des)investeringen '!G205</f>
        <v>nvt</v>
      </c>
      <c r="J180" s="48">
        <f>'3. Input (des)investeringen '!H205</f>
        <v>55</v>
      </c>
      <c r="K180" s="48">
        <f>'3. Input (des)investeringen '!I205</f>
        <v>0</v>
      </c>
      <c r="M180" s="49">
        <f t="shared" si="73"/>
        <v>0</v>
      </c>
      <c r="N180" s="49">
        <f t="shared" si="74"/>
        <v>0</v>
      </c>
      <c r="P180" s="147">
        <f t="shared" si="75"/>
        <v>0</v>
      </c>
      <c r="Q180" s="147">
        <f t="shared" si="76"/>
        <v>0</v>
      </c>
      <c r="S180" s="49">
        <f t="shared" si="39"/>
        <v>40148.872615293018</v>
      </c>
      <c r="T180" s="44">
        <f t="shared" si="77"/>
        <v>55</v>
      </c>
      <c r="V180" s="49">
        <f t="shared" si="88"/>
        <v>0</v>
      </c>
      <c r="W180" s="49">
        <f t="shared" si="88"/>
        <v>0</v>
      </c>
      <c r="X180" s="49">
        <f t="shared" si="88"/>
        <v>0</v>
      </c>
      <c r="Y180" s="49">
        <f t="shared" si="88"/>
        <v>0</v>
      </c>
      <c r="Z180" s="49">
        <f t="shared" si="88"/>
        <v>427.03800872629847</v>
      </c>
      <c r="AB180" s="49">
        <f t="shared" si="89"/>
        <v>0</v>
      </c>
      <c r="AC180" s="49">
        <f t="shared" si="89"/>
        <v>0</v>
      </c>
      <c r="AD180" s="49">
        <f t="shared" si="89"/>
        <v>0</v>
      </c>
      <c r="AE180" s="49">
        <f t="shared" si="89"/>
        <v>0</v>
      </c>
      <c r="AF180" s="49">
        <f t="shared" si="89"/>
        <v>36.498975104811841</v>
      </c>
      <c r="AH180" s="49">
        <f t="shared" si="78"/>
        <v>0</v>
      </c>
      <c r="AI180" s="49">
        <f t="shared" si="79"/>
        <v>0</v>
      </c>
      <c r="AJ180" s="49">
        <f t="shared" si="80"/>
        <v>0</v>
      </c>
      <c r="AK180" s="49">
        <f t="shared" si="81"/>
        <v>0</v>
      </c>
      <c r="AL180" s="49">
        <f t="shared" si="82"/>
        <v>463.53698383111032</v>
      </c>
      <c r="AN180" s="49">
        <f t="shared" si="46"/>
        <v>0</v>
      </c>
      <c r="AO180" s="49">
        <f t="shared" si="47"/>
        <v>0</v>
      </c>
      <c r="AP180" s="49">
        <f t="shared" si="48"/>
        <v>0</v>
      </c>
      <c r="AQ180" s="49">
        <f t="shared" si="49"/>
        <v>0</v>
      </c>
      <c r="AR180" s="49">
        <f t="shared" si="50"/>
        <v>39685.335631461909</v>
      </c>
      <c r="AT180" s="49">
        <f t="shared" si="72"/>
        <v>0</v>
      </c>
      <c r="AU180" s="49">
        <f t="shared" si="72"/>
        <v>0</v>
      </c>
      <c r="AV180" s="49">
        <f t="shared" si="72"/>
        <v>0</v>
      </c>
      <c r="AW180" s="49">
        <f t="shared" si="72"/>
        <v>0</v>
      </c>
      <c r="AX180" s="49">
        <f t="shared" si="72"/>
        <v>401.48872615293021</v>
      </c>
      <c r="AZ180" s="53">
        <f t="shared" si="83"/>
        <v>0</v>
      </c>
      <c r="BA180" s="53">
        <f t="shared" si="84"/>
        <v>0</v>
      </c>
      <c r="BB180" s="53">
        <f t="shared" si="85"/>
        <v>0</v>
      </c>
      <c r="BC180" s="53">
        <f t="shared" si="86"/>
        <v>0</v>
      </c>
      <c r="BD180" s="53">
        <f t="shared" si="87"/>
        <v>2373.0684639795927</v>
      </c>
    </row>
    <row r="181" spans="2:56">
      <c r="B181" s="43">
        <f>'3. Input (des)investeringen '!B206</f>
        <v>1649</v>
      </c>
      <c r="C181" s="54"/>
      <c r="D181" s="54"/>
      <c r="E181" s="54"/>
      <c r="F181" s="48">
        <f>'3. Input (des)investeringen '!D206</f>
        <v>0</v>
      </c>
      <c r="G181" s="54"/>
      <c r="H181" s="43">
        <f>'3. Input (des)investeringen '!F206</f>
        <v>2026</v>
      </c>
      <c r="I181" s="48" t="str">
        <f>'3. Input (des)investeringen '!G206</f>
        <v>nvt</v>
      </c>
      <c r="J181" s="48">
        <f>'3. Input (des)investeringen '!H206</f>
        <v>0</v>
      </c>
      <c r="K181" s="48">
        <f>'3. Input (des)investeringen '!I206</f>
        <v>0</v>
      </c>
      <c r="M181" s="49">
        <f t="shared" si="73"/>
        <v>0</v>
      </c>
      <c r="N181" s="49">
        <f t="shared" si="74"/>
        <v>0</v>
      </c>
      <c r="P181" s="147">
        <f t="shared" si="75"/>
        <v>0</v>
      </c>
      <c r="Q181" s="147">
        <f t="shared" si="76"/>
        <v>0</v>
      </c>
      <c r="S181" s="49">
        <f t="shared" si="39"/>
        <v>0</v>
      </c>
      <c r="T181" s="44">
        <f t="shared" si="77"/>
        <v>0</v>
      </c>
      <c r="V181" s="49">
        <f t="shared" si="88"/>
        <v>0</v>
      </c>
      <c r="W181" s="49">
        <f t="shared" si="88"/>
        <v>0</v>
      </c>
      <c r="X181" s="49">
        <f t="shared" si="88"/>
        <v>0</v>
      </c>
      <c r="Y181" s="49">
        <f t="shared" si="88"/>
        <v>0</v>
      </c>
      <c r="Z181" s="49">
        <f t="shared" si="88"/>
        <v>0</v>
      </c>
      <c r="AB181" s="49">
        <f t="shared" si="89"/>
        <v>0</v>
      </c>
      <c r="AC181" s="49">
        <f t="shared" si="89"/>
        <v>0</v>
      </c>
      <c r="AD181" s="49">
        <f t="shared" si="89"/>
        <v>0</v>
      </c>
      <c r="AE181" s="49">
        <f t="shared" si="89"/>
        <v>0</v>
      </c>
      <c r="AF181" s="49">
        <f t="shared" si="89"/>
        <v>0</v>
      </c>
      <c r="AH181" s="49">
        <f t="shared" si="78"/>
        <v>0</v>
      </c>
      <c r="AI181" s="49">
        <f t="shared" si="79"/>
        <v>0</v>
      </c>
      <c r="AJ181" s="49">
        <f t="shared" si="80"/>
        <v>0</v>
      </c>
      <c r="AK181" s="49">
        <f t="shared" si="81"/>
        <v>0</v>
      </c>
      <c r="AL181" s="49">
        <f t="shared" si="82"/>
        <v>0</v>
      </c>
      <c r="AN181" s="49">
        <f t="shared" si="46"/>
        <v>0</v>
      </c>
      <c r="AO181" s="49">
        <f t="shared" si="47"/>
        <v>0</v>
      </c>
      <c r="AP181" s="49">
        <f t="shared" si="48"/>
        <v>0</v>
      </c>
      <c r="AQ181" s="49">
        <f t="shared" si="49"/>
        <v>0</v>
      </c>
      <c r="AR181" s="49">
        <f t="shared" si="50"/>
        <v>0</v>
      </c>
      <c r="AT181" s="49">
        <f t="shared" si="72"/>
        <v>0</v>
      </c>
      <c r="AU181" s="49">
        <f t="shared" si="72"/>
        <v>0</v>
      </c>
      <c r="AV181" s="49">
        <f t="shared" si="72"/>
        <v>0</v>
      </c>
      <c r="AW181" s="49">
        <f t="shared" si="72"/>
        <v>0</v>
      </c>
      <c r="AX181" s="49">
        <f t="shared" si="72"/>
        <v>0</v>
      </c>
      <c r="AZ181" s="53">
        <f t="shared" si="83"/>
        <v>0</v>
      </c>
      <c r="BA181" s="53">
        <f t="shared" si="84"/>
        <v>0</v>
      </c>
      <c r="BB181" s="53">
        <f t="shared" si="85"/>
        <v>0</v>
      </c>
      <c r="BC181" s="53">
        <f t="shared" si="86"/>
        <v>0</v>
      </c>
      <c r="BD181" s="53">
        <f t="shared" si="87"/>
        <v>0</v>
      </c>
    </row>
    <row r="182" spans="2:56">
      <c r="B182" s="43">
        <f>'3. Input (des)investeringen '!B207</f>
        <v>1650</v>
      </c>
      <c r="C182" s="54"/>
      <c r="D182" s="54"/>
      <c r="E182" s="54"/>
      <c r="F182" s="48">
        <f>'3. Input (des)investeringen '!D207</f>
        <v>668226.79461700725</v>
      </c>
      <c r="G182" s="54"/>
      <c r="H182" s="43">
        <f>'3. Input (des)investeringen '!F207</f>
        <v>2026</v>
      </c>
      <c r="I182" s="48" t="str">
        <f>'3. Input (des)investeringen '!G207</f>
        <v>nvt</v>
      </c>
      <c r="J182" s="48">
        <f>'3. Input (des)investeringen '!H207</f>
        <v>5</v>
      </c>
      <c r="K182" s="48">
        <f>'3. Input (des)investeringen '!I207</f>
        <v>0</v>
      </c>
      <c r="M182" s="49">
        <f t="shared" si="73"/>
        <v>0</v>
      </c>
      <c r="N182" s="49">
        <f t="shared" si="74"/>
        <v>0</v>
      </c>
      <c r="P182" s="147">
        <f t="shared" si="75"/>
        <v>0</v>
      </c>
      <c r="Q182" s="147">
        <f t="shared" si="76"/>
        <v>0</v>
      </c>
      <c r="S182" s="49">
        <f t="shared" si="39"/>
        <v>668226.79461700725</v>
      </c>
      <c r="T182" s="44">
        <f t="shared" si="77"/>
        <v>5</v>
      </c>
      <c r="V182" s="49">
        <f t="shared" si="88"/>
        <v>0</v>
      </c>
      <c r="W182" s="49">
        <f t="shared" si="88"/>
        <v>0</v>
      </c>
      <c r="X182" s="49">
        <f t="shared" si="88"/>
        <v>0</v>
      </c>
      <c r="Y182" s="49">
        <f t="shared" si="88"/>
        <v>0</v>
      </c>
      <c r="Z182" s="49">
        <f t="shared" si="88"/>
        <v>78182.534970189852</v>
      </c>
      <c r="AB182" s="49">
        <f t="shared" si="89"/>
        <v>0</v>
      </c>
      <c r="AC182" s="49">
        <f t="shared" si="89"/>
        <v>0</v>
      </c>
      <c r="AD182" s="49">
        <f t="shared" si="89"/>
        <v>0</v>
      </c>
      <c r="AE182" s="49">
        <f t="shared" si="89"/>
        <v>0</v>
      </c>
      <c r="AF182" s="49">
        <f t="shared" si="89"/>
        <v>6682.2679461700727</v>
      </c>
      <c r="AH182" s="49">
        <f t="shared" si="78"/>
        <v>0</v>
      </c>
      <c r="AI182" s="49">
        <f t="shared" si="79"/>
        <v>0</v>
      </c>
      <c r="AJ182" s="49">
        <f t="shared" si="80"/>
        <v>0</v>
      </c>
      <c r="AK182" s="49">
        <f t="shared" si="81"/>
        <v>0</v>
      </c>
      <c r="AL182" s="49">
        <f t="shared" si="82"/>
        <v>84864.802916359928</v>
      </c>
      <c r="AN182" s="49">
        <f t="shared" si="46"/>
        <v>0</v>
      </c>
      <c r="AO182" s="49">
        <f t="shared" si="47"/>
        <v>0</v>
      </c>
      <c r="AP182" s="49">
        <f t="shared" si="48"/>
        <v>0</v>
      </c>
      <c r="AQ182" s="49">
        <f t="shared" si="49"/>
        <v>0</v>
      </c>
      <c r="AR182" s="49">
        <f t="shared" si="50"/>
        <v>583361.99170064728</v>
      </c>
      <c r="AT182" s="49">
        <f t="shared" si="72"/>
        <v>0</v>
      </c>
      <c r="AU182" s="49">
        <f t="shared" si="72"/>
        <v>0</v>
      </c>
      <c r="AV182" s="49">
        <f t="shared" si="72"/>
        <v>0</v>
      </c>
      <c r="AW182" s="49">
        <f t="shared" si="72"/>
        <v>0</v>
      </c>
      <c r="AX182" s="49">
        <f t="shared" si="72"/>
        <v>6682.2679461700727</v>
      </c>
      <c r="AZ182" s="53">
        <f t="shared" si="83"/>
        <v>0</v>
      </c>
      <c r="BA182" s="53">
        <f t="shared" si="84"/>
        <v>0</v>
      </c>
      <c r="BB182" s="53">
        <f t="shared" si="85"/>
        <v>0</v>
      </c>
      <c r="BC182" s="53">
        <f t="shared" si="86"/>
        <v>0</v>
      </c>
      <c r="BD182" s="53">
        <f t="shared" si="87"/>
        <v>113714.8265471546</v>
      </c>
    </row>
    <row r="183" spans="2:56">
      <c r="B183" s="43">
        <f>'3. Input (des)investeringen '!B208</f>
        <v>1651</v>
      </c>
      <c r="C183" s="54"/>
      <c r="D183" s="54"/>
      <c r="E183" s="54"/>
      <c r="F183" s="48">
        <f>'3. Input (des)investeringen '!D208</f>
        <v>4946580.6339102844</v>
      </c>
      <c r="G183" s="54"/>
      <c r="H183" s="43">
        <f>'3. Input (des)investeringen '!F208</f>
        <v>2026</v>
      </c>
      <c r="I183" s="48" t="str">
        <f>'3. Input (des)investeringen '!G208</f>
        <v>nvt</v>
      </c>
      <c r="J183" s="48">
        <f>'3. Input (des)investeringen '!H208</f>
        <v>10</v>
      </c>
      <c r="K183" s="48">
        <f>'3. Input (des)investeringen '!I208</f>
        <v>0</v>
      </c>
      <c r="M183" s="49">
        <f t="shared" si="73"/>
        <v>0</v>
      </c>
      <c r="N183" s="49">
        <f t="shared" si="74"/>
        <v>0</v>
      </c>
      <c r="P183" s="147">
        <f t="shared" si="75"/>
        <v>0</v>
      </c>
      <c r="Q183" s="147">
        <f t="shared" si="76"/>
        <v>0</v>
      </c>
      <c r="S183" s="49">
        <f t="shared" si="39"/>
        <v>4946580.6339102844</v>
      </c>
      <c r="T183" s="44">
        <f t="shared" si="77"/>
        <v>10</v>
      </c>
      <c r="V183" s="49">
        <f t="shared" si="88"/>
        <v>0</v>
      </c>
      <c r="W183" s="49">
        <f t="shared" si="88"/>
        <v>0</v>
      </c>
      <c r="X183" s="49">
        <f t="shared" si="88"/>
        <v>0</v>
      </c>
      <c r="Y183" s="49">
        <f t="shared" si="88"/>
        <v>0</v>
      </c>
      <c r="Z183" s="49">
        <f t="shared" si="88"/>
        <v>289374.96708375169</v>
      </c>
      <c r="AB183" s="49">
        <f t="shared" si="89"/>
        <v>0</v>
      </c>
      <c r="AC183" s="49">
        <f t="shared" si="89"/>
        <v>0</v>
      </c>
      <c r="AD183" s="49">
        <f t="shared" si="89"/>
        <v>0</v>
      </c>
      <c r="AE183" s="49">
        <f t="shared" si="89"/>
        <v>0</v>
      </c>
      <c r="AF183" s="49">
        <f t="shared" si="89"/>
        <v>24732.903169551424</v>
      </c>
      <c r="AH183" s="49">
        <f t="shared" si="78"/>
        <v>0</v>
      </c>
      <c r="AI183" s="49">
        <f t="shared" si="79"/>
        <v>0</v>
      </c>
      <c r="AJ183" s="49">
        <f t="shared" si="80"/>
        <v>0</v>
      </c>
      <c r="AK183" s="49">
        <f t="shared" si="81"/>
        <v>0</v>
      </c>
      <c r="AL183" s="49">
        <f t="shared" si="82"/>
        <v>314107.87025330309</v>
      </c>
      <c r="AN183" s="49">
        <f t="shared" si="46"/>
        <v>0</v>
      </c>
      <c r="AO183" s="49">
        <f t="shared" si="47"/>
        <v>0</v>
      </c>
      <c r="AP183" s="49">
        <f t="shared" si="48"/>
        <v>0</v>
      </c>
      <c r="AQ183" s="49">
        <f t="shared" si="49"/>
        <v>0</v>
      </c>
      <c r="AR183" s="49">
        <f t="shared" si="50"/>
        <v>4632472.7636569813</v>
      </c>
      <c r="AT183" s="49">
        <f t="shared" si="72"/>
        <v>0</v>
      </c>
      <c r="AU183" s="49">
        <f t="shared" si="72"/>
        <v>0</v>
      </c>
      <c r="AV183" s="49">
        <f t="shared" si="72"/>
        <v>0</v>
      </c>
      <c r="AW183" s="49">
        <f t="shared" si="72"/>
        <v>0</v>
      </c>
      <c r="AX183" s="49">
        <f t="shared" si="72"/>
        <v>49465.806339102848</v>
      </c>
      <c r="AZ183" s="53">
        <f t="shared" si="83"/>
        <v>0</v>
      </c>
      <c r="BA183" s="53">
        <f t="shared" si="84"/>
        <v>0</v>
      </c>
      <c r="BB183" s="53">
        <f t="shared" si="85"/>
        <v>0</v>
      </c>
      <c r="BC183" s="53">
        <f t="shared" si="86"/>
        <v>0</v>
      </c>
      <c r="BD183" s="53">
        <f t="shared" si="87"/>
        <v>539607.64161137119</v>
      </c>
    </row>
    <row r="184" spans="2:56">
      <c r="B184" s="43">
        <f>'3. Input (des)investeringen '!B209</f>
        <v>1652</v>
      </c>
      <c r="C184" s="54"/>
      <c r="D184" s="54"/>
      <c r="E184" s="54"/>
      <c r="F184" s="48">
        <f>'3. Input (des)investeringen '!D209</f>
        <v>8094567.3314780593</v>
      </c>
      <c r="G184" s="54"/>
      <c r="H184" s="43">
        <f>'3. Input (des)investeringen '!F209</f>
        <v>2026</v>
      </c>
      <c r="I184" s="48" t="str">
        <f>'3. Input (des)investeringen '!G209</f>
        <v>nvt</v>
      </c>
      <c r="J184" s="48">
        <f>'3. Input (des)investeringen '!H209</f>
        <v>15</v>
      </c>
      <c r="K184" s="48">
        <f>'3. Input (des)investeringen '!I209</f>
        <v>0</v>
      </c>
      <c r="M184" s="49">
        <f t="shared" si="73"/>
        <v>0</v>
      </c>
      <c r="N184" s="49">
        <f t="shared" si="74"/>
        <v>0</v>
      </c>
      <c r="P184" s="147">
        <f t="shared" si="75"/>
        <v>0</v>
      </c>
      <c r="Q184" s="147">
        <f t="shared" si="76"/>
        <v>0</v>
      </c>
      <c r="S184" s="49">
        <f t="shared" si="39"/>
        <v>8094567.3314780593</v>
      </c>
      <c r="T184" s="44">
        <f t="shared" si="77"/>
        <v>15</v>
      </c>
      <c r="V184" s="49">
        <f t="shared" si="88"/>
        <v>0</v>
      </c>
      <c r="W184" s="49">
        <f t="shared" si="88"/>
        <v>0</v>
      </c>
      <c r="X184" s="49">
        <f t="shared" si="88"/>
        <v>0</v>
      </c>
      <c r="Y184" s="49">
        <f t="shared" si="88"/>
        <v>0</v>
      </c>
      <c r="Z184" s="49">
        <f t="shared" si="88"/>
        <v>315688.12592764432</v>
      </c>
      <c r="AB184" s="49">
        <f t="shared" si="89"/>
        <v>0</v>
      </c>
      <c r="AC184" s="49">
        <f t="shared" si="89"/>
        <v>0</v>
      </c>
      <c r="AD184" s="49">
        <f t="shared" si="89"/>
        <v>0</v>
      </c>
      <c r="AE184" s="49">
        <f t="shared" si="89"/>
        <v>0</v>
      </c>
      <c r="AF184" s="49">
        <f t="shared" si="89"/>
        <v>26981.891104926868</v>
      </c>
      <c r="AH184" s="49">
        <f t="shared" si="78"/>
        <v>0</v>
      </c>
      <c r="AI184" s="49">
        <f t="shared" si="79"/>
        <v>0</v>
      </c>
      <c r="AJ184" s="49">
        <f t="shared" si="80"/>
        <v>0</v>
      </c>
      <c r="AK184" s="49">
        <f t="shared" si="81"/>
        <v>0</v>
      </c>
      <c r="AL184" s="49">
        <f t="shared" si="82"/>
        <v>342670.0170325712</v>
      </c>
      <c r="AN184" s="49">
        <f t="shared" si="46"/>
        <v>0</v>
      </c>
      <c r="AO184" s="49">
        <f t="shared" si="47"/>
        <v>0</v>
      </c>
      <c r="AP184" s="49">
        <f t="shared" si="48"/>
        <v>0</v>
      </c>
      <c r="AQ184" s="49">
        <f t="shared" si="49"/>
        <v>0</v>
      </c>
      <c r="AR184" s="49">
        <f t="shared" si="50"/>
        <v>7751897.3144454882</v>
      </c>
      <c r="AT184" s="49">
        <f t="shared" si="72"/>
        <v>0</v>
      </c>
      <c r="AU184" s="49">
        <f t="shared" si="72"/>
        <v>0</v>
      </c>
      <c r="AV184" s="49">
        <f t="shared" si="72"/>
        <v>0</v>
      </c>
      <c r="AW184" s="49">
        <f t="shared" si="72"/>
        <v>0</v>
      </c>
      <c r="AX184" s="49">
        <f t="shared" si="72"/>
        <v>80945.673314780594</v>
      </c>
      <c r="AZ184" s="53">
        <f t="shared" si="83"/>
        <v>0</v>
      </c>
      <c r="BA184" s="53">
        <f t="shared" si="84"/>
        <v>0</v>
      </c>
      <c r="BB184" s="53">
        <f t="shared" si="85"/>
        <v>0</v>
      </c>
      <c r="BC184" s="53">
        <f t="shared" si="86"/>
        <v>0</v>
      </c>
      <c r="BD184" s="53">
        <f t="shared" si="87"/>
        <v>718187.78829628031</v>
      </c>
    </row>
    <row r="185" spans="2:56">
      <c r="B185" s="43">
        <f>'3. Input (des)investeringen '!B210</f>
        <v>1653</v>
      </c>
      <c r="C185" s="54"/>
      <c r="D185" s="54"/>
      <c r="E185" s="54"/>
      <c r="F185" s="48">
        <f>'3. Input (des)investeringen '!D210</f>
        <v>8031503.8978528045</v>
      </c>
      <c r="G185" s="54"/>
      <c r="H185" s="43">
        <f>'3. Input (des)investeringen '!F210</f>
        <v>2026</v>
      </c>
      <c r="I185" s="48" t="str">
        <f>'3. Input (des)investeringen '!G210</f>
        <v>nvt</v>
      </c>
      <c r="J185" s="48">
        <f>'3. Input (des)investeringen '!H210</f>
        <v>30</v>
      </c>
      <c r="K185" s="48">
        <f>'3. Input (des)investeringen '!I210</f>
        <v>0</v>
      </c>
      <c r="M185" s="49">
        <f t="shared" si="73"/>
        <v>0</v>
      </c>
      <c r="N185" s="49">
        <f t="shared" si="74"/>
        <v>0</v>
      </c>
      <c r="P185" s="147">
        <f t="shared" si="75"/>
        <v>0</v>
      </c>
      <c r="Q185" s="147">
        <f t="shared" si="76"/>
        <v>0</v>
      </c>
      <c r="S185" s="49">
        <f t="shared" si="39"/>
        <v>8031503.8978528045</v>
      </c>
      <c r="T185" s="44">
        <f t="shared" si="77"/>
        <v>30</v>
      </c>
      <c r="V185" s="49">
        <f t="shared" si="88"/>
        <v>0</v>
      </c>
      <c r="W185" s="49">
        <f t="shared" si="88"/>
        <v>0</v>
      </c>
      <c r="X185" s="49">
        <f t="shared" si="88"/>
        <v>0</v>
      </c>
      <c r="Y185" s="49">
        <f t="shared" si="88"/>
        <v>0</v>
      </c>
      <c r="Z185" s="49">
        <f t="shared" si="88"/>
        <v>156614.32600812969</v>
      </c>
      <c r="AB185" s="49">
        <f t="shared" si="89"/>
        <v>0</v>
      </c>
      <c r="AC185" s="49">
        <f t="shared" si="89"/>
        <v>0</v>
      </c>
      <c r="AD185" s="49">
        <f t="shared" si="89"/>
        <v>0</v>
      </c>
      <c r="AE185" s="49">
        <f t="shared" si="89"/>
        <v>0</v>
      </c>
      <c r="AF185" s="49">
        <f t="shared" si="89"/>
        <v>13385.839829754674</v>
      </c>
      <c r="AH185" s="49">
        <f t="shared" si="78"/>
        <v>0</v>
      </c>
      <c r="AI185" s="49">
        <f t="shared" si="79"/>
        <v>0</v>
      </c>
      <c r="AJ185" s="49">
        <f t="shared" si="80"/>
        <v>0</v>
      </c>
      <c r="AK185" s="49">
        <f t="shared" si="81"/>
        <v>0</v>
      </c>
      <c r="AL185" s="49">
        <f t="shared" si="82"/>
        <v>170000.16583788436</v>
      </c>
      <c r="AN185" s="49">
        <f t="shared" si="46"/>
        <v>0</v>
      </c>
      <c r="AO185" s="49">
        <f t="shared" si="47"/>
        <v>0</v>
      </c>
      <c r="AP185" s="49">
        <f t="shared" si="48"/>
        <v>0</v>
      </c>
      <c r="AQ185" s="49">
        <f t="shared" si="49"/>
        <v>0</v>
      </c>
      <c r="AR185" s="49">
        <f t="shared" si="50"/>
        <v>7861503.7320149206</v>
      </c>
      <c r="AT185" s="49">
        <f t="shared" si="72"/>
        <v>0</v>
      </c>
      <c r="AU185" s="49">
        <f t="shared" si="72"/>
        <v>0</v>
      </c>
      <c r="AV185" s="49">
        <f t="shared" si="72"/>
        <v>0</v>
      </c>
      <c r="AW185" s="49">
        <f t="shared" si="72"/>
        <v>0</v>
      </c>
      <c r="AX185" s="49">
        <f t="shared" si="72"/>
        <v>80315.038978528042</v>
      </c>
      <c r="AZ185" s="53">
        <f t="shared" si="83"/>
        <v>0</v>
      </c>
      <c r="BA185" s="53">
        <f t="shared" si="84"/>
        <v>0</v>
      </c>
      <c r="BB185" s="53">
        <f t="shared" si="85"/>
        <v>0</v>
      </c>
      <c r="BC185" s="53">
        <f t="shared" si="86"/>
        <v>0</v>
      </c>
      <c r="BD185" s="53">
        <f t="shared" si="87"/>
        <v>549052.34663297934</v>
      </c>
    </row>
    <row r="186" spans="2:56">
      <c r="B186" s="43">
        <f>'3. Input (des)investeringen '!B211</f>
        <v>1654</v>
      </c>
      <c r="C186" s="54"/>
      <c r="D186" s="54"/>
      <c r="E186" s="54"/>
      <c r="F186" s="48">
        <f>'3. Input (des)investeringen '!D211</f>
        <v>0</v>
      </c>
      <c r="G186" s="54"/>
      <c r="H186" s="43">
        <f>'3. Input (des)investeringen '!F211</f>
        <v>2026</v>
      </c>
      <c r="I186" s="48" t="str">
        <f>'3. Input (des)investeringen '!G211</f>
        <v>nvt</v>
      </c>
      <c r="J186" s="48">
        <f>'3. Input (des)investeringen '!H211</f>
        <v>55</v>
      </c>
      <c r="K186" s="48">
        <f>'3. Input (des)investeringen '!I211</f>
        <v>0</v>
      </c>
      <c r="M186" s="49">
        <f t="shared" si="73"/>
        <v>0</v>
      </c>
      <c r="N186" s="49">
        <f t="shared" si="74"/>
        <v>0</v>
      </c>
      <c r="P186" s="147">
        <f t="shared" si="75"/>
        <v>0</v>
      </c>
      <c r="Q186" s="147">
        <f t="shared" si="76"/>
        <v>0</v>
      </c>
      <c r="S186" s="49">
        <f t="shared" si="39"/>
        <v>0</v>
      </c>
      <c r="T186" s="44">
        <f t="shared" si="77"/>
        <v>55</v>
      </c>
      <c r="V186" s="49">
        <f t="shared" si="88"/>
        <v>0</v>
      </c>
      <c r="W186" s="49">
        <f t="shared" si="88"/>
        <v>0</v>
      </c>
      <c r="X186" s="49">
        <f t="shared" si="88"/>
        <v>0</v>
      </c>
      <c r="Y186" s="49">
        <f t="shared" si="88"/>
        <v>0</v>
      </c>
      <c r="Z186" s="49">
        <f t="shared" si="88"/>
        <v>0</v>
      </c>
      <c r="AB186" s="49">
        <f t="shared" si="89"/>
        <v>0</v>
      </c>
      <c r="AC186" s="49">
        <f t="shared" si="89"/>
        <v>0</v>
      </c>
      <c r="AD186" s="49">
        <f t="shared" si="89"/>
        <v>0</v>
      </c>
      <c r="AE186" s="49">
        <f t="shared" si="89"/>
        <v>0</v>
      </c>
      <c r="AF186" s="49">
        <f t="shared" si="89"/>
        <v>0</v>
      </c>
      <c r="AH186" s="49">
        <f t="shared" si="78"/>
        <v>0</v>
      </c>
      <c r="AI186" s="49">
        <f t="shared" si="79"/>
        <v>0</v>
      </c>
      <c r="AJ186" s="49">
        <f t="shared" si="80"/>
        <v>0</v>
      </c>
      <c r="AK186" s="49">
        <f t="shared" si="81"/>
        <v>0</v>
      </c>
      <c r="AL186" s="49">
        <f t="shared" si="82"/>
        <v>0</v>
      </c>
      <c r="AN186" s="49">
        <f t="shared" si="46"/>
        <v>0</v>
      </c>
      <c r="AO186" s="49">
        <f t="shared" si="47"/>
        <v>0</v>
      </c>
      <c r="AP186" s="49">
        <f t="shared" si="48"/>
        <v>0</v>
      </c>
      <c r="AQ186" s="49">
        <f t="shared" si="49"/>
        <v>0</v>
      </c>
      <c r="AR186" s="49">
        <f t="shared" si="50"/>
        <v>0</v>
      </c>
      <c r="AT186" s="49">
        <f t="shared" si="72"/>
        <v>0</v>
      </c>
      <c r="AU186" s="49">
        <f t="shared" si="72"/>
        <v>0</v>
      </c>
      <c r="AV186" s="49">
        <f t="shared" si="72"/>
        <v>0</v>
      </c>
      <c r="AW186" s="49">
        <f t="shared" si="72"/>
        <v>0</v>
      </c>
      <c r="AX186" s="49">
        <f t="shared" si="72"/>
        <v>0</v>
      </c>
      <c r="AZ186" s="53">
        <f t="shared" si="83"/>
        <v>0</v>
      </c>
      <c r="BA186" s="53">
        <f t="shared" si="84"/>
        <v>0</v>
      </c>
      <c r="BB186" s="53">
        <f t="shared" si="85"/>
        <v>0</v>
      </c>
      <c r="BC186" s="53">
        <f t="shared" si="86"/>
        <v>0</v>
      </c>
      <c r="BD186" s="53">
        <f t="shared" si="87"/>
        <v>0</v>
      </c>
    </row>
    <row r="187" spans="2:56">
      <c r="B187" s="43">
        <f>'3. Input (des)investeringen '!B212</f>
        <v>1655</v>
      </c>
      <c r="C187" s="54"/>
      <c r="D187" s="54"/>
      <c r="E187" s="54"/>
      <c r="F187" s="48">
        <f>'3. Input (des)investeringen '!D212</f>
        <v>1823110</v>
      </c>
      <c r="G187" s="54"/>
      <c r="H187" s="43">
        <f>'3. Input (des)investeringen '!F212</f>
        <v>2020</v>
      </c>
      <c r="I187" s="48" t="str">
        <f>'3. Input (des)investeringen '!G212</f>
        <v>01 Regionale leidingen</v>
      </c>
      <c r="J187" s="48">
        <f>'3. Input (des)investeringen '!H212</f>
        <v>55</v>
      </c>
      <c r="K187" s="48">
        <f>'3. Input (des)investeringen '!I212</f>
        <v>1</v>
      </c>
      <c r="M187" s="49">
        <f t="shared" si="73"/>
        <v>16573.727272727272</v>
      </c>
      <c r="N187" s="49">
        <f t="shared" si="74"/>
        <v>33677.813818181814</v>
      </c>
      <c r="P187" s="147">
        <f t="shared" si="75"/>
        <v>1806536.2727272727</v>
      </c>
      <c r="Q187" s="147">
        <f t="shared" si="76"/>
        <v>1801763.0392727272</v>
      </c>
      <c r="S187" s="49">
        <f t="shared" si="39"/>
        <v>1801763.0392727272</v>
      </c>
      <c r="T187" s="44">
        <f t="shared" si="77"/>
        <v>53.5</v>
      </c>
      <c r="V187" s="49">
        <f t="shared" si="88"/>
        <v>39403.042167272724</v>
      </c>
      <c r="W187" s="49">
        <f t="shared" si="88"/>
        <v>38445.585067881053</v>
      </c>
      <c r="X187" s="49">
        <f t="shared" si="88"/>
        <v>37511.393281184879</v>
      </c>
      <c r="Y187" s="49">
        <f t="shared" si="88"/>
        <v>36599.901481828987</v>
      </c>
      <c r="Z187" s="49">
        <f t="shared" si="88"/>
        <v>35710.558081335948</v>
      </c>
      <c r="AB187" s="49">
        <f t="shared" si="89"/>
        <v>3367.7813818181821</v>
      </c>
      <c r="AC187" s="49">
        <f t="shared" si="89"/>
        <v>3367.7813818181821</v>
      </c>
      <c r="AD187" s="49">
        <f t="shared" si="89"/>
        <v>3367.7813818181821</v>
      </c>
      <c r="AE187" s="49">
        <f t="shared" si="89"/>
        <v>3367.7813818181821</v>
      </c>
      <c r="AF187" s="49">
        <f t="shared" si="89"/>
        <v>3367.7813818181821</v>
      </c>
      <c r="AH187" s="49">
        <f t="shared" si="78"/>
        <v>42770.823549090906</v>
      </c>
      <c r="AI187" s="49">
        <f t="shared" si="79"/>
        <v>41813.366449699235</v>
      </c>
      <c r="AJ187" s="49">
        <f t="shared" si="80"/>
        <v>40879.174663003061</v>
      </c>
      <c r="AK187" s="49">
        <f t="shared" si="81"/>
        <v>39967.682863647169</v>
      </c>
      <c r="AL187" s="49">
        <f t="shared" si="82"/>
        <v>39078.33946315413</v>
      </c>
      <c r="AN187" s="49">
        <f t="shared" si="46"/>
        <v>1758992.2157236363</v>
      </c>
      <c r="AO187" s="49">
        <f t="shared" si="47"/>
        <v>1717178.8492739371</v>
      </c>
      <c r="AP187" s="49">
        <f t="shared" si="48"/>
        <v>1676299.674610934</v>
      </c>
      <c r="AQ187" s="49">
        <f t="shared" si="49"/>
        <v>1636331.9917472869</v>
      </c>
      <c r="AR187" s="49">
        <f t="shared" si="50"/>
        <v>1597253.6522841328</v>
      </c>
      <c r="AT187" s="49">
        <f t="shared" si="72"/>
        <v>18762.00234184783</v>
      </c>
      <c r="AU187" s="49">
        <f t="shared" si="72"/>
        <v>19845.545501094224</v>
      </c>
      <c r="AV187" s="49">
        <f t="shared" si="72"/>
        <v>21347.456384617039</v>
      </c>
      <c r="AW187" s="49">
        <f t="shared" si="72"/>
        <v>21857.404422732769</v>
      </c>
      <c r="AX187" s="49">
        <f t="shared" si="72"/>
        <v>22140.064376727554</v>
      </c>
      <c r="AZ187" s="53">
        <f t="shared" si="83"/>
        <v>121338.56122554239</v>
      </c>
      <c r="BA187" s="53">
        <f t="shared" si="84"/>
        <v>118325.81397683339</v>
      </c>
      <c r="BB187" s="53">
        <f t="shared" si="85"/>
        <v>125926.01868283558</v>
      </c>
      <c r="BC187" s="53">
        <f t="shared" si="86"/>
        <v>124005.70297277684</v>
      </c>
      <c r="BD187" s="53">
        <f t="shared" si="87"/>
        <v>121914.04262667874</v>
      </c>
    </row>
    <row r="188" spans="2:56">
      <c r="B188" s="43">
        <f>'3. Input (des)investeringen '!B213</f>
        <v>1656</v>
      </c>
      <c r="C188" s="54"/>
      <c r="D188" s="54"/>
      <c r="E188" s="54"/>
      <c r="F188" s="48">
        <f>'3. Input (des)investeringen '!D213</f>
        <v>1850427.4802399999</v>
      </c>
      <c r="G188" s="54"/>
      <c r="H188" s="43">
        <f>'3. Input (des)investeringen '!F213</f>
        <v>2021</v>
      </c>
      <c r="I188" s="48" t="str">
        <f>'3. Input (des)investeringen '!G213</f>
        <v>01 Regionale leidingen</v>
      </c>
      <c r="J188" s="48">
        <f>'3. Input (des)investeringen '!H213</f>
        <v>55</v>
      </c>
      <c r="K188" s="48">
        <f>'3. Input (des)investeringen '!I213</f>
        <v>1</v>
      </c>
      <c r="M188" s="49">
        <f t="shared" si="73"/>
        <v>0</v>
      </c>
      <c r="N188" s="49">
        <f t="shared" si="74"/>
        <v>16822.068002181819</v>
      </c>
      <c r="P188" s="147">
        <f t="shared" si="75"/>
        <v>0</v>
      </c>
      <c r="Q188" s="147">
        <f t="shared" si="76"/>
        <v>1833605.4122378181</v>
      </c>
      <c r="S188" s="49">
        <f t="shared" si="39"/>
        <v>1833605.4122378181</v>
      </c>
      <c r="T188" s="44">
        <f t="shared" si="77"/>
        <v>54.5</v>
      </c>
      <c r="V188" s="49">
        <f t="shared" si="88"/>
        <v>39363.639125105452</v>
      </c>
      <c r="W188" s="49">
        <f t="shared" si="88"/>
        <v>38424.689934965325</v>
      </c>
      <c r="X188" s="49">
        <f t="shared" si="88"/>
        <v>37508.137697984501</v>
      </c>
      <c r="Y188" s="49">
        <f t="shared" si="88"/>
        <v>36613.448174913312</v>
      </c>
      <c r="Z188" s="49">
        <f t="shared" si="88"/>
        <v>35740.099869823636</v>
      </c>
      <c r="AB188" s="49">
        <f t="shared" si="89"/>
        <v>3364.413600436364</v>
      </c>
      <c r="AC188" s="49">
        <f t="shared" si="89"/>
        <v>3364.413600436364</v>
      </c>
      <c r="AD188" s="49">
        <f t="shared" si="89"/>
        <v>3364.413600436364</v>
      </c>
      <c r="AE188" s="49">
        <f t="shared" si="89"/>
        <v>3364.413600436364</v>
      </c>
      <c r="AF188" s="49">
        <f t="shared" si="89"/>
        <v>3364.413600436364</v>
      </c>
      <c r="AH188" s="49">
        <f t="shared" si="78"/>
        <v>42728.052725541813</v>
      </c>
      <c r="AI188" s="49">
        <f t="shared" si="79"/>
        <v>41789.103535401686</v>
      </c>
      <c r="AJ188" s="49">
        <f t="shared" si="80"/>
        <v>40872.551298420862</v>
      </c>
      <c r="AK188" s="49">
        <f t="shared" si="81"/>
        <v>39977.861775349673</v>
      </c>
      <c r="AL188" s="49">
        <f t="shared" si="82"/>
        <v>39104.513470259997</v>
      </c>
      <c r="AN188" s="49">
        <f t="shared" si="46"/>
        <v>1790877.3595122762</v>
      </c>
      <c r="AO188" s="49">
        <f t="shared" si="47"/>
        <v>1749088.2559768746</v>
      </c>
      <c r="AP188" s="49">
        <f t="shared" si="48"/>
        <v>1708215.7046784537</v>
      </c>
      <c r="AQ188" s="49">
        <f t="shared" si="49"/>
        <v>1668237.8429031041</v>
      </c>
      <c r="AR188" s="49">
        <f t="shared" si="50"/>
        <v>1629133.3294328442</v>
      </c>
      <c r="AT188" s="49">
        <f t="shared" si="72"/>
        <v>18762.002341847827</v>
      </c>
      <c r="AU188" s="49">
        <f t="shared" si="72"/>
        <v>19845.545501094221</v>
      </c>
      <c r="AV188" s="49">
        <f t="shared" si="72"/>
        <v>21347.456384617035</v>
      </c>
      <c r="AW188" s="49">
        <f t="shared" si="72"/>
        <v>21857.404422732765</v>
      </c>
      <c r="AX188" s="49">
        <f t="shared" si="72"/>
        <v>22140.064376727543</v>
      </c>
      <c r="AZ188" s="53">
        <f t="shared" si="83"/>
        <v>122379.88529080704</v>
      </c>
      <c r="BA188" s="53">
        <f t="shared" si="84"/>
        <v>119354.56148373277</v>
      </c>
      <c r="BB188" s="53">
        <f t="shared" si="85"/>
        <v>127132.20446081914</v>
      </c>
      <c r="BC188" s="53">
        <f t="shared" si="86"/>
        <v>125228.3042284004</v>
      </c>
      <c r="BD188" s="53">
        <f t="shared" si="87"/>
        <v>123151.64436543563</v>
      </c>
    </row>
    <row r="189" spans="2:56">
      <c r="B189" s="43">
        <f>'3. Input (des)investeringen '!B214</f>
        <v>1657</v>
      </c>
      <c r="C189" s="54"/>
      <c r="D189" s="54"/>
      <c r="E189" s="54"/>
      <c r="F189" s="48">
        <f>'3. Input (des)investeringen '!D214</f>
        <v>1874357.2084144636</v>
      </c>
      <c r="G189" s="54"/>
      <c r="H189" s="43">
        <f>'3. Input (des)investeringen '!F214</f>
        <v>2022</v>
      </c>
      <c r="I189" s="48" t="str">
        <f>'3. Input (des)investeringen '!G214</f>
        <v>01 Regionale leidingen</v>
      </c>
      <c r="J189" s="48">
        <f>'3. Input (des)investeringen '!H214</f>
        <v>55</v>
      </c>
      <c r="K189" s="48">
        <f>'3. Input (des)investeringen '!I214</f>
        <v>1</v>
      </c>
      <c r="M189" s="49">
        <f t="shared" si="73"/>
        <v>0</v>
      </c>
      <c r="N189" s="49">
        <f t="shared" si="74"/>
        <v>0</v>
      </c>
      <c r="P189" s="147">
        <f t="shared" si="75"/>
        <v>0</v>
      </c>
      <c r="Q189" s="147">
        <f t="shared" si="76"/>
        <v>0</v>
      </c>
      <c r="S189" s="49">
        <f t="shared" si="39"/>
        <v>1874357.2084144636</v>
      </c>
      <c r="T189" s="44">
        <f t="shared" si="77"/>
        <v>55</v>
      </c>
      <c r="V189" s="49">
        <f t="shared" si="88"/>
        <v>19936.344853135655</v>
      </c>
      <c r="W189" s="49">
        <f t="shared" si="88"/>
        <v>39401.46700974265</v>
      </c>
      <c r="X189" s="49">
        <f t="shared" si="88"/>
        <v>38470.159607694186</v>
      </c>
      <c r="Y189" s="49">
        <f t="shared" si="88"/>
        <v>37560.864926057773</v>
      </c>
      <c r="Z189" s="49">
        <f t="shared" si="88"/>
        <v>36673.062664169134</v>
      </c>
      <c r="AB189" s="49">
        <f t="shared" si="89"/>
        <v>1703.9610985586035</v>
      </c>
      <c r="AC189" s="49">
        <f t="shared" si="89"/>
        <v>3407.9221971172069</v>
      </c>
      <c r="AD189" s="49">
        <f t="shared" si="89"/>
        <v>3407.9221971172069</v>
      </c>
      <c r="AE189" s="49">
        <f t="shared" si="89"/>
        <v>3407.9221971172069</v>
      </c>
      <c r="AF189" s="49">
        <f t="shared" si="89"/>
        <v>3407.9221971172069</v>
      </c>
      <c r="AH189" s="49">
        <f t="shared" si="78"/>
        <v>21640.305951694259</v>
      </c>
      <c r="AI189" s="49">
        <f t="shared" si="79"/>
        <v>42809.389206859858</v>
      </c>
      <c r="AJ189" s="49">
        <f t="shared" si="80"/>
        <v>41878.081804811394</v>
      </c>
      <c r="AK189" s="49">
        <f t="shared" si="81"/>
        <v>40968.787123174981</v>
      </c>
      <c r="AL189" s="49">
        <f t="shared" si="82"/>
        <v>40080.984861286342</v>
      </c>
      <c r="AN189" s="49">
        <f t="shared" si="46"/>
        <v>1852716.9024627693</v>
      </c>
      <c r="AO189" s="49">
        <f t="shared" si="47"/>
        <v>1809907.5132559096</v>
      </c>
      <c r="AP189" s="49">
        <f t="shared" si="48"/>
        <v>1768029.4314510981</v>
      </c>
      <c r="AQ189" s="49">
        <f t="shared" si="49"/>
        <v>1727060.6443279232</v>
      </c>
      <c r="AR189" s="49">
        <f t="shared" si="50"/>
        <v>1686979.6594666368</v>
      </c>
      <c r="AT189" s="49">
        <f t="shared" si="72"/>
        <v>18743.572084144635</v>
      </c>
      <c r="AU189" s="49">
        <f t="shared" si="72"/>
        <v>19826.050859148159</v>
      </c>
      <c r="AV189" s="49">
        <f t="shared" si="72"/>
        <v>21326.486388168494</v>
      </c>
      <c r="AW189" s="49">
        <f t="shared" si="72"/>
        <v>21835.933495009063</v>
      </c>
      <c r="AX189" s="49">
        <f t="shared" si="72"/>
        <v>22118.315786966516</v>
      </c>
      <c r="AZ189" s="53">
        <f t="shared" si="83"/>
        <v>103376.25271957305</v>
      </c>
      <c r="BA189" s="53">
        <f t="shared" si="84"/>
        <v>122362.38800345304</v>
      </c>
      <c r="BB189" s="53">
        <f t="shared" si="85"/>
        <v>130389.68658812161</v>
      </c>
      <c r="BC189" s="53">
        <f t="shared" si="86"/>
        <v>128433.02510264513</v>
      </c>
      <c r="BD189" s="53">
        <f t="shared" si="87"/>
        <v>126304.52770798506</v>
      </c>
    </row>
    <row r="190" spans="2:56">
      <c r="B190" s="43">
        <f>'3. Input (des)investeringen '!B215</f>
        <v>1658</v>
      </c>
      <c r="C190" s="54"/>
      <c r="D190" s="54"/>
      <c r="E190" s="54"/>
      <c r="F190" s="48">
        <f>'3. Input (des)investeringen '!D215</f>
        <v>1898596.3958336795</v>
      </c>
      <c r="G190" s="54"/>
      <c r="H190" s="43">
        <f>'3. Input (des)investeringen '!F215</f>
        <v>2023</v>
      </c>
      <c r="I190" s="48" t="str">
        <f>'3. Input (des)investeringen '!G215</f>
        <v>01 Regionale leidingen</v>
      </c>
      <c r="J190" s="48">
        <f>'3. Input (des)investeringen '!H215</f>
        <v>55</v>
      </c>
      <c r="K190" s="48">
        <f>'3. Input (des)investeringen '!I215</f>
        <v>1</v>
      </c>
      <c r="M190" s="49">
        <f t="shared" si="73"/>
        <v>0</v>
      </c>
      <c r="N190" s="49">
        <f t="shared" si="74"/>
        <v>0</v>
      </c>
      <c r="P190" s="147">
        <f t="shared" si="75"/>
        <v>0</v>
      </c>
      <c r="Q190" s="147">
        <f t="shared" si="76"/>
        <v>0</v>
      </c>
      <c r="S190" s="49">
        <f t="shared" ref="S190:S200" si="90">IF($P190=0, IF(H190&lt;=2021, $Q190, IF(H190&gt;=2022, $F190,0)), IF(H190&lt;=2021,Q190,F190))</f>
        <v>1898596.3958336795</v>
      </c>
      <c r="T190" s="44">
        <f t="shared" si="77"/>
        <v>55</v>
      </c>
      <c r="V190" s="49">
        <f t="shared" si="88"/>
        <v>0</v>
      </c>
      <c r="W190" s="49">
        <f t="shared" si="88"/>
        <v>20194.161664776409</v>
      </c>
      <c r="X190" s="49">
        <f t="shared" si="88"/>
        <v>39911.00678111265</v>
      </c>
      <c r="Y190" s="49">
        <f t="shared" si="88"/>
        <v>38967.655711740896</v>
      </c>
      <c r="Z190" s="49">
        <f t="shared" si="88"/>
        <v>38046.60203128156</v>
      </c>
      <c r="AB190" s="49">
        <f t="shared" si="89"/>
        <v>0</v>
      </c>
      <c r="AC190" s="49">
        <f t="shared" si="89"/>
        <v>1725.9967234851633</v>
      </c>
      <c r="AD190" s="49">
        <f t="shared" si="89"/>
        <v>3451.9934469703271</v>
      </c>
      <c r="AE190" s="49">
        <f t="shared" si="89"/>
        <v>3451.9934469703271</v>
      </c>
      <c r="AF190" s="49">
        <f t="shared" si="89"/>
        <v>3451.9934469703271</v>
      </c>
      <c r="AH190" s="49">
        <f t="shared" si="78"/>
        <v>0</v>
      </c>
      <c r="AI190" s="49">
        <f t="shared" si="79"/>
        <v>21920.158388261574</v>
      </c>
      <c r="AJ190" s="49">
        <f t="shared" si="80"/>
        <v>43363.000228082979</v>
      </c>
      <c r="AK190" s="49">
        <f t="shared" si="81"/>
        <v>42419.649158711225</v>
      </c>
      <c r="AL190" s="49">
        <f t="shared" si="82"/>
        <v>41498.595478251889</v>
      </c>
      <c r="AN190" s="49">
        <f t="shared" ref="AN190:AN200" si="91">IF($J190=0, IF($H190&gt;AN$59,0, $S190), IF(OR($H190&gt;AN$59,$H190+$J190&lt;=AN$59),0,
IF($H190=AN$59,$S190-AH190,
S190-AH190)))</f>
        <v>0</v>
      </c>
      <c r="AO190" s="49">
        <f t="shared" ref="AO190:AO200" si="92">IF($J190=0, IF($H190 &gt; AO$59, 0, IF($H190=AO$59, $F190, AN190)), IF(OR($H190&gt;AO$59,$H190+$J190&lt;=AO$59),0,
IF($H190=AO$59,$S190-AI190,
AN190-AI190)))</f>
        <v>1876676.2374454178</v>
      </c>
      <c r="AP190" s="49">
        <f t="shared" ref="AP190:AP200" si="93">IF($J190=0, IF($H190 &gt; AP$59, 0, IF($H190=AP$59, $F190, AO190)), IF(OR($H190&gt;AP$59,$H190+$J190&lt;=AP$59),0,
IF($H190=AP$59,$S190-AJ190,
AO190-AJ190)))</f>
        <v>1833313.2372173348</v>
      </c>
      <c r="AQ190" s="49">
        <f t="shared" ref="AQ190:AQ200" si="94">IF($J190=0, IF($H190 &gt; AQ$59, 0, IF($H190=AQ$59, $F190, AP190)), IF(OR($H190&gt;AQ$59,$H190+$J190&lt;=AQ$59),0,
IF($H190=AQ$59,$S190-AK190,
AP190-AK190)))</f>
        <v>1790893.5880586235</v>
      </c>
      <c r="AR190" s="49">
        <f t="shared" ref="AR190:AR200" si="95">IF($J190=0, IF($H190 &gt; AR$59, 0, IF($H190=AR$59, $F190, AQ190)), IF(OR($H190&gt;AR$59,$H190+$J190&lt;=AR$59),0,
IF($H190=AR$59,$S190-AL190,
AQ190-AL190)))</f>
        <v>1749394.9925803717</v>
      </c>
      <c r="AT190" s="49">
        <f t="shared" si="72"/>
        <v>0</v>
      </c>
      <c r="AU190" s="49">
        <f t="shared" si="72"/>
        <v>18985.963958336793</v>
      </c>
      <c r="AV190" s="49">
        <f t="shared" si="72"/>
        <v>20422.821710703724</v>
      </c>
      <c r="AW190" s="49">
        <f t="shared" si="72"/>
        <v>20910.682075729015</v>
      </c>
      <c r="AX190" s="49">
        <f t="shared" si="72"/>
        <v>21181.099016332344</v>
      </c>
      <c r="AZ190" s="53">
        <f t="shared" si="83"/>
        <v>0</v>
      </c>
      <c r="BA190" s="53">
        <f t="shared" si="84"/>
        <v>102836.43818229716</v>
      </c>
      <c r="BB190" s="53">
        <f t="shared" si="85"/>
        <v>133451.72495304543</v>
      </c>
      <c r="BC190" s="53">
        <f t="shared" si="86"/>
        <v>131384.28758066794</v>
      </c>
      <c r="BD190" s="53">
        <f t="shared" si="87"/>
        <v>129156.70421263836</v>
      </c>
    </row>
    <row r="191" spans="2:56">
      <c r="B191" s="43">
        <f>'3. Input (des)investeringen '!B216</f>
        <v>1659</v>
      </c>
      <c r="C191" s="54"/>
      <c r="D191" s="54"/>
      <c r="E191" s="54"/>
      <c r="F191" s="48">
        <f>'3. Input (des)investeringen '!D216</f>
        <v>1923149.0444246007</v>
      </c>
      <c r="G191" s="54"/>
      <c r="H191" s="43">
        <f>'3. Input (des)investeringen '!F216</f>
        <v>2024</v>
      </c>
      <c r="I191" s="48" t="str">
        <f>'3. Input (des)investeringen '!G216</f>
        <v>01 Regionale leidingen</v>
      </c>
      <c r="J191" s="48">
        <f>'3. Input (des)investeringen '!H216</f>
        <v>55</v>
      </c>
      <c r="K191" s="48">
        <f>'3. Input (des)investeringen '!I216</f>
        <v>1</v>
      </c>
      <c r="M191" s="49">
        <f t="shared" si="73"/>
        <v>0</v>
      </c>
      <c r="N191" s="49">
        <f t="shared" si="74"/>
        <v>0</v>
      </c>
      <c r="P191" s="147">
        <f t="shared" si="75"/>
        <v>0</v>
      </c>
      <c r="Q191" s="147">
        <f t="shared" si="76"/>
        <v>0</v>
      </c>
      <c r="S191" s="49">
        <f t="shared" si="90"/>
        <v>1923149.0444246007</v>
      </c>
      <c r="T191" s="44">
        <f t="shared" si="77"/>
        <v>55</v>
      </c>
      <c r="V191" s="49">
        <f t="shared" si="88"/>
        <v>0</v>
      </c>
      <c r="W191" s="49">
        <f t="shared" si="88"/>
        <v>0</v>
      </c>
      <c r="X191" s="49">
        <f t="shared" si="88"/>
        <v>20455.312563425297</v>
      </c>
      <c r="Y191" s="49">
        <f t="shared" si="88"/>
        <v>40427.135920805995</v>
      </c>
      <c r="Z191" s="49">
        <f t="shared" si="88"/>
        <v>39471.585435405126</v>
      </c>
      <c r="AB191" s="49">
        <f t="shared" si="89"/>
        <v>0</v>
      </c>
      <c r="AC191" s="49">
        <f t="shared" si="89"/>
        <v>0</v>
      </c>
      <c r="AD191" s="49">
        <f t="shared" si="89"/>
        <v>1748.3173131132735</v>
      </c>
      <c r="AE191" s="49">
        <f t="shared" si="89"/>
        <v>3496.634626226547</v>
      </c>
      <c r="AF191" s="49">
        <f t="shared" si="89"/>
        <v>3496.634626226547</v>
      </c>
      <c r="AH191" s="49">
        <f t="shared" si="78"/>
        <v>0</v>
      </c>
      <c r="AI191" s="49">
        <f t="shared" si="79"/>
        <v>0</v>
      </c>
      <c r="AJ191" s="49">
        <f t="shared" si="80"/>
        <v>22203.629876538573</v>
      </c>
      <c r="AK191" s="49">
        <f t="shared" si="81"/>
        <v>43923.770547032545</v>
      </c>
      <c r="AL191" s="49">
        <f t="shared" si="82"/>
        <v>42968.22006163167</v>
      </c>
      <c r="AN191" s="49">
        <f t="shared" si="91"/>
        <v>0</v>
      </c>
      <c r="AO191" s="49">
        <f t="shared" si="92"/>
        <v>0</v>
      </c>
      <c r="AP191" s="49">
        <f t="shared" si="93"/>
        <v>1900945.414548062</v>
      </c>
      <c r="AQ191" s="49">
        <f t="shared" si="94"/>
        <v>1857021.6440010294</v>
      </c>
      <c r="AR191" s="49">
        <f t="shared" si="95"/>
        <v>1814053.4239393978</v>
      </c>
      <c r="AT191" s="49">
        <f t="shared" si="72"/>
        <v>0</v>
      </c>
      <c r="AU191" s="49">
        <f t="shared" si="72"/>
        <v>0</v>
      </c>
      <c r="AV191" s="49">
        <f t="shared" si="72"/>
        <v>19231.490444246007</v>
      </c>
      <c r="AW191" s="49">
        <f t="shared" si="72"/>
        <v>19690.892287978157</v>
      </c>
      <c r="AX191" s="49">
        <f t="shared" si="72"/>
        <v>19945.534907046287</v>
      </c>
      <c r="AZ191" s="53">
        <f t="shared" si="83"/>
        <v>0</v>
      </c>
      <c r="BA191" s="53">
        <f t="shared" si="84"/>
        <v>0</v>
      </c>
      <c r="BB191" s="53">
        <f t="shared" si="85"/>
        <v>113671.04607361094</v>
      </c>
      <c r="BC191" s="53">
        <f t="shared" si="86"/>
        <v>134181.48530704982</v>
      </c>
      <c r="BD191" s="53">
        <f t="shared" si="87"/>
        <v>131847.78507837508</v>
      </c>
    </row>
    <row r="192" spans="2:56">
      <c r="B192" s="43">
        <f>'3. Input (des)investeringen '!B217</f>
        <v>1660</v>
      </c>
      <c r="C192" s="54"/>
      <c r="D192" s="54"/>
      <c r="E192" s="54"/>
      <c r="F192" s="48">
        <f>'3. Input (des)investeringen '!D217</f>
        <v>1948019.2078670992</v>
      </c>
      <c r="G192" s="54"/>
      <c r="H192" s="43">
        <f>'3. Input (des)investeringen '!F217</f>
        <v>2025</v>
      </c>
      <c r="I192" s="48" t="str">
        <f>'3. Input (des)investeringen '!G217</f>
        <v>01 Regionale leidingen</v>
      </c>
      <c r="J192" s="48">
        <f>'3. Input (des)investeringen '!H217</f>
        <v>55</v>
      </c>
      <c r="K192" s="48">
        <f>'3. Input (des)investeringen '!I217</f>
        <v>1</v>
      </c>
      <c r="M192" s="49">
        <f t="shared" si="73"/>
        <v>0</v>
      </c>
      <c r="N192" s="49">
        <f t="shared" si="74"/>
        <v>0</v>
      </c>
      <c r="P192" s="147">
        <f t="shared" si="75"/>
        <v>0</v>
      </c>
      <c r="Q192" s="147">
        <f t="shared" si="76"/>
        <v>0</v>
      </c>
      <c r="S192" s="49">
        <f t="shared" si="90"/>
        <v>1948019.2078670992</v>
      </c>
      <c r="T192" s="44">
        <f t="shared" si="77"/>
        <v>55</v>
      </c>
      <c r="V192" s="49">
        <f t="shared" si="88"/>
        <v>0</v>
      </c>
      <c r="W192" s="49">
        <f t="shared" si="88"/>
        <v>0</v>
      </c>
      <c r="X192" s="49">
        <f t="shared" si="88"/>
        <v>0</v>
      </c>
      <c r="Y192" s="49">
        <f t="shared" si="88"/>
        <v>20719.840665495507</v>
      </c>
      <c r="Z192" s="49">
        <f t="shared" si="88"/>
        <v>40949.939642533849</v>
      </c>
      <c r="AB192" s="49">
        <f t="shared" si="89"/>
        <v>0</v>
      </c>
      <c r="AC192" s="49">
        <f t="shared" si="89"/>
        <v>0</v>
      </c>
      <c r="AD192" s="49">
        <f t="shared" si="89"/>
        <v>0</v>
      </c>
      <c r="AE192" s="49">
        <f t="shared" si="89"/>
        <v>1770.9265526064539</v>
      </c>
      <c r="AF192" s="49">
        <f t="shared" si="89"/>
        <v>3541.8531052129078</v>
      </c>
      <c r="AH192" s="49">
        <f t="shared" si="78"/>
        <v>0</v>
      </c>
      <c r="AI192" s="49">
        <f t="shared" si="79"/>
        <v>0</v>
      </c>
      <c r="AJ192" s="49">
        <f t="shared" si="80"/>
        <v>0</v>
      </c>
      <c r="AK192" s="49">
        <f t="shared" si="81"/>
        <v>22490.767218101962</v>
      </c>
      <c r="AL192" s="49">
        <f t="shared" si="82"/>
        <v>44491.79274774676</v>
      </c>
      <c r="AN192" s="49">
        <f t="shared" si="91"/>
        <v>0</v>
      </c>
      <c r="AO192" s="49">
        <f t="shared" si="92"/>
        <v>0</v>
      </c>
      <c r="AP192" s="49">
        <f t="shared" si="93"/>
        <v>0</v>
      </c>
      <c r="AQ192" s="49">
        <f t="shared" si="94"/>
        <v>1925528.4406489972</v>
      </c>
      <c r="AR192" s="49">
        <f t="shared" si="95"/>
        <v>1881036.6479012505</v>
      </c>
      <c r="AT192" s="49">
        <f t="shared" si="72"/>
        <v>0</v>
      </c>
      <c r="AU192" s="49">
        <f t="shared" si="72"/>
        <v>0</v>
      </c>
      <c r="AV192" s="49">
        <f t="shared" si="72"/>
        <v>0</v>
      </c>
      <c r="AW192" s="49">
        <f t="shared" si="72"/>
        <v>19480.192078670992</v>
      </c>
      <c r="AX192" s="49">
        <f t="shared" si="72"/>
        <v>19732.109922632364</v>
      </c>
      <c r="AZ192" s="53">
        <f t="shared" si="83"/>
        <v>0</v>
      </c>
      <c r="BA192" s="53">
        <f t="shared" si="84"/>
        <v>0</v>
      </c>
      <c r="BB192" s="53">
        <f t="shared" si="85"/>
        <v>0</v>
      </c>
      <c r="BC192" s="53">
        <f t="shared" si="86"/>
        <v>115141.04004143484</v>
      </c>
      <c r="BD192" s="53">
        <f t="shared" si="87"/>
        <v>135703.29529062664</v>
      </c>
    </row>
    <row r="193" spans="1:56">
      <c r="B193" s="43">
        <f>'3. Input (des)investeringen '!B218</f>
        <v>1661</v>
      </c>
      <c r="C193" s="54"/>
      <c r="D193" s="54"/>
      <c r="E193" s="54"/>
      <c r="F193" s="48">
        <f>'3. Input (des)investeringen '!D218</f>
        <v>1973210.9922632365</v>
      </c>
      <c r="G193" s="54"/>
      <c r="H193" s="43">
        <f>'3. Input (des)investeringen '!F218</f>
        <v>2026</v>
      </c>
      <c r="I193" s="48" t="str">
        <f>'3. Input (des)investeringen '!G218</f>
        <v>01 Regionale leidingen</v>
      </c>
      <c r="J193" s="48">
        <f>'3. Input (des)investeringen '!H218</f>
        <v>55</v>
      </c>
      <c r="K193" s="48">
        <f>'3. Input (des)investeringen '!I218</f>
        <v>1</v>
      </c>
      <c r="M193" s="49">
        <f t="shared" si="73"/>
        <v>0</v>
      </c>
      <c r="N193" s="49">
        <f t="shared" si="74"/>
        <v>0</v>
      </c>
      <c r="P193" s="147">
        <f t="shared" si="75"/>
        <v>0</v>
      </c>
      <c r="Q193" s="147">
        <f t="shared" si="76"/>
        <v>0</v>
      </c>
      <c r="S193" s="49">
        <f t="shared" si="90"/>
        <v>1973210.9922632365</v>
      </c>
      <c r="T193" s="44">
        <f t="shared" si="77"/>
        <v>55</v>
      </c>
      <c r="V193" s="49">
        <f t="shared" si="88"/>
        <v>0</v>
      </c>
      <c r="W193" s="49">
        <f t="shared" si="88"/>
        <v>0</v>
      </c>
      <c r="X193" s="49">
        <f t="shared" si="88"/>
        <v>0</v>
      </c>
      <c r="Y193" s="49">
        <f t="shared" si="88"/>
        <v>0</v>
      </c>
      <c r="Z193" s="49">
        <f t="shared" si="88"/>
        <v>20987.789644981698</v>
      </c>
      <c r="AB193" s="49">
        <f t="shared" si="89"/>
        <v>0</v>
      </c>
      <c r="AC193" s="49">
        <f t="shared" si="89"/>
        <v>0</v>
      </c>
      <c r="AD193" s="49">
        <f t="shared" si="89"/>
        <v>0</v>
      </c>
      <c r="AE193" s="49">
        <f t="shared" si="89"/>
        <v>0</v>
      </c>
      <c r="AF193" s="49">
        <f t="shared" si="89"/>
        <v>1793.8281747847604</v>
      </c>
      <c r="AH193" s="49">
        <f t="shared" si="78"/>
        <v>0</v>
      </c>
      <c r="AI193" s="49">
        <f t="shared" si="79"/>
        <v>0</v>
      </c>
      <c r="AJ193" s="49">
        <f t="shared" si="80"/>
        <v>0</v>
      </c>
      <c r="AK193" s="49">
        <f t="shared" si="81"/>
        <v>0</v>
      </c>
      <c r="AL193" s="49">
        <f t="shared" si="82"/>
        <v>22781.617819766459</v>
      </c>
      <c r="AN193" s="49">
        <f t="shared" si="91"/>
        <v>0</v>
      </c>
      <c r="AO193" s="49">
        <f t="shared" si="92"/>
        <v>0</v>
      </c>
      <c r="AP193" s="49">
        <f t="shared" si="93"/>
        <v>0</v>
      </c>
      <c r="AQ193" s="49">
        <f t="shared" si="94"/>
        <v>0</v>
      </c>
      <c r="AR193" s="49">
        <f t="shared" si="95"/>
        <v>1950429.37444347</v>
      </c>
      <c r="AT193" s="49">
        <f t="shared" si="72"/>
        <v>0</v>
      </c>
      <c r="AU193" s="49">
        <f t="shared" si="72"/>
        <v>0</v>
      </c>
      <c r="AV193" s="49">
        <f t="shared" si="72"/>
        <v>0</v>
      </c>
      <c r="AW193" s="49">
        <f t="shared" si="72"/>
        <v>0</v>
      </c>
      <c r="AX193" s="49">
        <f t="shared" si="72"/>
        <v>19732.109922632368</v>
      </c>
      <c r="AZ193" s="53">
        <f t="shared" si="83"/>
        <v>0</v>
      </c>
      <c r="BA193" s="53">
        <f t="shared" si="84"/>
        <v>0</v>
      </c>
      <c r="BB193" s="53">
        <f t="shared" si="85"/>
        <v>0</v>
      </c>
      <c r="BC193" s="53">
        <f t="shared" si="86"/>
        <v>0</v>
      </c>
      <c r="BD193" s="53">
        <f t="shared" si="87"/>
        <v>116630.04397125069</v>
      </c>
    </row>
    <row r="194" spans="1:56">
      <c r="B194" s="43">
        <f>'3. Input (des)investeringen '!B219</f>
        <v>1662</v>
      </c>
      <c r="C194" s="54"/>
      <c r="D194" s="54"/>
      <c r="E194" s="54"/>
      <c r="F194" s="48">
        <f>'3. Input (des)investeringen '!D219</f>
        <v>463333.33333333337</v>
      </c>
      <c r="G194" s="54"/>
      <c r="H194" s="43">
        <f>'3. Input (des)investeringen '!F219</f>
        <v>2020</v>
      </c>
      <c r="I194" s="48" t="str">
        <f>'3. Input (des)investeringen '!G219</f>
        <v>02 Gasontvangststations</v>
      </c>
      <c r="J194" s="48">
        <f>'3. Input (des)investeringen '!H219</f>
        <v>30</v>
      </c>
      <c r="K194" s="48">
        <f>'3. Input (des)investeringen '!I219</f>
        <v>0</v>
      </c>
      <c r="M194" s="49">
        <f t="shared" si="73"/>
        <v>7722.2222222222226</v>
      </c>
      <c r="N194" s="49">
        <f t="shared" si="74"/>
        <v>15691.555555555557</v>
      </c>
      <c r="P194" s="147">
        <f t="shared" si="75"/>
        <v>455611.11111111112</v>
      </c>
      <c r="Q194" s="147">
        <f t="shared" si="76"/>
        <v>447209.33333333337</v>
      </c>
      <c r="S194" s="49">
        <f t="shared" si="90"/>
        <v>447209.33333333337</v>
      </c>
      <c r="T194" s="44">
        <f t="shared" si="77"/>
        <v>28.5</v>
      </c>
      <c r="V194" s="49">
        <f t="shared" si="88"/>
        <v>18359.120000000003</v>
      </c>
      <c r="W194" s="49">
        <f t="shared" si="88"/>
        <v>17521.686456140353</v>
      </c>
      <c r="X194" s="49">
        <f t="shared" si="88"/>
        <v>16722.45163533395</v>
      </c>
      <c r="Y194" s="49">
        <f t="shared" si="88"/>
        <v>15959.67313968714</v>
      </c>
      <c r="Z194" s="49">
        <f t="shared" si="88"/>
        <v>15231.688049104918</v>
      </c>
      <c r="AB194" s="49">
        <f t="shared" si="89"/>
        <v>1569.1555555555558</v>
      </c>
      <c r="AC194" s="49">
        <f t="shared" si="89"/>
        <v>1569.155555555556</v>
      </c>
      <c r="AD194" s="49">
        <f t="shared" si="89"/>
        <v>1569.155555555556</v>
      </c>
      <c r="AE194" s="49">
        <f t="shared" si="89"/>
        <v>1569.155555555556</v>
      </c>
      <c r="AF194" s="49">
        <f t="shared" si="89"/>
        <v>1569.155555555556</v>
      </c>
      <c r="AH194" s="49">
        <f t="shared" si="78"/>
        <v>19928.27555555556</v>
      </c>
      <c r="AI194" s="49">
        <f t="shared" si="79"/>
        <v>19090.84201169591</v>
      </c>
      <c r="AJ194" s="49">
        <f t="shared" si="80"/>
        <v>18291.607190889506</v>
      </c>
      <c r="AK194" s="49">
        <f t="shared" si="81"/>
        <v>17528.828695242697</v>
      </c>
      <c r="AL194" s="49">
        <f t="shared" si="82"/>
        <v>16800.843604660473</v>
      </c>
      <c r="AN194" s="49">
        <f t="shared" si="91"/>
        <v>427281.05777777784</v>
      </c>
      <c r="AO194" s="49">
        <f t="shared" si="92"/>
        <v>408190.21576608194</v>
      </c>
      <c r="AP194" s="49">
        <f t="shared" si="93"/>
        <v>389898.60857519245</v>
      </c>
      <c r="AQ194" s="49">
        <f t="shared" si="94"/>
        <v>372369.77987994975</v>
      </c>
      <c r="AR194" s="49">
        <f t="shared" si="95"/>
        <v>355568.93627528928</v>
      </c>
      <c r="AT194" s="49">
        <f t="shared" si="72"/>
        <v>4768.2592301376008</v>
      </c>
      <c r="AU194" s="49">
        <f t="shared" si="72"/>
        <v>5043.6357371965078</v>
      </c>
      <c r="AV194" s="49">
        <f t="shared" si="72"/>
        <v>5425.3380897875395</v>
      </c>
      <c r="AW194" s="49">
        <f t="shared" si="72"/>
        <v>5554.9385660763855</v>
      </c>
      <c r="AX194" s="49">
        <f t="shared" si="72"/>
        <v>5626.775031612885</v>
      </c>
      <c r="AZ194" s="53">
        <f t="shared" si="83"/>
        <v>39224.090750137606</v>
      </c>
      <c r="BA194" s="53">
        <f t="shared" si="84"/>
        <v>37604.754869173121</v>
      </c>
      <c r="BB194" s="53">
        <f t="shared" si="85"/>
        <v>38533.092406534357</v>
      </c>
      <c r="BC194" s="53">
        <f t="shared" si="86"/>
        <v>37233.818896757177</v>
      </c>
      <c r="BD194" s="53">
        <f t="shared" si="87"/>
        <v>35939.238214734352</v>
      </c>
    </row>
    <row r="195" spans="1:56">
      <c r="B195" s="43">
        <f>'3. Input (des)investeringen '!B220</f>
        <v>1663</v>
      </c>
      <c r="C195" s="54"/>
      <c r="D195" s="54"/>
      <c r="E195" s="54"/>
      <c r="F195" s="48">
        <f>'3. Input (des)investeringen '!D220</f>
        <v>470275.92000000004</v>
      </c>
      <c r="G195" s="54"/>
      <c r="H195" s="43">
        <f>'3. Input (des)investeringen '!F220</f>
        <v>2021</v>
      </c>
      <c r="I195" s="48" t="str">
        <f>'3. Input (des)investeringen '!G220</f>
        <v>02 Gasontvangststations</v>
      </c>
      <c r="J195" s="48">
        <f>'3. Input (des)investeringen '!H220</f>
        <v>30</v>
      </c>
      <c r="K195" s="48">
        <f>'3. Input (des)investeringen '!I220</f>
        <v>0</v>
      </c>
      <c r="M195" s="49">
        <f t="shared" si="73"/>
        <v>0</v>
      </c>
      <c r="N195" s="49">
        <f t="shared" si="74"/>
        <v>7837.9320000000007</v>
      </c>
      <c r="P195" s="147">
        <f t="shared" si="75"/>
        <v>0</v>
      </c>
      <c r="Q195" s="147">
        <f t="shared" si="76"/>
        <v>462437.98800000001</v>
      </c>
      <c r="S195" s="49">
        <f t="shared" si="90"/>
        <v>462437.98800000001</v>
      </c>
      <c r="T195" s="44">
        <f t="shared" si="77"/>
        <v>29.5</v>
      </c>
      <c r="V195" s="49">
        <f t="shared" si="88"/>
        <v>18340.760880000002</v>
      </c>
      <c r="W195" s="49">
        <f t="shared" si="88"/>
        <v>17532.523959864408</v>
      </c>
      <c r="X195" s="49">
        <f t="shared" si="88"/>
        <v>16759.904259938179</v>
      </c>
      <c r="Y195" s="49">
        <f t="shared" si="88"/>
        <v>16021.332207805312</v>
      </c>
      <c r="Z195" s="49">
        <f t="shared" si="88"/>
        <v>15315.307398647788</v>
      </c>
      <c r="AB195" s="49">
        <f t="shared" si="89"/>
        <v>1567.5864000000001</v>
      </c>
      <c r="AC195" s="49">
        <f t="shared" si="89"/>
        <v>1567.5864000000001</v>
      </c>
      <c r="AD195" s="49">
        <f t="shared" si="89"/>
        <v>1567.5864000000001</v>
      </c>
      <c r="AE195" s="49">
        <f t="shared" si="89"/>
        <v>1567.5864000000001</v>
      </c>
      <c r="AF195" s="49">
        <f t="shared" si="89"/>
        <v>1567.5864000000001</v>
      </c>
      <c r="AH195" s="49">
        <f t="shared" si="78"/>
        <v>19908.347280000002</v>
      </c>
      <c r="AI195" s="49">
        <f t="shared" si="79"/>
        <v>19100.110359864408</v>
      </c>
      <c r="AJ195" s="49">
        <f t="shared" si="80"/>
        <v>18327.490659938179</v>
      </c>
      <c r="AK195" s="49">
        <f t="shared" si="81"/>
        <v>17588.91860780531</v>
      </c>
      <c r="AL195" s="49">
        <f t="shared" si="82"/>
        <v>16882.89379864779</v>
      </c>
      <c r="AN195" s="49">
        <f t="shared" si="91"/>
        <v>442529.64072000002</v>
      </c>
      <c r="AO195" s="49">
        <f t="shared" si="92"/>
        <v>423429.5303601356</v>
      </c>
      <c r="AP195" s="49">
        <f t="shared" si="93"/>
        <v>405102.03970019741</v>
      </c>
      <c r="AQ195" s="49">
        <f t="shared" si="94"/>
        <v>387513.12109239207</v>
      </c>
      <c r="AR195" s="49">
        <f t="shared" si="95"/>
        <v>370630.22729374428</v>
      </c>
      <c r="AT195" s="49">
        <f t="shared" si="72"/>
        <v>4768.2592301376008</v>
      </c>
      <c r="AU195" s="49">
        <f t="shared" si="72"/>
        <v>5043.6357371965069</v>
      </c>
      <c r="AV195" s="49">
        <f t="shared" si="72"/>
        <v>5425.3380897875386</v>
      </c>
      <c r="AW195" s="49">
        <f t="shared" si="72"/>
        <v>5554.9385660763828</v>
      </c>
      <c r="AX195" s="49">
        <f t="shared" si="72"/>
        <v>5626.7750316128831</v>
      </c>
      <c r="AZ195" s="53">
        <f t="shared" si="83"/>
        <v>39722.614294617604</v>
      </c>
      <c r="BA195" s="53">
        <f t="shared" si="84"/>
        <v>38116.920598945391</v>
      </c>
      <c r="BB195" s="53">
        <f t="shared" si="85"/>
        <v>39146.706258333223</v>
      </c>
      <c r="BC195" s="53">
        <f t="shared" si="86"/>
        <v>37869.355775392592</v>
      </c>
      <c r="BD195" s="53">
        <f t="shared" si="87"/>
        <v>36593.617467422955</v>
      </c>
    </row>
    <row r="196" spans="1:56">
      <c r="B196" s="43">
        <f>'3. Input (des)investeringen '!B221</f>
        <v>1664</v>
      </c>
      <c r="C196" s="54"/>
      <c r="D196" s="54"/>
      <c r="E196" s="54"/>
      <c r="F196" s="48">
        <f>'3. Input (des)investeringen '!D221</f>
        <v>476357.52819743997</v>
      </c>
      <c r="G196" s="54"/>
      <c r="H196" s="43">
        <f>'3. Input (des)investeringen '!F221</f>
        <v>2022</v>
      </c>
      <c r="I196" s="48" t="str">
        <f>'3. Input (des)investeringen '!G221</f>
        <v>02 Gasontvangststations</v>
      </c>
      <c r="J196" s="48">
        <f>'3. Input (des)investeringen '!H221</f>
        <v>30</v>
      </c>
      <c r="K196" s="48">
        <f>'3. Input (des)investeringen '!I221</f>
        <v>0</v>
      </c>
      <c r="M196" s="49">
        <f t="shared" si="73"/>
        <v>0</v>
      </c>
      <c r="N196" s="49">
        <f t="shared" si="74"/>
        <v>0</v>
      </c>
      <c r="P196" s="147">
        <f t="shared" si="75"/>
        <v>0</v>
      </c>
      <c r="Q196" s="147">
        <f t="shared" si="76"/>
        <v>0</v>
      </c>
      <c r="S196" s="49">
        <f t="shared" si="90"/>
        <v>476357.52819743997</v>
      </c>
      <c r="T196" s="44">
        <f t="shared" si="77"/>
        <v>30</v>
      </c>
      <c r="V196" s="49">
        <f t="shared" si="88"/>
        <v>9288.9717998500801</v>
      </c>
      <c r="W196" s="49">
        <f t="shared" si="88"/>
        <v>18175.421488373322</v>
      </c>
      <c r="X196" s="49">
        <f t="shared" si="88"/>
        <v>17387.819890543815</v>
      </c>
      <c r="Y196" s="49">
        <f t="shared" si="88"/>
        <v>16634.347695286913</v>
      </c>
      <c r="Z196" s="49">
        <f t="shared" si="88"/>
        <v>15913.525961824482</v>
      </c>
      <c r="AB196" s="49">
        <f t="shared" si="89"/>
        <v>793.9292136624</v>
      </c>
      <c r="AC196" s="49">
        <f t="shared" si="89"/>
        <v>1587.8584273248</v>
      </c>
      <c r="AD196" s="49">
        <f t="shared" si="89"/>
        <v>1587.8584273248</v>
      </c>
      <c r="AE196" s="49">
        <f t="shared" si="89"/>
        <v>1587.8584273248</v>
      </c>
      <c r="AF196" s="49">
        <f t="shared" si="89"/>
        <v>1587.8584273248</v>
      </c>
      <c r="AH196" s="49">
        <f t="shared" si="78"/>
        <v>10082.901013512481</v>
      </c>
      <c r="AI196" s="49">
        <f t="shared" si="79"/>
        <v>19763.279915698124</v>
      </c>
      <c r="AJ196" s="49">
        <f t="shared" si="80"/>
        <v>18975.678317868616</v>
      </c>
      <c r="AK196" s="49">
        <f t="shared" si="81"/>
        <v>18222.206122611715</v>
      </c>
      <c r="AL196" s="49">
        <f t="shared" si="82"/>
        <v>17501.384389149283</v>
      </c>
      <c r="AN196" s="49">
        <f t="shared" si="91"/>
        <v>466274.62718392751</v>
      </c>
      <c r="AO196" s="49">
        <f t="shared" si="92"/>
        <v>446511.34726822941</v>
      </c>
      <c r="AP196" s="49">
        <f t="shared" si="93"/>
        <v>427535.66895036079</v>
      </c>
      <c r="AQ196" s="49">
        <f t="shared" si="94"/>
        <v>409313.46282774908</v>
      </c>
      <c r="AR196" s="49">
        <f t="shared" si="95"/>
        <v>391812.07843859983</v>
      </c>
      <c r="AT196" s="49">
        <f t="shared" si="72"/>
        <v>4763.5752819744002</v>
      </c>
      <c r="AU196" s="49">
        <f t="shared" si="72"/>
        <v>5038.6812816589854</v>
      </c>
      <c r="AV196" s="49">
        <f t="shared" si="72"/>
        <v>5420.0086810549383</v>
      </c>
      <c r="AW196" s="49">
        <f t="shared" si="72"/>
        <v>5549.4818484279785</v>
      </c>
      <c r="AX196" s="49">
        <f t="shared" si="72"/>
        <v>5621.2477476918493</v>
      </c>
      <c r="AZ196" s="53">
        <f t="shared" si="83"/>
        <v>30699.813619740416</v>
      </c>
      <c r="BA196" s="53">
        <f t="shared" si="84"/>
        <v>39536.835657208685</v>
      </c>
      <c r="BB196" s="53">
        <f t="shared" si="85"/>
        <v>40642.042419037265</v>
      </c>
      <c r="BC196" s="53">
        <f t="shared" si="86"/>
        <v>39325.599558494156</v>
      </c>
      <c r="BD196" s="53">
        <f t="shared" si="87"/>
        <v>38011.491117507925</v>
      </c>
    </row>
    <row r="197" spans="1:56">
      <c r="B197" s="43">
        <f>'3. Input (des)investeringen '!B222</f>
        <v>1665</v>
      </c>
      <c r="C197" s="54"/>
      <c r="D197" s="54"/>
      <c r="E197" s="54"/>
      <c r="F197" s="48">
        <f>'3. Input (des)investeringen '!D222</f>
        <v>482517.78375208931</v>
      </c>
      <c r="G197" s="54"/>
      <c r="H197" s="43">
        <f>'3. Input (des)investeringen '!F222</f>
        <v>2023</v>
      </c>
      <c r="I197" s="48" t="str">
        <f>'3. Input (des)investeringen '!G222</f>
        <v>02 Gasontvangststations</v>
      </c>
      <c r="J197" s="48">
        <f>'3. Input (des)investeringen '!H222</f>
        <v>30</v>
      </c>
      <c r="K197" s="48">
        <f>'3. Input (des)investeringen '!I222</f>
        <v>0</v>
      </c>
      <c r="M197" s="49">
        <f t="shared" si="73"/>
        <v>0</v>
      </c>
      <c r="N197" s="49">
        <f t="shared" si="74"/>
        <v>0</v>
      </c>
      <c r="P197" s="147">
        <f t="shared" si="75"/>
        <v>0</v>
      </c>
      <c r="Q197" s="147">
        <f t="shared" si="76"/>
        <v>0</v>
      </c>
      <c r="S197" s="49">
        <f t="shared" si="90"/>
        <v>482517.78375208931</v>
      </c>
      <c r="T197" s="44">
        <f t="shared" si="77"/>
        <v>30</v>
      </c>
      <c r="V197" s="49">
        <f t="shared" si="88"/>
        <v>0</v>
      </c>
      <c r="W197" s="49">
        <f t="shared" si="88"/>
        <v>9409.0967831657417</v>
      </c>
      <c r="X197" s="49">
        <f t="shared" si="88"/>
        <v>18410.466039060968</v>
      </c>
      <c r="Y197" s="49">
        <f t="shared" si="88"/>
        <v>17612.679177368325</v>
      </c>
      <c r="Z197" s="49">
        <f t="shared" si="88"/>
        <v>16849.463079682366</v>
      </c>
      <c r="AB197" s="49">
        <f t="shared" si="89"/>
        <v>0</v>
      </c>
      <c r="AC197" s="49">
        <f t="shared" si="89"/>
        <v>804.19630625348213</v>
      </c>
      <c r="AD197" s="49">
        <f t="shared" si="89"/>
        <v>1608.3926125069643</v>
      </c>
      <c r="AE197" s="49">
        <f t="shared" si="89"/>
        <v>1608.3926125069643</v>
      </c>
      <c r="AF197" s="49">
        <f t="shared" si="89"/>
        <v>1608.3926125069643</v>
      </c>
      <c r="AH197" s="49">
        <f t="shared" si="78"/>
        <v>0</v>
      </c>
      <c r="AI197" s="49">
        <f t="shared" si="79"/>
        <v>10213.293089419223</v>
      </c>
      <c r="AJ197" s="49">
        <f t="shared" si="80"/>
        <v>20018.858651567931</v>
      </c>
      <c r="AK197" s="49">
        <f t="shared" si="81"/>
        <v>19221.071789875288</v>
      </c>
      <c r="AL197" s="49">
        <f t="shared" si="82"/>
        <v>18457.855692189329</v>
      </c>
      <c r="AN197" s="49">
        <f t="shared" si="91"/>
        <v>0</v>
      </c>
      <c r="AO197" s="49">
        <f t="shared" si="92"/>
        <v>472304.49066267011</v>
      </c>
      <c r="AP197" s="49">
        <f t="shared" si="93"/>
        <v>452285.63201110216</v>
      </c>
      <c r="AQ197" s="49">
        <f t="shared" si="94"/>
        <v>433064.56022122689</v>
      </c>
      <c r="AR197" s="49">
        <f t="shared" si="95"/>
        <v>414606.70452903758</v>
      </c>
      <c r="AT197" s="49">
        <f t="shared" si="72"/>
        <v>0</v>
      </c>
      <c r="AU197" s="49">
        <f t="shared" si="72"/>
        <v>4825.1778375208933</v>
      </c>
      <c r="AV197" s="49">
        <f t="shared" si="72"/>
        <v>5190.3472962644746</v>
      </c>
      <c r="AW197" s="49">
        <f t="shared" si="72"/>
        <v>5314.3343124776402</v>
      </c>
      <c r="AX197" s="49">
        <f t="shared" si="72"/>
        <v>5383.0592838066004</v>
      </c>
      <c r="AZ197" s="53">
        <f t="shared" si="83"/>
        <v>0</v>
      </c>
      <c r="BA197" s="53">
        <f t="shared" si="84"/>
        <v>30624.519118808228</v>
      </c>
      <c r="BB197" s="53">
        <f t="shared" si="85"/>
        <v>42396.059964254287</v>
      </c>
      <c r="BC197" s="53">
        <f t="shared" si="86"/>
        <v>40991.85939075955</v>
      </c>
      <c r="BD197" s="53">
        <f t="shared" si="87"/>
        <v>39595.969748099356</v>
      </c>
    </row>
    <row r="198" spans="1:56">
      <c r="B198" s="43">
        <f>'3. Input (des)investeringen '!B223</f>
        <v>1666</v>
      </c>
      <c r="C198" s="54"/>
      <c r="D198" s="54"/>
      <c r="E198" s="54"/>
      <c r="F198" s="48">
        <f>'3. Input (des)investeringen '!D223</f>
        <v>488757.70373157132</v>
      </c>
      <c r="G198" s="54"/>
      <c r="H198" s="43">
        <f>'3. Input (des)investeringen '!F223</f>
        <v>2024</v>
      </c>
      <c r="I198" s="48" t="str">
        <f>'3. Input (des)investeringen '!G223</f>
        <v>02 Gasontvangststations</v>
      </c>
      <c r="J198" s="48">
        <f>'3. Input (des)investeringen '!H223</f>
        <v>30</v>
      </c>
      <c r="K198" s="48">
        <f>'3. Input (des)investeringen '!I223</f>
        <v>0</v>
      </c>
      <c r="M198" s="49">
        <f t="shared" si="73"/>
        <v>0</v>
      </c>
      <c r="N198" s="49">
        <f t="shared" si="74"/>
        <v>0</v>
      </c>
      <c r="P198" s="147">
        <f t="shared" si="75"/>
        <v>0</v>
      </c>
      <c r="Q198" s="147">
        <f t="shared" si="76"/>
        <v>0</v>
      </c>
      <c r="S198" s="49">
        <f t="shared" si="90"/>
        <v>488757.70373157132</v>
      </c>
      <c r="T198" s="44">
        <f t="shared" si="77"/>
        <v>30</v>
      </c>
      <c r="V198" s="49">
        <f t="shared" si="88"/>
        <v>0</v>
      </c>
      <c r="W198" s="49">
        <f t="shared" si="88"/>
        <v>0</v>
      </c>
      <c r="X198" s="49">
        <f t="shared" si="88"/>
        <v>9530.775222765642</v>
      </c>
      <c r="Y198" s="49">
        <f t="shared" si="88"/>
        <v>18648.550185878106</v>
      </c>
      <c r="Z198" s="49">
        <f t="shared" si="88"/>
        <v>17840.446344490054</v>
      </c>
      <c r="AB198" s="49">
        <f t="shared" si="89"/>
        <v>0</v>
      </c>
      <c r="AC198" s="49">
        <f t="shared" si="89"/>
        <v>0</v>
      </c>
      <c r="AD198" s="49">
        <f t="shared" si="89"/>
        <v>814.59617288595234</v>
      </c>
      <c r="AE198" s="49">
        <f t="shared" si="89"/>
        <v>1629.1923457719045</v>
      </c>
      <c r="AF198" s="49">
        <f t="shared" si="89"/>
        <v>1629.1923457719045</v>
      </c>
      <c r="AH198" s="49">
        <f t="shared" si="78"/>
        <v>0</v>
      </c>
      <c r="AI198" s="49">
        <f t="shared" si="79"/>
        <v>0</v>
      </c>
      <c r="AJ198" s="49">
        <f t="shared" si="80"/>
        <v>10345.371395651595</v>
      </c>
      <c r="AK198" s="49">
        <f t="shared" si="81"/>
        <v>20277.742531650012</v>
      </c>
      <c r="AL198" s="49">
        <f t="shared" si="82"/>
        <v>19469.63869026196</v>
      </c>
      <c r="AN198" s="49">
        <f t="shared" si="91"/>
        <v>0</v>
      </c>
      <c r="AO198" s="49">
        <f t="shared" si="92"/>
        <v>0</v>
      </c>
      <c r="AP198" s="49">
        <f t="shared" si="93"/>
        <v>478412.33233591972</v>
      </c>
      <c r="AQ198" s="49">
        <f t="shared" si="94"/>
        <v>458134.58980426972</v>
      </c>
      <c r="AR198" s="49">
        <f t="shared" si="95"/>
        <v>438664.95111400774</v>
      </c>
      <c r="AT198" s="49">
        <f t="shared" si="72"/>
        <v>0</v>
      </c>
      <c r="AU198" s="49">
        <f t="shared" si="72"/>
        <v>0</v>
      </c>
      <c r="AV198" s="49">
        <f t="shared" si="72"/>
        <v>4887.5770373157129</v>
      </c>
      <c r="AW198" s="49">
        <f t="shared" si="72"/>
        <v>5004.3314775831113</v>
      </c>
      <c r="AX198" s="49">
        <f t="shared" si="72"/>
        <v>5069.0474922512149</v>
      </c>
      <c r="AZ198" s="53">
        <f t="shared" si="83"/>
        <v>0</v>
      </c>
      <c r="BA198" s="53">
        <f t="shared" si="84"/>
        <v>0</v>
      </c>
      <c r="BB198" s="53">
        <f t="shared" si="85"/>
        <v>33412.617061732257</v>
      </c>
      <c r="BC198" s="53">
        <f t="shared" si="86"/>
        <v>42691.18842179537</v>
      </c>
      <c r="BD198" s="53">
        <f t="shared" si="87"/>
        <v>41207.954324845465</v>
      </c>
    </row>
    <row r="199" spans="1:56">
      <c r="B199" s="43">
        <f>'3. Input (des)investeringen '!B224</f>
        <v>1667</v>
      </c>
      <c r="C199" s="54"/>
      <c r="D199" s="54"/>
      <c r="E199" s="54"/>
      <c r="F199" s="48">
        <f>'3. Input (des)investeringen '!D224</f>
        <v>495078.31835622794</v>
      </c>
      <c r="G199" s="54"/>
      <c r="H199" s="43">
        <f>'3. Input (des)investeringen '!F224</f>
        <v>2025</v>
      </c>
      <c r="I199" s="48" t="str">
        <f>'3. Input (des)investeringen '!G224</f>
        <v>02 Gasontvangststations</v>
      </c>
      <c r="J199" s="48">
        <f>'3. Input (des)investeringen '!H224</f>
        <v>30</v>
      </c>
      <c r="K199" s="48">
        <f>'3. Input (des)investeringen '!I224</f>
        <v>0</v>
      </c>
      <c r="M199" s="49">
        <f t="shared" si="73"/>
        <v>0</v>
      </c>
      <c r="N199" s="49">
        <f t="shared" si="74"/>
        <v>0</v>
      </c>
      <c r="P199" s="147">
        <f t="shared" si="75"/>
        <v>0</v>
      </c>
      <c r="Q199" s="147">
        <f t="shared" si="76"/>
        <v>0</v>
      </c>
      <c r="S199" s="49">
        <f t="shared" si="90"/>
        <v>495078.31835622794</v>
      </c>
      <c r="T199" s="44">
        <f t="shared" si="77"/>
        <v>30</v>
      </c>
      <c r="V199" s="49">
        <f t="shared" si="88"/>
        <v>0</v>
      </c>
      <c r="W199" s="49">
        <f t="shared" si="88"/>
        <v>0</v>
      </c>
      <c r="X199" s="49">
        <f t="shared" si="88"/>
        <v>0</v>
      </c>
      <c r="Y199" s="49">
        <f t="shared" si="88"/>
        <v>9654.0272079464448</v>
      </c>
      <c r="Z199" s="49">
        <f t="shared" si="88"/>
        <v>18889.713236881878</v>
      </c>
      <c r="AB199" s="49">
        <f t="shared" si="89"/>
        <v>0</v>
      </c>
      <c r="AC199" s="49">
        <f t="shared" si="89"/>
        <v>0</v>
      </c>
      <c r="AD199" s="49">
        <f t="shared" si="89"/>
        <v>0</v>
      </c>
      <c r="AE199" s="49">
        <f t="shared" si="89"/>
        <v>825.13053059371327</v>
      </c>
      <c r="AF199" s="49">
        <f t="shared" si="89"/>
        <v>1650.2610611874265</v>
      </c>
      <c r="AH199" s="49">
        <f t="shared" si="78"/>
        <v>0</v>
      </c>
      <c r="AI199" s="49">
        <f t="shared" si="79"/>
        <v>0</v>
      </c>
      <c r="AJ199" s="49">
        <f t="shared" si="80"/>
        <v>0</v>
      </c>
      <c r="AK199" s="49">
        <f t="shared" si="81"/>
        <v>10479.157738540158</v>
      </c>
      <c r="AL199" s="49">
        <f t="shared" si="82"/>
        <v>20539.974298069304</v>
      </c>
      <c r="AN199" s="49">
        <f t="shared" si="91"/>
        <v>0</v>
      </c>
      <c r="AO199" s="49">
        <f t="shared" si="92"/>
        <v>0</v>
      </c>
      <c r="AP199" s="49">
        <f t="shared" si="93"/>
        <v>0</v>
      </c>
      <c r="AQ199" s="49">
        <f t="shared" si="94"/>
        <v>484599.1606176878</v>
      </c>
      <c r="AR199" s="49">
        <f t="shared" si="95"/>
        <v>464059.18631961849</v>
      </c>
      <c r="AT199" s="49">
        <f t="shared" si="72"/>
        <v>0</v>
      </c>
      <c r="AU199" s="49">
        <f t="shared" si="72"/>
        <v>0</v>
      </c>
      <c r="AV199" s="49">
        <f t="shared" si="72"/>
        <v>0</v>
      </c>
      <c r="AW199" s="49">
        <f t="shared" si="72"/>
        <v>4950.7831835622792</v>
      </c>
      <c r="AX199" s="49">
        <f t="shared" si="72"/>
        <v>5014.8067116921065</v>
      </c>
      <c r="AZ199" s="53">
        <f t="shared" si="83"/>
        <v>0</v>
      </c>
      <c r="BA199" s="53">
        <f t="shared" si="84"/>
        <v>0</v>
      </c>
      <c r="BB199" s="53">
        <f t="shared" si="85"/>
        <v>0</v>
      </c>
      <c r="BC199" s="53">
        <f t="shared" si="86"/>
        <v>33844.709025574572</v>
      </c>
      <c r="BD199" s="53">
        <f t="shared" si="87"/>
        <v>43189.030089906919</v>
      </c>
    </row>
    <row r="200" spans="1:56">
      <c r="B200" s="43">
        <f>'3. Input (des)investeringen '!B225</f>
        <v>1668</v>
      </c>
      <c r="C200" s="54"/>
      <c r="D200" s="54"/>
      <c r="E200" s="54"/>
      <c r="F200" s="48">
        <f>'3. Input (des)investeringen '!D225</f>
        <v>501480.67116921069</v>
      </c>
      <c r="G200" s="54"/>
      <c r="H200" s="43">
        <f>'3. Input (des)investeringen '!F225</f>
        <v>2026</v>
      </c>
      <c r="I200" s="48" t="str">
        <f>'3. Input (des)investeringen '!G225</f>
        <v>02 Gasontvangststations</v>
      </c>
      <c r="J200" s="48">
        <f>'3. Input (des)investeringen '!H225</f>
        <v>30</v>
      </c>
      <c r="K200" s="48">
        <f>'3. Input (des)investeringen '!I225</f>
        <v>0</v>
      </c>
      <c r="M200" s="49">
        <f t="shared" si="73"/>
        <v>0</v>
      </c>
      <c r="N200" s="49">
        <f t="shared" si="74"/>
        <v>0</v>
      </c>
      <c r="P200" s="147">
        <f t="shared" si="75"/>
        <v>0</v>
      </c>
      <c r="Q200" s="147">
        <f t="shared" si="76"/>
        <v>0</v>
      </c>
      <c r="S200" s="49">
        <f t="shared" si="90"/>
        <v>501480.67116921069</v>
      </c>
      <c r="T200" s="44">
        <f t="shared" si="77"/>
        <v>30</v>
      </c>
      <c r="V200" s="49">
        <f t="shared" si="88"/>
        <v>0</v>
      </c>
      <c r="W200" s="49">
        <f t="shared" si="88"/>
        <v>0</v>
      </c>
      <c r="X200" s="49">
        <f t="shared" si="88"/>
        <v>0</v>
      </c>
      <c r="Y200" s="49">
        <f t="shared" si="88"/>
        <v>0</v>
      </c>
      <c r="Z200" s="49">
        <f t="shared" si="88"/>
        <v>9778.8730877996095</v>
      </c>
      <c r="AB200" s="49">
        <f t="shared" si="89"/>
        <v>0</v>
      </c>
      <c r="AC200" s="49">
        <f t="shared" si="89"/>
        <v>0</v>
      </c>
      <c r="AD200" s="49">
        <f t="shared" si="89"/>
        <v>0</v>
      </c>
      <c r="AE200" s="49">
        <f t="shared" si="89"/>
        <v>0</v>
      </c>
      <c r="AF200" s="49">
        <f t="shared" si="89"/>
        <v>835.80111861535113</v>
      </c>
      <c r="AH200" s="49">
        <f t="shared" si="78"/>
        <v>0</v>
      </c>
      <c r="AI200" s="49">
        <f t="shared" si="79"/>
        <v>0</v>
      </c>
      <c r="AJ200" s="49">
        <f t="shared" si="80"/>
        <v>0</v>
      </c>
      <c r="AK200" s="49">
        <f t="shared" si="81"/>
        <v>0</v>
      </c>
      <c r="AL200" s="49">
        <f t="shared" si="82"/>
        <v>10614.67420641496</v>
      </c>
      <c r="AN200" s="49">
        <f t="shared" si="91"/>
        <v>0</v>
      </c>
      <c r="AO200" s="49">
        <f t="shared" si="92"/>
        <v>0</v>
      </c>
      <c r="AP200" s="49">
        <f t="shared" si="93"/>
        <v>0</v>
      </c>
      <c r="AQ200" s="49">
        <f t="shared" si="94"/>
        <v>0</v>
      </c>
      <c r="AR200" s="49">
        <f t="shared" si="95"/>
        <v>490865.99696279573</v>
      </c>
      <c r="AT200" s="49">
        <f t="shared" si="72"/>
        <v>0</v>
      </c>
      <c r="AU200" s="49">
        <f t="shared" si="72"/>
        <v>0</v>
      </c>
      <c r="AV200" s="49">
        <f t="shared" si="72"/>
        <v>0</v>
      </c>
      <c r="AW200" s="49">
        <f t="shared" si="72"/>
        <v>0</v>
      </c>
      <c r="AX200" s="49">
        <f t="shared" si="72"/>
        <v>5014.8067116921075</v>
      </c>
      <c r="AZ200" s="53">
        <f t="shared" si="83"/>
        <v>0</v>
      </c>
      <c r="BA200" s="53">
        <f t="shared" si="84"/>
        <v>0</v>
      </c>
      <c r="BB200" s="53">
        <f t="shared" si="85"/>
        <v>0</v>
      </c>
      <c r="BC200" s="53">
        <f t="shared" si="86"/>
        <v>0</v>
      </c>
      <c r="BD200" s="53">
        <f t="shared" si="87"/>
        <v>34282.388802693305</v>
      </c>
    </row>
    <row r="201" spans="1:56">
      <c r="C201" s="54"/>
      <c r="E201" s="54"/>
      <c r="F201" s="97"/>
      <c r="AR201" s="97"/>
    </row>
    <row r="202" spans="1:56" s="39" customFormat="1">
      <c r="A202" s="106"/>
      <c r="B202" s="39" t="s">
        <v>884</v>
      </c>
      <c r="J202" s="39" t="s">
        <v>885</v>
      </c>
    </row>
    <row r="203" spans="1:56" s="40" customFormat="1">
      <c r="A203" s="107"/>
      <c r="D203" s="41" t="s">
        <v>886</v>
      </c>
      <c r="J203" s="109">
        <v>2022</v>
      </c>
      <c r="K203" s="109">
        <v>2023</v>
      </c>
      <c r="L203" s="109">
        <v>2024</v>
      </c>
      <c r="M203" s="109">
        <v>2025</v>
      </c>
      <c r="N203" s="109">
        <v>2026</v>
      </c>
    </row>
    <row r="204" spans="1:56">
      <c r="C204" s="54"/>
      <c r="E204" s="54"/>
      <c r="AR204" s="97"/>
    </row>
    <row r="205" spans="1:56">
      <c r="B205" s="3" t="s">
        <v>887</v>
      </c>
      <c r="C205" s="54"/>
      <c r="D205" s="3">
        <v>2020</v>
      </c>
      <c r="E205" s="54"/>
      <c r="J205" s="53">
        <f>SUMIFS(AZ$61:AZ$200, $H$61:$H$200, $D205)</f>
        <v>21990120.139256205</v>
      </c>
      <c r="K205" s="53">
        <f>SUMIFS(BA$61:BA$200, $H$61:$H$200, $D205)</f>
        <v>19574368.053275164</v>
      </c>
      <c r="L205" s="53">
        <f t="shared" ref="K205:N208" si="96">SUMIFS(BB$61:BB$200, $H$61:$H$200, $D205)</f>
        <v>19617691.262175359</v>
      </c>
      <c r="M205" s="53">
        <f t="shared" si="96"/>
        <v>17378152.410195991</v>
      </c>
      <c r="N205" s="53">
        <f t="shared" si="96"/>
        <v>15381367.37367042</v>
      </c>
      <c r="AR205" s="97"/>
    </row>
    <row r="206" spans="1:56">
      <c r="B206" s="3" t="s">
        <v>887</v>
      </c>
      <c r="C206" s="54"/>
      <c r="D206" s="3">
        <v>2021</v>
      </c>
      <c r="E206" s="54"/>
      <c r="J206" s="53">
        <f t="shared" ref="J206:J207" si="97">SUMIFS(AZ$61:AZ$200, $H$61:$H$200, $D206)</f>
        <v>22334903.307706617</v>
      </c>
      <c r="K206" s="53">
        <f t="shared" si="96"/>
        <v>20091289.146433253</v>
      </c>
      <c r="L206" s="53">
        <f t="shared" si="96"/>
        <v>20164533.816520229</v>
      </c>
      <c r="M206" s="53">
        <f t="shared" si="96"/>
        <v>19430467.548645984</v>
      </c>
      <c r="N206" s="53">
        <f t="shared" si="96"/>
        <v>17283489.896758538</v>
      </c>
      <c r="AR206" s="97"/>
    </row>
    <row r="207" spans="1:56">
      <c r="B207" s="3" t="s">
        <v>887</v>
      </c>
      <c r="C207" s="54"/>
      <c r="D207" s="3">
        <v>2022</v>
      </c>
      <c r="E207" s="54"/>
      <c r="J207" s="53">
        <f t="shared" si="97"/>
        <v>16115081.204780744</v>
      </c>
      <c r="K207" s="53">
        <f>SUMIFS(BA$61:BA$200, $H$61:$H$200, $D207)</f>
        <v>21668465.173387919</v>
      </c>
      <c r="L207" s="53">
        <f t="shared" si="96"/>
        <v>21138189.715652924</v>
      </c>
      <c r="M207" s="53">
        <f t="shared" si="96"/>
        <v>20292445.650625445</v>
      </c>
      <c r="N207" s="53">
        <f t="shared" si="96"/>
        <v>19581171.68263492</v>
      </c>
      <c r="AR207" s="97"/>
    </row>
    <row r="208" spans="1:56">
      <c r="B208" s="3" t="s">
        <v>887</v>
      </c>
      <c r="C208" s="54"/>
      <c r="D208" s="3">
        <v>2023</v>
      </c>
      <c r="E208" s="54"/>
      <c r="J208" s="53">
        <f>SUMIFS(AZ$61:AZ$200, $H$61:$H$200, $D208)</f>
        <v>0</v>
      </c>
      <c r="K208" s="53">
        <f t="shared" si="96"/>
        <v>16112879.875548553</v>
      </c>
      <c r="L208" s="53">
        <f t="shared" si="96"/>
        <v>22975045.909280386</v>
      </c>
      <c r="M208" s="53">
        <f t="shared" si="96"/>
        <v>21332288.124319293</v>
      </c>
      <c r="N208" s="53">
        <f>SUMIFS(BD$61:BD$200, $H$61:$H$200, $D208)</f>
        <v>20447457.799749751</v>
      </c>
      <c r="AR208" s="97"/>
    </row>
    <row r="209" spans="2:56">
      <c r="B209" s="3" t="s">
        <v>887</v>
      </c>
      <c r="C209" s="54"/>
      <c r="D209" s="3">
        <v>2024</v>
      </c>
      <c r="E209" s="54"/>
      <c r="J209" s="105"/>
      <c r="K209" s="105"/>
      <c r="L209" s="105"/>
      <c r="M209" s="105"/>
      <c r="N209" s="105"/>
      <c r="AR209" s="97"/>
    </row>
    <row r="210" spans="2:56">
      <c r="B210" s="3" t="s">
        <v>887</v>
      </c>
      <c r="C210" s="54"/>
      <c r="D210" s="3">
        <v>2025</v>
      </c>
      <c r="E210" s="54"/>
      <c r="J210" s="105"/>
      <c r="K210" s="105"/>
      <c r="L210" s="105"/>
      <c r="M210" s="105"/>
      <c r="N210" s="105"/>
      <c r="AR210" s="97"/>
    </row>
    <row r="211" spans="2:56">
      <c r="B211" s="3" t="s">
        <v>887</v>
      </c>
      <c r="C211" s="54"/>
      <c r="D211" s="3">
        <v>2026</v>
      </c>
      <c r="E211" s="54"/>
      <c r="J211" s="105"/>
      <c r="K211" s="105"/>
      <c r="L211" s="105"/>
      <c r="M211" s="105"/>
      <c r="N211" s="105"/>
      <c r="AR211" s="97"/>
    </row>
    <row r="212" spans="2:56">
      <c r="C212" s="54"/>
      <c r="E212" s="54"/>
      <c r="AR212" s="97"/>
    </row>
    <row r="213" spans="2:56" s="39" customFormat="1">
      <c r="B213" s="39" t="s">
        <v>888</v>
      </c>
    </row>
    <row r="214" spans="2:56" s="42" customFormat="1">
      <c r="M214" s="42" t="s">
        <v>859</v>
      </c>
      <c r="P214" s="42" t="s">
        <v>860</v>
      </c>
      <c r="S214" s="42" t="s">
        <v>861</v>
      </c>
      <c r="V214" s="42" t="s">
        <v>862</v>
      </c>
      <c r="AB214" s="42" t="s">
        <v>863</v>
      </c>
      <c r="AH214" s="42" t="s">
        <v>864</v>
      </c>
      <c r="AN214" s="42" t="s">
        <v>865</v>
      </c>
      <c r="AT214" s="42" t="s">
        <v>882</v>
      </c>
      <c r="AZ214" s="42" t="s">
        <v>883</v>
      </c>
    </row>
    <row r="215" spans="2:56" s="45" customFormat="1">
      <c r="B215" s="45" t="s">
        <v>869</v>
      </c>
      <c r="F215" s="45" t="s">
        <v>359</v>
      </c>
      <c r="H215" s="46" t="s">
        <v>360</v>
      </c>
      <c r="I215" s="45" t="s">
        <v>281</v>
      </c>
      <c r="J215" s="46" t="s">
        <v>282</v>
      </c>
      <c r="K215" s="47"/>
      <c r="M215" s="51">
        <v>2020</v>
      </c>
      <c r="N215" s="51">
        <v>2021</v>
      </c>
      <c r="P215" s="51">
        <v>2020</v>
      </c>
      <c r="Q215" s="51">
        <v>2021</v>
      </c>
      <c r="S215" s="45" t="s">
        <v>874</v>
      </c>
      <c r="T215" s="45" t="s">
        <v>875</v>
      </c>
      <c r="V215" s="51">
        <v>2022</v>
      </c>
      <c r="W215" s="51">
        <v>2023</v>
      </c>
      <c r="X215" s="51">
        <v>2024</v>
      </c>
      <c r="Y215" s="51">
        <v>2025</v>
      </c>
      <c r="Z215" s="51">
        <v>2026</v>
      </c>
      <c r="AB215" s="51">
        <v>2022</v>
      </c>
      <c r="AC215" s="51">
        <v>2023</v>
      </c>
      <c r="AD215" s="51">
        <v>2024</v>
      </c>
      <c r="AE215" s="51">
        <v>2025</v>
      </c>
      <c r="AF215" s="51">
        <v>2026</v>
      </c>
      <c r="AH215" s="51">
        <v>2022</v>
      </c>
      <c r="AI215" s="51">
        <v>2023</v>
      </c>
      <c r="AJ215" s="51">
        <v>2024</v>
      </c>
      <c r="AK215" s="51">
        <v>2025</v>
      </c>
      <c r="AL215" s="51">
        <v>2026</v>
      </c>
      <c r="AN215" s="51">
        <v>2022</v>
      </c>
      <c r="AO215" s="51">
        <v>2023</v>
      </c>
      <c r="AP215" s="51">
        <v>2024</v>
      </c>
      <c r="AQ215" s="51">
        <v>2025</v>
      </c>
      <c r="AR215" s="51">
        <v>2026</v>
      </c>
      <c r="AT215" s="51">
        <v>2022</v>
      </c>
      <c r="AU215" s="51">
        <v>2023</v>
      </c>
      <c r="AV215" s="51">
        <v>2024</v>
      </c>
      <c r="AW215" s="51">
        <v>2025</v>
      </c>
      <c r="AX215" s="51">
        <v>2026</v>
      </c>
      <c r="AZ215" s="51">
        <v>2022</v>
      </c>
      <c r="BA215" s="51">
        <v>2023</v>
      </c>
      <c r="BB215" s="51">
        <v>2024</v>
      </c>
      <c r="BC215" s="51">
        <v>2025</v>
      </c>
      <c r="BD215" s="51">
        <v>2026</v>
      </c>
    </row>
    <row r="216" spans="2:56">
      <c r="C216" s="54"/>
      <c r="E216" s="54"/>
      <c r="AR216" s="97"/>
      <c r="AT216" s="54"/>
      <c r="AU216" s="54"/>
      <c r="AV216" s="54"/>
      <c r="AW216" s="54"/>
      <c r="AX216" s="54"/>
    </row>
    <row r="217" spans="2:56">
      <c r="B217" s="43">
        <f>'12. Investeringen (bijschatten)'!B20</f>
        <v>1</v>
      </c>
      <c r="C217" s="54"/>
      <c r="E217" s="54"/>
      <c r="F217" s="179">
        <f>'12. Investeringen (bijschatten)'!C20</f>
        <v>31360107.14852399</v>
      </c>
      <c r="H217" s="43">
        <f>'12. Investeringen (bijschatten)'!D20</f>
        <v>2020</v>
      </c>
      <c r="I217" s="43" t="str">
        <f>'12. Investeringen (bijschatten)'!E20</f>
        <v>01 Regionale leidingen</v>
      </c>
      <c r="J217" s="179">
        <f>_xlfn.XLOOKUP(I217,'3. Input (des)investeringen '!$B$11:$B$81,'3. Input (des)investeringen '!$D$11:$D$81)</f>
        <v>55</v>
      </c>
      <c r="K217" s="165"/>
      <c r="L217" s="165"/>
      <c r="M217" s="49">
        <f>IF($J217 = 0, 0, IF($H217&lt;=M$215,
VDB(ABS($F217),0,$J217,MAX(0,M$59-$H217-0.5),MIN($J217,M$59-$H217+0.5),1)*IF($F217&lt;0,-1,1)*INDEX(H$40:H$46,$H217-2019,1),
0))</f>
        <v>285091.88316839992</v>
      </c>
      <c r="N217" s="49">
        <f>IF($J217 = 0, 0, IF($H217&lt;=N$215,
VDB(ABS($F217),0,$J217,MAX(0,N$59-$H217-0.5),MIN($J217,N$59-$H217+0.5),1)*IF($F217&lt;0,-1,1)*INDEX(I$40:I$46,$H217-2019,1),
0))</f>
        <v>579306.70659818861</v>
      </c>
      <c r="P217" s="147">
        <f>IF($J217=0, IF($H217 = M$215, $F217, 0), IF(OR($H217&gt;P$59,$H217+$J217&lt;=P$59),0,
F217-M217))</f>
        <v>31075015.265355591</v>
      </c>
      <c r="Q217" s="147">
        <f>IF($J217=0, IF($H217 &gt; N$215, 0, IF($H217=N$215, $F217, $P217*I$40)), IF(OR($H217&gt;Q$59,$H217+$J217&lt;=Q$59),0,
IF($H217=Q$59,F217-N217,P217*I$40-N217)))</f>
        <v>30992908.803003091</v>
      </c>
      <c r="S217" s="49">
        <f>IF($J217=0, IF(H217&lt;=2021, $Q217, IF(H217&gt;=2022, $F217,0)), IF(H217&lt;=2021,Q217,F217))</f>
        <v>30992908.803003091</v>
      </c>
      <c r="T217" s="44">
        <f>IF($J217=0, 0, IF(H217&lt;2022,J217-2021+H217-0.5,J217))</f>
        <v>53.5</v>
      </c>
      <c r="V217" s="49">
        <f>IF($J217=0, 0, IF(OR($H217&gt;V$59,$H217+$J217&lt;V$59),0,
IF(OR($H217=2020,$H217=2021),VDB(ABS($S217)*(1-$F$28),0,$T217,V$59-2022,MIN($T217,V$59-2021),$F$22),
VDB(ABS($S217)*(1-$F$28),0,$T217,MAX(0,V$59-$H217-0.5),MIN($T217,V$59-$H217+0.5),$F$22,FALSE))))*IF($F217&lt;0,-1,1)</f>
        <v>677788.8467198807</v>
      </c>
      <c r="W217" s="49">
        <f>IF($J217=0, 0, IF(OR($H217&gt;W$59,$H217+$J217&lt;W$59),0,
IF(OR($H217=2020,$H217=2021),VDB(ABS($S217)*(1-$F$28),0,$T217,W$59-2022,MIN($T217,W$59-2021),$F$22),
VDB(ABS($S217)*(1-$F$28),0,$T217,MAX(0,W$59-$H217-0.5),MIN($T217,W$59-$H217+0.5),$F$22,FALSE))))*IF($F217&lt;0,-1,1)</f>
        <v>661319.21119210788</v>
      </c>
      <c r="X217" s="49">
        <f t="shared" ref="X217:Z232" si="98">IF($J217=0, 0, IF(OR($H217&gt;X$59,$H217+$J217&lt;X$59),0,
IF(OR($H217=2020,$H217=2021),VDB(ABS($S217)*(1-$F$28),0,$T217,X$59-2022,MIN($T217,X$59-2021),$F$22),
VDB(ABS($S217)*(1-$F$28),0,$T217,MAX(0,X$59-$H217-0.5),MIN($T217,X$59-$H217+0.5),$F$22,FALSE))))*IF($F217&lt;0,-1,1)</f>
        <v>645249.7724154772</v>
      </c>
      <c r="Y217" s="49">
        <f t="shared" si="98"/>
        <v>629570.80598295154</v>
      </c>
      <c r="Z217" s="49">
        <f t="shared" si="98"/>
        <v>614272.82378149673</v>
      </c>
      <c r="AB217" s="49">
        <f>IF($J217 = 0, 0, IF(OR($H217&gt;AB$59,$H217+$J217&lt;AB$59),0,
IF(OR($H217=2020,$H217=2021),VDB(ABS($S217)*$F$28,0,$T217,AB$59-2022,MIN($T217,AB$59-2021),1),
VDB(ABS($S217)*$F$28,0,$T217,MAX(0,AB$59-$H217-0.5),MIN($T217,AB$59-$H217+0.5),1))))*IF($F217&lt;0,-1,1)</f>
        <v>57930.670659818868</v>
      </c>
      <c r="AC217" s="49">
        <f>IF($J217 = 0, 0, IF(OR($H217&gt;AC$59,$H217+$J217&lt;AC$59),0,
IF(OR($H217=2020,$H217=2021),VDB(ABS($S217)*$F$28,0,$T217,AC$59-2022,MIN($T217,AC$59-2021),1),
VDB(ABS($S217)*$F$28,0,$T217,MAX(0,AC$59-$H217-0.5),MIN($T217,AC$59-$H217+0.5),1))))*IF($F217&lt;0,-1,1)</f>
        <v>57930.670659818876</v>
      </c>
      <c r="AD217" s="49">
        <f t="shared" ref="AD217:AF232" si="99">IF($J217 = 0, 0, IF(OR($H217&gt;AD$59,$H217+$J217&lt;AD$59),0,
IF(OR($H217=2020,$H217=2021),VDB(ABS($S217)*$F$28,0,$T217,AD$59-2022,MIN($T217,AD$59-2021),1),
VDB(ABS($S217)*$F$28,0,$T217,MAX(0,AD$59-$H217-0.5),MIN($T217,AD$59-$H217+0.5),1))))*IF($F217&lt;0,-1,1)</f>
        <v>57930.670659818876</v>
      </c>
      <c r="AE217" s="49">
        <f t="shared" si="99"/>
        <v>57930.670659818876</v>
      </c>
      <c r="AF217" s="49">
        <f t="shared" si="99"/>
        <v>57930.670659818876</v>
      </c>
      <c r="AH217" s="49">
        <f>V217+AB217</f>
        <v>735719.51737969962</v>
      </c>
      <c r="AI217" s="49">
        <f t="shared" ref="AI217:AL217" si="100">W217+AC217</f>
        <v>719249.8818519268</v>
      </c>
      <c r="AJ217" s="49">
        <f t="shared" si="100"/>
        <v>703180.44307529612</v>
      </c>
      <c r="AK217" s="49">
        <f t="shared" si="100"/>
        <v>687501.47664277046</v>
      </c>
      <c r="AL217" s="49">
        <f t="shared" si="100"/>
        <v>672203.49444131565</v>
      </c>
      <c r="AN217" s="49">
        <f t="shared" ref="AN217:AN248" si="101">IF($J217=0,IF($H217 &gt; AN$215, 0,$S217),IF(OR($H217&gt;AN$59,$H217+$J217&lt;=AN$59),0,
IF($H217=AN$59,$S217-AH217,
S217-AH217)))</f>
        <v>30257189.28562339</v>
      </c>
      <c r="AO217" s="49">
        <f>IF($J217 = 0, IF($H217 &gt; AO$215, 0, IF($H217=AO$215, $F217, AN217)), IF(OR($H217&gt;AO$59,$H217+$J217&lt;=AO$59),0,
IF($H217=AO$59,$S217-AI217,
AN217-AI217)))</f>
        <v>29537939.403771464</v>
      </c>
      <c r="AP217" s="49">
        <f t="shared" ref="AP217:AR217" si="102">IF($J217 = 0, IF($H217 &gt; AP$215, 0, IF($H217=AP$215, $F217, AO217)), IF(OR($H217&gt;AP$59,$H217+$J217&lt;=AP$59),0,
IF($H217=AP$59,$S217-AJ217,
AO217-AJ217)))</f>
        <v>28834758.960696168</v>
      </c>
      <c r="AQ217" s="49">
        <f t="shared" si="102"/>
        <v>28147257.484053399</v>
      </c>
      <c r="AR217" s="49">
        <f t="shared" si="102"/>
        <v>27475053.989612084</v>
      </c>
      <c r="AT217" s="49">
        <f>IF($H217&lt;=AT$215,$F217*INDEX($H$40:$N$46,$H217-2019,AT$215-2019)*INDEX($H$49:$N$55,$H217-2019,AT$215-2019)*$F$19,0)</f>
        <v>322733.35331450432</v>
      </c>
      <c r="AU217" s="49">
        <f t="shared" ref="AU217:AX232" si="103">IF($H217&lt;=AU$215,$F217*INDEX($H$40:$N$46,$H217-2019,AU$215-2019)*INDEX($H$49:$N$55,$H217-2019,AU$215-2019)*$F$19,0)</f>
        <v>341371.84993512358</v>
      </c>
      <c r="AV217" s="49">
        <f t="shared" si="103"/>
        <v>367206.8715382138</v>
      </c>
      <c r="AW217" s="49">
        <f t="shared" si="103"/>
        <v>375978.70928551862</v>
      </c>
      <c r="AX217" s="49">
        <f t="shared" si="103"/>
        <v>380840.86595399893</v>
      </c>
      <c r="AZ217" s="53">
        <f>AH217+AN217*J$16+AT217</f>
        <v>2087197.3064053992</v>
      </c>
      <c r="BA217" s="53">
        <f t="shared" ref="BA217:BD217" si="104">AI217+AO217*K$16+AU217</f>
        <v>2035373.732111509</v>
      </c>
      <c r="BB217" s="53">
        <f t="shared" si="104"/>
        <v>2166108.1551199644</v>
      </c>
      <c r="BC217" s="53">
        <f t="shared" si="104"/>
        <v>2133075.9703223184</v>
      </c>
      <c r="BD217" s="53">
        <f t="shared" si="104"/>
        <v>2097096.4120005737</v>
      </c>
    </row>
    <row r="218" spans="2:56">
      <c r="B218" s="43">
        <f>'12. Investeringen (bijschatten)'!B21</f>
        <v>2</v>
      </c>
      <c r="C218" s="54"/>
      <c r="E218" s="54"/>
      <c r="F218" s="179">
        <f>'12. Investeringen (bijschatten)'!C21</f>
        <v>4529775.5276718521</v>
      </c>
      <c r="H218" s="43">
        <f>'12. Investeringen (bijschatten)'!D21</f>
        <v>2020</v>
      </c>
      <c r="I218" s="43" t="str">
        <f>'12. Investeringen (bijschatten)'!E21</f>
        <v>02 Gasontvangststations</v>
      </c>
      <c r="J218" s="179">
        <f>_xlfn.XLOOKUP(I218,'3. Input (des)investeringen '!$B$11:$B$81,'3. Input (des)investeringen '!$D$11:$D$81)</f>
        <v>30</v>
      </c>
      <c r="K218" s="165"/>
      <c r="L218" s="165"/>
      <c r="M218" s="49">
        <f t="shared" ref="M218:M281" si="105">IF($J218 = 0, 0, IF($H218&lt;=M$215,
VDB(ABS($F218),0,$J218,MAX(0,M$59-$H218-0.5),MIN($J218,M$59-$H218+0.5),1)*IF($F218&lt;0,-1,1)*INDEX(H$40:H$46,$H218-2019,1),
0))</f>
        <v>75496.258794530862</v>
      </c>
      <c r="N218" s="49">
        <f t="shared" ref="N218:N281" si="106">IF($J218 = 0, 0, IF($H218&lt;=N$215,
VDB(ABS($F218),0,$J218,MAX(0,N$59-$H218-0.5),MIN($J218,N$59-$H218+0.5),1)*IF($F218&lt;0,-1,1)*INDEX(I$40:I$46,$H218-2019,1),
0))</f>
        <v>153408.39787048672</v>
      </c>
      <c r="P218" s="147">
        <f t="shared" ref="P218:P281" si="107">IF($J218=0, IF($H218 = M$215, $F218, 0), IF(OR($H218&gt;P$59,$H218+$J218&lt;=P$59),0,
F218-M218))</f>
        <v>4454279.2688773209</v>
      </c>
      <c r="Q218" s="147">
        <f t="shared" ref="Q218:Q281" si="108">IF($J218=0, IF($H218 &gt; N$215, 0, IF($H218=N$215, $F218, $P218*I$40)), IF(OR($H218&gt;Q$59,$H218+$J218&lt;=Q$59),0,
IF($H218=Q$59,F218-N218,P218*I$40-N218)))</f>
        <v>4372139.3393088719</v>
      </c>
      <c r="S218" s="49">
        <f t="shared" ref="S218:S281" si="109">IF($J218=0, IF(H218&lt;=2021, $Q218, IF(H218&gt;=2022, $F218,0)), IF(H218&lt;=2021,Q218,F218))</f>
        <v>4372139.3393088719</v>
      </c>
      <c r="T218" s="44">
        <f t="shared" ref="T218:T281" si="110">IF($J218=0, 0, IF(H218&lt;2022,J218-2021+H218-0.5,J218))</f>
        <v>28.5</v>
      </c>
      <c r="V218" s="49">
        <f t="shared" ref="V218:Z249" si="111">IF($J218=0, 0, IF(OR($H218&gt;V$59,$H218+$J218&lt;V$59),0,
IF(OR($H218=2020,$H218=2021),VDB(ABS($S218)*(1-$F$28),0,$T218,V$59-2022,MIN($T218,V$59-2021),$F$22),
VDB(ABS($S218)*(1-$F$28),0,$T218,MAX(0,V$59-$H218-0.5),MIN($T218,V$59-$H218+0.5),$F$22,FALSE))))*IF($F218&lt;0,-1,1)</f>
        <v>179487.82550846951</v>
      </c>
      <c r="W218" s="49">
        <f t="shared" si="111"/>
        <v>171300.66153790773</v>
      </c>
      <c r="X218" s="49">
        <f t="shared" si="98"/>
        <v>163486.94715196808</v>
      </c>
      <c r="Y218" s="49">
        <f t="shared" si="98"/>
        <v>156029.6478081941</v>
      </c>
      <c r="Z218" s="49">
        <f t="shared" si="98"/>
        <v>148912.50597834663</v>
      </c>
      <c r="AB218" s="49">
        <f t="shared" ref="AB218:AF249" si="112">IF($J218 = 0, 0, IF(OR($H218&gt;AB$59,$H218+$J218&lt;AB$59),0,
IF(OR($H218=2020,$H218=2021),VDB(ABS($S218)*$F$28,0,$T218,AB$59-2022,MIN($T218,AB$59-2021),1),
VDB(ABS($S218)*$F$28,0,$T218,MAX(0,AB$59-$H218-0.5),MIN($T218,AB$59-$H218+0.5),1))))*IF($F218&lt;0,-1,1)</f>
        <v>15340.839787048673</v>
      </c>
      <c r="AC218" s="49">
        <f t="shared" si="112"/>
        <v>15340.839787048673</v>
      </c>
      <c r="AD218" s="49">
        <f t="shared" si="99"/>
        <v>15340.839787048673</v>
      </c>
      <c r="AE218" s="49">
        <f t="shared" si="99"/>
        <v>15340.839787048673</v>
      </c>
      <c r="AF218" s="49">
        <f t="shared" si="99"/>
        <v>15340.839787048673</v>
      </c>
      <c r="AH218" s="49">
        <f t="shared" ref="AH218:AH281" si="113">V218+AB218</f>
        <v>194828.66529551818</v>
      </c>
      <c r="AI218" s="49">
        <f t="shared" ref="AI218:AI281" si="114">W218+AC218</f>
        <v>186641.50132495639</v>
      </c>
      <c r="AJ218" s="49">
        <f t="shared" ref="AJ218:AJ281" si="115">X218+AD218</f>
        <v>178827.78693901675</v>
      </c>
      <c r="AK218" s="49">
        <f t="shared" ref="AK218:AK281" si="116">Y218+AE218</f>
        <v>171370.48759524277</v>
      </c>
      <c r="AL218" s="49">
        <f t="shared" ref="AL218:AL281" si="117">Z218+AF218</f>
        <v>164253.34576539529</v>
      </c>
      <c r="AN218" s="49">
        <f t="shared" si="101"/>
        <v>4177310.6740133539</v>
      </c>
      <c r="AO218" s="49">
        <f t="shared" ref="AO218:AO281" si="118">IF($J218 = 0, IF($H218 &gt; AO$215, 0, IF($H218=AO$215, $F218, AN218)), IF(OR($H218&gt;AO$59,$H218+$J218&lt;=AO$59),0,
IF($H218=AO$59,$S218-AI218,
AN218-AI218)))</f>
        <v>3990669.1726883976</v>
      </c>
      <c r="AP218" s="49">
        <f t="shared" ref="AP218:AP281" si="119">IF($J218 = 0, IF($H218 &gt; AP$215, 0, IF($H218=AP$215, $F218, AO218)), IF(OR($H218&gt;AP$59,$H218+$J218&lt;=AP$59),0,
IF($H218=AP$59,$S218-AJ218,
AO218-AJ218)))</f>
        <v>3811841.385749381</v>
      </c>
      <c r="AQ218" s="49">
        <f t="shared" ref="AQ218:AQ281" si="120">IF($J218 = 0, IF($H218 &gt; AQ$215, 0, IF($H218=AQ$215, $F218, AP218)), IF(OR($H218&gt;AQ$59,$H218+$J218&lt;=AQ$59),0,
IF($H218=AQ$59,$S218-AK218,
AP218-AK218)))</f>
        <v>3640470.8981541381</v>
      </c>
      <c r="AR218" s="49">
        <f t="shared" ref="AR218:AR281" si="121">IF($J218 = 0, IF($H218 &gt; AR$215, 0, IF($H218=AR$215, $F218, AQ218)), IF(OR($H218&gt;AR$59,$H218+$J218&lt;=AR$59),0,
IF($H218=AR$59,$S218-AL218,
AQ218-AL218)))</f>
        <v>3476217.552388743</v>
      </c>
      <c r="AT218" s="49">
        <f t="shared" ref="AT218:AX249" si="122">IF($H218&lt;=AT$215,$F218*INDEX($H$40:$N$46,$H218-2019,AT$215-2019)*INDEX($H$49:$N$55,$H218-2019,AT$215-2019)*$F$19,0)</f>
        <v>46616.85748979725</v>
      </c>
      <c r="AU218" s="49">
        <f t="shared" si="103"/>
        <v>49309.074243548028</v>
      </c>
      <c r="AV218" s="49">
        <f t="shared" si="103"/>
        <v>53040.784982299752</v>
      </c>
      <c r="AW218" s="49">
        <f t="shared" si="103"/>
        <v>54307.823253956922</v>
      </c>
      <c r="AX218" s="49">
        <f t="shared" si="103"/>
        <v>55010.132024277096</v>
      </c>
      <c r="AZ218" s="53">
        <f t="shared" ref="AZ218:AZ281" si="123">AH218+AN218*J$16+AT218</f>
        <v>383474.08570176945</v>
      </c>
      <c r="BA218" s="53">
        <f t="shared" ref="BA218:BA281" si="124">AI218+AO218*K$16+AU218</f>
        <v>367642.65826722159</v>
      </c>
      <c r="BB218" s="53">
        <f t="shared" ref="BB218:BB281" si="125">AJ218+AP218*L$16+AV218</f>
        <v>376718.544579793</v>
      </c>
      <c r="BC218" s="53">
        <f t="shared" ref="BC218:BC281" si="126">AK218+AQ218*M$16+AW218</f>
        <v>364016.2049790569</v>
      </c>
      <c r="BD218" s="53">
        <f t="shared" ref="BD218:BD281" si="127">AL218+AR218*N$16+AX218</f>
        <v>351359.74478044466</v>
      </c>
    </row>
    <row r="219" spans="2:56">
      <c r="B219" s="43">
        <f>'12. Investeringen (bijschatten)'!B22</f>
        <v>3</v>
      </c>
      <c r="C219" s="54"/>
      <c r="E219" s="54"/>
      <c r="F219" s="179">
        <f>'12. Investeringen (bijschatten)'!C22</f>
        <v>1155721.8280173452</v>
      </c>
      <c r="H219" s="43">
        <f>'12. Investeringen (bijschatten)'!D22</f>
        <v>2020</v>
      </c>
      <c r="I219" s="43" t="str">
        <f>'12. Investeringen (bijschatten)'!E22</f>
        <v>04 Terreinen</v>
      </c>
      <c r="J219" s="179">
        <f>_xlfn.XLOOKUP(I219,'3. Input (des)investeringen '!$B$11:$B$81,'3. Input (des)investeringen '!$D$11:$D$81)</f>
        <v>0</v>
      </c>
      <c r="K219" s="165"/>
      <c r="L219" s="165"/>
      <c r="M219" s="49">
        <f t="shared" si="105"/>
        <v>0</v>
      </c>
      <c r="N219" s="49">
        <f t="shared" si="106"/>
        <v>0</v>
      </c>
      <c r="P219" s="147">
        <f t="shared" si="107"/>
        <v>1155721.8280173452</v>
      </c>
      <c r="Q219" s="147">
        <f t="shared" si="108"/>
        <v>1174213.3772656226</v>
      </c>
      <c r="S219" s="49">
        <f t="shared" si="109"/>
        <v>1174213.3772656226</v>
      </c>
      <c r="T219" s="44">
        <f t="shared" si="110"/>
        <v>0</v>
      </c>
      <c r="V219" s="49">
        <f t="shared" si="111"/>
        <v>0</v>
      </c>
      <c r="W219" s="49">
        <f t="shared" si="111"/>
        <v>0</v>
      </c>
      <c r="X219" s="49">
        <f t="shared" si="98"/>
        <v>0</v>
      </c>
      <c r="Y219" s="49">
        <f t="shared" si="98"/>
        <v>0</v>
      </c>
      <c r="Z219" s="49">
        <f t="shared" si="98"/>
        <v>0</v>
      </c>
      <c r="AB219" s="49">
        <f t="shared" si="112"/>
        <v>0</v>
      </c>
      <c r="AC219" s="49">
        <f t="shared" si="112"/>
        <v>0</v>
      </c>
      <c r="AD219" s="49">
        <f t="shared" si="99"/>
        <v>0</v>
      </c>
      <c r="AE219" s="49">
        <f t="shared" si="99"/>
        <v>0</v>
      </c>
      <c r="AF219" s="49">
        <f t="shared" si="99"/>
        <v>0</v>
      </c>
      <c r="AH219" s="49">
        <f t="shared" si="113"/>
        <v>0</v>
      </c>
      <c r="AI219" s="49">
        <f t="shared" si="114"/>
        <v>0</v>
      </c>
      <c r="AJ219" s="49">
        <f t="shared" si="115"/>
        <v>0</v>
      </c>
      <c r="AK219" s="49">
        <f t="shared" si="116"/>
        <v>0</v>
      </c>
      <c r="AL219" s="49">
        <f t="shared" si="117"/>
        <v>0</v>
      </c>
      <c r="AN219" s="49">
        <f t="shared" si="101"/>
        <v>1174213.3772656226</v>
      </c>
      <c r="AO219" s="49">
        <f t="shared" si="118"/>
        <v>1174213.3772656226</v>
      </c>
      <c r="AP219" s="49">
        <f t="shared" si="119"/>
        <v>1174213.3772656226</v>
      </c>
      <c r="AQ219" s="49">
        <f t="shared" si="120"/>
        <v>1174213.3772656226</v>
      </c>
      <c r="AR219" s="49">
        <f t="shared" si="121"/>
        <v>1174213.3772656226</v>
      </c>
      <c r="AT219" s="49">
        <f t="shared" si="122"/>
        <v>11893.772533629943</v>
      </c>
      <c r="AU219" s="49">
        <f t="shared" si="103"/>
        <v>12580.661684992139</v>
      </c>
      <c r="AV219" s="49">
        <f t="shared" si="103"/>
        <v>13532.766161312346</v>
      </c>
      <c r="AW219" s="49">
        <f t="shared" si="103"/>
        <v>13856.036879373774</v>
      </c>
      <c r="AX219" s="49">
        <f t="shared" si="103"/>
        <v>14035.223148297839</v>
      </c>
      <c r="AZ219" s="53">
        <f t="shared" si="123"/>
        <v>51817.027360661115</v>
      </c>
      <c r="BA219" s="53">
        <f t="shared" si="124"/>
        <v>51329.703134757692</v>
      </c>
      <c r="BB219" s="53">
        <f t="shared" si="125"/>
        <v>58152.87449740601</v>
      </c>
      <c r="BC219" s="53">
        <f t="shared" si="126"/>
        <v>58476.145215467433</v>
      </c>
      <c r="BD219" s="53">
        <f t="shared" si="127"/>
        <v>58655.3314843915</v>
      </c>
    </row>
    <row r="220" spans="2:56">
      <c r="B220" s="43">
        <f>'12. Investeringen (bijschatten)'!B23</f>
        <v>4</v>
      </c>
      <c r="C220" s="54"/>
      <c r="E220" s="54"/>
      <c r="F220" s="179">
        <f>'12. Investeringen (bijschatten)'!C23</f>
        <v>320593.27893508447</v>
      </c>
      <c r="H220" s="43">
        <f>'12. Investeringen (bijschatten)'!D23</f>
        <v>2020</v>
      </c>
      <c r="I220" s="43" t="str">
        <f>'12. Investeringen (bijschatten)'!E23</f>
        <v>05 Wegen en terreinvoorzieningen</v>
      </c>
      <c r="J220" s="179">
        <f>_xlfn.XLOOKUP(I220,'3. Input (des)investeringen '!$B$11:$B$81,'3. Input (des)investeringen '!$D$11:$D$81)</f>
        <v>10</v>
      </c>
      <c r="K220" s="165"/>
      <c r="L220" s="165"/>
      <c r="M220" s="49">
        <f t="shared" si="105"/>
        <v>16029.663946754225</v>
      </c>
      <c r="N220" s="49">
        <f t="shared" si="106"/>
        <v>32572.277139804581</v>
      </c>
      <c r="P220" s="147">
        <f t="shared" si="107"/>
        <v>304563.61498833023</v>
      </c>
      <c r="Q220" s="147">
        <f t="shared" si="108"/>
        <v>276864.35568833898</v>
      </c>
      <c r="S220" s="49">
        <f t="shared" si="109"/>
        <v>276864.35568833898</v>
      </c>
      <c r="T220" s="44">
        <f t="shared" si="110"/>
        <v>8.5</v>
      </c>
      <c r="V220" s="49">
        <f t="shared" si="111"/>
        <v>38109.564253571371</v>
      </c>
      <c r="W220" s="49">
        <f t="shared" si="111"/>
        <v>32281.042661848685</v>
      </c>
      <c r="X220" s="49">
        <f t="shared" si="98"/>
        <v>27505.740492936158</v>
      </c>
      <c r="Y220" s="49">
        <f t="shared" si="98"/>
        <v>27505.740492936158</v>
      </c>
      <c r="Z220" s="49">
        <f t="shared" si="98"/>
        <v>27505.740492936158</v>
      </c>
      <c r="AB220" s="49">
        <f t="shared" si="112"/>
        <v>3257.2277139804587</v>
      </c>
      <c r="AC220" s="49">
        <f t="shared" si="112"/>
        <v>3257.2277139804587</v>
      </c>
      <c r="AD220" s="49">
        <f t="shared" si="99"/>
        <v>3257.2277139804587</v>
      </c>
      <c r="AE220" s="49">
        <f t="shared" si="99"/>
        <v>3257.2277139804587</v>
      </c>
      <c r="AF220" s="49">
        <f t="shared" si="99"/>
        <v>3257.2277139804587</v>
      </c>
      <c r="AH220" s="49">
        <f t="shared" si="113"/>
        <v>41366.791967551828</v>
      </c>
      <c r="AI220" s="49">
        <f t="shared" si="114"/>
        <v>35538.270375829146</v>
      </c>
      <c r="AJ220" s="49">
        <f t="shared" si="115"/>
        <v>30762.968206916616</v>
      </c>
      <c r="AK220" s="49">
        <f t="shared" si="116"/>
        <v>30762.968206916616</v>
      </c>
      <c r="AL220" s="49">
        <f t="shared" si="117"/>
        <v>30762.968206916616</v>
      </c>
      <c r="AN220" s="49">
        <f t="shared" si="101"/>
        <v>235497.56372078715</v>
      </c>
      <c r="AO220" s="49">
        <f t="shared" si="118"/>
        <v>199959.29334495799</v>
      </c>
      <c r="AP220" s="49">
        <f t="shared" si="119"/>
        <v>169196.32513804137</v>
      </c>
      <c r="AQ220" s="49">
        <f t="shared" si="120"/>
        <v>138433.35693112476</v>
      </c>
      <c r="AR220" s="49">
        <f t="shared" si="121"/>
        <v>107670.38872420814</v>
      </c>
      <c r="AT220" s="49">
        <f t="shared" si="122"/>
        <v>3299.2917871991976</v>
      </c>
      <c r="AU220" s="49">
        <f t="shared" si="103"/>
        <v>3489.8324864935257</v>
      </c>
      <c r="AV220" s="49">
        <f t="shared" si="103"/>
        <v>3753.9430090713558</v>
      </c>
      <c r="AW220" s="49">
        <f t="shared" si="103"/>
        <v>3843.6171996720532</v>
      </c>
      <c r="AX220" s="49">
        <f t="shared" si="103"/>
        <v>3893.3228572982116</v>
      </c>
      <c r="AZ220" s="53">
        <f t="shared" si="123"/>
        <v>52673.000921257786</v>
      </c>
      <c r="BA220" s="53">
        <f t="shared" si="124"/>
        <v>45626.759542706292</v>
      </c>
      <c r="BB220" s="53">
        <f t="shared" si="125"/>
        <v>40946.371571233547</v>
      </c>
      <c r="BC220" s="53">
        <f t="shared" si="126"/>
        <v>39867.05296997141</v>
      </c>
      <c r="BD220" s="53">
        <f t="shared" si="127"/>
        <v>38747.765835734739</v>
      </c>
    </row>
    <row r="221" spans="2:56">
      <c r="B221" s="43">
        <f>'12. Investeringen (bijschatten)'!B24</f>
        <v>5</v>
      </c>
      <c r="C221" s="54"/>
      <c r="E221" s="54"/>
      <c r="F221" s="179">
        <f>'12. Investeringen (bijschatten)'!C24</f>
        <v>1555027.7495395842</v>
      </c>
      <c r="H221" s="43">
        <f>'12. Investeringen (bijschatten)'!D24</f>
        <v>2020</v>
      </c>
      <c r="I221" s="43" t="str">
        <f>'12. Investeringen (bijschatten)'!E24</f>
        <v>06 Utiliteitsgebouwen</v>
      </c>
      <c r="J221" s="179">
        <f>_xlfn.XLOOKUP(I221,'3. Input (des)investeringen '!$B$11:$B$81,'3. Input (des)investeringen '!$D$11:$D$81)</f>
        <v>30</v>
      </c>
      <c r="K221" s="165"/>
      <c r="L221" s="165"/>
      <c r="M221" s="49">
        <f t="shared" si="105"/>
        <v>25917.12915899307</v>
      </c>
      <c r="N221" s="49">
        <f t="shared" si="106"/>
        <v>52663.606451073916</v>
      </c>
      <c r="P221" s="147">
        <f t="shared" si="107"/>
        <v>1529110.6203805911</v>
      </c>
      <c r="Q221" s="147">
        <f t="shared" si="108"/>
        <v>1500912.7838556068</v>
      </c>
      <c r="S221" s="49">
        <f t="shared" si="109"/>
        <v>1500912.7838556068</v>
      </c>
      <c r="T221" s="44">
        <f t="shared" si="110"/>
        <v>28.5</v>
      </c>
      <c r="V221" s="49">
        <f t="shared" si="111"/>
        <v>61616.419547756494</v>
      </c>
      <c r="W221" s="49">
        <f t="shared" si="111"/>
        <v>58805.846024525497</v>
      </c>
      <c r="X221" s="49">
        <f t="shared" si="98"/>
        <v>56123.474100599771</v>
      </c>
      <c r="Y221" s="49">
        <f t="shared" si="98"/>
        <v>53563.455983730302</v>
      </c>
      <c r="Z221" s="49">
        <f t="shared" si="98"/>
        <v>51120.210623068924</v>
      </c>
      <c r="AB221" s="49">
        <f t="shared" si="112"/>
        <v>5266.3606451073929</v>
      </c>
      <c r="AC221" s="49">
        <f t="shared" si="112"/>
        <v>5266.3606451073929</v>
      </c>
      <c r="AD221" s="49">
        <f t="shared" si="99"/>
        <v>5266.3606451073929</v>
      </c>
      <c r="AE221" s="49">
        <f t="shared" si="99"/>
        <v>5266.3606451073929</v>
      </c>
      <c r="AF221" s="49">
        <f t="shared" si="99"/>
        <v>5266.3606451073929</v>
      </c>
      <c r="AH221" s="49">
        <f t="shared" si="113"/>
        <v>66882.78019286388</v>
      </c>
      <c r="AI221" s="49">
        <f t="shared" si="114"/>
        <v>64072.206669632891</v>
      </c>
      <c r="AJ221" s="49">
        <f t="shared" si="115"/>
        <v>61389.834745707165</v>
      </c>
      <c r="AK221" s="49">
        <f t="shared" si="116"/>
        <v>58829.816628837696</v>
      </c>
      <c r="AL221" s="49">
        <f t="shared" si="117"/>
        <v>56386.571268176318</v>
      </c>
      <c r="AN221" s="49">
        <f t="shared" si="101"/>
        <v>1434030.0036627429</v>
      </c>
      <c r="AO221" s="49">
        <f t="shared" si="118"/>
        <v>1369957.7969931101</v>
      </c>
      <c r="AP221" s="49">
        <f t="shared" si="119"/>
        <v>1308567.9622474029</v>
      </c>
      <c r="AQ221" s="49">
        <f t="shared" si="120"/>
        <v>1249738.1456185651</v>
      </c>
      <c r="AR221" s="49">
        <f t="shared" si="121"/>
        <v>1193351.5743503887</v>
      </c>
      <c r="AT221" s="49">
        <f t="shared" si="122"/>
        <v>16003.112416968826</v>
      </c>
      <c r="AU221" s="49">
        <f t="shared" si="103"/>
        <v>16927.324165273611</v>
      </c>
      <c r="AV221" s="49">
        <f t="shared" si="103"/>
        <v>18208.384058101521</v>
      </c>
      <c r="AW221" s="49">
        <f t="shared" si="103"/>
        <v>18643.345936481452</v>
      </c>
      <c r="AX221" s="49">
        <f t="shared" si="103"/>
        <v>18884.441686132028</v>
      </c>
      <c r="AZ221" s="53">
        <f t="shared" si="123"/>
        <v>131642.91273436596</v>
      </c>
      <c r="BA221" s="53">
        <f t="shared" si="124"/>
        <v>126208.13813567912</v>
      </c>
      <c r="BB221" s="53">
        <f t="shared" si="125"/>
        <v>129323.80136920999</v>
      </c>
      <c r="BC221" s="53">
        <f t="shared" si="126"/>
        <v>124963.21209882462</v>
      </c>
      <c r="BD221" s="53">
        <f t="shared" si="127"/>
        <v>120618.37277962311</v>
      </c>
    </row>
    <row r="222" spans="2:56">
      <c r="B222" s="43">
        <f>'12. Investeringen (bijschatten)'!B25</f>
        <v>6</v>
      </c>
      <c r="C222" s="54"/>
      <c r="E222" s="54"/>
      <c r="F222" s="179">
        <f>'12. Investeringen (bijschatten)'!C25</f>
        <v>227358.20364143242</v>
      </c>
      <c r="H222" s="43">
        <f>'12. Investeringen (bijschatten)'!D25</f>
        <v>2020</v>
      </c>
      <c r="I222" s="43" t="str">
        <f>'12. Investeringen (bijschatten)'!E25</f>
        <v>08 Inrichting gebouwen</v>
      </c>
      <c r="J222" s="179">
        <f>_xlfn.XLOOKUP(I222,'3. Input (des)investeringen '!$B$11:$B$81,'3. Input (des)investeringen '!$D$11:$D$81)</f>
        <v>10</v>
      </c>
      <c r="K222" s="165"/>
      <c r="L222" s="165"/>
      <c r="M222" s="49">
        <f t="shared" si="105"/>
        <v>11367.910182071622</v>
      </c>
      <c r="N222" s="49">
        <f t="shared" si="106"/>
        <v>23099.593489969538</v>
      </c>
      <c r="P222" s="147">
        <f t="shared" si="107"/>
        <v>215990.29345936081</v>
      </c>
      <c r="Q222" s="147">
        <f t="shared" si="108"/>
        <v>196346.54466474106</v>
      </c>
      <c r="S222" s="49">
        <f t="shared" si="109"/>
        <v>196346.54466474106</v>
      </c>
      <c r="T222" s="44">
        <f t="shared" si="110"/>
        <v>8.5</v>
      </c>
      <c r="V222" s="49">
        <f t="shared" si="111"/>
        <v>27026.524383264357</v>
      </c>
      <c r="W222" s="49">
        <f t="shared" si="111"/>
        <v>22893.055948176869</v>
      </c>
      <c r="X222" s="49">
        <f t="shared" si="98"/>
        <v>19506.509210280878</v>
      </c>
      <c r="Y222" s="49">
        <f t="shared" si="98"/>
        <v>19506.509210280878</v>
      </c>
      <c r="Z222" s="49">
        <f t="shared" si="98"/>
        <v>19506.509210280878</v>
      </c>
      <c r="AB222" s="49">
        <f t="shared" si="112"/>
        <v>2309.9593489969534</v>
      </c>
      <c r="AC222" s="49">
        <f t="shared" si="112"/>
        <v>2309.9593489969538</v>
      </c>
      <c r="AD222" s="49">
        <f t="shared" si="99"/>
        <v>2309.9593489969538</v>
      </c>
      <c r="AE222" s="49">
        <f t="shared" si="99"/>
        <v>2309.9593489969538</v>
      </c>
      <c r="AF222" s="49">
        <f t="shared" si="99"/>
        <v>2309.9593489969538</v>
      </c>
      <c r="AH222" s="49">
        <f t="shared" si="113"/>
        <v>29336.483732261309</v>
      </c>
      <c r="AI222" s="49">
        <f t="shared" si="114"/>
        <v>25203.015297173821</v>
      </c>
      <c r="AJ222" s="49">
        <f t="shared" si="115"/>
        <v>21816.468559277833</v>
      </c>
      <c r="AK222" s="49">
        <f t="shared" si="116"/>
        <v>21816.468559277833</v>
      </c>
      <c r="AL222" s="49">
        <f t="shared" si="117"/>
        <v>21816.468559277833</v>
      </c>
      <c r="AN222" s="49">
        <f t="shared" si="101"/>
        <v>167010.06093247974</v>
      </c>
      <c r="AO222" s="49">
        <f t="shared" si="118"/>
        <v>141807.04563530593</v>
      </c>
      <c r="AP222" s="49">
        <f t="shared" si="119"/>
        <v>119990.5770760281</v>
      </c>
      <c r="AQ222" s="49">
        <f t="shared" si="120"/>
        <v>98174.108516750275</v>
      </c>
      <c r="AR222" s="49">
        <f t="shared" si="121"/>
        <v>76357.639957472449</v>
      </c>
      <c r="AT222" s="49">
        <f t="shared" si="122"/>
        <v>2339.7903303469734</v>
      </c>
      <c r="AU222" s="49">
        <f t="shared" si="103"/>
        <v>2474.9179015051718</v>
      </c>
      <c r="AV222" s="49">
        <f t="shared" si="103"/>
        <v>2662.2196882910835</v>
      </c>
      <c r="AW222" s="49">
        <f t="shared" si="103"/>
        <v>2725.8147922049811</v>
      </c>
      <c r="AX222" s="49">
        <f t="shared" si="103"/>
        <v>2761.0650290977765</v>
      </c>
      <c r="AZ222" s="53">
        <f t="shared" si="123"/>
        <v>37354.616134312593</v>
      </c>
      <c r="BA222" s="53">
        <f t="shared" si="124"/>
        <v>32357.565704644087</v>
      </c>
      <c r="BB222" s="53">
        <f t="shared" si="125"/>
        <v>29038.330176457985</v>
      </c>
      <c r="BC222" s="53">
        <f t="shared" si="126"/>
        <v>28272.899475119324</v>
      </c>
      <c r="BD222" s="53">
        <f t="shared" si="127"/>
        <v>27479.123906759563</v>
      </c>
    </row>
    <row r="223" spans="2:56">
      <c r="B223" s="43">
        <f>'12. Investeringen (bijschatten)'!B26</f>
        <v>7</v>
      </c>
      <c r="C223" s="54"/>
      <c r="E223" s="54"/>
      <c r="F223" s="179">
        <f>'12. Investeringen (bijschatten)'!C26</f>
        <v>-2031.2069601401199</v>
      </c>
      <c r="H223" s="43">
        <f>'12. Investeringen (bijschatten)'!D26</f>
        <v>2020</v>
      </c>
      <c r="I223" s="43" t="str">
        <f>'12. Investeringen (bijschatten)'!E26</f>
        <v>09 Bedrijfsinventaris</v>
      </c>
      <c r="J223" s="179">
        <f>_xlfn.XLOOKUP(I223,'3. Input (des)investeringen '!$B$11:$B$81,'3. Input (des)investeringen '!$D$11:$D$81)</f>
        <v>10</v>
      </c>
      <c r="K223" s="165"/>
      <c r="L223" s="165"/>
      <c r="M223" s="49">
        <f t="shared" si="105"/>
        <v>-101.560348007006</v>
      </c>
      <c r="N223" s="49">
        <f t="shared" si="106"/>
        <v>-206.3706271502362</v>
      </c>
      <c r="P223" s="147">
        <f t="shared" si="107"/>
        <v>-1929.6466121331139</v>
      </c>
      <c r="Q223" s="147">
        <f t="shared" si="108"/>
        <v>-1754.1503307770074</v>
      </c>
      <c r="S223" s="49">
        <f t="shared" si="109"/>
        <v>-1754.1503307770074</v>
      </c>
      <c r="T223" s="44">
        <f t="shared" si="110"/>
        <v>8.5</v>
      </c>
      <c r="V223" s="49">
        <f t="shared" si="111"/>
        <v>-241.45363376577635</v>
      </c>
      <c r="W223" s="49">
        <f t="shared" si="111"/>
        <v>-204.52543095453996</v>
      </c>
      <c r="X223" s="49">
        <f t="shared" si="98"/>
        <v>-174.27018968907544</v>
      </c>
      <c r="Y223" s="49">
        <f t="shared" si="98"/>
        <v>-174.27018968907544</v>
      </c>
      <c r="Z223" s="49">
        <f t="shared" si="98"/>
        <v>-174.27018968907544</v>
      </c>
      <c r="AB223" s="49">
        <f t="shared" si="112"/>
        <v>-20.637062715023617</v>
      </c>
      <c r="AC223" s="49">
        <f t="shared" si="112"/>
        <v>-20.637062715023617</v>
      </c>
      <c r="AD223" s="49">
        <f t="shared" si="99"/>
        <v>-20.637062715023617</v>
      </c>
      <c r="AE223" s="49">
        <f t="shared" si="99"/>
        <v>-20.637062715023617</v>
      </c>
      <c r="AF223" s="49">
        <f t="shared" si="99"/>
        <v>-20.637062715023617</v>
      </c>
      <c r="AH223" s="49">
        <f t="shared" si="113"/>
        <v>-262.09069648079998</v>
      </c>
      <c r="AI223" s="49">
        <f t="shared" si="114"/>
        <v>-225.16249366956356</v>
      </c>
      <c r="AJ223" s="49">
        <f t="shared" si="115"/>
        <v>-194.90725240409904</v>
      </c>
      <c r="AK223" s="49">
        <f t="shared" si="116"/>
        <v>-194.90725240409904</v>
      </c>
      <c r="AL223" s="49">
        <f t="shared" si="117"/>
        <v>-194.90725240409904</v>
      </c>
      <c r="AN223" s="49">
        <f t="shared" si="101"/>
        <v>-1492.0596342962074</v>
      </c>
      <c r="AO223" s="49">
        <f t="shared" si="118"/>
        <v>-1266.8971406266437</v>
      </c>
      <c r="AP223" s="49">
        <f t="shared" si="119"/>
        <v>-1071.9898882225448</v>
      </c>
      <c r="AQ223" s="49">
        <f t="shared" si="120"/>
        <v>-877.08263581844574</v>
      </c>
      <c r="AR223" s="49">
        <f t="shared" si="121"/>
        <v>-682.1753834143467</v>
      </c>
      <c r="AT223" s="49">
        <f t="shared" si="122"/>
        <v>-20.90357122879395</v>
      </c>
      <c r="AU223" s="49">
        <f t="shared" si="103"/>
        <v>-22.110794274399261</v>
      </c>
      <c r="AV223" s="49">
        <f t="shared" si="103"/>
        <v>-23.784139185085802</v>
      </c>
      <c r="AW223" s="49">
        <f t="shared" si="103"/>
        <v>-24.352294701939133</v>
      </c>
      <c r="AX223" s="49">
        <f t="shared" si="103"/>
        <v>-24.667218577024606</v>
      </c>
      <c r="AZ223" s="53">
        <f t="shared" si="123"/>
        <v>-333.72429527566499</v>
      </c>
      <c r="BA223" s="53">
        <f t="shared" si="124"/>
        <v>-289.08089358464207</v>
      </c>
      <c r="BB223" s="53">
        <f t="shared" si="125"/>
        <v>-259.42700734164157</v>
      </c>
      <c r="BC223" s="53">
        <f t="shared" si="126"/>
        <v>-252.58868726713914</v>
      </c>
      <c r="BD223" s="53">
        <f t="shared" si="127"/>
        <v>-245.49713555086882</v>
      </c>
    </row>
    <row r="224" spans="2:56">
      <c r="B224" s="43">
        <f>'12. Investeringen (bijschatten)'!B27</f>
        <v>8</v>
      </c>
      <c r="C224" s="54"/>
      <c r="E224" s="54"/>
      <c r="F224" s="179">
        <f>'12. Investeringen (bijschatten)'!C27</f>
        <v>971.16619787636887</v>
      </c>
      <c r="H224" s="43">
        <f>'12. Investeringen (bijschatten)'!D27</f>
        <v>2020</v>
      </c>
      <c r="I224" s="43" t="str">
        <f>'12. Investeringen (bijschatten)'!E27</f>
        <v>10 Gereedschap</v>
      </c>
      <c r="J224" s="179">
        <f>_xlfn.XLOOKUP(I224,'3. Input (des)investeringen '!$B$11:$B$81,'3. Input (des)investeringen '!$D$11:$D$81)</f>
        <v>10</v>
      </c>
      <c r="K224" s="165"/>
      <c r="L224" s="165"/>
      <c r="M224" s="49">
        <f t="shared" si="105"/>
        <v>48.558309893818446</v>
      </c>
      <c r="N224" s="49">
        <f t="shared" si="106"/>
        <v>98.670485704239084</v>
      </c>
      <c r="P224" s="147">
        <f t="shared" si="107"/>
        <v>922.60788798255044</v>
      </c>
      <c r="Q224" s="147">
        <f t="shared" si="108"/>
        <v>838.69912848603212</v>
      </c>
      <c r="S224" s="49">
        <f t="shared" si="109"/>
        <v>838.69912848603212</v>
      </c>
      <c r="T224" s="44">
        <f t="shared" si="110"/>
        <v>8.5</v>
      </c>
      <c r="V224" s="49">
        <f t="shared" si="111"/>
        <v>115.44446827395971</v>
      </c>
      <c r="W224" s="49">
        <f t="shared" si="111"/>
        <v>97.788255479118817</v>
      </c>
      <c r="X224" s="49">
        <f t="shared" si="98"/>
        <v>83.322537212976982</v>
      </c>
      <c r="Y224" s="49">
        <f t="shared" si="98"/>
        <v>83.322537212976982</v>
      </c>
      <c r="Z224" s="49">
        <f t="shared" si="98"/>
        <v>83.322537212976982</v>
      </c>
      <c r="AB224" s="49">
        <f t="shared" si="112"/>
        <v>9.8670485704239077</v>
      </c>
      <c r="AC224" s="49">
        <f t="shared" si="112"/>
        <v>9.8670485704239095</v>
      </c>
      <c r="AD224" s="49">
        <f t="shared" si="99"/>
        <v>9.8670485704239095</v>
      </c>
      <c r="AE224" s="49">
        <f t="shared" si="99"/>
        <v>9.8670485704239095</v>
      </c>
      <c r="AF224" s="49">
        <f t="shared" si="99"/>
        <v>9.8670485704239095</v>
      </c>
      <c r="AH224" s="49">
        <f t="shared" si="113"/>
        <v>125.31151684438362</v>
      </c>
      <c r="AI224" s="49">
        <f t="shared" si="114"/>
        <v>107.65530404954272</v>
      </c>
      <c r="AJ224" s="49">
        <f t="shared" si="115"/>
        <v>93.189585783400886</v>
      </c>
      <c r="AK224" s="49">
        <f t="shared" si="116"/>
        <v>93.189585783400886</v>
      </c>
      <c r="AL224" s="49">
        <f t="shared" si="117"/>
        <v>93.189585783400886</v>
      </c>
      <c r="AN224" s="49">
        <f t="shared" si="101"/>
        <v>713.3876116416485</v>
      </c>
      <c r="AO224" s="49">
        <f t="shared" si="118"/>
        <v>605.73230759210583</v>
      </c>
      <c r="AP224" s="49">
        <f t="shared" si="119"/>
        <v>512.54272180870498</v>
      </c>
      <c r="AQ224" s="49">
        <f t="shared" si="120"/>
        <v>419.35313602530408</v>
      </c>
      <c r="AR224" s="49">
        <f t="shared" si="121"/>
        <v>326.16355024190318</v>
      </c>
      <c r="AT224" s="49">
        <f t="shared" si="122"/>
        <v>9.9944723460898608</v>
      </c>
      <c r="AU224" s="49">
        <f t="shared" si="103"/>
        <v>10.571673113021241</v>
      </c>
      <c r="AV224" s="49">
        <f t="shared" si="103"/>
        <v>11.371737334214693</v>
      </c>
      <c r="AW224" s="49">
        <f t="shared" si="103"/>
        <v>11.643385395654411</v>
      </c>
      <c r="AX224" s="49">
        <f t="shared" si="103"/>
        <v>11.793957655591013</v>
      </c>
      <c r="AZ224" s="53">
        <f t="shared" si="123"/>
        <v>159.56116798628952</v>
      </c>
      <c r="BA224" s="53">
        <f t="shared" si="124"/>
        <v>138.21614331310346</v>
      </c>
      <c r="BB224" s="53">
        <f t="shared" si="125"/>
        <v>124.03794654634638</v>
      </c>
      <c r="BC224" s="53">
        <f t="shared" si="126"/>
        <v>120.76839034801685</v>
      </c>
      <c r="BD224" s="53">
        <f t="shared" si="127"/>
        <v>117.37775834818422</v>
      </c>
    </row>
    <row r="225" spans="2:56">
      <c r="B225" s="43">
        <f>'12. Investeringen (bijschatten)'!B28</f>
        <v>9</v>
      </c>
      <c r="C225" s="54"/>
      <c r="E225" s="54"/>
      <c r="F225" s="179">
        <f>'12. Investeringen (bijschatten)'!C28</f>
        <v>897693.90315601986</v>
      </c>
      <c r="H225" s="43">
        <f>'12. Investeringen (bijschatten)'!D28</f>
        <v>2020</v>
      </c>
      <c r="I225" s="43" t="str">
        <f>'12. Investeringen (bijschatten)'!E28</f>
        <v>11 Werktuigen</v>
      </c>
      <c r="J225" s="179">
        <f>_xlfn.XLOOKUP(I225,'3. Input (des)investeringen '!$B$11:$B$81,'3. Input (des)investeringen '!$D$11:$D$81)</f>
        <v>10</v>
      </c>
      <c r="K225" s="165"/>
      <c r="L225" s="165"/>
      <c r="M225" s="49">
        <f t="shared" si="105"/>
        <v>44884.695157800998</v>
      </c>
      <c r="N225" s="49">
        <f t="shared" si="106"/>
        <v>91205.700560651618</v>
      </c>
      <c r="P225" s="147">
        <f t="shared" si="107"/>
        <v>852809.20799821883</v>
      </c>
      <c r="Q225" s="147">
        <f t="shared" si="108"/>
        <v>775248.45476553869</v>
      </c>
      <c r="S225" s="49">
        <f t="shared" si="109"/>
        <v>775248.45476553869</v>
      </c>
      <c r="T225" s="44">
        <f t="shared" si="110"/>
        <v>8.5</v>
      </c>
      <c r="V225" s="49">
        <f t="shared" si="111"/>
        <v>106710.66965596238</v>
      </c>
      <c r="W225" s="49">
        <f t="shared" si="111"/>
        <v>90390.214296815204</v>
      </c>
      <c r="X225" s="49">
        <f t="shared" si="98"/>
        <v>77018.880820954946</v>
      </c>
      <c r="Y225" s="49">
        <f t="shared" si="98"/>
        <v>77018.880820954946</v>
      </c>
      <c r="Z225" s="49">
        <f t="shared" si="98"/>
        <v>77018.880820954946</v>
      </c>
      <c r="AB225" s="49">
        <f t="shared" si="112"/>
        <v>9120.5700560651621</v>
      </c>
      <c r="AC225" s="49">
        <f t="shared" si="112"/>
        <v>9120.5700560651621</v>
      </c>
      <c r="AD225" s="49">
        <f t="shared" si="99"/>
        <v>9120.5700560651621</v>
      </c>
      <c r="AE225" s="49">
        <f t="shared" si="99"/>
        <v>9120.5700560651621</v>
      </c>
      <c r="AF225" s="49">
        <f t="shared" si="99"/>
        <v>9120.5700560651621</v>
      </c>
      <c r="AH225" s="49">
        <f t="shared" si="113"/>
        <v>115831.23971202754</v>
      </c>
      <c r="AI225" s="49">
        <f t="shared" si="114"/>
        <v>99510.784352880364</v>
      </c>
      <c r="AJ225" s="49">
        <f t="shared" si="115"/>
        <v>86139.450877020106</v>
      </c>
      <c r="AK225" s="49">
        <f t="shared" si="116"/>
        <v>86139.450877020106</v>
      </c>
      <c r="AL225" s="49">
        <f t="shared" si="117"/>
        <v>86139.450877020106</v>
      </c>
      <c r="AN225" s="49">
        <f t="shared" si="101"/>
        <v>659417.21505351108</v>
      </c>
      <c r="AO225" s="49">
        <f t="shared" si="118"/>
        <v>559906.43070063076</v>
      </c>
      <c r="AP225" s="49">
        <f t="shared" si="119"/>
        <v>473766.97982361063</v>
      </c>
      <c r="AQ225" s="49">
        <f t="shared" si="120"/>
        <v>387627.52894659049</v>
      </c>
      <c r="AR225" s="49">
        <f t="shared" si="121"/>
        <v>301488.07806957036</v>
      </c>
      <c r="AT225" s="49">
        <f t="shared" si="122"/>
        <v>9238.3537544502324</v>
      </c>
      <c r="AU225" s="49">
        <f t="shared" si="103"/>
        <v>9771.8871604772412</v>
      </c>
      <c r="AV225" s="49">
        <f t="shared" si="103"/>
        <v>10511.423580782162</v>
      </c>
      <c r="AW225" s="49">
        <f t="shared" si="103"/>
        <v>10762.520467279886</v>
      </c>
      <c r="AX225" s="49">
        <f t="shared" si="103"/>
        <v>10901.701381962748</v>
      </c>
      <c r="AZ225" s="53">
        <f t="shared" si="123"/>
        <v>147489.77877829713</v>
      </c>
      <c r="BA225" s="53">
        <f t="shared" si="124"/>
        <v>127759.58372647842</v>
      </c>
      <c r="BB225" s="53">
        <f t="shared" si="125"/>
        <v>114654.01969109947</v>
      </c>
      <c r="BC225" s="53">
        <f t="shared" si="126"/>
        <v>111631.81744427043</v>
      </c>
      <c r="BD225" s="53">
        <f t="shared" si="127"/>
        <v>108497.69922562652</v>
      </c>
    </row>
    <row r="226" spans="2:56">
      <c r="B226" s="43">
        <f>'12. Investeringen (bijschatten)'!B29</f>
        <v>10</v>
      </c>
      <c r="C226" s="54"/>
      <c r="E226" s="54"/>
      <c r="F226" s="179">
        <f>'12. Investeringen (bijschatten)'!C29</f>
        <v>119157.79156970895</v>
      </c>
      <c r="H226" s="43">
        <f>'12. Investeringen (bijschatten)'!D29</f>
        <v>2020</v>
      </c>
      <c r="I226" s="43" t="str">
        <f>'12. Investeringen (bijschatten)'!E29</f>
        <v>14 Overig rollend materieel</v>
      </c>
      <c r="J226" s="179">
        <f>_xlfn.XLOOKUP(I226,'3. Input (des)investeringen '!$B$11:$B$81,'3. Input (des)investeringen '!$D$11:$D$81)</f>
        <v>10</v>
      </c>
      <c r="K226" s="165"/>
      <c r="L226" s="165"/>
      <c r="M226" s="49">
        <f t="shared" si="105"/>
        <v>5957.8895784854476</v>
      </c>
      <c r="N226" s="49">
        <f t="shared" si="106"/>
        <v>12106.431623482427</v>
      </c>
      <c r="P226" s="147">
        <f t="shared" si="107"/>
        <v>113199.90199122349</v>
      </c>
      <c r="Q226" s="147">
        <f t="shared" si="108"/>
        <v>102904.66879960065</v>
      </c>
      <c r="S226" s="49">
        <f t="shared" si="109"/>
        <v>102904.66879960065</v>
      </c>
      <c r="T226" s="44">
        <f t="shared" si="110"/>
        <v>8.5</v>
      </c>
      <c r="V226" s="49">
        <f t="shared" si="111"/>
        <v>14164.524999474444</v>
      </c>
      <c r="W226" s="49">
        <f t="shared" si="111"/>
        <v>11998.185881907766</v>
      </c>
      <c r="X226" s="49">
        <f t="shared" si="98"/>
        <v>10223.306313578214</v>
      </c>
      <c r="Y226" s="49">
        <f t="shared" si="98"/>
        <v>10223.306313578214</v>
      </c>
      <c r="Z226" s="49">
        <f t="shared" si="98"/>
        <v>10223.306313578214</v>
      </c>
      <c r="AB226" s="49">
        <f t="shared" si="112"/>
        <v>1210.6431623482431</v>
      </c>
      <c r="AC226" s="49">
        <f t="shared" si="112"/>
        <v>1210.6431623482431</v>
      </c>
      <c r="AD226" s="49">
        <f t="shared" si="99"/>
        <v>1210.6431623482431</v>
      </c>
      <c r="AE226" s="49">
        <f t="shared" si="99"/>
        <v>1210.6431623482431</v>
      </c>
      <c r="AF226" s="49">
        <f t="shared" si="99"/>
        <v>1210.6431623482431</v>
      </c>
      <c r="AH226" s="49">
        <f t="shared" si="113"/>
        <v>15375.168161822687</v>
      </c>
      <c r="AI226" s="49">
        <f t="shared" si="114"/>
        <v>13208.82904425601</v>
      </c>
      <c r="AJ226" s="49">
        <f t="shared" si="115"/>
        <v>11433.949475926456</v>
      </c>
      <c r="AK226" s="49">
        <f t="shared" si="116"/>
        <v>11433.949475926456</v>
      </c>
      <c r="AL226" s="49">
        <f t="shared" si="117"/>
        <v>11433.949475926456</v>
      </c>
      <c r="AN226" s="49">
        <f t="shared" si="101"/>
        <v>87529.500637777965</v>
      </c>
      <c r="AO226" s="49">
        <f t="shared" si="118"/>
        <v>74320.671593521954</v>
      </c>
      <c r="AP226" s="49">
        <f t="shared" si="119"/>
        <v>62886.722117595498</v>
      </c>
      <c r="AQ226" s="49">
        <f t="shared" si="120"/>
        <v>51452.772641669042</v>
      </c>
      <c r="AR226" s="49">
        <f t="shared" si="121"/>
        <v>40018.823165742586</v>
      </c>
      <c r="AT226" s="49">
        <f t="shared" si="122"/>
        <v>1226.2774953131159</v>
      </c>
      <c r="AU226" s="49">
        <f t="shared" si="103"/>
        <v>1297.097473222439</v>
      </c>
      <c r="AV226" s="49">
        <f t="shared" si="103"/>
        <v>1395.2618099959134</v>
      </c>
      <c r="AW226" s="49">
        <f t="shared" si="103"/>
        <v>1428.591824113096</v>
      </c>
      <c r="AX226" s="49">
        <f t="shared" si="103"/>
        <v>1447.0663735825262</v>
      </c>
      <c r="AZ226" s="53">
        <f t="shared" si="123"/>
        <v>19577.448678820252</v>
      </c>
      <c r="BA226" s="53">
        <f t="shared" si="124"/>
        <v>16958.508680064675</v>
      </c>
      <c r="BB226" s="53">
        <f t="shared" si="125"/>
        <v>15218.906726390998</v>
      </c>
      <c r="BC226" s="53">
        <f t="shared" si="126"/>
        <v>14817.746660422976</v>
      </c>
      <c r="BD226" s="53">
        <f t="shared" si="127"/>
        <v>14401.7311298072</v>
      </c>
    </row>
    <row r="227" spans="2:56">
      <c r="B227" s="43">
        <f>'12. Investeringen (bijschatten)'!B30</f>
        <v>11</v>
      </c>
      <c r="C227" s="54"/>
      <c r="E227" s="54"/>
      <c r="F227" s="179">
        <f>'12. Investeringen (bijschatten)'!C30</f>
        <v>847435.58289065212</v>
      </c>
      <c r="H227" s="43">
        <f>'12. Investeringen (bijschatten)'!D30</f>
        <v>2020</v>
      </c>
      <c r="I227" s="43" t="str">
        <f>'12. Investeringen (bijschatten)'!E30</f>
        <v>15 Compressorstations (KC)</v>
      </c>
      <c r="J227" s="179">
        <f>_xlfn.XLOOKUP(I227,'3. Input (des)investeringen '!$B$11:$B$81,'3. Input (des)investeringen '!$D$11:$D$81)</f>
        <v>30</v>
      </c>
      <c r="K227" s="165"/>
      <c r="L227" s="165"/>
      <c r="M227" s="49">
        <f t="shared" si="105"/>
        <v>14123.926381510868</v>
      </c>
      <c r="N227" s="49">
        <f t="shared" si="106"/>
        <v>28699.818407230083</v>
      </c>
      <c r="P227" s="147">
        <f t="shared" si="107"/>
        <v>833311.6565091412</v>
      </c>
      <c r="Q227" s="147">
        <f t="shared" si="108"/>
        <v>817944.82460605737</v>
      </c>
      <c r="S227" s="49">
        <f t="shared" si="109"/>
        <v>817944.82460605737</v>
      </c>
      <c r="T227" s="44">
        <f t="shared" si="110"/>
        <v>28.5</v>
      </c>
      <c r="V227" s="49">
        <f t="shared" si="111"/>
        <v>33578.787536459204</v>
      </c>
      <c r="W227" s="49">
        <f t="shared" si="111"/>
        <v>32047.123543568083</v>
      </c>
      <c r="X227" s="49">
        <f t="shared" si="98"/>
        <v>30585.324925791294</v>
      </c>
      <c r="Y227" s="49">
        <f t="shared" si="98"/>
        <v>29190.204841456954</v>
      </c>
      <c r="Z227" s="49">
        <f t="shared" si="98"/>
        <v>27858.721813601023</v>
      </c>
      <c r="AB227" s="49">
        <f t="shared" si="112"/>
        <v>2869.9818407230082</v>
      </c>
      <c r="AC227" s="49">
        <f t="shared" si="112"/>
        <v>2869.9818407230086</v>
      </c>
      <c r="AD227" s="49">
        <f t="shared" si="99"/>
        <v>2869.9818407230086</v>
      </c>
      <c r="AE227" s="49">
        <f t="shared" si="99"/>
        <v>2869.9818407230086</v>
      </c>
      <c r="AF227" s="49">
        <f t="shared" si="99"/>
        <v>2869.9818407230086</v>
      </c>
      <c r="AH227" s="49">
        <f t="shared" si="113"/>
        <v>36448.769377182209</v>
      </c>
      <c r="AI227" s="49">
        <f t="shared" si="114"/>
        <v>34917.105384291091</v>
      </c>
      <c r="AJ227" s="49">
        <f t="shared" si="115"/>
        <v>33455.306766514303</v>
      </c>
      <c r="AK227" s="49">
        <f t="shared" si="116"/>
        <v>32060.186682179963</v>
      </c>
      <c r="AL227" s="49">
        <f t="shared" si="117"/>
        <v>30728.703654324032</v>
      </c>
      <c r="AN227" s="49">
        <f t="shared" si="101"/>
        <v>781496.05522887514</v>
      </c>
      <c r="AO227" s="49">
        <f t="shared" si="118"/>
        <v>746578.9498445841</v>
      </c>
      <c r="AP227" s="49">
        <f t="shared" si="119"/>
        <v>713123.64307806978</v>
      </c>
      <c r="AQ227" s="49">
        <f t="shared" si="120"/>
        <v>681063.45639588987</v>
      </c>
      <c r="AR227" s="49">
        <f t="shared" si="121"/>
        <v>650334.75274156581</v>
      </c>
      <c r="AT227" s="49">
        <f t="shared" si="122"/>
        <v>8721.1349785583952</v>
      </c>
      <c r="AU227" s="49">
        <f t="shared" si="103"/>
        <v>9224.7979658401</v>
      </c>
      <c r="AV227" s="49">
        <f t="shared" si="103"/>
        <v>9922.9306758948787</v>
      </c>
      <c r="AW227" s="49">
        <f t="shared" si="103"/>
        <v>10159.969643880657</v>
      </c>
      <c r="AX227" s="49">
        <f t="shared" si="103"/>
        <v>10291.358371315318</v>
      </c>
      <c r="AZ227" s="53">
        <f t="shared" si="123"/>
        <v>71740.770233522373</v>
      </c>
      <c r="BA227" s="53">
        <f t="shared" si="124"/>
        <v>68779.008695002471</v>
      </c>
      <c r="BB227" s="53">
        <f t="shared" si="125"/>
        <v>70476.935879375829</v>
      </c>
      <c r="BC227" s="53">
        <f t="shared" si="126"/>
        <v>68100.567669104435</v>
      </c>
      <c r="BD227" s="53">
        <f t="shared" si="127"/>
        <v>65732.782629818845</v>
      </c>
    </row>
    <row r="228" spans="2:56">
      <c r="B228" s="43">
        <f>'12. Investeringen (bijschatten)'!B31</f>
        <v>12</v>
      </c>
      <c r="C228" s="54"/>
      <c r="E228" s="54"/>
      <c r="F228" s="179">
        <f>'12. Investeringen (bijschatten)'!C31</f>
        <v>9057966.2936882433</v>
      </c>
      <c r="H228" s="43">
        <f>'12. Investeringen (bijschatten)'!D31</f>
        <v>2020</v>
      </c>
      <c r="I228" s="43" t="str">
        <f>'12. Investeringen (bijschatten)'!E31</f>
        <v>15 Compressorstations (TT-BT-AT)</v>
      </c>
      <c r="J228" s="179">
        <f>_xlfn.XLOOKUP(I228,'3. Input (des)investeringen '!$B$11:$B$81,'3. Input (des)investeringen '!$D$11:$D$81)</f>
        <v>30</v>
      </c>
      <c r="K228" s="165"/>
      <c r="L228" s="165"/>
      <c r="M228" s="49">
        <f t="shared" si="105"/>
        <v>150966.10489480404</v>
      </c>
      <c r="N228" s="49">
        <f t="shared" si="106"/>
        <v>306763.12514624186</v>
      </c>
      <c r="P228" s="147">
        <f t="shared" si="107"/>
        <v>8907000.1887934394</v>
      </c>
      <c r="Q228" s="147">
        <f t="shared" si="108"/>
        <v>8742749.066667892</v>
      </c>
      <c r="S228" s="49">
        <f t="shared" si="109"/>
        <v>8742749.066667892</v>
      </c>
      <c r="T228" s="44">
        <f t="shared" si="110"/>
        <v>28.5</v>
      </c>
      <c r="V228" s="49">
        <f t="shared" si="111"/>
        <v>358912.85642110294</v>
      </c>
      <c r="W228" s="49">
        <f t="shared" si="111"/>
        <v>342541.39279487723</v>
      </c>
      <c r="X228" s="49">
        <f t="shared" si="98"/>
        <v>326916.69768493547</v>
      </c>
      <c r="Y228" s="49">
        <f t="shared" si="98"/>
        <v>312004.70796597347</v>
      </c>
      <c r="Z228" s="49">
        <f t="shared" si="98"/>
        <v>297772.91426927992</v>
      </c>
      <c r="AB228" s="49">
        <f t="shared" si="112"/>
        <v>30676.312514624184</v>
      </c>
      <c r="AC228" s="49">
        <f t="shared" si="112"/>
        <v>30676.312514624184</v>
      </c>
      <c r="AD228" s="49">
        <f t="shared" si="99"/>
        <v>30676.312514624184</v>
      </c>
      <c r="AE228" s="49">
        <f t="shared" si="99"/>
        <v>30676.312514624184</v>
      </c>
      <c r="AF228" s="49">
        <f t="shared" si="99"/>
        <v>30676.312514624184</v>
      </c>
      <c r="AH228" s="49">
        <f t="shared" si="113"/>
        <v>389589.16893572715</v>
      </c>
      <c r="AI228" s="49">
        <f t="shared" si="114"/>
        <v>373217.70530950144</v>
      </c>
      <c r="AJ228" s="49">
        <f t="shared" si="115"/>
        <v>357593.01019955968</v>
      </c>
      <c r="AK228" s="49">
        <f t="shared" si="116"/>
        <v>342681.02048059768</v>
      </c>
      <c r="AL228" s="49">
        <f t="shared" si="117"/>
        <v>328449.22678390413</v>
      </c>
      <c r="AN228" s="49">
        <f t="shared" si="101"/>
        <v>8353159.8977321647</v>
      </c>
      <c r="AO228" s="49">
        <f t="shared" si="118"/>
        <v>7979942.1924226629</v>
      </c>
      <c r="AP228" s="49">
        <f t="shared" si="119"/>
        <v>7622349.182223103</v>
      </c>
      <c r="AQ228" s="49">
        <f t="shared" si="120"/>
        <v>7279668.1617425056</v>
      </c>
      <c r="AR228" s="49">
        <f t="shared" si="121"/>
        <v>6951218.9349586014</v>
      </c>
      <c r="AT228" s="49">
        <f t="shared" si="122"/>
        <v>93217.40586939764</v>
      </c>
      <c r="AU228" s="49">
        <f t="shared" si="103"/>
        <v>98600.897493167082</v>
      </c>
      <c r="AV228" s="49">
        <f t="shared" si="103"/>
        <v>106063.01341545</v>
      </c>
      <c r="AW228" s="49">
        <f t="shared" si="103"/>
        <v>108596.64667991827</v>
      </c>
      <c r="AX228" s="49">
        <f t="shared" si="103"/>
        <v>110001.01851478296</v>
      </c>
      <c r="AZ228" s="53">
        <f t="shared" si="123"/>
        <v>766814.01132801839</v>
      </c>
      <c r="BA228" s="53">
        <f t="shared" si="124"/>
        <v>735156.69515261636</v>
      </c>
      <c r="BB228" s="53">
        <f t="shared" si="125"/>
        <v>753305.29253948759</v>
      </c>
      <c r="BC228" s="53">
        <f t="shared" si="126"/>
        <v>727905.05730673112</v>
      </c>
      <c r="BD228" s="53">
        <f t="shared" si="127"/>
        <v>702596.56482711399</v>
      </c>
    </row>
    <row r="229" spans="2:56">
      <c r="B229" s="43">
        <f>'12. Investeringen (bijschatten)'!B32</f>
        <v>13</v>
      </c>
      <c r="C229" s="54"/>
      <c r="E229" s="54"/>
      <c r="F229" s="179">
        <f>'12. Investeringen (bijschatten)'!C32</f>
        <v>505581.67726689682</v>
      </c>
      <c r="H229" s="43">
        <f>'12. Investeringen (bijschatten)'!D32</f>
        <v>2020</v>
      </c>
      <c r="I229" s="43" t="str">
        <f>'12. Investeringen (bijschatten)'!E32</f>
        <v>16 LNG installaties</v>
      </c>
      <c r="J229" s="179">
        <f>_xlfn.XLOOKUP(I229,'3. Input (des)investeringen '!$B$11:$B$81,'3. Input (des)investeringen '!$D$11:$D$81)</f>
        <v>30</v>
      </c>
      <c r="K229" s="165"/>
      <c r="L229" s="165"/>
      <c r="M229" s="49">
        <f t="shared" si="105"/>
        <v>8426.361287781614</v>
      </c>
      <c r="N229" s="49">
        <f t="shared" si="106"/>
        <v>17122.366136772242</v>
      </c>
      <c r="P229" s="147">
        <f t="shared" si="107"/>
        <v>497155.3159791152</v>
      </c>
      <c r="Q229" s="147">
        <f t="shared" si="108"/>
        <v>487987.43489800877</v>
      </c>
      <c r="S229" s="49">
        <f t="shared" si="109"/>
        <v>487987.43489800877</v>
      </c>
      <c r="T229" s="44">
        <f t="shared" si="110"/>
        <v>28.5</v>
      </c>
      <c r="V229" s="49">
        <f t="shared" si="111"/>
        <v>20033.168380023519</v>
      </c>
      <c r="W229" s="49">
        <f t="shared" si="111"/>
        <v>19119.374734618938</v>
      </c>
      <c r="X229" s="49">
        <f t="shared" si="98"/>
        <v>18247.262904618776</v>
      </c>
      <c r="Y229" s="49">
        <f t="shared" si="98"/>
        <v>17414.931614232657</v>
      </c>
      <c r="Z229" s="49">
        <f t="shared" si="98"/>
        <v>16620.566312530817</v>
      </c>
      <c r="AB229" s="49">
        <f t="shared" si="112"/>
        <v>1712.2366136772239</v>
      </c>
      <c r="AC229" s="49">
        <f t="shared" si="112"/>
        <v>1712.2366136772239</v>
      </c>
      <c r="AD229" s="49">
        <f t="shared" si="99"/>
        <v>1712.2366136772239</v>
      </c>
      <c r="AE229" s="49">
        <f t="shared" si="99"/>
        <v>1712.2366136772239</v>
      </c>
      <c r="AF229" s="49">
        <f t="shared" si="99"/>
        <v>1712.2366136772239</v>
      </c>
      <c r="AH229" s="49">
        <f t="shared" si="113"/>
        <v>21745.404993700744</v>
      </c>
      <c r="AI229" s="49">
        <f t="shared" si="114"/>
        <v>20831.611348296163</v>
      </c>
      <c r="AJ229" s="49">
        <f t="shared" si="115"/>
        <v>19959.499518296001</v>
      </c>
      <c r="AK229" s="49">
        <f t="shared" si="116"/>
        <v>19127.168227909882</v>
      </c>
      <c r="AL229" s="49">
        <f t="shared" si="117"/>
        <v>18332.802926208042</v>
      </c>
      <c r="AN229" s="49">
        <f t="shared" si="101"/>
        <v>466242.02990430803</v>
      </c>
      <c r="AO229" s="49">
        <f t="shared" si="118"/>
        <v>445410.41855601186</v>
      </c>
      <c r="AP229" s="49">
        <f t="shared" si="119"/>
        <v>425450.91903771588</v>
      </c>
      <c r="AQ229" s="49">
        <f t="shared" si="120"/>
        <v>406323.75080980599</v>
      </c>
      <c r="AR229" s="49">
        <f t="shared" si="121"/>
        <v>387990.94788359792</v>
      </c>
      <c r="AT229" s="49">
        <f t="shared" si="122"/>
        <v>5203.0456817618642</v>
      </c>
      <c r="AU229" s="49">
        <f t="shared" si="103"/>
        <v>5503.5319759749755</v>
      </c>
      <c r="AV229" s="49">
        <f t="shared" si="103"/>
        <v>5920.0392759167617</v>
      </c>
      <c r="AW229" s="49">
        <f t="shared" si="103"/>
        <v>6061.4571741398622</v>
      </c>
      <c r="AX229" s="49">
        <f t="shared" si="103"/>
        <v>6139.8439383158384</v>
      </c>
      <c r="AZ229" s="53">
        <f t="shared" si="123"/>
        <v>42800.67969220908</v>
      </c>
      <c r="BA229" s="53">
        <f t="shared" si="124"/>
        <v>41033.687136619534</v>
      </c>
      <c r="BB229" s="53">
        <f t="shared" si="125"/>
        <v>42046.673717645965</v>
      </c>
      <c r="BC229" s="53">
        <f t="shared" si="126"/>
        <v>40628.927932822371</v>
      </c>
      <c r="BD229" s="53">
        <f t="shared" si="127"/>
        <v>39216.302884100602</v>
      </c>
    </row>
    <row r="230" spans="2:56">
      <c r="B230" s="43">
        <f>'12. Investeringen (bijschatten)'!B33</f>
        <v>14</v>
      </c>
      <c r="C230" s="54"/>
      <c r="E230" s="54"/>
      <c r="F230" s="179">
        <f>'12. Investeringen (bijschatten)'!C33</f>
        <v>26405484.075497396</v>
      </c>
      <c r="H230" s="43">
        <f>'12. Investeringen (bijschatten)'!D33</f>
        <v>2020</v>
      </c>
      <c r="I230" s="43" t="str">
        <f>'12. Investeringen (bijschatten)'!E33</f>
        <v>17 Mengstations</v>
      </c>
      <c r="J230" s="179">
        <f>_xlfn.XLOOKUP(I230,'3. Input (des)investeringen '!$B$11:$B$81,'3. Input (des)investeringen '!$D$11:$D$81)</f>
        <v>30</v>
      </c>
      <c r="K230" s="165"/>
      <c r="L230" s="165"/>
      <c r="M230" s="49">
        <f t="shared" si="105"/>
        <v>440091.40125828993</v>
      </c>
      <c r="N230" s="49">
        <f t="shared" si="106"/>
        <v>894265.72735684516</v>
      </c>
      <c r="P230" s="147">
        <f t="shared" si="107"/>
        <v>25965392.674239106</v>
      </c>
      <c r="Q230" s="147">
        <f t="shared" si="108"/>
        <v>25486573.229670089</v>
      </c>
      <c r="S230" s="49">
        <f t="shared" si="109"/>
        <v>25486573.229670089</v>
      </c>
      <c r="T230" s="44">
        <f t="shared" si="110"/>
        <v>28.5</v>
      </c>
      <c r="V230" s="49">
        <f t="shared" si="111"/>
        <v>1046290.901007509</v>
      </c>
      <c r="W230" s="49">
        <f t="shared" si="111"/>
        <v>998565.35113699094</v>
      </c>
      <c r="X230" s="49">
        <f t="shared" si="98"/>
        <v>953016.75617284758</v>
      </c>
      <c r="Y230" s="49">
        <f t="shared" si="98"/>
        <v>909545.81641759491</v>
      </c>
      <c r="Z230" s="49">
        <f t="shared" si="98"/>
        <v>868057.76163363445</v>
      </c>
      <c r="AB230" s="49">
        <f t="shared" si="112"/>
        <v>89426.572735684531</v>
      </c>
      <c r="AC230" s="49">
        <f t="shared" si="112"/>
        <v>89426.572735684531</v>
      </c>
      <c r="AD230" s="49">
        <f t="shared" si="99"/>
        <v>89426.572735684531</v>
      </c>
      <c r="AE230" s="49">
        <f t="shared" si="99"/>
        <v>89426.572735684531</v>
      </c>
      <c r="AF230" s="49">
        <f t="shared" si="99"/>
        <v>89426.572735684531</v>
      </c>
      <c r="AH230" s="49">
        <f t="shared" si="113"/>
        <v>1135717.4737431936</v>
      </c>
      <c r="AI230" s="49">
        <f t="shared" si="114"/>
        <v>1087991.9238726755</v>
      </c>
      <c r="AJ230" s="49">
        <f t="shared" si="115"/>
        <v>1042443.3289085322</v>
      </c>
      <c r="AK230" s="49">
        <f t="shared" si="116"/>
        <v>998972.38915327948</v>
      </c>
      <c r="AL230" s="49">
        <f t="shared" si="117"/>
        <v>957484.33436931903</v>
      </c>
      <c r="AN230" s="49">
        <f t="shared" si="101"/>
        <v>24350855.755926896</v>
      </c>
      <c r="AO230" s="49">
        <f t="shared" si="118"/>
        <v>23262863.83205422</v>
      </c>
      <c r="AP230" s="49">
        <f t="shared" si="119"/>
        <v>22220420.503145687</v>
      </c>
      <c r="AQ230" s="49">
        <f t="shared" si="120"/>
        <v>21221448.113992408</v>
      </c>
      <c r="AR230" s="49">
        <f t="shared" si="121"/>
        <v>20263963.779623087</v>
      </c>
      <c r="AT230" s="49">
        <f t="shared" si="122"/>
        <v>271744.30180411914</v>
      </c>
      <c r="AU230" s="49">
        <f t="shared" si="103"/>
        <v>287438.07872191066</v>
      </c>
      <c r="AV230" s="49">
        <f t="shared" si="103"/>
        <v>309191.39251958492</v>
      </c>
      <c r="AW230" s="49">
        <f t="shared" si="103"/>
        <v>316577.35650409281</v>
      </c>
      <c r="AX230" s="49">
        <f t="shared" si="103"/>
        <v>320671.33487840369</v>
      </c>
      <c r="AZ230" s="53">
        <f t="shared" si="123"/>
        <v>2235390.8712488273</v>
      </c>
      <c r="BA230" s="53">
        <f t="shared" si="124"/>
        <v>2143104.5090523753</v>
      </c>
      <c r="BB230" s="53">
        <f t="shared" si="125"/>
        <v>2196010.7005476533</v>
      </c>
      <c r="BC230" s="53">
        <f t="shared" si="126"/>
        <v>2121964.7739890837</v>
      </c>
      <c r="BD230" s="53">
        <f t="shared" si="127"/>
        <v>2048186.2928734</v>
      </c>
    </row>
    <row r="231" spans="2:56">
      <c r="B231" s="43">
        <f>'12. Investeringen (bijschatten)'!B34</f>
        <v>15</v>
      </c>
      <c r="C231" s="54"/>
      <c r="E231" s="54"/>
      <c r="F231" s="179">
        <f>'12. Investeringen (bijschatten)'!C34</f>
        <v>756400.94229177735</v>
      </c>
      <c r="H231" s="43">
        <f>'12. Investeringen (bijschatten)'!D34</f>
        <v>2020</v>
      </c>
      <c r="I231" s="43" t="str">
        <f>'12. Investeringen (bijschatten)'!E34</f>
        <v>20 Kantoorgebouwen</v>
      </c>
      <c r="J231" s="179">
        <f>_xlfn.XLOOKUP(I231,'3. Input (des)investeringen '!$B$11:$B$81,'3. Input (des)investeringen '!$D$11:$D$81)</f>
        <v>30</v>
      </c>
      <c r="K231" s="165"/>
      <c r="L231" s="165"/>
      <c r="M231" s="49">
        <f t="shared" si="105"/>
        <v>12606.682371529623</v>
      </c>
      <c r="N231" s="49">
        <f t="shared" si="106"/>
        <v>25616.77857894819</v>
      </c>
      <c r="P231" s="147">
        <f t="shared" si="107"/>
        <v>743794.25992024771</v>
      </c>
      <c r="Q231" s="147">
        <f t="shared" si="108"/>
        <v>730078.18950002349</v>
      </c>
      <c r="S231" s="49">
        <f t="shared" si="109"/>
        <v>730078.18950002349</v>
      </c>
      <c r="T231" s="44">
        <f t="shared" si="110"/>
        <v>28.5</v>
      </c>
      <c r="V231" s="49">
        <f t="shared" si="111"/>
        <v>29971.630937369388</v>
      </c>
      <c r="W231" s="49">
        <f t="shared" si="111"/>
        <v>28604.503912156048</v>
      </c>
      <c r="X231" s="49">
        <f t="shared" si="98"/>
        <v>27299.737067040154</v>
      </c>
      <c r="Y231" s="49">
        <f t="shared" si="98"/>
        <v>26054.485902578672</v>
      </c>
      <c r="Z231" s="49">
        <f t="shared" si="98"/>
        <v>24866.03566842596</v>
      </c>
      <c r="AB231" s="49">
        <f t="shared" si="112"/>
        <v>2561.6778578948197</v>
      </c>
      <c r="AC231" s="49">
        <f t="shared" si="112"/>
        <v>2561.6778578948197</v>
      </c>
      <c r="AD231" s="49">
        <f t="shared" si="99"/>
        <v>2561.6778578948197</v>
      </c>
      <c r="AE231" s="49">
        <f t="shared" si="99"/>
        <v>2561.6778578948197</v>
      </c>
      <c r="AF231" s="49">
        <f t="shared" si="99"/>
        <v>2561.6778578948197</v>
      </c>
      <c r="AH231" s="49">
        <f t="shared" si="113"/>
        <v>32533.308795264209</v>
      </c>
      <c r="AI231" s="49">
        <f t="shared" si="114"/>
        <v>31166.181770050869</v>
      </c>
      <c r="AJ231" s="49">
        <f t="shared" si="115"/>
        <v>29861.414924934972</v>
      </c>
      <c r="AK231" s="49">
        <f t="shared" si="116"/>
        <v>28616.163760473493</v>
      </c>
      <c r="AL231" s="49">
        <f t="shared" si="117"/>
        <v>27427.713526320782</v>
      </c>
      <c r="AN231" s="49">
        <f t="shared" si="101"/>
        <v>697544.88070475927</v>
      </c>
      <c r="AO231" s="49">
        <f t="shared" si="118"/>
        <v>666378.69893470837</v>
      </c>
      <c r="AP231" s="49">
        <f t="shared" si="119"/>
        <v>636517.2840097734</v>
      </c>
      <c r="AQ231" s="49">
        <f t="shared" si="120"/>
        <v>607901.12024929991</v>
      </c>
      <c r="AR231" s="49">
        <f t="shared" si="121"/>
        <v>580473.40672297915</v>
      </c>
      <c r="AT231" s="49">
        <f t="shared" si="122"/>
        <v>7784.2786505774366</v>
      </c>
      <c r="AU231" s="49">
        <f t="shared" si="103"/>
        <v>8233.8363112055868</v>
      </c>
      <c r="AV231" s="49">
        <f t="shared" si="103"/>
        <v>8856.9730432376236</v>
      </c>
      <c r="AW231" s="49">
        <f t="shared" si="103"/>
        <v>9068.5484152944846</v>
      </c>
      <c r="AX231" s="49">
        <f t="shared" si="103"/>
        <v>9185.8228834010733</v>
      </c>
      <c r="AZ231" s="53">
        <f t="shared" si="123"/>
        <v>64034.11338980346</v>
      </c>
      <c r="BA231" s="53">
        <f t="shared" si="124"/>
        <v>61390.515146101832</v>
      </c>
      <c r="BB231" s="53">
        <f t="shared" si="125"/>
        <v>62906.044760543984</v>
      </c>
      <c r="BC231" s="53">
        <f t="shared" si="126"/>
        <v>60784.954745241375</v>
      </c>
      <c r="BD231" s="53">
        <f t="shared" si="127"/>
        <v>58671.525865195064</v>
      </c>
    </row>
    <row r="232" spans="2:56">
      <c r="B232" s="43">
        <f>'12. Investeringen (bijschatten)'!B35</f>
        <v>16</v>
      </c>
      <c r="C232" s="54"/>
      <c r="E232" s="54"/>
      <c r="F232" s="179">
        <f>'12. Investeringen (bijschatten)'!C35</f>
        <v>12922329.119819744</v>
      </c>
      <c r="H232" s="43">
        <f>'12. Investeringen (bijschatten)'!D35</f>
        <v>2020</v>
      </c>
      <c r="I232" s="43" t="str">
        <f>'12. Investeringen (bijschatten)'!E35</f>
        <v>21 Hoofdtransportleiding</v>
      </c>
      <c r="J232" s="179">
        <f>_xlfn.XLOOKUP(I232,'3. Input (des)investeringen '!$B$11:$B$81,'3. Input (des)investeringen '!$D$11:$D$81)</f>
        <v>55</v>
      </c>
      <c r="K232" s="165"/>
      <c r="L232" s="165"/>
      <c r="M232" s="49">
        <f t="shared" si="105"/>
        <v>117475.71927108857</v>
      </c>
      <c r="N232" s="49">
        <f t="shared" si="106"/>
        <v>238710.66155885201</v>
      </c>
      <c r="P232" s="147">
        <f t="shared" si="107"/>
        <v>12804853.400548656</v>
      </c>
      <c r="Q232" s="147">
        <f t="shared" si="108"/>
        <v>12771020.393398583</v>
      </c>
      <c r="S232" s="49">
        <f t="shared" si="109"/>
        <v>12771020.393398583</v>
      </c>
      <c r="T232" s="44">
        <f t="shared" si="110"/>
        <v>53.5</v>
      </c>
      <c r="V232" s="49">
        <f t="shared" si="111"/>
        <v>279291.47402385686</v>
      </c>
      <c r="W232" s="49">
        <f t="shared" si="111"/>
        <v>272504.95222514635</v>
      </c>
      <c r="X232" s="49">
        <f t="shared" si="98"/>
        <v>265883.33656360075</v>
      </c>
      <c r="Y232" s="49">
        <f t="shared" si="98"/>
        <v>259422.61997420483</v>
      </c>
      <c r="Z232" s="49">
        <f t="shared" si="98"/>
        <v>253118.89275987836</v>
      </c>
      <c r="AB232" s="49">
        <f t="shared" si="112"/>
        <v>23871.066155885204</v>
      </c>
      <c r="AC232" s="49">
        <f t="shared" si="112"/>
        <v>23871.066155885204</v>
      </c>
      <c r="AD232" s="49">
        <f t="shared" si="99"/>
        <v>23871.066155885204</v>
      </c>
      <c r="AE232" s="49">
        <f t="shared" si="99"/>
        <v>23871.066155885204</v>
      </c>
      <c r="AF232" s="49">
        <f t="shared" si="99"/>
        <v>23871.066155885204</v>
      </c>
      <c r="AH232" s="49">
        <f t="shared" si="113"/>
        <v>303162.54017974209</v>
      </c>
      <c r="AI232" s="49">
        <f t="shared" si="114"/>
        <v>296376.01838103158</v>
      </c>
      <c r="AJ232" s="49">
        <f t="shared" si="115"/>
        <v>289754.40271948598</v>
      </c>
      <c r="AK232" s="49">
        <f t="shared" si="116"/>
        <v>283293.68613009003</v>
      </c>
      <c r="AL232" s="49">
        <f t="shared" si="117"/>
        <v>276989.95891576359</v>
      </c>
      <c r="AN232" s="49">
        <f t="shared" si="101"/>
        <v>12467857.85321884</v>
      </c>
      <c r="AO232" s="49">
        <f t="shared" si="118"/>
        <v>12171481.834837809</v>
      </c>
      <c r="AP232" s="49">
        <f t="shared" si="119"/>
        <v>11881727.432118323</v>
      </c>
      <c r="AQ232" s="49">
        <f t="shared" si="120"/>
        <v>11598433.745988233</v>
      </c>
      <c r="AR232" s="49">
        <f t="shared" si="121"/>
        <v>11321443.787072469</v>
      </c>
      <c r="AT232" s="49">
        <f t="shared" si="122"/>
        <v>132986.36352616485</v>
      </c>
      <c r="AU232" s="49">
        <f t="shared" si="103"/>
        <v>140666.59199252794</v>
      </c>
      <c r="AV232" s="49">
        <f t="shared" si="103"/>
        <v>151312.23967452248</v>
      </c>
      <c r="AW232" s="49">
        <f t="shared" si="103"/>
        <v>154926.78645586746</v>
      </c>
      <c r="AX232" s="49">
        <f t="shared" si="103"/>
        <v>156930.29965831473</v>
      </c>
      <c r="AZ232" s="53">
        <f t="shared" si="123"/>
        <v>860056.07071534754</v>
      </c>
      <c r="BA232" s="53">
        <f t="shared" si="124"/>
        <v>838701.51092320727</v>
      </c>
      <c r="BB232" s="53">
        <f t="shared" si="125"/>
        <v>892572.28481450467</v>
      </c>
      <c r="BC232" s="53">
        <f t="shared" si="126"/>
        <v>878960.95493351028</v>
      </c>
      <c r="BD232" s="53">
        <f t="shared" si="127"/>
        <v>864135.12248283206</v>
      </c>
    </row>
    <row r="233" spans="2:56">
      <c r="B233" s="43">
        <f>'12. Investeringen (bijschatten)'!B36</f>
        <v>17</v>
      </c>
      <c r="C233" s="54"/>
      <c r="E233" s="54"/>
      <c r="F233" s="179">
        <f>'12. Investeringen (bijschatten)'!C36</f>
        <v>686952.98173478153</v>
      </c>
      <c r="H233" s="43">
        <f>'12. Investeringen (bijschatten)'!D36</f>
        <v>2020</v>
      </c>
      <c r="I233" s="43" t="str">
        <f>'12. Investeringen (bijschatten)'!E36</f>
        <v>32 M&amp;R stations</v>
      </c>
      <c r="J233" s="179">
        <f>_xlfn.XLOOKUP(I233,'3. Input (des)investeringen '!$B$11:$B$81,'3. Input (des)investeringen '!$D$11:$D$81)</f>
        <v>30</v>
      </c>
      <c r="K233" s="165"/>
      <c r="L233" s="165"/>
      <c r="M233" s="49">
        <f t="shared" si="105"/>
        <v>11449.216362246359</v>
      </c>
      <c r="N233" s="49">
        <f t="shared" si="106"/>
        <v>23264.807648084603</v>
      </c>
      <c r="P233" s="147">
        <f t="shared" si="107"/>
        <v>675503.76537253521</v>
      </c>
      <c r="Q233" s="147">
        <f t="shared" si="108"/>
        <v>663047.01797041122</v>
      </c>
      <c r="S233" s="49">
        <f t="shared" si="109"/>
        <v>663047.01797041122</v>
      </c>
      <c r="T233" s="44">
        <f t="shared" si="110"/>
        <v>28.5</v>
      </c>
      <c r="V233" s="49">
        <f t="shared" si="111"/>
        <v>27219.824948258989</v>
      </c>
      <c r="W233" s="49">
        <f t="shared" si="111"/>
        <v>25978.218897987525</v>
      </c>
      <c r="X233" s="49">
        <f t="shared" si="111"/>
        <v>24793.247509658268</v>
      </c>
      <c r="Y233" s="49">
        <f t="shared" si="111"/>
        <v>23662.327447814208</v>
      </c>
      <c r="Z233" s="49">
        <f t="shared" si="111"/>
        <v>22582.993213352507</v>
      </c>
      <c r="AB233" s="49">
        <f t="shared" si="112"/>
        <v>2326.4807648084607</v>
      </c>
      <c r="AC233" s="49">
        <f t="shared" si="112"/>
        <v>2326.4807648084607</v>
      </c>
      <c r="AD233" s="49">
        <f t="shared" si="112"/>
        <v>2326.4807648084607</v>
      </c>
      <c r="AE233" s="49">
        <f t="shared" si="112"/>
        <v>2326.4807648084607</v>
      </c>
      <c r="AF233" s="49">
        <f t="shared" si="112"/>
        <v>2326.4807648084607</v>
      </c>
      <c r="AH233" s="49">
        <f t="shared" si="113"/>
        <v>29546.30571306745</v>
      </c>
      <c r="AI233" s="49">
        <f t="shared" si="114"/>
        <v>28304.699662795985</v>
      </c>
      <c r="AJ233" s="49">
        <f t="shared" si="115"/>
        <v>27119.728274466728</v>
      </c>
      <c r="AK233" s="49">
        <f t="shared" si="116"/>
        <v>25988.808212622669</v>
      </c>
      <c r="AL233" s="49">
        <f t="shared" si="117"/>
        <v>24909.473978160968</v>
      </c>
      <c r="AN233" s="49">
        <f t="shared" si="101"/>
        <v>633500.71225734381</v>
      </c>
      <c r="AO233" s="49">
        <f t="shared" si="118"/>
        <v>605196.01259454782</v>
      </c>
      <c r="AP233" s="49">
        <f t="shared" si="119"/>
        <v>578076.28432008112</v>
      </c>
      <c r="AQ233" s="49">
        <f t="shared" si="120"/>
        <v>552087.47610745847</v>
      </c>
      <c r="AR233" s="49">
        <f t="shared" si="121"/>
        <v>527178.00212929747</v>
      </c>
      <c r="AT233" s="49">
        <f t="shared" si="122"/>
        <v>7069.5753147354353</v>
      </c>
      <c r="AU233" s="49">
        <f t="shared" si="122"/>
        <v>7477.8574283120361</v>
      </c>
      <c r="AV233" s="49">
        <f t="shared" si="122"/>
        <v>8043.7816784866936</v>
      </c>
      <c r="AW233" s="49">
        <f t="shared" si="122"/>
        <v>8235.9315352223821</v>
      </c>
      <c r="AX233" s="49">
        <f t="shared" si="122"/>
        <v>8342.4386018358782</v>
      </c>
      <c r="AZ233" s="53">
        <f t="shared" si="123"/>
        <v>58154.905244552574</v>
      </c>
      <c r="BA233" s="53">
        <f t="shared" si="124"/>
        <v>55754.025506728096</v>
      </c>
      <c r="BB233" s="53">
        <f t="shared" si="125"/>
        <v>57130.408757116507</v>
      </c>
      <c r="BC233" s="53">
        <f t="shared" si="126"/>
        <v>55204.063839928465</v>
      </c>
      <c r="BD233" s="53">
        <f t="shared" si="127"/>
        <v>53284.676660910147</v>
      </c>
    </row>
    <row r="234" spans="2:56">
      <c r="B234" s="43">
        <f>'12. Investeringen (bijschatten)'!B37</f>
        <v>18</v>
      </c>
      <c r="C234" s="54"/>
      <c r="E234" s="54"/>
      <c r="F234" s="179">
        <f>'12. Investeringen (bijschatten)'!C37</f>
        <v>975839.82625029294</v>
      </c>
      <c r="H234" s="43">
        <f>'12. Investeringen (bijschatten)'!D37</f>
        <v>2020</v>
      </c>
      <c r="I234" s="43" t="str">
        <f>'12. Investeringen (bijschatten)'!E37</f>
        <v>33 Exportstations</v>
      </c>
      <c r="J234" s="179">
        <f>_xlfn.XLOOKUP(I234,'3. Input (des)investeringen '!$B$11:$B$81,'3. Input (des)investeringen '!$D$11:$D$81)</f>
        <v>30</v>
      </c>
      <c r="K234" s="165"/>
      <c r="L234" s="165"/>
      <c r="M234" s="49">
        <f t="shared" si="105"/>
        <v>16263.997104171549</v>
      </c>
      <c r="N234" s="49">
        <f t="shared" si="106"/>
        <v>33048.442115676589</v>
      </c>
      <c r="P234" s="147">
        <f t="shared" si="107"/>
        <v>959575.8291461214</v>
      </c>
      <c r="Q234" s="147">
        <f t="shared" si="108"/>
        <v>941880.6002967828</v>
      </c>
      <c r="S234" s="49">
        <f t="shared" si="109"/>
        <v>941880.6002967828</v>
      </c>
      <c r="T234" s="44">
        <f t="shared" si="110"/>
        <v>28.5</v>
      </c>
      <c r="V234" s="49">
        <f t="shared" si="111"/>
        <v>38666.677275341615</v>
      </c>
      <c r="W234" s="49">
        <f t="shared" si="111"/>
        <v>36902.934101378662</v>
      </c>
      <c r="X234" s="49">
        <f t="shared" si="111"/>
        <v>35219.642370438582</v>
      </c>
      <c r="Y234" s="49">
        <f t="shared" si="111"/>
        <v>33613.132367576472</v>
      </c>
      <c r="Z234" s="49">
        <f t="shared" si="111"/>
        <v>32079.901768353688</v>
      </c>
      <c r="AB234" s="49">
        <f t="shared" si="112"/>
        <v>3304.8442115676589</v>
      </c>
      <c r="AC234" s="49">
        <f t="shared" si="112"/>
        <v>3304.8442115676589</v>
      </c>
      <c r="AD234" s="49">
        <f t="shared" si="112"/>
        <v>3304.8442115676589</v>
      </c>
      <c r="AE234" s="49">
        <f t="shared" si="112"/>
        <v>3304.8442115676589</v>
      </c>
      <c r="AF234" s="49">
        <f t="shared" si="112"/>
        <v>3304.8442115676589</v>
      </c>
      <c r="AH234" s="49">
        <f t="shared" si="113"/>
        <v>41971.521486909274</v>
      </c>
      <c r="AI234" s="49">
        <f t="shared" si="114"/>
        <v>40207.778312946321</v>
      </c>
      <c r="AJ234" s="49">
        <f t="shared" si="115"/>
        <v>38524.48658200624</v>
      </c>
      <c r="AK234" s="49">
        <f t="shared" si="116"/>
        <v>36917.976579144131</v>
      </c>
      <c r="AL234" s="49">
        <f t="shared" si="117"/>
        <v>35384.745979921347</v>
      </c>
      <c r="AN234" s="49">
        <f t="shared" si="101"/>
        <v>899909.07880987355</v>
      </c>
      <c r="AO234" s="49">
        <f t="shared" si="118"/>
        <v>859701.30049692723</v>
      </c>
      <c r="AP234" s="49">
        <f t="shared" si="119"/>
        <v>821176.81391492102</v>
      </c>
      <c r="AQ234" s="49">
        <f t="shared" si="120"/>
        <v>784258.83733577689</v>
      </c>
      <c r="AR234" s="49">
        <f t="shared" si="121"/>
        <v>748874.09135585558</v>
      </c>
      <c r="AT234" s="49">
        <f t="shared" si="122"/>
        <v>10042.569622993882</v>
      </c>
      <c r="AU234" s="49">
        <f t="shared" si="122"/>
        <v>10622.548103861025</v>
      </c>
      <c r="AV234" s="49">
        <f t="shared" si="122"/>
        <v>11426.462544361228</v>
      </c>
      <c r="AW234" s="49">
        <f t="shared" si="122"/>
        <v>11699.41788162093</v>
      </c>
      <c r="AX234" s="49">
        <f t="shared" si="122"/>
        <v>11850.71475366605</v>
      </c>
      <c r="AZ234" s="53">
        <f t="shared" si="123"/>
        <v>82610.999789438851</v>
      </c>
      <c r="BA234" s="53">
        <f t="shared" si="124"/>
        <v>79200.469333205954</v>
      </c>
      <c r="BB234" s="53">
        <f t="shared" si="125"/>
        <v>81155.668055134462</v>
      </c>
      <c r="BC234" s="53">
        <f t="shared" si="126"/>
        <v>78419.230279524578</v>
      </c>
      <c r="BD234" s="53">
        <f t="shared" si="127"/>
        <v>75692.676205109907</v>
      </c>
    </row>
    <row r="235" spans="2:56">
      <c r="B235" s="43">
        <f>'12. Investeringen (bijschatten)'!B38</f>
        <v>19</v>
      </c>
      <c r="C235" s="54"/>
      <c r="E235" s="54"/>
      <c r="F235" s="179">
        <f>'12. Investeringen (bijschatten)'!C38</f>
        <v>31012.676750044764</v>
      </c>
      <c r="H235" s="43">
        <f>'12. Investeringen (bijschatten)'!D38</f>
        <v>2020</v>
      </c>
      <c r="I235" s="43" t="str">
        <f>'12. Investeringen (bijschatten)'!E38</f>
        <v>34 Reduceerstations</v>
      </c>
      <c r="J235" s="179">
        <f>_xlfn.XLOOKUP(I235,'3. Input (des)investeringen '!$B$11:$B$81,'3. Input (des)investeringen '!$D$11:$D$81)</f>
        <v>30</v>
      </c>
      <c r="K235" s="165"/>
      <c r="L235" s="165"/>
      <c r="M235" s="49">
        <f t="shared" si="105"/>
        <v>516.87794583407936</v>
      </c>
      <c r="N235" s="49">
        <f t="shared" si="106"/>
        <v>1050.2959859348493</v>
      </c>
      <c r="P235" s="147">
        <f t="shared" si="107"/>
        <v>30495.798804210684</v>
      </c>
      <c r="Q235" s="147">
        <f t="shared" si="108"/>
        <v>29933.435599143206</v>
      </c>
      <c r="S235" s="49">
        <f t="shared" si="109"/>
        <v>29933.435599143206</v>
      </c>
      <c r="T235" s="44">
        <f t="shared" si="110"/>
        <v>28.5</v>
      </c>
      <c r="V235" s="49">
        <f t="shared" si="111"/>
        <v>1228.8463035437737</v>
      </c>
      <c r="W235" s="49">
        <f t="shared" si="111"/>
        <v>1172.7936651365139</v>
      </c>
      <c r="X235" s="49">
        <f t="shared" si="111"/>
        <v>1119.2978137443222</v>
      </c>
      <c r="Y235" s="49">
        <f t="shared" si="111"/>
        <v>1068.2421239945811</v>
      </c>
      <c r="Z235" s="49">
        <f t="shared" si="111"/>
        <v>1019.5152902685127</v>
      </c>
      <c r="AB235" s="49">
        <f t="shared" si="112"/>
        <v>105.02959859348495</v>
      </c>
      <c r="AC235" s="49">
        <f t="shared" si="112"/>
        <v>105.02959859348495</v>
      </c>
      <c r="AD235" s="49">
        <f t="shared" si="112"/>
        <v>105.02959859348495</v>
      </c>
      <c r="AE235" s="49">
        <f t="shared" si="112"/>
        <v>105.02959859348495</v>
      </c>
      <c r="AF235" s="49">
        <f t="shared" si="112"/>
        <v>105.02959859348495</v>
      </c>
      <c r="AH235" s="49">
        <f t="shared" si="113"/>
        <v>1333.8759021372587</v>
      </c>
      <c r="AI235" s="49">
        <f t="shared" si="114"/>
        <v>1277.8232637299989</v>
      </c>
      <c r="AJ235" s="49">
        <f t="shared" si="115"/>
        <v>1224.3274123378071</v>
      </c>
      <c r="AK235" s="49">
        <f t="shared" si="116"/>
        <v>1173.271722588066</v>
      </c>
      <c r="AL235" s="49">
        <f t="shared" si="117"/>
        <v>1124.5448888619976</v>
      </c>
      <c r="AN235" s="49">
        <f t="shared" si="101"/>
        <v>28599.559697005949</v>
      </c>
      <c r="AO235" s="49">
        <f t="shared" si="118"/>
        <v>27321.73643327595</v>
      </c>
      <c r="AP235" s="49">
        <f t="shared" si="119"/>
        <v>26097.409020938143</v>
      </c>
      <c r="AQ235" s="49">
        <f t="shared" si="120"/>
        <v>24924.137298350077</v>
      </c>
      <c r="AR235" s="49">
        <f t="shared" si="121"/>
        <v>23799.592409488079</v>
      </c>
      <c r="AT235" s="49">
        <f t="shared" si="122"/>
        <v>319.15787517555697</v>
      </c>
      <c r="AU235" s="49">
        <f t="shared" si="122"/>
        <v>337.58988078269567</v>
      </c>
      <c r="AV235" s="49">
        <f t="shared" si="122"/>
        <v>363.13868296033019</v>
      </c>
      <c r="AW235" s="49">
        <f t="shared" si="122"/>
        <v>371.8133398188865</v>
      </c>
      <c r="AX235" s="49">
        <f t="shared" si="122"/>
        <v>376.62162992942433</v>
      </c>
      <c r="AZ235" s="53">
        <f t="shared" si="123"/>
        <v>2625.4188070110176</v>
      </c>
      <c r="BA235" s="53">
        <f t="shared" si="124"/>
        <v>2517.0304468108011</v>
      </c>
      <c r="BB235" s="53">
        <f t="shared" si="125"/>
        <v>2579.1676380937865</v>
      </c>
      <c r="BC235" s="53">
        <f t="shared" si="126"/>
        <v>2492.2022797442555</v>
      </c>
      <c r="BD235" s="53">
        <f t="shared" si="127"/>
        <v>2405.5510303519691</v>
      </c>
    </row>
    <row r="236" spans="2:56">
      <c r="B236" s="43">
        <f>'12. Investeringen (bijschatten)'!B39</f>
        <v>20</v>
      </c>
      <c r="C236" s="54"/>
      <c r="E236" s="54"/>
      <c r="F236" s="179">
        <f>'12. Investeringen (bijschatten)'!C39</f>
        <v>12132.747993912169</v>
      </c>
      <c r="H236" s="43">
        <f>'12. Investeringen (bijschatten)'!D39</f>
        <v>2020</v>
      </c>
      <c r="I236" s="43" t="str">
        <f>'12. Investeringen (bijschatten)'!E39</f>
        <v>35 Injectiestations</v>
      </c>
      <c r="J236" s="179">
        <f>_xlfn.XLOOKUP(I236,'3. Input (des)investeringen '!$B$11:$B$81,'3. Input (des)investeringen '!$D$11:$D$81)</f>
        <v>30</v>
      </c>
      <c r="K236" s="165"/>
      <c r="L236" s="165"/>
      <c r="M236" s="49">
        <f t="shared" si="105"/>
        <v>202.21246656520282</v>
      </c>
      <c r="N236" s="49">
        <f t="shared" si="106"/>
        <v>410.89573206049215</v>
      </c>
      <c r="P236" s="147">
        <f t="shared" si="107"/>
        <v>11930.535527346967</v>
      </c>
      <c r="Q236" s="147">
        <f t="shared" si="108"/>
        <v>11710.528363724026</v>
      </c>
      <c r="S236" s="49">
        <f t="shared" si="109"/>
        <v>11710.528363724026</v>
      </c>
      <c r="T236" s="44">
        <f t="shared" si="110"/>
        <v>28.5</v>
      </c>
      <c r="V236" s="49">
        <f t="shared" si="111"/>
        <v>480.74800651077584</v>
      </c>
      <c r="W236" s="49">
        <f t="shared" si="111"/>
        <v>458.81915007344224</v>
      </c>
      <c r="X236" s="49">
        <f t="shared" si="111"/>
        <v>437.89055726307464</v>
      </c>
      <c r="Y236" s="49">
        <f t="shared" si="111"/>
        <v>417.91660201949583</v>
      </c>
      <c r="Z236" s="49">
        <f t="shared" si="111"/>
        <v>398.85373947123816</v>
      </c>
      <c r="AB236" s="49">
        <f t="shared" si="112"/>
        <v>41.089573206049216</v>
      </c>
      <c r="AC236" s="49">
        <f t="shared" si="112"/>
        <v>41.089573206049216</v>
      </c>
      <c r="AD236" s="49">
        <f t="shared" si="112"/>
        <v>41.089573206049216</v>
      </c>
      <c r="AE236" s="49">
        <f t="shared" si="112"/>
        <v>41.089573206049216</v>
      </c>
      <c r="AF236" s="49">
        <f t="shared" si="112"/>
        <v>41.089573206049216</v>
      </c>
      <c r="AH236" s="49">
        <f t="shared" si="113"/>
        <v>521.83757971682508</v>
      </c>
      <c r="AI236" s="49">
        <f t="shared" si="114"/>
        <v>499.90872327949148</v>
      </c>
      <c r="AJ236" s="49">
        <f t="shared" si="115"/>
        <v>478.98013046912388</v>
      </c>
      <c r="AK236" s="49">
        <f t="shared" si="116"/>
        <v>459.00617522554506</v>
      </c>
      <c r="AL236" s="49">
        <f t="shared" si="117"/>
        <v>439.94331267728739</v>
      </c>
      <c r="AN236" s="49">
        <f t="shared" si="101"/>
        <v>11188.690784007202</v>
      </c>
      <c r="AO236" s="49">
        <f t="shared" si="118"/>
        <v>10688.78206072771</v>
      </c>
      <c r="AP236" s="49">
        <f t="shared" si="119"/>
        <v>10209.801930258585</v>
      </c>
      <c r="AQ236" s="49">
        <f t="shared" si="120"/>
        <v>9750.7957550330411</v>
      </c>
      <c r="AR236" s="49">
        <f t="shared" si="121"/>
        <v>9310.8524423557537</v>
      </c>
      <c r="AT236" s="49">
        <f t="shared" si="122"/>
        <v>124.86062073864423</v>
      </c>
      <c r="AU236" s="49">
        <f t="shared" si="122"/>
        <v>132.07157130754243</v>
      </c>
      <c r="AV236" s="49">
        <f t="shared" si="122"/>
        <v>142.06674782409723</v>
      </c>
      <c r="AW236" s="49">
        <f t="shared" si="122"/>
        <v>145.46043829611929</v>
      </c>
      <c r="AX236" s="49">
        <f t="shared" si="122"/>
        <v>147.34153268416469</v>
      </c>
      <c r="AZ236" s="53">
        <f t="shared" si="123"/>
        <v>1027.1136871117142</v>
      </c>
      <c r="BA236" s="53">
        <f t="shared" si="124"/>
        <v>984.71010259104833</v>
      </c>
      <c r="BB236" s="53">
        <f t="shared" si="125"/>
        <v>1009.0193516430473</v>
      </c>
      <c r="BC236" s="53">
        <f t="shared" si="126"/>
        <v>974.99685221291986</v>
      </c>
      <c r="BD236" s="53">
        <f t="shared" si="127"/>
        <v>941.09723817097074</v>
      </c>
    </row>
    <row r="237" spans="2:56">
      <c r="B237" s="43">
        <f>'12. Investeringen (bijschatten)'!B40</f>
        <v>21</v>
      </c>
      <c r="C237" s="54"/>
      <c r="E237" s="54"/>
      <c r="F237" s="179">
        <f>'12. Investeringen (bijschatten)'!C40</f>
        <v>6654019.8779814392</v>
      </c>
      <c r="H237" s="43">
        <f>'12. Investeringen (bijschatten)'!D40</f>
        <v>2020</v>
      </c>
      <c r="I237" s="43" t="str">
        <f>'12. Investeringen (bijschatten)'!E40</f>
        <v>36 Luchtscheidingsunit</v>
      </c>
      <c r="J237" s="179">
        <f>_xlfn.XLOOKUP(I237,'3. Input (des)investeringen '!$B$11:$B$81,'3. Input (des)investeringen '!$D$11:$D$81)</f>
        <v>30</v>
      </c>
      <c r="K237" s="165"/>
      <c r="L237" s="165"/>
      <c r="M237" s="49">
        <f t="shared" si="105"/>
        <v>110900.33129969066</v>
      </c>
      <c r="N237" s="49">
        <f t="shared" si="106"/>
        <v>225349.47320097144</v>
      </c>
      <c r="P237" s="147">
        <f t="shared" si="107"/>
        <v>6543119.5466817487</v>
      </c>
      <c r="Q237" s="147">
        <f t="shared" si="108"/>
        <v>6422459.9862276856</v>
      </c>
      <c r="S237" s="49">
        <f t="shared" si="109"/>
        <v>6422459.9862276856</v>
      </c>
      <c r="T237" s="44">
        <f t="shared" si="110"/>
        <v>28.5</v>
      </c>
      <c r="V237" s="49">
        <f t="shared" si="111"/>
        <v>263658.88364513661</v>
      </c>
      <c r="W237" s="49">
        <f t="shared" si="111"/>
        <v>251632.33807535842</v>
      </c>
      <c r="X237" s="49">
        <f t="shared" si="111"/>
        <v>240154.37177718416</v>
      </c>
      <c r="Y237" s="49">
        <f t="shared" si="111"/>
        <v>229199.96183647049</v>
      </c>
      <c r="Z237" s="49">
        <f t="shared" si="111"/>
        <v>218745.2267351578</v>
      </c>
      <c r="AB237" s="49">
        <f t="shared" si="112"/>
        <v>22534.947320097141</v>
      </c>
      <c r="AC237" s="49">
        <f t="shared" si="112"/>
        <v>22534.947320097144</v>
      </c>
      <c r="AD237" s="49">
        <f t="shared" si="112"/>
        <v>22534.947320097144</v>
      </c>
      <c r="AE237" s="49">
        <f t="shared" si="112"/>
        <v>22534.947320097144</v>
      </c>
      <c r="AF237" s="49">
        <f t="shared" si="112"/>
        <v>22534.947320097144</v>
      </c>
      <c r="AH237" s="49">
        <f t="shared" si="113"/>
        <v>286193.83096523373</v>
      </c>
      <c r="AI237" s="49">
        <f t="shared" si="114"/>
        <v>274167.28539545555</v>
      </c>
      <c r="AJ237" s="49">
        <f t="shared" si="115"/>
        <v>262689.31909728132</v>
      </c>
      <c r="AK237" s="49">
        <f t="shared" si="116"/>
        <v>251734.90915656765</v>
      </c>
      <c r="AL237" s="49">
        <f t="shared" si="117"/>
        <v>241280.17405525496</v>
      </c>
      <c r="AN237" s="49">
        <f t="shared" si="101"/>
        <v>6136266.1552624516</v>
      </c>
      <c r="AO237" s="49">
        <f t="shared" si="118"/>
        <v>5862098.8698669961</v>
      </c>
      <c r="AP237" s="49">
        <f t="shared" si="119"/>
        <v>5599409.5507697146</v>
      </c>
      <c r="AQ237" s="49">
        <f t="shared" si="120"/>
        <v>5347674.6416131472</v>
      </c>
      <c r="AR237" s="49">
        <f t="shared" si="121"/>
        <v>5106394.4675578922</v>
      </c>
      <c r="AT237" s="49">
        <f t="shared" si="122"/>
        <v>68477.895756915255</v>
      </c>
      <c r="AU237" s="49">
        <f t="shared" si="122"/>
        <v>72432.631192668618</v>
      </c>
      <c r="AV237" s="49">
        <f t="shared" si="122"/>
        <v>77914.332721329803</v>
      </c>
      <c r="AW237" s="49">
        <f t="shared" si="122"/>
        <v>79775.550301376934</v>
      </c>
      <c r="AX237" s="49">
        <f t="shared" si="122"/>
        <v>80807.207717874335</v>
      </c>
      <c r="AZ237" s="53">
        <f t="shared" si="123"/>
        <v>563304.77600107237</v>
      </c>
      <c r="BA237" s="53">
        <f t="shared" si="124"/>
        <v>540049.17929373507</v>
      </c>
      <c r="BB237" s="53">
        <f t="shared" si="125"/>
        <v>553381.21474786021</v>
      </c>
      <c r="BC237" s="53">
        <f t="shared" si="126"/>
        <v>534722.0958392442</v>
      </c>
      <c r="BD237" s="53">
        <f t="shared" si="127"/>
        <v>516130.37154032919</v>
      </c>
    </row>
    <row r="238" spans="2:56">
      <c r="B238" s="43">
        <f>'12. Investeringen (bijschatten)'!B41</f>
        <v>22</v>
      </c>
      <c r="C238" s="54"/>
      <c r="E238" s="54"/>
      <c r="F238" s="179">
        <f>'12. Investeringen (bijschatten)'!C41</f>
        <v>4047998.6160165961</v>
      </c>
      <c r="H238" s="43">
        <f>'12. Investeringen (bijschatten)'!D41</f>
        <v>2020</v>
      </c>
      <c r="I238" s="43" t="str">
        <f>'12. Investeringen (bijschatten)'!E41</f>
        <v>37 ICT middelen 1</v>
      </c>
      <c r="J238" s="179">
        <f>_xlfn.XLOOKUP(I238,'3. Input (des)investeringen '!$B$11:$B$81,'3. Input (des)investeringen '!$D$11:$D$81)</f>
        <v>5</v>
      </c>
      <c r="K238" s="165"/>
      <c r="L238" s="165"/>
      <c r="M238" s="49">
        <f t="shared" si="105"/>
        <v>404799.86160165962</v>
      </c>
      <c r="N238" s="49">
        <f t="shared" si="106"/>
        <v>822553.31877457234</v>
      </c>
      <c r="P238" s="147">
        <f t="shared" si="107"/>
        <v>3643198.7544149365</v>
      </c>
      <c r="Q238" s="147">
        <f t="shared" si="108"/>
        <v>2878936.6157110035</v>
      </c>
      <c r="S238" s="49">
        <f t="shared" si="109"/>
        <v>2878936.6157110035</v>
      </c>
      <c r="T238" s="44">
        <f t="shared" si="110"/>
        <v>3.5</v>
      </c>
      <c r="V238" s="49">
        <f t="shared" si="111"/>
        <v>962387.38296624983</v>
      </c>
      <c r="W238" s="49">
        <f t="shared" si="111"/>
        <v>651462.22846946144</v>
      </c>
      <c r="X238" s="49">
        <f t="shared" si="111"/>
        <v>651462.22846946144</v>
      </c>
      <c r="Y238" s="49">
        <f t="shared" si="111"/>
        <v>325731.11423473072</v>
      </c>
      <c r="Z238" s="49">
        <f t="shared" si="111"/>
        <v>0</v>
      </c>
      <c r="AB238" s="49">
        <f t="shared" si="112"/>
        <v>82255.33187745724</v>
      </c>
      <c r="AC238" s="49">
        <f t="shared" si="112"/>
        <v>82255.33187745724</v>
      </c>
      <c r="AD238" s="49">
        <f t="shared" si="112"/>
        <v>82255.33187745724</v>
      </c>
      <c r="AE238" s="49">
        <f t="shared" si="112"/>
        <v>41127.66593872862</v>
      </c>
      <c r="AF238" s="49">
        <f t="shared" si="112"/>
        <v>0</v>
      </c>
      <c r="AH238" s="49">
        <f t="shared" si="113"/>
        <v>1044642.714843707</v>
      </c>
      <c r="AI238" s="49">
        <f t="shared" si="114"/>
        <v>733717.56034691865</v>
      </c>
      <c r="AJ238" s="49">
        <f t="shared" si="115"/>
        <v>733717.56034691865</v>
      </c>
      <c r="AK238" s="49">
        <f t="shared" si="116"/>
        <v>366858.78017345932</v>
      </c>
      <c r="AL238" s="49">
        <f t="shared" si="117"/>
        <v>0</v>
      </c>
      <c r="AN238" s="49">
        <f t="shared" si="101"/>
        <v>1834293.9008672964</v>
      </c>
      <c r="AO238" s="49">
        <f t="shared" si="118"/>
        <v>1100576.3405203777</v>
      </c>
      <c r="AP238" s="49">
        <f t="shared" si="119"/>
        <v>366858.78017345909</v>
      </c>
      <c r="AQ238" s="49">
        <f t="shared" si="120"/>
        <v>0</v>
      </c>
      <c r="AR238" s="49">
        <f t="shared" si="121"/>
        <v>0</v>
      </c>
      <c r="AT238" s="49">
        <f t="shared" si="122"/>
        <v>41658.791577853313</v>
      </c>
      <c r="AU238" s="49">
        <f t="shared" si="122"/>
        <v>44064.670109057501</v>
      </c>
      <c r="AV238" s="49">
        <f t="shared" si="122"/>
        <v>47399.484342910975</v>
      </c>
      <c r="AW238" s="49">
        <f t="shared" si="122"/>
        <v>48531.763224894436</v>
      </c>
      <c r="AX238" s="49">
        <f t="shared" si="122"/>
        <v>49159.375986918763</v>
      </c>
      <c r="AZ238" s="53">
        <f t="shared" si="123"/>
        <v>1148667.4990510484</v>
      </c>
      <c r="BA238" s="53">
        <f t="shared" si="124"/>
        <v>814101.24969314854</v>
      </c>
      <c r="BB238" s="53">
        <f t="shared" si="125"/>
        <v>795057.67833642103</v>
      </c>
      <c r="BC238" s="53">
        <f t="shared" si="126"/>
        <v>415390.54339835374</v>
      </c>
      <c r="BD238" s="53">
        <f t="shared" si="127"/>
        <v>49159.375986918763</v>
      </c>
    </row>
    <row r="239" spans="2:56">
      <c r="B239" s="43">
        <f>'12. Investeringen (bijschatten)'!B42</f>
        <v>23</v>
      </c>
      <c r="C239" s="54"/>
      <c r="E239" s="54"/>
      <c r="F239" s="179">
        <f>'12. Investeringen (bijschatten)'!C42</f>
        <v>2403625.2498371834</v>
      </c>
      <c r="H239" s="43">
        <f>'12. Investeringen (bijschatten)'!D42</f>
        <v>2020</v>
      </c>
      <c r="I239" s="43" t="str">
        <f>'12. Investeringen (bijschatten)'!E42</f>
        <v>38 ICT middelen 2</v>
      </c>
      <c r="J239" s="179">
        <f>_xlfn.XLOOKUP(I239,'3. Input (des)investeringen '!$B$11:$B$81,'3. Input (des)investeringen '!$D$11:$D$81)</f>
        <v>10</v>
      </c>
      <c r="K239" s="165"/>
      <c r="L239" s="165"/>
      <c r="M239" s="49">
        <f t="shared" si="105"/>
        <v>120181.26249185918</v>
      </c>
      <c r="N239" s="49">
        <f t="shared" si="106"/>
        <v>244208.32538345785</v>
      </c>
      <c r="P239" s="147">
        <f t="shared" si="107"/>
        <v>2283443.9873453244</v>
      </c>
      <c r="Q239" s="147">
        <f t="shared" si="108"/>
        <v>2075770.7657593917</v>
      </c>
      <c r="S239" s="49">
        <f t="shared" si="109"/>
        <v>2075770.7657593917</v>
      </c>
      <c r="T239" s="44">
        <f t="shared" si="110"/>
        <v>8.5</v>
      </c>
      <c r="V239" s="49">
        <f t="shared" si="111"/>
        <v>285723.74069864571</v>
      </c>
      <c r="W239" s="49">
        <f t="shared" si="111"/>
        <v>242024.81565061753</v>
      </c>
      <c r="X239" s="49">
        <f t="shared" si="111"/>
        <v>206222.32812833681</v>
      </c>
      <c r="Y239" s="49">
        <f t="shared" si="111"/>
        <v>206222.32812833681</v>
      </c>
      <c r="Z239" s="49">
        <f t="shared" si="111"/>
        <v>206222.32812833681</v>
      </c>
      <c r="AB239" s="49">
        <f t="shared" si="112"/>
        <v>24420.832538345789</v>
      </c>
      <c r="AC239" s="49">
        <f t="shared" si="112"/>
        <v>24420.832538345785</v>
      </c>
      <c r="AD239" s="49">
        <f t="shared" si="112"/>
        <v>24420.832538345785</v>
      </c>
      <c r="AE239" s="49">
        <f t="shared" si="112"/>
        <v>24420.832538345785</v>
      </c>
      <c r="AF239" s="49">
        <f t="shared" si="112"/>
        <v>24420.832538345785</v>
      </c>
      <c r="AH239" s="49">
        <f t="shared" si="113"/>
        <v>310144.57323699148</v>
      </c>
      <c r="AI239" s="49">
        <f t="shared" si="114"/>
        <v>266445.6481889633</v>
      </c>
      <c r="AJ239" s="49">
        <f t="shared" si="115"/>
        <v>230643.16066668258</v>
      </c>
      <c r="AK239" s="49">
        <f t="shared" si="116"/>
        <v>230643.16066668258</v>
      </c>
      <c r="AL239" s="49">
        <f t="shared" si="117"/>
        <v>230643.16066668258</v>
      </c>
      <c r="AN239" s="49">
        <f t="shared" si="101"/>
        <v>1765626.1925224003</v>
      </c>
      <c r="AO239" s="49">
        <f t="shared" si="118"/>
        <v>1499180.544333437</v>
      </c>
      <c r="AP239" s="49">
        <f t="shared" si="119"/>
        <v>1268537.3836667545</v>
      </c>
      <c r="AQ239" s="49">
        <f t="shared" si="120"/>
        <v>1037894.2230000719</v>
      </c>
      <c r="AR239" s="49">
        <f t="shared" si="121"/>
        <v>807251.06233338942</v>
      </c>
      <c r="AT239" s="49">
        <f t="shared" si="122"/>
        <v>24736.204928045925</v>
      </c>
      <c r="AU239" s="49">
        <f t="shared" si="122"/>
        <v>26164.770235050433</v>
      </c>
      <c r="AV239" s="49">
        <f t="shared" si="122"/>
        <v>28144.920046439056</v>
      </c>
      <c r="AW239" s="49">
        <f t="shared" si="122"/>
        <v>28817.245896508393</v>
      </c>
      <c r="AX239" s="49">
        <f t="shared" si="122"/>
        <v>29189.910520442041</v>
      </c>
      <c r="AZ239" s="53">
        <f t="shared" si="123"/>
        <v>394912.06871079904</v>
      </c>
      <c r="BA239" s="53">
        <f t="shared" si="124"/>
        <v>342083.37638701714</v>
      </c>
      <c r="BB239" s="53">
        <f t="shared" si="125"/>
        <v>306992.50129245827</v>
      </c>
      <c r="BC239" s="53">
        <f t="shared" si="126"/>
        <v>298900.38703719369</v>
      </c>
      <c r="BD239" s="53">
        <f t="shared" si="127"/>
        <v>290508.61155579344</v>
      </c>
    </row>
    <row r="240" spans="2:56">
      <c r="B240" s="43">
        <f>'12. Investeringen (bijschatten)'!B43</f>
        <v>24</v>
      </c>
      <c r="C240" s="54"/>
      <c r="E240" s="54"/>
      <c r="F240" s="179">
        <f>'12. Investeringen (bijschatten)'!C43</f>
        <v>437.7361508808076</v>
      </c>
      <c r="H240" s="43">
        <f>'12. Investeringen (bijschatten)'!D43</f>
        <v>2020</v>
      </c>
      <c r="I240" s="43" t="str">
        <f>'12. Investeringen (bijschatten)'!E43</f>
        <v>39 ICT middelen 3</v>
      </c>
      <c r="J240" s="179">
        <f>_xlfn.XLOOKUP(I240,'3. Input (des)investeringen '!$B$11:$B$81,'3. Input (des)investeringen '!$D$11:$D$81)</f>
        <v>15</v>
      </c>
      <c r="K240" s="165"/>
      <c r="L240" s="165"/>
      <c r="M240" s="49">
        <f t="shared" si="105"/>
        <v>14.591205029360253</v>
      </c>
      <c r="N240" s="49">
        <f t="shared" si="106"/>
        <v>29.649328619660036</v>
      </c>
      <c r="P240" s="147">
        <f t="shared" si="107"/>
        <v>423.14494585144735</v>
      </c>
      <c r="Q240" s="147">
        <f t="shared" si="108"/>
        <v>400.26593636541048</v>
      </c>
      <c r="S240" s="49">
        <f t="shared" si="109"/>
        <v>400.26593636541048</v>
      </c>
      <c r="T240" s="44">
        <f t="shared" si="110"/>
        <v>13.5</v>
      </c>
      <c r="V240" s="49">
        <f t="shared" si="111"/>
        <v>34.689714485002241</v>
      </c>
      <c r="W240" s="49">
        <f t="shared" si="111"/>
        <v>31.349223460520545</v>
      </c>
      <c r="X240" s="49">
        <f t="shared" si="111"/>
        <v>28.330409349507455</v>
      </c>
      <c r="Y240" s="49">
        <f t="shared" si="111"/>
        <v>25.602295856591919</v>
      </c>
      <c r="Z240" s="49">
        <f t="shared" si="111"/>
        <v>25.291336797604973</v>
      </c>
      <c r="AB240" s="49">
        <f t="shared" si="112"/>
        <v>2.9649328619660036</v>
      </c>
      <c r="AC240" s="49">
        <f t="shared" si="112"/>
        <v>2.9649328619660036</v>
      </c>
      <c r="AD240" s="49">
        <f t="shared" si="112"/>
        <v>2.9649328619660036</v>
      </c>
      <c r="AE240" s="49">
        <f t="shared" si="112"/>
        <v>2.9649328619660036</v>
      </c>
      <c r="AF240" s="49">
        <f t="shared" si="112"/>
        <v>2.9649328619660036</v>
      </c>
      <c r="AH240" s="49">
        <f t="shared" si="113"/>
        <v>37.654647346968247</v>
      </c>
      <c r="AI240" s="49">
        <f t="shared" si="114"/>
        <v>34.314156322486546</v>
      </c>
      <c r="AJ240" s="49">
        <f t="shared" si="115"/>
        <v>31.295342211473461</v>
      </c>
      <c r="AK240" s="49">
        <f t="shared" si="116"/>
        <v>28.567228718557921</v>
      </c>
      <c r="AL240" s="49">
        <f t="shared" si="117"/>
        <v>28.256269659570975</v>
      </c>
      <c r="AN240" s="49">
        <f t="shared" si="101"/>
        <v>362.61128901844222</v>
      </c>
      <c r="AO240" s="49">
        <f t="shared" si="118"/>
        <v>328.29713269595567</v>
      </c>
      <c r="AP240" s="49">
        <f t="shared" si="119"/>
        <v>297.00179048448223</v>
      </c>
      <c r="AQ240" s="49">
        <f t="shared" si="120"/>
        <v>268.43456176592429</v>
      </c>
      <c r="AR240" s="49">
        <f t="shared" si="121"/>
        <v>240.1782921063533</v>
      </c>
      <c r="AT240" s="49">
        <f t="shared" si="122"/>
        <v>4.5048333276308981</v>
      </c>
      <c r="AU240" s="49">
        <f t="shared" si="122"/>
        <v>4.7649964619682379</v>
      </c>
      <c r="AV240" s="49">
        <f t="shared" si="122"/>
        <v>5.1256113942099946</v>
      </c>
      <c r="AW240" s="49">
        <f t="shared" si="122"/>
        <v>5.2480519991948835</v>
      </c>
      <c r="AX240" s="49">
        <f t="shared" si="122"/>
        <v>5.3159198076484708</v>
      </c>
      <c r="AZ240" s="53">
        <f t="shared" si="123"/>
        <v>54.488264501226183</v>
      </c>
      <c r="BA240" s="53">
        <f t="shared" si="124"/>
        <v>49.912958163421322</v>
      </c>
      <c r="BB240" s="53">
        <f t="shared" si="125"/>
        <v>47.707021644093786</v>
      </c>
      <c r="BC240" s="53">
        <f t="shared" si="126"/>
        <v>44.015794064857928</v>
      </c>
      <c r="BD240" s="53">
        <f t="shared" si="127"/>
        <v>42.698964567260873</v>
      </c>
    </row>
    <row r="241" spans="2:56">
      <c r="B241" s="43">
        <f>'12. Investeringen (bijschatten)'!B44</f>
        <v>25</v>
      </c>
      <c r="C241" s="54"/>
      <c r="E241" s="54"/>
      <c r="F241" s="179">
        <f>'12. Investeringen (bijschatten)'!C44</f>
        <v>11388.804547887481</v>
      </c>
      <c r="H241" s="43">
        <f>'12. Investeringen (bijschatten)'!D44</f>
        <v>2020</v>
      </c>
      <c r="I241" s="43" t="str">
        <f>'12. Investeringen (bijschatten)'!E44</f>
        <v>41 Stikstofbuffer</v>
      </c>
      <c r="J241" s="179">
        <f>_xlfn.XLOOKUP(I241,'3. Input (des)investeringen '!$B$11:$B$81,'3. Input (des)investeringen '!$D$11:$D$81)</f>
        <v>30</v>
      </c>
      <c r="K241" s="165"/>
      <c r="L241" s="165"/>
      <c r="M241" s="49">
        <f t="shared" si="105"/>
        <v>189.81340913145803</v>
      </c>
      <c r="N241" s="49">
        <f t="shared" si="106"/>
        <v>385.70084735512273</v>
      </c>
      <c r="P241" s="147">
        <f t="shared" si="107"/>
        <v>11198.991138756022</v>
      </c>
      <c r="Q241" s="147">
        <f t="shared" si="108"/>
        <v>10992.474149620995</v>
      </c>
      <c r="S241" s="49">
        <f t="shared" si="109"/>
        <v>10992.474149620995</v>
      </c>
      <c r="T241" s="44">
        <f t="shared" si="110"/>
        <v>28.5</v>
      </c>
      <c r="V241" s="49">
        <f t="shared" si="111"/>
        <v>451.26999140549356</v>
      </c>
      <c r="W241" s="49">
        <f t="shared" si="111"/>
        <v>430.68574618348856</v>
      </c>
      <c r="X241" s="49">
        <f t="shared" si="111"/>
        <v>411.04043144529436</v>
      </c>
      <c r="Y241" s="49">
        <f t="shared" si="111"/>
        <v>392.29121878287748</v>
      </c>
      <c r="Z241" s="49">
        <f t="shared" si="111"/>
        <v>374.39723336471116</v>
      </c>
      <c r="AB241" s="49">
        <f t="shared" si="112"/>
        <v>38.570084735512268</v>
      </c>
      <c r="AC241" s="49">
        <f t="shared" si="112"/>
        <v>38.570084735512268</v>
      </c>
      <c r="AD241" s="49">
        <f t="shared" si="112"/>
        <v>38.570084735512268</v>
      </c>
      <c r="AE241" s="49">
        <f t="shared" si="112"/>
        <v>38.570084735512268</v>
      </c>
      <c r="AF241" s="49">
        <f t="shared" si="112"/>
        <v>38.570084735512268</v>
      </c>
      <c r="AH241" s="49">
        <f t="shared" si="113"/>
        <v>489.84007614100585</v>
      </c>
      <c r="AI241" s="49">
        <f t="shared" si="114"/>
        <v>469.2558309190008</v>
      </c>
      <c r="AJ241" s="49">
        <f t="shared" si="115"/>
        <v>449.6105161808066</v>
      </c>
      <c r="AK241" s="49">
        <f t="shared" si="116"/>
        <v>430.86130351838972</v>
      </c>
      <c r="AL241" s="49">
        <f t="shared" si="117"/>
        <v>412.96731810022345</v>
      </c>
      <c r="AN241" s="49">
        <f t="shared" si="101"/>
        <v>10502.634073479989</v>
      </c>
      <c r="AO241" s="49">
        <f t="shared" si="118"/>
        <v>10033.378242560988</v>
      </c>
      <c r="AP241" s="49">
        <f t="shared" si="119"/>
        <v>9583.7677263801816</v>
      </c>
      <c r="AQ241" s="49">
        <f t="shared" si="120"/>
        <v>9152.9064228617917</v>
      </c>
      <c r="AR241" s="49">
        <f t="shared" si="121"/>
        <v>8739.9391047615682</v>
      </c>
      <c r="AT241" s="49">
        <f t="shared" si="122"/>
        <v>117.20454476049834</v>
      </c>
      <c r="AU241" s="49">
        <f t="shared" si="122"/>
        <v>123.97334162950663</v>
      </c>
      <c r="AV241" s="49">
        <f t="shared" si="122"/>
        <v>133.35564412402772</v>
      </c>
      <c r="AW241" s="49">
        <f t="shared" si="122"/>
        <v>136.54124375086252</v>
      </c>
      <c r="AX241" s="49">
        <f t="shared" si="122"/>
        <v>138.30699511504866</v>
      </c>
      <c r="AZ241" s="53">
        <f t="shared" si="123"/>
        <v>964.13417939982389</v>
      </c>
      <c r="BA241" s="53">
        <f t="shared" si="124"/>
        <v>924.33065455302005</v>
      </c>
      <c r="BB241" s="53">
        <f t="shared" si="125"/>
        <v>947.14933390728129</v>
      </c>
      <c r="BC241" s="53">
        <f t="shared" si="126"/>
        <v>915.21299133800039</v>
      </c>
      <c r="BD241" s="53">
        <f t="shared" si="127"/>
        <v>883.39199919621183</v>
      </c>
    </row>
    <row r="242" spans="2:56">
      <c r="B242" s="43">
        <f>'12. Investeringen (bijschatten)'!B45</f>
        <v>26</v>
      </c>
      <c r="C242" s="54"/>
      <c r="E242" s="54"/>
      <c r="F242" s="179">
        <f>'12. Investeringen (bijschatten)'!C45</f>
        <v>629346.76893527061</v>
      </c>
      <c r="H242" s="43">
        <f>'12. Investeringen (bijschatten)'!D45</f>
        <v>2020</v>
      </c>
      <c r="I242" s="43" t="str">
        <f>'12. Investeringen (bijschatten)'!E45</f>
        <v>42 Vulgas</v>
      </c>
      <c r="J242" s="179">
        <f>_xlfn.XLOOKUP(I242,'3. Input (des)investeringen '!$B$11:$B$81,'3. Input (des)investeringen '!$D$11:$D$81)</f>
        <v>0</v>
      </c>
      <c r="K242" s="165"/>
      <c r="L242" s="165"/>
      <c r="M242" s="49">
        <f t="shared" si="105"/>
        <v>0</v>
      </c>
      <c r="N242" s="49">
        <f t="shared" si="106"/>
        <v>0</v>
      </c>
      <c r="P242" s="147">
        <f t="shared" si="107"/>
        <v>629346.76893527061</v>
      </c>
      <c r="Q242" s="147">
        <f t="shared" si="108"/>
        <v>639416.31723823491</v>
      </c>
      <c r="S242" s="49">
        <f t="shared" si="109"/>
        <v>639416.31723823491</v>
      </c>
      <c r="T242" s="44">
        <f t="shared" si="110"/>
        <v>0</v>
      </c>
      <c r="V242" s="49">
        <f t="shared" si="111"/>
        <v>0</v>
      </c>
      <c r="W242" s="49">
        <f t="shared" si="111"/>
        <v>0</v>
      </c>
      <c r="X242" s="49">
        <f t="shared" si="111"/>
        <v>0</v>
      </c>
      <c r="Y242" s="49">
        <f t="shared" si="111"/>
        <v>0</v>
      </c>
      <c r="Z242" s="49">
        <f t="shared" si="111"/>
        <v>0</v>
      </c>
      <c r="AB242" s="49">
        <f t="shared" si="112"/>
        <v>0</v>
      </c>
      <c r="AC242" s="49">
        <f t="shared" si="112"/>
        <v>0</v>
      </c>
      <c r="AD242" s="49">
        <f t="shared" si="112"/>
        <v>0</v>
      </c>
      <c r="AE242" s="49">
        <f t="shared" si="112"/>
        <v>0</v>
      </c>
      <c r="AF242" s="49">
        <f t="shared" si="112"/>
        <v>0</v>
      </c>
      <c r="AH242" s="49">
        <f t="shared" si="113"/>
        <v>0</v>
      </c>
      <c r="AI242" s="49">
        <f t="shared" si="114"/>
        <v>0</v>
      </c>
      <c r="AJ242" s="49">
        <f t="shared" si="115"/>
        <v>0</v>
      </c>
      <c r="AK242" s="49">
        <f t="shared" si="116"/>
        <v>0</v>
      </c>
      <c r="AL242" s="49">
        <f t="shared" si="117"/>
        <v>0</v>
      </c>
      <c r="AN242" s="49">
        <f t="shared" si="101"/>
        <v>639416.31723823491</v>
      </c>
      <c r="AO242" s="49">
        <f t="shared" si="118"/>
        <v>639416.31723823491</v>
      </c>
      <c r="AP242" s="49">
        <f t="shared" si="119"/>
        <v>639416.31723823491</v>
      </c>
      <c r="AQ242" s="49">
        <f t="shared" si="120"/>
        <v>639416.31723823491</v>
      </c>
      <c r="AR242" s="49">
        <f t="shared" si="121"/>
        <v>639416.31723823491</v>
      </c>
      <c r="AT242" s="49">
        <f t="shared" si="122"/>
        <v>6476.7378559702438</v>
      </c>
      <c r="AU242" s="49">
        <f t="shared" si="122"/>
        <v>6850.7824206282376</v>
      </c>
      <c r="AV242" s="49">
        <f t="shared" si="122"/>
        <v>7369.2496342213835</v>
      </c>
      <c r="AW242" s="49">
        <f t="shared" si="122"/>
        <v>7545.2862694836658</v>
      </c>
      <c r="AX242" s="49">
        <f t="shared" si="122"/>
        <v>7642.8619115206275</v>
      </c>
      <c r="AZ242" s="53">
        <f t="shared" si="123"/>
        <v>28216.892642070234</v>
      </c>
      <c r="BA242" s="53">
        <f t="shared" si="124"/>
        <v>27951.520889489992</v>
      </c>
      <c r="BB242" s="53">
        <f t="shared" si="125"/>
        <v>31667.069689274307</v>
      </c>
      <c r="BC242" s="53">
        <f t="shared" si="126"/>
        <v>31843.106324536591</v>
      </c>
      <c r="BD242" s="53">
        <f t="shared" si="127"/>
        <v>31940.681966573553</v>
      </c>
    </row>
    <row r="243" spans="2:56">
      <c r="B243" s="43">
        <f>'12. Investeringen (bijschatten)'!B46</f>
        <v>27</v>
      </c>
      <c r="C243" s="54"/>
      <c r="E243" s="54"/>
      <c r="F243" s="179">
        <f>'12. Investeringen (bijschatten)'!C46</f>
        <v>17036.436079166462</v>
      </c>
      <c r="H243" s="43">
        <f>'12. Investeringen (bijschatten)'!D46</f>
        <v>2020</v>
      </c>
      <c r="I243" s="43" t="str">
        <f>'12. Investeringen (bijschatten)'!E46</f>
        <v>44 Stikstofleiding</v>
      </c>
      <c r="J243" s="179">
        <f>_xlfn.XLOOKUP(I243,'3. Input (des)investeringen '!$B$11:$B$81,'3. Input (des)investeringen '!$D$11:$D$81)</f>
        <v>55</v>
      </c>
      <c r="K243" s="165"/>
      <c r="L243" s="165"/>
      <c r="M243" s="49">
        <f t="shared" si="105"/>
        <v>154.87669162878601</v>
      </c>
      <c r="N243" s="49">
        <f t="shared" si="106"/>
        <v>314.70943738969322</v>
      </c>
      <c r="P243" s="147">
        <f t="shared" si="107"/>
        <v>16881.559387537676</v>
      </c>
      <c r="Q243" s="147">
        <f t="shared" si="108"/>
        <v>16836.954900348584</v>
      </c>
      <c r="S243" s="49">
        <f t="shared" si="109"/>
        <v>16836.954900348584</v>
      </c>
      <c r="T243" s="44">
        <f t="shared" si="110"/>
        <v>53.5</v>
      </c>
      <c r="V243" s="49">
        <f t="shared" si="111"/>
        <v>368.21004174594106</v>
      </c>
      <c r="W243" s="49">
        <f t="shared" si="111"/>
        <v>359.26288185304901</v>
      </c>
      <c r="X243" s="49">
        <f t="shared" si="111"/>
        <v>350.5331295837226</v>
      </c>
      <c r="Y243" s="49">
        <f t="shared" si="111"/>
        <v>342.01550213589383</v>
      </c>
      <c r="Z243" s="49">
        <f t="shared" si="111"/>
        <v>333.70484507464784</v>
      </c>
      <c r="AB243" s="49">
        <f t="shared" si="112"/>
        <v>31.470943738969318</v>
      </c>
      <c r="AC243" s="49">
        <f t="shared" si="112"/>
        <v>31.470943738969318</v>
      </c>
      <c r="AD243" s="49">
        <f t="shared" si="112"/>
        <v>31.470943738969318</v>
      </c>
      <c r="AE243" s="49">
        <f t="shared" si="112"/>
        <v>31.470943738969318</v>
      </c>
      <c r="AF243" s="49">
        <f t="shared" si="112"/>
        <v>31.470943738969318</v>
      </c>
      <c r="AH243" s="49">
        <f t="shared" si="113"/>
        <v>399.68098548491037</v>
      </c>
      <c r="AI243" s="49">
        <f t="shared" si="114"/>
        <v>390.73382559201832</v>
      </c>
      <c r="AJ243" s="49">
        <f t="shared" si="115"/>
        <v>382.00407332269191</v>
      </c>
      <c r="AK243" s="49">
        <f t="shared" si="116"/>
        <v>373.48644587486314</v>
      </c>
      <c r="AL243" s="49">
        <f t="shared" si="117"/>
        <v>365.17578881361715</v>
      </c>
      <c r="AN243" s="49">
        <f t="shared" si="101"/>
        <v>16437.273914863676</v>
      </c>
      <c r="AO243" s="49">
        <f t="shared" si="118"/>
        <v>16046.540089271657</v>
      </c>
      <c r="AP243" s="49">
        <f t="shared" si="119"/>
        <v>15664.536015948965</v>
      </c>
      <c r="AQ243" s="49">
        <f t="shared" si="120"/>
        <v>15291.049570074101</v>
      </c>
      <c r="AR243" s="49">
        <f t="shared" si="121"/>
        <v>14925.873781260485</v>
      </c>
      <c r="AT243" s="49">
        <f t="shared" si="122"/>
        <v>175.32548974777274</v>
      </c>
      <c r="AU243" s="49">
        <f t="shared" si="122"/>
        <v>185.45088743168614</v>
      </c>
      <c r="AV243" s="49">
        <f t="shared" si="122"/>
        <v>199.4858105925162</v>
      </c>
      <c r="AW243" s="49">
        <f t="shared" si="122"/>
        <v>204.25112763595021</v>
      </c>
      <c r="AX243" s="49">
        <f t="shared" si="122"/>
        <v>206.89250321853831</v>
      </c>
      <c r="AZ243" s="53">
        <f t="shared" si="123"/>
        <v>1133.8737883380481</v>
      </c>
      <c r="BA243" s="53">
        <f t="shared" si="124"/>
        <v>1105.7205359696691</v>
      </c>
      <c r="BB243" s="53">
        <f t="shared" si="125"/>
        <v>1176.7422525212687</v>
      </c>
      <c r="BC243" s="53">
        <f t="shared" si="126"/>
        <v>1158.7974571736293</v>
      </c>
      <c r="BD243" s="53">
        <f t="shared" si="127"/>
        <v>1139.2514957200538</v>
      </c>
    </row>
    <row r="244" spans="2:56">
      <c r="B244" s="43">
        <f>'12. Investeringen (bijschatten)'!B47</f>
        <v>28</v>
      </c>
      <c r="C244" s="54"/>
      <c r="E244" s="54"/>
      <c r="F244" s="179">
        <f>'12. Investeringen (bijschatten)'!C47</f>
        <v>25706134.090591587</v>
      </c>
      <c r="H244" s="43">
        <f>'12. Investeringen (bijschatten)'!D47</f>
        <v>2021</v>
      </c>
      <c r="I244" s="43" t="str">
        <f>'12. Investeringen (bijschatten)'!E47</f>
        <v>01 Regionale leidingen</v>
      </c>
      <c r="J244" s="179">
        <f>_xlfn.XLOOKUP(I244,'3. Input (des)investeringen '!$B$11:$B$81,'3. Input (des)investeringen '!$D$11:$D$81)</f>
        <v>55</v>
      </c>
      <c r="K244" s="165"/>
      <c r="L244" s="165"/>
      <c r="M244" s="49">
        <f t="shared" si="105"/>
        <v>0</v>
      </c>
      <c r="N244" s="49">
        <f t="shared" si="106"/>
        <v>233692.12809628717</v>
      </c>
      <c r="P244" s="147">
        <f t="shared" si="107"/>
        <v>0</v>
      </c>
      <c r="Q244" s="147">
        <f t="shared" si="108"/>
        <v>25472441.962495301</v>
      </c>
      <c r="S244" s="49">
        <f t="shared" si="109"/>
        <v>25472441.962495301</v>
      </c>
      <c r="T244" s="44">
        <f t="shared" si="110"/>
        <v>54.5</v>
      </c>
      <c r="V244" s="49">
        <f t="shared" si="111"/>
        <v>546839.57974531199</v>
      </c>
      <c r="W244" s="49">
        <f t="shared" si="111"/>
        <v>533795.69986147888</v>
      </c>
      <c r="X244" s="49">
        <f t="shared" si="111"/>
        <v>521062.95839689317</v>
      </c>
      <c r="Y244" s="49">
        <f t="shared" si="111"/>
        <v>508633.93370118749</v>
      </c>
      <c r="Z244" s="49">
        <f t="shared" si="111"/>
        <v>496501.38115418667</v>
      </c>
      <c r="AB244" s="49">
        <f t="shared" si="112"/>
        <v>46738.425619257439</v>
      </c>
      <c r="AC244" s="49">
        <f t="shared" si="112"/>
        <v>46738.425619257432</v>
      </c>
      <c r="AD244" s="49">
        <f t="shared" si="112"/>
        <v>46738.425619257432</v>
      </c>
      <c r="AE244" s="49">
        <f t="shared" si="112"/>
        <v>46738.425619257432</v>
      </c>
      <c r="AF244" s="49">
        <f t="shared" si="112"/>
        <v>46738.425619257432</v>
      </c>
      <c r="AH244" s="49">
        <f t="shared" si="113"/>
        <v>593578.00536456937</v>
      </c>
      <c r="AI244" s="49">
        <f t="shared" si="114"/>
        <v>580534.12548073626</v>
      </c>
      <c r="AJ244" s="49">
        <f t="shared" si="115"/>
        <v>567801.38401615061</v>
      </c>
      <c r="AK244" s="49">
        <f t="shared" si="116"/>
        <v>555372.35932044487</v>
      </c>
      <c r="AL244" s="49">
        <f t="shared" si="117"/>
        <v>543239.80677344406</v>
      </c>
      <c r="AN244" s="49">
        <f t="shared" si="101"/>
        <v>24878863.95713073</v>
      </c>
      <c r="AO244" s="49">
        <f t="shared" si="118"/>
        <v>24298329.831649993</v>
      </c>
      <c r="AP244" s="49">
        <f t="shared" si="119"/>
        <v>23730528.44763384</v>
      </c>
      <c r="AQ244" s="49">
        <f t="shared" si="120"/>
        <v>23175156.088313397</v>
      </c>
      <c r="AR244" s="49">
        <f t="shared" si="121"/>
        <v>22631916.281539954</v>
      </c>
      <c r="AT244" s="49">
        <f t="shared" si="122"/>
        <v>260641.69126205347</v>
      </c>
      <c r="AU244" s="49">
        <f t="shared" si="122"/>
        <v>275694.27021581959</v>
      </c>
      <c r="AV244" s="49">
        <f t="shared" si="122"/>
        <v>296558.81258575281</v>
      </c>
      <c r="AW244" s="49">
        <f t="shared" si="122"/>
        <v>303643.00950080133</v>
      </c>
      <c r="AX244" s="49">
        <f t="shared" si="122"/>
        <v>307569.72089966561</v>
      </c>
      <c r="AZ244" s="53">
        <f t="shared" si="123"/>
        <v>1700101.0711690679</v>
      </c>
      <c r="BA244" s="53">
        <f t="shared" si="124"/>
        <v>1658073.2801410058</v>
      </c>
      <c r="BB244" s="53">
        <f t="shared" si="125"/>
        <v>1766120.2776119895</v>
      </c>
      <c r="BC244" s="53">
        <f t="shared" si="126"/>
        <v>1739671.3001771553</v>
      </c>
      <c r="BD244" s="53">
        <f t="shared" si="127"/>
        <v>1710822.3463716279</v>
      </c>
    </row>
    <row r="245" spans="2:56">
      <c r="B245" s="43">
        <f>'12. Investeringen (bijschatten)'!B48</f>
        <v>29</v>
      </c>
      <c r="C245" s="54"/>
      <c r="E245" s="54"/>
      <c r="F245" s="179">
        <f>'12. Investeringen (bijschatten)'!C48</f>
        <v>4851611.3998010792</v>
      </c>
      <c r="H245" s="43">
        <f>'12. Investeringen (bijschatten)'!D48</f>
        <v>2021</v>
      </c>
      <c r="I245" s="43" t="str">
        <f>'12. Investeringen (bijschatten)'!E48</f>
        <v>02 Gasontvangststations</v>
      </c>
      <c r="J245" s="179">
        <f>_xlfn.XLOOKUP(I245,'3. Input (des)investeringen '!$B$11:$B$81,'3. Input (des)investeringen '!$D$11:$D$81)</f>
        <v>30</v>
      </c>
      <c r="K245" s="165"/>
      <c r="L245" s="165"/>
      <c r="M245" s="49">
        <f t="shared" si="105"/>
        <v>0</v>
      </c>
      <c r="N245" s="49">
        <f t="shared" si="106"/>
        <v>80860.189996684654</v>
      </c>
      <c r="P245" s="147">
        <f t="shared" si="107"/>
        <v>0</v>
      </c>
      <c r="Q245" s="147">
        <f t="shared" si="108"/>
        <v>4770751.2098043943</v>
      </c>
      <c r="S245" s="49">
        <f t="shared" si="109"/>
        <v>4770751.2098043943</v>
      </c>
      <c r="T245" s="44">
        <f t="shared" si="110"/>
        <v>29.5</v>
      </c>
      <c r="V245" s="49">
        <f t="shared" si="111"/>
        <v>189212.84459224207</v>
      </c>
      <c r="W245" s="49">
        <f t="shared" si="111"/>
        <v>180874.65144071952</v>
      </c>
      <c r="X245" s="49">
        <f t="shared" si="111"/>
        <v>172903.90408909461</v>
      </c>
      <c r="Y245" s="49">
        <f t="shared" si="111"/>
        <v>165284.41001059214</v>
      </c>
      <c r="Z245" s="49">
        <f t="shared" si="111"/>
        <v>158000.6902474135</v>
      </c>
      <c r="AB245" s="49">
        <f t="shared" si="112"/>
        <v>16172.037999336932</v>
      </c>
      <c r="AC245" s="49">
        <f t="shared" si="112"/>
        <v>16172.03799933693</v>
      </c>
      <c r="AD245" s="49">
        <f t="shared" si="112"/>
        <v>16172.03799933693</v>
      </c>
      <c r="AE245" s="49">
        <f t="shared" si="112"/>
        <v>16172.03799933693</v>
      </c>
      <c r="AF245" s="49">
        <f t="shared" si="112"/>
        <v>16172.03799933693</v>
      </c>
      <c r="AH245" s="49">
        <f t="shared" si="113"/>
        <v>205384.88259157899</v>
      </c>
      <c r="AI245" s="49">
        <f t="shared" si="114"/>
        <v>197046.68944005645</v>
      </c>
      <c r="AJ245" s="49">
        <f t="shared" si="115"/>
        <v>189075.94208843153</v>
      </c>
      <c r="AK245" s="49">
        <f t="shared" si="116"/>
        <v>181456.44800992907</v>
      </c>
      <c r="AL245" s="49">
        <f t="shared" si="117"/>
        <v>174172.72824675043</v>
      </c>
      <c r="AN245" s="49">
        <f t="shared" si="101"/>
        <v>4565366.3272128152</v>
      </c>
      <c r="AO245" s="49">
        <f t="shared" si="118"/>
        <v>4368319.6377727585</v>
      </c>
      <c r="AP245" s="49">
        <f t="shared" si="119"/>
        <v>4179243.6956843268</v>
      </c>
      <c r="AQ245" s="49">
        <f t="shared" si="120"/>
        <v>3997787.2476743977</v>
      </c>
      <c r="AR245" s="49">
        <f t="shared" si="121"/>
        <v>3823614.5194276473</v>
      </c>
      <c r="AT245" s="49">
        <f t="shared" si="122"/>
        <v>49191.846433775092</v>
      </c>
      <c r="AU245" s="49">
        <f t="shared" si="122"/>
        <v>52032.773949018469</v>
      </c>
      <c r="AV245" s="49">
        <f t="shared" si="122"/>
        <v>55970.614281480186</v>
      </c>
      <c r="AW245" s="49">
        <f t="shared" si="122"/>
        <v>57307.640315436183</v>
      </c>
      <c r="AX245" s="49">
        <f t="shared" si="122"/>
        <v>58048.742719995396</v>
      </c>
      <c r="AZ245" s="53">
        <f t="shared" si="123"/>
        <v>409799.1841505898</v>
      </c>
      <c r="BA245" s="53">
        <f t="shared" si="124"/>
        <v>393234.0114355759</v>
      </c>
      <c r="BB245" s="53">
        <f t="shared" si="125"/>
        <v>403857.81680591614</v>
      </c>
      <c r="BC245" s="53">
        <f t="shared" si="126"/>
        <v>390680.00373699237</v>
      </c>
      <c r="BD245" s="53">
        <f t="shared" si="127"/>
        <v>377518.82270499639</v>
      </c>
    </row>
    <row r="246" spans="2:56">
      <c r="B246" s="43">
        <f>'12. Investeringen (bijschatten)'!B49</f>
        <v>30</v>
      </c>
      <c r="C246" s="54"/>
      <c r="E246" s="54"/>
      <c r="F246" s="179">
        <f>'12. Investeringen (bijschatten)'!C49</f>
        <v>1383899.1314390239</v>
      </c>
      <c r="H246" s="43">
        <f>'12. Investeringen (bijschatten)'!D49</f>
        <v>2021</v>
      </c>
      <c r="I246" s="43" t="str">
        <f>'12. Investeringen (bijschatten)'!E49</f>
        <v>02 Gasontvangststations (EHD)</v>
      </c>
      <c r="J246" s="179">
        <f>_xlfn.XLOOKUP(I246,'3. Input (des)investeringen '!$B$11:$B$81,'3. Input (des)investeringen '!$D$11:$D$81)</f>
        <v>30</v>
      </c>
      <c r="K246" s="165"/>
      <c r="L246" s="165"/>
      <c r="M246" s="49">
        <f t="shared" si="105"/>
        <v>0</v>
      </c>
      <c r="N246" s="49">
        <f t="shared" si="106"/>
        <v>23064.985523983731</v>
      </c>
      <c r="P246" s="147">
        <f t="shared" si="107"/>
        <v>0</v>
      </c>
      <c r="Q246" s="147">
        <f t="shared" si="108"/>
        <v>1360834.14591504</v>
      </c>
      <c r="S246" s="49">
        <f t="shared" si="109"/>
        <v>1360834.14591504</v>
      </c>
      <c r="T246" s="44">
        <f t="shared" si="110"/>
        <v>29.5</v>
      </c>
      <c r="V246" s="49">
        <f t="shared" si="111"/>
        <v>53972.066126121928</v>
      </c>
      <c r="W246" s="49">
        <f t="shared" si="111"/>
        <v>51593.63609344537</v>
      </c>
      <c r="X246" s="49">
        <f t="shared" si="111"/>
        <v>49320.01823170032</v>
      </c>
      <c r="Y246" s="49">
        <f t="shared" si="111"/>
        <v>47146.593699455894</v>
      </c>
      <c r="Z246" s="49">
        <f t="shared" si="111"/>
        <v>45068.947197445974</v>
      </c>
      <c r="AB246" s="49">
        <f t="shared" si="112"/>
        <v>4612.9971047967456</v>
      </c>
      <c r="AC246" s="49">
        <f t="shared" si="112"/>
        <v>4612.9971047967456</v>
      </c>
      <c r="AD246" s="49">
        <f t="shared" si="112"/>
        <v>4612.9971047967456</v>
      </c>
      <c r="AE246" s="49">
        <f t="shared" si="112"/>
        <v>4612.9971047967456</v>
      </c>
      <c r="AF246" s="49">
        <f t="shared" si="112"/>
        <v>4612.9971047967456</v>
      </c>
      <c r="AH246" s="49">
        <f t="shared" si="113"/>
        <v>58585.063230918677</v>
      </c>
      <c r="AI246" s="49">
        <f t="shared" si="114"/>
        <v>56206.633198242118</v>
      </c>
      <c r="AJ246" s="49">
        <f t="shared" si="115"/>
        <v>53933.015336497068</v>
      </c>
      <c r="AK246" s="49">
        <f t="shared" si="116"/>
        <v>51759.590804252643</v>
      </c>
      <c r="AL246" s="49">
        <f t="shared" si="117"/>
        <v>49681.944302242722</v>
      </c>
      <c r="AN246" s="49">
        <f t="shared" si="101"/>
        <v>1302249.0826841213</v>
      </c>
      <c r="AO246" s="49">
        <f t="shared" si="118"/>
        <v>1246042.4494858792</v>
      </c>
      <c r="AP246" s="49">
        <f t="shared" si="119"/>
        <v>1192109.4341493822</v>
      </c>
      <c r="AQ246" s="49">
        <f t="shared" si="120"/>
        <v>1140349.8433451296</v>
      </c>
      <c r="AR246" s="49">
        <f t="shared" si="121"/>
        <v>1090667.8990428869</v>
      </c>
      <c r="AT246" s="49">
        <f t="shared" si="122"/>
        <v>14031.740785417069</v>
      </c>
      <c r="AU246" s="49">
        <f t="shared" si="122"/>
        <v>14842.10187925647</v>
      </c>
      <c r="AV246" s="49">
        <f t="shared" si="122"/>
        <v>15965.352149478602</v>
      </c>
      <c r="AW246" s="49">
        <f t="shared" si="122"/>
        <v>16346.732481625348</v>
      </c>
      <c r="AX246" s="49">
        <f t="shared" si="122"/>
        <v>16558.128426077721</v>
      </c>
      <c r="AZ246" s="53">
        <f t="shared" si="123"/>
        <v>116893.27282759588</v>
      </c>
      <c r="BA246" s="53">
        <f t="shared" si="124"/>
        <v>112168.1359105326</v>
      </c>
      <c r="BB246" s="53">
        <f t="shared" si="125"/>
        <v>115198.52598365219</v>
      </c>
      <c r="BC246" s="53">
        <f t="shared" si="126"/>
        <v>111439.61733299292</v>
      </c>
      <c r="BD246" s="53">
        <f t="shared" si="127"/>
        <v>107685.45289195015</v>
      </c>
    </row>
    <row r="247" spans="2:56">
      <c r="B247" s="43">
        <f>'12. Investeringen (bijschatten)'!B50</f>
        <v>31</v>
      </c>
      <c r="C247" s="54"/>
      <c r="E247" s="54"/>
      <c r="F247" s="179">
        <f>'12. Investeringen (bijschatten)'!C50</f>
        <v>36.126161654819548</v>
      </c>
      <c r="H247" s="43">
        <f>'12. Investeringen (bijschatten)'!D50</f>
        <v>2021</v>
      </c>
      <c r="I247" s="43" t="str">
        <f>'12. Investeringen (bijschatten)'!E50</f>
        <v>04 Terreinen (EHD)</v>
      </c>
      <c r="J247" s="179">
        <f>_xlfn.XLOOKUP(I247,'3. Input (des)investeringen '!$B$11:$B$81,'3. Input (des)investeringen '!$D$11:$D$81)</f>
        <v>0</v>
      </c>
      <c r="K247" s="165"/>
      <c r="L247" s="165"/>
      <c r="M247" s="49">
        <f t="shared" si="105"/>
        <v>0</v>
      </c>
      <c r="N247" s="49">
        <f t="shared" si="106"/>
        <v>0</v>
      </c>
      <c r="P247" s="147">
        <f t="shared" si="107"/>
        <v>0</v>
      </c>
      <c r="Q247" s="147">
        <f t="shared" si="108"/>
        <v>36.126161654819548</v>
      </c>
      <c r="S247" s="49">
        <f t="shared" si="109"/>
        <v>36.126161654819548</v>
      </c>
      <c r="T247" s="44">
        <f t="shared" si="110"/>
        <v>0</v>
      </c>
      <c r="V247" s="49">
        <f t="shared" si="111"/>
        <v>0</v>
      </c>
      <c r="W247" s="49">
        <f t="shared" si="111"/>
        <v>0</v>
      </c>
      <c r="X247" s="49">
        <f t="shared" si="111"/>
        <v>0</v>
      </c>
      <c r="Y247" s="49">
        <f t="shared" si="111"/>
        <v>0</v>
      </c>
      <c r="Z247" s="49">
        <f t="shared" si="111"/>
        <v>0</v>
      </c>
      <c r="AB247" s="49">
        <f t="shared" si="112"/>
        <v>0</v>
      </c>
      <c r="AC247" s="49">
        <f t="shared" si="112"/>
        <v>0</v>
      </c>
      <c r="AD247" s="49">
        <f t="shared" si="112"/>
        <v>0</v>
      </c>
      <c r="AE247" s="49">
        <f t="shared" si="112"/>
        <v>0</v>
      </c>
      <c r="AF247" s="49">
        <f t="shared" si="112"/>
        <v>0</v>
      </c>
      <c r="AH247" s="49">
        <f t="shared" si="113"/>
        <v>0</v>
      </c>
      <c r="AI247" s="49">
        <f t="shared" si="114"/>
        <v>0</v>
      </c>
      <c r="AJ247" s="49">
        <f t="shared" si="115"/>
        <v>0</v>
      </c>
      <c r="AK247" s="49">
        <f t="shared" si="116"/>
        <v>0</v>
      </c>
      <c r="AL247" s="49">
        <f t="shared" si="117"/>
        <v>0</v>
      </c>
      <c r="AN247" s="49">
        <f t="shared" si="101"/>
        <v>36.126161654819548</v>
      </c>
      <c r="AO247" s="49">
        <f t="shared" si="118"/>
        <v>36.126161654819548</v>
      </c>
      <c r="AP247" s="49">
        <f t="shared" si="119"/>
        <v>36.126161654819548</v>
      </c>
      <c r="AQ247" s="49">
        <f t="shared" si="120"/>
        <v>36.126161654819548</v>
      </c>
      <c r="AR247" s="49">
        <f t="shared" si="121"/>
        <v>36.126161654819548</v>
      </c>
      <c r="AT247" s="49">
        <f t="shared" si="122"/>
        <v>0.36629326834347881</v>
      </c>
      <c r="AU247" s="49">
        <f t="shared" si="122"/>
        <v>0.38744743717685132</v>
      </c>
      <c r="AV247" s="49">
        <f t="shared" si="122"/>
        <v>0.4167694592223955</v>
      </c>
      <c r="AW247" s="49">
        <f t="shared" si="122"/>
        <v>0.42672524806430007</v>
      </c>
      <c r="AX247" s="49">
        <f t="shared" si="122"/>
        <v>0.43224365897226757</v>
      </c>
      <c r="AZ247" s="53">
        <f t="shared" si="123"/>
        <v>1.5945827646073434</v>
      </c>
      <c r="BA247" s="53">
        <f t="shared" si="124"/>
        <v>1.5796107717858965</v>
      </c>
      <c r="BB247" s="53">
        <f t="shared" si="125"/>
        <v>1.7895636021055381</v>
      </c>
      <c r="BC247" s="53">
        <f t="shared" si="126"/>
        <v>1.7995193909474427</v>
      </c>
      <c r="BD247" s="53">
        <f t="shared" si="127"/>
        <v>1.8050378018554103</v>
      </c>
    </row>
    <row r="248" spans="2:56">
      <c r="B248" s="43">
        <f>'12. Investeringen (bijschatten)'!B51</f>
        <v>32</v>
      </c>
      <c r="C248" s="54"/>
      <c r="E248" s="54"/>
      <c r="F248" s="179">
        <f>'12. Investeringen (bijschatten)'!C51</f>
        <v>1248204.1157067129</v>
      </c>
      <c r="H248" s="43">
        <f>'12. Investeringen (bijschatten)'!D51</f>
        <v>2021</v>
      </c>
      <c r="I248" s="43" t="str">
        <f>'12. Investeringen (bijschatten)'!E51</f>
        <v>05 Wegen en terreinvoorzieningen</v>
      </c>
      <c r="J248" s="179">
        <f>_xlfn.XLOOKUP(I248,'3. Input (des)investeringen '!$B$11:$B$81,'3. Input (des)investeringen '!$D$11:$D$81)</f>
        <v>10</v>
      </c>
      <c r="K248" s="165"/>
      <c r="L248" s="165"/>
      <c r="M248" s="49">
        <f t="shared" si="105"/>
        <v>0</v>
      </c>
      <c r="N248" s="49">
        <f t="shared" si="106"/>
        <v>62410.205785335653</v>
      </c>
      <c r="P248" s="147">
        <f t="shared" si="107"/>
        <v>0</v>
      </c>
      <c r="Q248" s="147">
        <f t="shared" si="108"/>
        <v>1185793.9099213772</v>
      </c>
      <c r="S248" s="49">
        <f t="shared" si="109"/>
        <v>1185793.9099213772</v>
      </c>
      <c r="T248" s="44">
        <f t="shared" si="110"/>
        <v>9.5</v>
      </c>
      <c r="V248" s="49">
        <f t="shared" si="111"/>
        <v>146039.88153768543</v>
      </c>
      <c r="W248" s="49">
        <f t="shared" si="111"/>
        <v>126055.47669568638</v>
      </c>
      <c r="X248" s="49">
        <f t="shared" si="111"/>
        <v>108805.77988469771</v>
      </c>
      <c r="Y248" s="49">
        <f t="shared" si="111"/>
        <v>105586.67397094924</v>
      </c>
      <c r="Z248" s="49">
        <f t="shared" si="111"/>
        <v>105586.67397094924</v>
      </c>
      <c r="AB248" s="49">
        <f t="shared" si="112"/>
        <v>12482.041157067128</v>
      </c>
      <c r="AC248" s="49">
        <f t="shared" si="112"/>
        <v>12482.041157067128</v>
      </c>
      <c r="AD248" s="49">
        <f t="shared" si="112"/>
        <v>12482.041157067128</v>
      </c>
      <c r="AE248" s="49">
        <f t="shared" si="112"/>
        <v>12482.041157067128</v>
      </c>
      <c r="AF248" s="49">
        <f t="shared" si="112"/>
        <v>12482.041157067128</v>
      </c>
      <c r="AH248" s="49">
        <f t="shared" si="113"/>
        <v>158521.92269475257</v>
      </c>
      <c r="AI248" s="49">
        <f t="shared" si="114"/>
        <v>138537.51785275352</v>
      </c>
      <c r="AJ248" s="49">
        <f t="shared" si="115"/>
        <v>121287.82104176484</v>
      </c>
      <c r="AK248" s="49">
        <f t="shared" si="116"/>
        <v>118068.71512801637</v>
      </c>
      <c r="AL248" s="49">
        <f t="shared" si="117"/>
        <v>118068.71512801637</v>
      </c>
      <c r="AN248" s="49">
        <f t="shared" si="101"/>
        <v>1027271.9872266246</v>
      </c>
      <c r="AO248" s="49">
        <f t="shared" si="118"/>
        <v>888734.46937387111</v>
      </c>
      <c r="AP248" s="49">
        <f t="shared" si="119"/>
        <v>767446.6483321063</v>
      </c>
      <c r="AQ248" s="49">
        <f t="shared" si="120"/>
        <v>649377.93320408999</v>
      </c>
      <c r="AR248" s="49">
        <f t="shared" si="121"/>
        <v>531309.21807607356</v>
      </c>
      <c r="AT248" s="49">
        <f t="shared" si="122"/>
        <v>12655.891026302761</v>
      </c>
      <c r="AU248" s="49">
        <f t="shared" si="122"/>
        <v>13386.794044853799</v>
      </c>
      <c r="AV248" s="49">
        <f t="shared" si="122"/>
        <v>14399.906618168334</v>
      </c>
      <c r="AW248" s="49">
        <f t="shared" si="122"/>
        <v>14743.891587463138</v>
      </c>
      <c r="AX248" s="49">
        <f t="shared" si="122"/>
        <v>14934.559593472211</v>
      </c>
      <c r="AZ248" s="53">
        <f t="shared" si="123"/>
        <v>206105.06128676058</v>
      </c>
      <c r="BA248" s="53">
        <f t="shared" si="124"/>
        <v>181252.54938694506</v>
      </c>
      <c r="BB248" s="53">
        <f t="shared" si="125"/>
        <v>164850.70029655323</v>
      </c>
      <c r="BC248" s="53">
        <f t="shared" si="126"/>
        <v>157488.96817723493</v>
      </c>
      <c r="BD248" s="53">
        <f t="shared" si="127"/>
        <v>153193.02500837939</v>
      </c>
    </row>
    <row r="249" spans="2:56">
      <c r="B249" s="43">
        <f>'12. Investeringen (bijschatten)'!B52</f>
        <v>33</v>
      </c>
      <c r="C249" s="54"/>
      <c r="E249" s="54"/>
      <c r="F249" s="179">
        <f>'12. Investeringen (bijschatten)'!C52</f>
        <v>23454.576356302689</v>
      </c>
      <c r="H249" s="43">
        <f>'12. Investeringen (bijschatten)'!D52</f>
        <v>2021</v>
      </c>
      <c r="I249" s="43" t="str">
        <f>'12. Investeringen (bijschatten)'!E52</f>
        <v>05 Wegen en terreinvoorzieningen (EHD)</v>
      </c>
      <c r="J249" s="179">
        <f>_xlfn.XLOOKUP(I249,'3. Input (des)investeringen '!$B$11:$B$81,'3. Input (des)investeringen '!$D$11:$D$81)</f>
        <v>10</v>
      </c>
      <c r="K249" s="165"/>
      <c r="L249" s="165"/>
      <c r="M249" s="49">
        <f t="shared" si="105"/>
        <v>0</v>
      </c>
      <c r="N249" s="49">
        <f t="shared" si="106"/>
        <v>1172.7288178151346</v>
      </c>
      <c r="P249" s="147">
        <f t="shared" si="107"/>
        <v>0</v>
      </c>
      <c r="Q249" s="147">
        <f t="shared" si="108"/>
        <v>22281.847538487553</v>
      </c>
      <c r="S249" s="49">
        <f t="shared" si="109"/>
        <v>22281.847538487553</v>
      </c>
      <c r="T249" s="44">
        <f t="shared" si="110"/>
        <v>9.5</v>
      </c>
      <c r="V249" s="49">
        <f t="shared" si="111"/>
        <v>2744.1854336874144</v>
      </c>
      <c r="W249" s="49">
        <f t="shared" si="111"/>
        <v>2368.6653217091371</v>
      </c>
      <c r="X249" s="49">
        <f t="shared" si="111"/>
        <v>2044.5321724226233</v>
      </c>
      <c r="Y249" s="49">
        <f t="shared" si="111"/>
        <v>1984.0430548953266</v>
      </c>
      <c r="Z249" s="49">
        <f t="shared" si="111"/>
        <v>1984.0430548953266</v>
      </c>
      <c r="AB249" s="49">
        <f t="shared" si="112"/>
        <v>234.5457635630269</v>
      </c>
      <c r="AC249" s="49">
        <f t="shared" si="112"/>
        <v>234.5457635630269</v>
      </c>
      <c r="AD249" s="49">
        <f t="shared" si="112"/>
        <v>234.5457635630269</v>
      </c>
      <c r="AE249" s="49">
        <f t="shared" si="112"/>
        <v>234.5457635630269</v>
      </c>
      <c r="AF249" s="49">
        <f t="shared" si="112"/>
        <v>234.5457635630269</v>
      </c>
      <c r="AH249" s="49">
        <f t="shared" si="113"/>
        <v>2978.7311972504413</v>
      </c>
      <c r="AI249" s="49">
        <f t="shared" si="114"/>
        <v>2603.2110852721639</v>
      </c>
      <c r="AJ249" s="49">
        <f t="shared" si="115"/>
        <v>2279.0779359856501</v>
      </c>
      <c r="AK249" s="49">
        <f t="shared" si="116"/>
        <v>2218.5888184583537</v>
      </c>
      <c r="AL249" s="49">
        <f t="shared" si="117"/>
        <v>2218.5888184583537</v>
      </c>
      <c r="AN249" s="49">
        <f t="shared" ref="AN249:AN280" si="128">IF($J249=0,IF($H249 &gt; AN$215, 0,$S249),IF(OR($H249&gt;AN$59,$H249+$J249&lt;=AN$59),0,
IF($H249=AN$59,$S249-AH249,
S249-AH249)))</f>
        <v>19303.11634123711</v>
      </c>
      <c r="AO249" s="49">
        <f t="shared" si="118"/>
        <v>16699.905255964946</v>
      </c>
      <c r="AP249" s="49">
        <f t="shared" si="119"/>
        <v>14420.827319979297</v>
      </c>
      <c r="AQ249" s="49">
        <f t="shared" si="120"/>
        <v>12202.238501520944</v>
      </c>
      <c r="AR249" s="49">
        <f t="shared" si="121"/>
        <v>9983.6496830625911</v>
      </c>
      <c r="AT249" s="49">
        <f t="shared" si="122"/>
        <v>237.81251695793273</v>
      </c>
      <c r="AU249" s="49">
        <f t="shared" si="122"/>
        <v>251.54666543728726</v>
      </c>
      <c r="AV249" s="49">
        <f t="shared" si="122"/>
        <v>270.58371707758118</v>
      </c>
      <c r="AW249" s="49">
        <f t="shared" si="122"/>
        <v>277.04742091113042</v>
      </c>
      <c r="AX249" s="49">
        <f t="shared" si="122"/>
        <v>280.63019815835315</v>
      </c>
      <c r="AZ249" s="53">
        <f t="shared" si="123"/>
        <v>3872.8496698104354</v>
      </c>
      <c r="BA249" s="53">
        <f t="shared" si="124"/>
        <v>3405.8546241562944</v>
      </c>
      <c r="BB249" s="53">
        <f t="shared" si="125"/>
        <v>3097.6530912224443</v>
      </c>
      <c r="BC249" s="53">
        <f t="shared" si="126"/>
        <v>2959.32130242728</v>
      </c>
      <c r="BD249" s="53">
        <f t="shared" si="127"/>
        <v>2878.5977045730856</v>
      </c>
    </row>
    <row r="250" spans="2:56">
      <c r="B250" s="43">
        <f>'12. Investeringen (bijschatten)'!B53</f>
        <v>34</v>
      </c>
      <c r="C250" s="54"/>
      <c r="E250" s="54"/>
      <c r="F250" s="179">
        <f>'12. Investeringen (bijschatten)'!C53</f>
        <v>1097396.6149389972</v>
      </c>
      <c r="H250" s="43">
        <f>'12. Investeringen (bijschatten)'!D53</f>
        <v>2021</v>
      </c>
      <c r="I250" s="43" t="str">
        <f>'12. Investeringen (bijschatten)'!E53</f>
        <v>06 Utiliteitsgebouwen</v>
      </c>
      <c r="J250" s="179">
        <f>_xlfn.XLOOKUP(I250,'3. Input (des)investeringen '!$B$11:$B$81,'3. Input (des)investeringen '!$D$11:$D$81)</f>
        <v>30</v>
      </c>
      <c r="K250" s="165"/>
      <c r="L250" s="165"/>
      <c r="M250" s="49">
        <f t="shared" si="105"/>
        <v>0</v>
      </c>
      <c r="N250" s="49">
        <f t="shared" si="106"/>
        <v>18289.94358231662</v>
      </c>
      <c r="P250" s="147">
        <f t="shared" si="107"/>
        <v>0</v>
      </c>
      <c r="Q250" s="147">
        <f t="shared" si="108"/>
        <v>1079106.6713566806</v>
      </c>
      <c r="S250" s="49">
        <f t="shared" si="109"/>
        <v>1079106.6713566806</v>
      </c>
      <c r="T250" s="44">
        <f t="shared" si="110"/>
        <v>29.5</v>
      </c>
      <c r="V250" s="49">
        <f t="shared" ref="V250:Z281" si="129">IF($J250=0, 0, IF(OR($H250&gt;V$59,$H250+$J250&lt;V$59),0,
IF(OR($H250=2020,$H250=2021),VDB(ABS($S250)*(1-$F$28),0,$T250,V$59-2022,MIN($T250,V$59-2021),$F$22),
VDB(ABS($S250)*(1-$F$28),0,$T250,MAX(0,V$59-$H250-0.5),MIN($T250,V$59-$H250+0.5),$F$22,FALSE))))*IF($F250&lt;0,-1,1)</f>
        <v>42798.467982620896</v>
      </c>
      <c r="W250" s="49">
        <f t="shared" si="129"/>
        <v>40912.433800335901</v>
      </c>
      <c r="X250" s="49">
        <f t="shared" si="129"/>
        <v>39109.512988795679</v>
      </c>
      <c r="Y250" s="49">
        <f t="shared" si="129"/>
        <v>37386.042924882648</v>
      </c>
      <c r="Z250" s="49">
        <f t="shared" si="129"/>
        <v>35738.522389209858</v>
      </c>
      <c r="AB250" s="49">
        <f t="shared" ref="AB250:AF281" si="130">IF($J250 = 0, 0, IF(OR($H250&gt;AB$59,$H250+$J250&lt;AB$59),0,
IF(OR($H250=2020,$H250=2021),VDB(ABS($S250)*$F$28,0,$T250,AB$59-2022,MIN($T250,AB$59-2021),1),
VDB(ABS($S250)*$F$28,0,$T250,MAX(0,AB$59-$H250-0.5),MIN($T250,AB$59-$H250+0.5),1))))*IF($F250&lt;0,-1,1)</f>
        <v>3657.9887164633242</v>
      </c>
      <c r="AC250" s="49">
        <f t="shared" si="130"/>
        <v>3657.9887164633242</v>
      </c>
      <c r="AD250" s="49">
        <f t="shared" si="130"/>
        <v>3657.9887164633242</v>
      </c>
      <c r="AE250" s="49">
        <f t="shared" si="130"/>
        <v>3657.9887164633242</v>
      </c>
      <c r="AF250" s="49">
        <f t="shared" si="130"/>
        <v>3657.9887164633242</v>
      </c>
      <c r="AH250" s="49">
        <f t="shared" si="113"/>
        <v>46456.456699084221</v>
      </c>
      <c r="AI250" s="49">
        <f t="shared" si="114"/>
        <v>44570.422516799226</v>
      </c>
      <c r="AJ250" s="49">
        <f t="shared" si="115"/>
        <v>42767.501705259005</v>
      </c>
      <c r="AK250" s="49">
        <f t="shared" si="116"/>
        <v>41044.031641345973</v>
      </c>
      <c r="AL250" s="49">
        <f t="shared" si="117"/>
        <v>39396.511105673184</v>
      </c>
      <c r="AN250" s="49">
        <f t="shared" si="128"/>
        <v>1032650.2146575963</v>
      </c>
      <c r="AO250" s="49">
        <f t="shared" si="118"/>
        <v>988079.79214079713</v>
      </c>
      <c r="AP250" s="49">
        <f t="shared" si="119"/>
        <v>945312.29043553816</v>
      </c>
      <c r="AQ250" s="49">
        <f t="shared" si="120"/>
        <v>904268.25879419222</v>
      </c>
      <c r="AR250" s="49">
        <f t="shared" si="121"/>
        <v>864871.74768851907</v>
      </c>
      <c r="AT250" s="49">
        <f t="shared" ref="AT250:AX281" si="131">IF($H250&lt;=AT$215,$F250*INDEX($H$40:$N$46,$H250-2019,AT$215-2019)*INDEX($H$49:$N$55,$H250-2019,AT$215-2019)*$F$19,0)</f>
        <v>11126.811549918675</v>
      </c>
      <c r="AU250" s="49">
        <f t="shared" si="131"/>
        <v>11769.407170549581</v>
      </c>
      <c r="AV250" s="49">
        <f t="shared" si="131"/>
        <v>12660.115905216771</v>
      </c>
      <c r="AW250" s="49">
        <f t="shared" si="131"/>
        <v>12962.540753960591</v>
      </c>
      <c r="AX250" s="49">
        <f t="shared" si="131"/>
        <v>13130.172330990807</v>
      </c>
      <c r="AZ250" s="53">
        <f t="shared" si="123"/>
        <v>92693.375547361182</v>
      </c>
      <c r="BA250" s="53">
        <f t="shared" si="124"/>
        <v>88946.462827995128</v>
      </c>
      <c r="BB250" s="53">
        <f t="shared" si="125"/>
        <v>91349.484647026227</v>
      </c>
      <c r="BC250" s="53">
        <f t="shared" si="126"/>
        <v>88368.766229485875</v>
      </c>
      <c r="BD250" s="53">
        <f t="shared" si="127"/>
        <v>85391.809848827717</v>
      </c>
    </row>
    <row r="251" spans="2:56">
      <c r="B251" s="43">
        <f>'12. Investeringen (bijschatten)'!B54</f>
        <v>35</v>
      </c>
      <c r="C251" s="54"/>
      <c r="E251" s="54"/>
      <c r="F251" s="179">
        <f>'12. Investeringen (bijschatten)'!C54</f>
        <v>21.673674251477685</v>
      </c>
      <c r="H251" s="43">
        <f>'12. Investeringen (bijschatten)'!D54</f>
        <v>2021</v>
      </c>
      <c r="I251" s="43" t="str">
        <f>'12. Investeringen (bijschatten)'!E54</f>
        <v>06 Utiliteitsgebouwen (EHD)</v>
      </c>
      <c r="J251" s="179">
        <f>_xlfn.XLOOKUP(I251,'3. Input (des)investeringen '!$B$11:$B$81,'3. Input (des)investeringen '!$D$11:$D$81)</f>
        <v>30</v>
      </c>
      <c r="K251" s="165"/>
      <c r="L251" s="165"/>
      <c r="M251" s="49">
        <f t="shared" si="105"/>
        <v>0</v>
      </c>
      <c r="N251" s="49">
        <f t="shared" si="106"/>
        <v>0.36122790419129475</v>
      </c>
      <c r="P251" s="147">
        <f t="shared" si="107"/>
        <v>0</v>
      </c>
      <c r="Q251" s="147">
        <f t="shared" si="108"/>
        <v>21.312446347286389</v>
      </c>
      <c r="S251" s="49">
        <f t="shared" si="109"/>
        <v>21.312446347286389</v>
      </c>
      <c r="T251" s="44">
        <f t="shared" si="110"/>
        <v>29.5</v>
      </c>
      <c r="V251" s="49">
        <f t="shared" si="129"/>
        <v>0.84527329580762967</v>
      </c>
      <c r="W251" s="49">
        <f t="shared" si="129"/>
        <v>0.80802396412797139</v>
      </c>
      <c r="X251" s="49">
        <f t="shared" si="129"/>
        <v>0.77241612842063712</v>
      </c>
      <c r="Y251" s="49">
        <f t="shared" si="129"/>
        <v>0.7383774515749818</v>
      </c>
      <c r="Z251" s="49">
        <f t="shared" si="129"/>
        <v>0.70583878421744017</v>
      </c>
      <c r="AB251" s="49">
        <f t="shared" si="130"/>
        <v>7.2245580838258952E-2</v>
      </c>
      <c r="AC251" s="49">
        <f t="shared" si="130"/>
        <v>7.2245580838258952E-2</v>
      </c>
      <c r="AD251" s="49">
        <f t="shared" si="130"/>
        <v>7.2245580838258952E-2</v>
      </c>
      <c r="AE251" s="49">
        <f t="shared" si="130"/>
        <v>7.2245580838258952E-2</v>
      </c>
      <c r="AF251" s="49">
        <f t="shared" si="130"/>
        <v>7.2245580838258952E-2</v>
      </c>
      <c r="AH251" s="49">
        <f t="shared" si="113"/>
        <v>0.9175188766458886</v>
      </c>
      <c r="AI251" s="49">
        <f t="shared" si="114"/>
        <v>0.88026954496623033</v>
      </c>
      <c r="AJ251" s="49">
        <f t="shared" si="115"/>
        <v>0.84466170925889605</v>
      </c>
      <c r="AK251" s="49">
        <f t="shared" si="116"/>
        <v>0.81062303241324074</v>
      </c>
      <c r="AL251" s="49">
        <f t="shared" si="117"/>
        <v>0.77808436505569911</v>
      </c>
      <c r="AN251" s="49">
        <f t="shared" si="128"/>
        <v>20.3949274706405</v>
      </c>
      <c r="AO251" s="49">
        <f t="shared" si="118"/>
        <v>19.514657925674271</v>
      </c>
      <c r="AP251" s="49">
        <f t="shared" si="119"/>
        <v>18.669996216415374</v>
      </c>
      <c r="AQ251" s="49">
        <f t="shared" si="120"/>
        <v>17.859373184002134</v>
      </c>
      <c r="AR251" s="49">
        <f t="shared" si="121"/>
        <v>17.081288818946437</v>
      </c>
      <c r="AT251" s="49">
        <f t="shared" si="131"/>
        <v>0.21975545186452269</v>
      </c>
      <c r="AU251" s="49">
        <f t="shared" si="131"/>
        <v>0.23244676872060258</v>
      </c>
      <c r="AV251" s="49">
        <f t="shared" si="131"/>
        <v>0.2500383401773778</v>
      </c>
      <c r="AW251" s="49">
        <f t="shared" si="131"/>
        <v>0.256011256047535</v>
      </c>
      <c r="AX251" s="49">
        <f t="shared" si="131"/>
        <v>0.25932199361074165</v>
      </c>
      <c r="AZ251" s="53">
        <f t="shared" si="123"/>
        <v>1.8307018625121882</v>
      </c>
      <c r="BA251" s="53">
        <f t="shared" si="124"/>
        <v>1.7567000252340841</v>
      </c>
      <c r="BB251" s="53">
        <f t="shared" si="125"/>
        <v>1.8041599056600579</v>
      </c>
      <c r="BC251" s="53">
        <f t="shared" si="126"/>
        <v>1.7452904694528566</v>
      </c>
      <c r="BD251" s="53">
        <f t="shared" si="127"/>
        <v>1.6864953337864053</v>
      </c>
    </row>
    <row r="252" spans="2:56">
      <c r="B252" s="43">
        <f>'12. Investeringen (bijschatten)'!B55</f>
        <v>36</v>
      </c>
      <c r="C252" s="54"/>
      <c r="E252" s="54"/>
      <c r="F252" s="179">
        <f>'12. Investeringen (bijschatten)'!C55</f>
        <v>396020.07371979632</v>
      </c>
      <c r="H252" s="43">
        <f>'12. Investeringen (bijschatten)'!D55</f>
        <v>2021</v>
      </c>
      <c r="I252" s="43" t="str">
        <f>'12. Investeringen (bijschatten)'!E55</f>
        <v>08 Inrichting gebouwen</v>
      </c>
      <c r="J252" s="179">
        <f>_xlfn.XLOOKUP(I252,'3. Input (des)investeringen '!$B$11:$B$81,'3. Input (des)investeringen '!$D$11:$D$81)</f>
        <v>10</v>
      </c>
      <c r="K252" s="165"/>
      <c r="L252" s="165"/>
      <c r="M252" s="49">
        <f t="shared" si="105"/>
        <v>0</v>
      </c>
      <c r="N252" s="49">
        <f t="shared" si="106"/>
        <v>19801.003685989817</v>
      </c>
      <c r="P252" s="147">
        <f t="shared" si="107"/>
        <v>0</v>
      </c>
      <c r="Q252" s="147">
        <f t="shared" si="108"/>
        <v>376219.07003380649</v>
      </c>
      <c r="S252" s="49">
        <f t="shared" si="109"/>
        <v>376219.07003380649</v>
      </c>
      <c r="T252" s="44">
        <f t="shared" si="110"/>
        <v>9.5</v>
      </c>
      <c r="V252" s="49">
        <f t="shared" si="129"/>
        <v>46334.348625216175</v>
      </c>
      <c r="W252" s="49">
        <f t="shared" si="129"/>
        <v>39993.858813344486</v>
      </c>
      <c r="X252" s="49">
        <f t="shared" si="129"/>
        <v>34521.014975728918</v>
      </c>
      <c r="Y252" s="49">
        <f t="shared" si="129"/>
        <v>33499.683171713266</v>
      </c>
      <c r="Z252" s="49">
        <f t="shared" si="129"/>
        <v>33499.683171713266</v>
      </c>
      <c r="AB252" s="49">
        <f t="shared" si="130"/>
        <v>3960.200737197963</v>
      </c>
      <c r="AC252" s="49">
        <f t="shared" si="130"/>
        <v>3960.200737197963</v>
      </c>
      <c r="AD252" s="49">
        <f t="shared" si="130"/>
        <v>3960.200737197963</v>
      </c>
      <c r="AE252" s="49">
        <f t="shared" si="130"/>
        <v>3960.200737197963</v>
      </c>
      <c r="AF252" s="49">
        <f t="shared" si="130"/>
        <v>3960.200737197963</v>
      </c>
      <c r="AH252" s="49">
        <f t="shared" si="113"/>
        <v>50294.549362414138</v>
      </c>
      <c r="AI252" s="49">
        <f t="shared" si="114"/>
        <v>43954.05955054245</v>
      </c>
      <c r="AJ252" s="49">
        <f t="shared" si="115"/>
        <v>38481.215712926882</v>
      </c>
      <c r="AK252" s="49">
        <f t="shared" si="116"/>
        <v>37459.88390891123</v>
      </c>
      <c r="AL252" s="49">
        <f t="shared" si="117"/>
        <v>37459.88390891123</v>
      </c>
      <c r="AN252" s="49">
        <f t="shared" si="128"/>
        <v>325924.52067139233</v>
      </c>
      <c r="AO252" s="49">
        <f t="shared" si="118"/>
        <v>281970.46112084988</v>
      </c>
      <c r="AP252" s="49">
        <f t="shared" si="119"/>
        <v>243489.24540792301</v>
      </c>
      <c r="AQ252" s="49">
        <f t="shared" si="120"/>
        <v>206029.36149901178</v>
      </c>
      <c r="AR252" s="49">
        <f t="shared" si="121"/>
        <v>168569.47759010055</v>
      </c>
      <c r="AT252" s="49">
        <f t="shared" si="131"/>
        <v>4015.3584130656568</v>
      </c>
      <c r="AU252" s="49">
        <f t="shared" si="131"/>
        <v>4247.2533921370241</v>
      </c>
      <c r="AV252" s="49">
        <f t="shared" si="131"/>
        <v>4568.6855288539546</v>
      </c>
      <c r="AW252" s="49">
        <f t="shared" si="131"/>
        <v>4677.8222887672173</v>
      </c>
      <c r="AX252" s="49">
        <f t="shared" si="131"/>
        <v>4738.3158866055546</v>
      </c>
      <c r="AZ252" s="53">
        <f t="shared" si="123"/>
        <v>65391.341478307142</v>
      </c>
      <c r="BA252" s="53">
        <f t="shared" si="124"/>
        <v>57506.338159667524</v>
      </c>
      <c r="BB252" s="53">
        <f t="shared" si="125"/>
        <v>52302.492567281908</v>
      </c>
      <c r="BC252" s="53">
        <f t="shared" si="126"/>
        <v>49966.821934640895</v>
      </c>
      <c r="BD252" s="53">
        <f t="shared" si="127"/>
        <v>48603.839943940606</v>
      </c>
    </row>
    <row r="253" spans="2:56">
      <c r="B253" s="43">
        <f>'12. Investeringen (bijschatten)'!B56</f>
        <v>37</v>
      </c>
      <c r="C253" s="54"/>
      <c r="E253" s="54"/>
      <c r="F253" s="179">
        <f>'12. Investeringen (bijschatten)'!C56</f>
        <v>467492.18719026912</v>
      </c>
      <c r="H253" s="43">
        <f>'12. Investeringen (bijschatten)'!D56</f>
        <v>2021</v>
      </c>
      <c r="I253" s="43" t="str">
        <f>'12. Investeringen (bijschatten)'!E56</f>
        <v>10 Gereedschap</v>
      </c>
      <c r="J253" s="179">
        <f>_xlfn.XLOOKUP(I253,'3. Input (des)investeringen '!$B$11:$B$81,'3. Input (des)investeringen '!$D$11:$D$81)</f>
        <v>10</v>
      </c>
      <c r="K253" s="165"/>
      <c r="L253" s="165"/>
      <c r="M253" s="49">
        <f t="shared" si="105"/>
        <v>0</v>
      </c>
      <c r="N253" s="49">
        <f t="shared" si="106"/>
        <v>23374.609359513459</v>
      </c>
      <c r="P253" s="147">
        <f t="shared" si="107"/>
        <v>0</v>
      </c>
      <c r="Q253" s="147">
        <f t="shared" si="108"/>
        <v>444117.57783075568</v>
      </c>
      <c r="S253" s="49">
        <f t="shared" si="109"/>
        <v>444117.57783075568</v>
      </c>
      <c r="T253" s="44">
        <f t="shared" si="110"/>
        <v>9.5</v>
      </c>
      <c r="V253" s="49">
        <f t="shared" si="129"/>
        <v>54696.585901261496</v>
      </c>
      <c r="W253" s="49">
        <f t="shared" si="129"/>
        <v>47211.789935825713</v>
      </c>
      <c r="X253" s="49">
        <f t="shared" si="129"/>
        <v>40751.229207765347</v>
      </c>
      <c r="Y253" s="49">
        <f t="shared" si="129"/>
        <v>39545.571538896547</v>
      </c>
      <c r="Z253" s="49">
        <f t="shared" si="129"/>
        <v>39545.571538896547</v>
      </c>
      <c r="AB253" s="49">
        <f t="shared" si="130"/>
        <v>4674.9218719026912</v>
      </c>
      <c r="AC253" s="49">
        <f t="shared" si="130"/>
        <v>4674.9218719026912</v>
      </c>
      <c r="AD253" s="49">
        <f t="shared" si="130"/>
        <v>4674.9218719026912</v>
      </c>
      <c r="AE253" s="49">
        <f t="shared" si="130"/>
        <v>4674.9218719026912</v>
      </c>
      <c r="AF253" s="49">
        <f t="shared" si="130"/>
        <v>4674.9218719026912</v>
      </c>
      <c r="AH253" s="49">
        <f t="shared" si="113"/>
        <v>59371.507773164187</v>
      </c>
      <c r="AI253" s="49">
        <f t="shared" si="114"/>
        <v>51886.711807728403</v>
      </c>
      <c r="AJ253" s="49">
        <f t="shared" si="115"/>
        <v>45426.151079668038</v>
      </c>
      <c r="AK253" s="49">
        <f t="shared" si="116"/>
        <v>44220.493410799238</v>
      </c>
      <c r="AL253" s="49">
        <f t="shared" si="117"/>
        <v>44220.493410799238</v>
      </c>
      <c r="AN253" s="49">
        <f t="shared" si="128"/>
        <v>384746.07005759148</v>
      </c>
      <c r="AO253" s="49">
        <f t="shared" si="118"/>
        <v>332859.35824986309</v>
      </c>
      <c r="AP253" s="49">
        <f t="shared" si="119"/>
        <v>287433.20717019506</v>
      </c>
      <c r="AQ253" s="49">
        <f t="shared" si="120"/>
        <v>243212.71375939582</v>
      </c>
      <c r="AR253" s="49">
        <f t="shared" si="121"/>
        <v>198992.22034859657</v>
      </c>
      <c r="AT253" s="49">
        <f t="shared" si="131"/>
        <v>4740.0341837345522</v>
      </c>
      <c r="AU253" s="49">
        <f t="shared" si="131"/>
        <v>5013.78063791359</v>
      </c>
      <c r="AV253" s="49">
        <f t="shared" si="131"/>
        <v>5393.2235565908904</v>
      </c>
      <c r="AW253" s="49">
        <f t="shared" si="131"/>
        <v>5522.0568809107335</v>
      </c>
      <c r="AX253" s="49">
        <f t="shared" si="131"/>
        <v>5593.4681204946701</v>
      </c>
      <c r="AZ253" s="53">
        <f t="shared" si="123"/>
        <v>77192.90833885684</v>
      </c>
      <c r="BA253" s="53">
        <f t="shared" si="124"/>
        <v>67884.851267887469</v>
      </c>
      <c r="BB253" s="53">
        <f t="shared" si="125"/>
        <v>61741.836508726345</v>
      </c>
      <c r="BC253" s="53">
        <f t="shared" si="126"/>
        <v>58984.633414567012</v>
      </c>
      <c r="BD253" s="53">
        <f t="shared" si="127"/>
        <v>57375.665904540576</v>
      </c>
    </row>
    <row r="254" spans="2:56" s="240" customFormat="1">
      <c r="B254" s="43">
        <f>'12. Investeringen (bijschatten)'!B57</f>
        <v>38</v>
      </c>
      <c r="C254" s="54"/>
      <c r="D254" s="3"/>
      <c r="E254" s="54"/>
      <c r="F254" s="179">
        <f>'12. Investeringen (bijschatten)'!C57</f>
        <v>2674366.8931494337</v>
      </c>
      <c r="G254" s="3"/>
      <c r="H254" s="43">
        <f>'12. Investeringen (bijschatten)'!D57</f>
        <v>2021</v>
      </c>
      <c r="I254" s="43" t="str">
        <f>'12. Investeringen (bijschatten)'!E57</f>
        <v>11 Werktuigen</v>
      </c>
      <c r="J254" s="179">
        <f>_xlfn.XLOOKUP(I254,'3. Input (des)investeringen '!$B$11:$B$81,'3. Input (des)investeringen '!$D$11:$D$81)</f>
        <v>10</v>
      </c>
      <c r="M254" s="49">
        <f t="shared" si="105"/>
        <v>0</v>
      </c>
      <c r="N254" s="49">
        <f t="shared" si="106"/>
        <v>133718.34465747169</v>
      </c>
      <c r="O254" s="3"/>
      <c r="P254" s="147">
        <f t="shared" si="107"/>
        <v>0</v>
      </c>
      <c r="Q254" s="147">
        <f t="shared" si="108"/>
        <v>2540648.5484919618</v>
      </c>
      <c r="R254" s="3"/>
      <c r="S254" s="49">
        <f t="shared" si="109"/>
        <v>2540648.5484919618</v>
      </c>
      <c r="T254" s="44">
        <f t="shared" si="110"/>
        <v>9.5</v>
      </c>
      <c r="U254" s="3"/>
      <c r="V254" s="49">
        <f t="shared" si="129"/>
        <v>312900.92649848375</v>
      </c>
      <c r="W254" s="49">
        <f t="shared" si="129"/>
        <v>270082.90497763857</v>
      </c>
      <c r="X254" s="49">
        <f t="shared" si="129"/>
        <v>233124.1916649091</v>
      </c>
      <c r="Y254" s="49">
        <f t="shared" si="129"/>
        <v>226227.02623103606</v>
      </c>
      <c r="Z254" s="49">
        <f t="shared" si="129"/>
        <v>226227.02623103606</v>
      </c>
      <c r="AA254" s="3"/>
      <c r="AB254" s="49">
        <f t="shared" si="130"/>
        <v>26743.668931494336</v>
      </c>
      <c r="AC254" s="49">
        <f t="shared" si="130"/>
        <v>26743.668931494336</v>
      </c>
      <c r="AD254" s="49">
        <f t="shared" si="130"/>
        <v>26743.668931494336</v>
      </c>
      <c r="AE254" s="49">
        <f t="shared" si="130"/>
        <v>26743.668931494336</v>
      </c>
      <c r="AF254" s="49">
        <f t="shared" si="130"/>
        <v>26743.668931494336</v>
      </c>
      <c r="AG254" s="3"/>
      <c r="AH254" s="49">
        <f t="shared" si="113"/>
        <v>339644.5954299781</v>
      </c>
      <c r="AI254" s="49">
        <f t="shared" si="114"/>
        <v>296826.57390913292</v>
      </c>
      <c r="AJ254" s="49">
        <f t="shared" si="115"/>
        <v>259867.86059640342</v>
      </c>
      <c r="AK254" s="49">
        <f t="shared" si="116"/>
        <v>252970.69516253041</v>
      </c>
      <c r="AL254" s="49">
        <f t="shared" si="117"/>
        <v>252970.69516253041</v>
      </c>
      <c r="AM254" s="3"/>
      <c r="AN254" s="49">
        <f t="shared" si="128"/>
        <v>2201003.9530619839</v>
      </c>
      <c r="AO254" s="49">
        <f t="shared" si="118"/>
        <v>1904177.3791528509</v>
      </c>
      <c r="AP254" s="49">
        <f t="shared" si="119"/>
        <v>1644309.5185564475</v>
      </c>
      <c r="AQ254" s="49">
        <f t="shared" si="120"/>
        <v>1391338.8233939172</v>
      </c>
      <c r="AR254" s="49">
        <f t="shared" si="121"/>
        <v>1138368.1282313867</v>
      </c>
      <c r="AS254" s="3"/>
      <c r="AT254" s="49">
        <f t="shared" si="131"/>
        <v>27116.154752372193</v>
      </c>
      <c r="AU254" s="49">
        <f t="shared" si="131"/>
        <v>28682.166921631186</v>
      </c>
      <c r="AV254" s="49">
        <f t="shared" si="131"/>
        <v>30852.833314260235</v>
      </c>
      <c r="AW254" s="49">
        <f t="shared" si="131"/>
        <v>31589.845796471287</v>
      </c>
      <c r="AX254" s="49">
        <f t="shared" si="131"/>
        <v>31998.365682311251</v>
      </c>
      <c r="AY254" s="3"/>
      <c r="AZ254" s="53">
        <f t="shared" si="123"/>
        <v>441594.88458645775</v>
      </c>
      <c r="BA254" s="53">
        <f t="shared" si="124"/>
        <v>388346.59434280818</v>
      </c>
      <c r="BB254" s="53">
        <f t="shared" si="125"/>
        <v>353204.45561580866</v>
      </c>
      <c r="BC254" s="53">
        <f t="shared" si="126"/>
        <v>337431.41624797054</v>
      </c>
      <c r="BD254" s="53">
        <f t="shared" si="127"/>
        <v>328227.04971763433</v>
      </c>
    </row>
    <row r="255" spans="2:56" s="240" customFormat="1">
      <c r="B255" s="43">
        <f>'12. Investeringen (bijschatten)'!B58</f>
        <v>39</v>
      </c>
      <c r="C255" s="54"/>
      <c r="D255" s="3"/>
      <c r="E255" s="54"/>
      <c r="F255" s="179">
        <f>'12. Investeringen (bijschatten)'!C58</f>
        <v>49.981940341018536</v>
      </c>
      <c r="G255" s="3"/>
      <c r="H255" s="43">
        <f>'12. Investeringen (bijschatten)'!D58</f>
        <v>2021</v>
      </c>
      <c r="I255" s="43" t="str">
        <f>'12. Investeringen (bijschatten)'!E58</f>
        <v>14 Overig rollend materieel</v>
      </c>
      <c r="J255" s="179">
        <f>_xlfn.XLOOKUP(I255,'3. Input (des)investeringen '!$B$11:$B$81,'3. Input (des)investeringen '!$D$11:$D$81)</f>
        <v>10</v>
      </c>
      <c r="M255" s="49">
        <f t="shared" si="105"/>
        <v>0</v>
      </c>
      <c r="N255" s="49">
        <f t="shared" si="106"/>
        <v>2.4990970170509268</v>
      </c>
      <c r="O255" s="3"/>
      <c r="P255" s="147">
        <f t="shared" si="107"/>
        <v>0</v>
      </c>
      <c r="Q255" s="147">
        <f t="shared" si="108"/>
        <v>47.482843323967607</v>
      </c>
      <c r="R255" s="3"/>
      <c r="S255" s="49">
        <f t="shared" si="109"/>
        <v>47.482843323967607</v>
      </c>
      <c r="T255" s="44">
        <f t="shared" si="110"/>
        <v>9.5</v>
      </c>
      <c r="U255" s="3"/>
      <c r="V255" s="49">
        <f t="shared" si="129"/>
        <v>5.8478870198991695</v>
      </c>
      <c r="W255" s="49">
        <f t="shared" si="129"/>
        <v>5.0476498487550723</v>
      </c>
      <c r="X255" s="49">
        <f t="shared" si="129"/>
        <v>4.3569188168201682</v>
      </c>
      <c r="Y255" s="49">
        <f t="shared" si="129"/>
        <v>4.2280158932456064</v>
      </c>
      <c r="Z255" s="49">
        <f t="shared" si="129"/>
        <v>4.2280158932456064</v>
      </c>
      <c r="AA255" s="3"/>
      <c r="AB255" s="49">
        <f t="shared" si="130"/>
        <v>0.49981940341018533</v>
      </c>
      <c r="AC255" s="49">
        <f t="shared" si="130"/>
        <v>0.49981940341018527</v>
      </c>
      <c r="AD255" s="49">
        <f t="shared" si="130"/>
        <v>0.49981940341018527</v>
      </c>
      <c r="AE255" s="49">
        <f t="shared" si="130"/>
        <v>0.49981940341018527</v>
      </c>
      <c r="AF255" s="49">
        <f t="shared" si="130"/>
        <v>0.49981940341018527</v>
      </c>
      <c r="AG255" s="3"/>
      <c r="AH255" s="49">
        <f t="shared" si="113"/>
        <v>6.3477064233093552</v>
      </c>
      <c r="AI255" s="49">
        <f t="shared" si="114"/>
        <v>5.5474692521652571</v>
      </c>
      <c r="AJ255" s="49">
        <f t="shared" si="115"/>
        <v>4.8567382202303531</v>
      </c>
      <c r="AK255" s="49">
        <f t="shared" si="116"/>
        <v>4.7278352966557922</v>
      </c>
      <c r="AL255" s="49">
        <f t="shared" si="117"/>
        <v>4.7278352966557922</v>
      </c>
      <c r="AM255" s="3"/>
      <c r="AN255" s="49">
        <f t="shared" si="128"/>
        <v>41.135136900658253</v>
      </c>
      <c r="AO255" s="49">
        <f t="shared" si="118"/>
        <v>35.587667648492996</v>
      </c>
      <c r="AP255" s="49">
        <f t="shared" si="119"/>
        <v>30.730929428262641</v>
      </c>
      <c r="AQ255" s="49">
        <f t="shared" si="120"/>
        <v>26.003094131606851</v>
      </c>
      <c r="AR255" s="49">
        <f t="shared" si="121"/>
        <v>21.27525883495106</v>
      </c>
      <c r="AS255" s="3"/>
      <c r="AT255" s="49">
        <f t="shared" si="131"/>
        <v>0.5067808880608824</v>
      </c>
      <c r="AU255" s="49">
        <f t="shared" si="131"/>
        <v>0.53604849790817455</v>
      </c>
      <c r="AV255" s="49">
        <f t="shared" si="131"/>
        <v>0.57661664822986514</v>
      </c>
      <c r="AW255" s="49">
        <f t="shared" si="131"/>
        <v>0.59039086672278018</v>
      </c>
      <c r="AX255" s="49">
        <f t="shared" si="131"/>
        <v>0.59802580141123918</v>
      </c>
      <c r="AY255" s="3"/>
      <c r="AZ255" s="53">
        <f t="shared" si="123"/>
        <v>8.2530819659926173</v>
      </c>
      <c r="BA255" s="53">
        <f t="shared" si="124"/>
        <v>7.2579107824737008</v>
      </c>
      <c r="BB255" s="53">
        <f t="shared" si="125"/>
        <v>6.6011301867341983</v>
      </c>
      <c r="BC255" s="53">
        <f t="shared" si="126"/>
        <v>6.3063437403796323</v>
      </c>
      <c r="BD255" s="53">
        <f t="shared" si="127"/>
        <v>6.1343209337951716</v>
      </c>
    </row>
    <row r="256" spans="2:56" s="240" customFormat="1">
      <c r="B256" s="43">
        <f>'12. Investeringen (bijschatten)'!B59</f>
        <v>40</v>
      </c>
      <c r="C256" s="54"/>
      <c r="D256" s="3"/>
      <c r="E256" s="54"/>
      <c r="F256" s="179">
        <f>'12. Investeringen (bijschatten)'!C59</f>
        <v>503372.15987408569</v>
      </c>
      <c r="G256" s="3"/>
      <c r="H256" s="43">
        <f>'12. Investeringen (bijschatten)'!D59</f>
        <v>2021</v>
      </c>
      <c r="I256" s="43" t="str">
        <f>'12. Investeringen (bijschatten)'!E59</f>
        <v>15 Compressorstations (KC)</v>
      </c>
      <c r="J256" s="179">
        <f>_xlfn.XLOOKUP(I256,'3. Input (des)investeringen '!$B$11:$B$81,'3. Input (des)investeringen '!$D$11:$D$81)</f>
        <v>30</v>
      </c>
      <c r="M256" s="49">
        <f t="shared" si="105"/>
        <v>0</v>
      </c>
      <c r="N256" s="49">
        <f t="shared" si="106"/>
        <v>8389.5359979014283</v>
      </c>
      <c r="O256" s="3"/>
      <c r="P256" s="147">
        <f t="shared" si="107"/>
        <v>0</v>
      </c>
      <c r="Q256" s="147">
        <f t="shared" si="108"/>
        <v>494982.62387618428</v>
      </c>
      <c r="R256" s="3"/>
      <c r="S256" s="49">
        <f t="shared" si="109"/>
        <v>494982.62387618428</v>
      </c>
      <c r="T256" s="44">
        <f t="shared" si="110"/>
        <v>29.5</v>
      </c>
      <c r="U256" s="3"/>
      <c r="V256" s="49">
        <f t="shared" si="129"/>
        <v>19631.514235089344</v>
      </c>
      <c r="W256" s="49">
        <f t="shared" si="129"/>
        <v>18766.396658627778</v>
      </c>
      <c r="X256" s="49">
        <f t="shared" si="129"/>
        <v>17939.402907569605</v>
      </c>
      <c r="Y256" s="49">
        <f t="shared" si="129"/>
        <v>17148.852948930944</v>
      </c>
      <c r="Z256" s="49">
        <f t="shared" si="129"/>
        <v>16393.140785079751</v>
      </c>
      <c r="AA256" s="3"/>
      <c r="AB256" s="49">
        <f t="shared" si="130"/>
        <v>1677.9071995802858</v>
      </c>
      <c r="AC256" s="49">
        <f t="shared" si="130"/>
        <v>1677.9071995802856</v>
      </c>
      <c r="AD256" s="49">
        <f t="shared" si="130"/>
        <v>1677.9071995802856</v>
      </c>
      <c r="AE256" s="49">
        <f t="shared" si="130"/>
        <v>1677.9071995802856</v>
      </c>
      <c r="AF256" s="49">
        <f t="shared" si="130"/>
        <v>1677.9071995802856</v>
      </c>
      <c r="AG256" s="3"/>
      <c r="AH256" s="49">
        <f t="shared" si="113"/>
        <v>21309.421434669628</v>
      </c>
      <c r="AI256" s="49">
        <f t="shared" si="114"/>
        <v>20444.303858208063</v>
      </c>
      <c r="AJ256" s="49">
        <f t="shared" si="115"/>
        <v>19617.31010714989</v>
      </c>
      <c r="AK256" s="49">
        <f t="shared" si="116"/>
        <v>18826.760148511228</v>
      </c>
      <c r="AL256" s="49">
        <f t="shared" si="117"/>
        <v>18071.047984660036</v>
      </c>
      <c r="AM256" s="3"/>
      <c r="AN256" s="49">
        <f t="shared" si="128"/>
        <v>473673.20244151464</v>
      </c>
      <c r="AO256" s="49">
        <f t="shared" si="118"/>
        <v>453228.89858330658</v>
      </c>
      <c r="AP256" s="49">
        <f t="shared" si="119"/>
        <v>433611.5884761567</v>
      </c>
      <c r="AQ256" s="49">
        <f t="shared" si="120"/>
        <v>414784.82832764549</v>
      </c>
      <c r="AR256" s="49">
        <f t="shared" si="121"/>
        <v>396713.78034298547</v>
      </c>
      <c r="AS256" s="3"/>
      <c r="AT256" s="49">
        <f t="shared" si="131"/>
        <v>5103.8312731681199</v>
      </c>
      <c r="AU256" s="49">
        <f t="shared" si="131"/>
        <v>5398.587736856125</v>
      </c>
      <c r="AV256" s="49">
        <f t="shared" si="131"/>
        <v>5807.1528567813966</v>
      </c>
      <c r="AW256" s="49">
        <f t="shared" si="131"/>
        <v>5945.8741242241904</v>
      </c>
      <c r="AX256" s="49">
        <f t="shared" si="131"/>
        <v>6022.7661683986571</v>
      </c>
      <c r="AY256" s="3"/>
      <c r="AZ256" s="53">
        <f t="shared" si="123"/>
        <v>42518.141590849249</v>
      </c>
      <c r="BA256" s="53">
        <f t="shared" si="124"/>
        <v>40799.445248313306</v>
      </c>
      <c r="BB256" s="53">
        <f t="shared" si="125"/>
        <v>41901.703326025236</v>
      </c>
      <c r="BC256" s="53">
        <f t="shared" si="126"/>
        <v>40534.457749185945</v>
      </c>
      <c r="BD256" s="53">
        <f t="shared" si="127"/>
        <v>39168.937806092144</v>
      </c>
    </row>
    <row r="257" spans="2:56" s="240" customFormat="1">
      <c r="B257" s="43">
        <f>'12. Investeringen (bijschatten)'!B60</f>
        <v>41</v>
      </c>
      <c r="C257" s="54"/>
      <c r="D257" s="3"/>
      <c r="E257" s="54"/>
      <c r="F257" s="179">
        <f>'12. Investeringen (bijschatten)'!C60</f>
        <v>8924117.8015749045</v>
      </c>
      <c r="G257" s="3"/>
      <c r="H257" s="43">
        <f>'12. Investeringen (bijschatten)'!D60</f>
        <v>2021</v>
      </c>
      <c r="I257" s="43" t="str">
        <f>'12. Investeringen (bijschatten)'!E60</f>
        <v>15 Compressorstations (TT-BT-AT)</v>
      </c>
      <c r="J257" s="179">
        <f>_xlfn.XLOOKUP(I257,'3. Input (des)investeringen '!$B$11:$B$81,'3. Input (des)investeringen '!$D$11:$D$81)</f>
        <v>30</v>
      </c>
      <c r="M257" s="49">
        <f t="shared" si="105"/>
        <v>0</v>
      </c>
      <c r="N257" s="49">
        <f t="shared" si="106"/>
        <v>148735.29669291509</v>
      </c>
      <c r="O257" s="3"/>
      <c r="P257" s="147">
        <f t="shared" si="107"/>
        <v>0</v>
      </c>
      <c r="Q257" s="147">
        <f t="shared" si="108"/>
        <v>8775382.5048819892</v>
      </c>
      <c r="R257" s="3"/>
      <c r="S257" s="49">
        <f t="shared" si="109"/>
        <v>8775382.5048819892</v>
      </c>
      <c r="T257" s="44">
        <f t="shared" si="110"/>
        <v>29.5</v>
      </c>
      <c r="U257" s="3"/>
      <c r="V257" s="49">
        <f t="shared" si="129"/>
        <v>348040.5942614213</v>
      </c>
      <c r="W257" s="49">
        <f t="shared" si="129"/>
        <v>332703.21214142645</v>
      </c>
      <c r="X257" s="49">
        <f t="shared" si="129"/>
        <v>318041.71465722803</v>
      </c>
      <c r="Y257" s="49">
        <f t="shared" si="129"/>
        <v>304026.31706216373</v>
      </c>
      <c r="Z257" s="49">
        <f t="shared" si="129"/>
        <v>290628.54715772939</v>
      </c>
      <c r="AA257" s="3"/>
      <c r="AB257" s="49">
        <f t="shared" si="130"/>
        <v>29747.059338583014</v>
      </c>
      <c r="AC257" s="49">
        <f t="shared" si="130"/>
        <v>29747.059338583014</v>
      </c>
      <c r="AD257" s="49">
        <f t="shared" si="130"/>
        <v>29747.059338583014</v>
      </c>
      <c r="AE257" s="49">
        <f t="shared" si="130"/>
        <v>29747.059338583014</v>
      </c>
      <c r="AF257" s="49">
        <f t="shared" si="130"/>
        <v>29747.059338583014</v>
      </c>
      <c r="AG257" s="3"/>
      <c r="AH257" s="49">
        <f t="shared" si="113"/>
        <v>377787.65360000433</v>
      </c>
      <c r="AI257" s="49">
        <f t="shared" si="114"/>
        <v>362450.27148000948</v>
      </c>
      <c r="AJ257" s="49">
        <f t="shared" si="115"/>
        <v>347788.77399581106</v>
      </c>
      <c r="AK257" s="49">
        <f t="shared" si="116"/>
        <v>333773.37640074675</v>
      </c>
      <c r="AL257" s="49">
        <f t="shared" si="117"/>
        <v>320375.60649631242</v>
      </c>
      <c r="AM257" s="3"/>
      <c r="AN257" s="49">
        <f t="shared" si="128"/>
        <v>8397594.8512819856</v>
      </c>
      <c r="AO257" s="49">
        <f t="shared" si="118"/>
        <v>8035144.5798019757</v>
      </c>
      <c r="AP257" s="49">
        <f t="shared" si="119"/>
        <v>7687355.8058061646</v>
      </c>
      <c r="AQ257" s="49">
        <f t="shared" si="120"/>
        <v>7353582.4294054182</v>
      </c>
      <c r="AR257" s="49">
        <f t="shared" si="121"/>
        <v>7033206.8229091056</v>
      </c>
      <c r="AS257" s="3"/>
      <c r="AT257" s="49">
        <f t="shared" si="131"/>
        <v>90484.129143152386</v>
      </c>
      <c r="AU257" s="49">
        <f t="shared" si="131"/>
        <v>95709.768569427746</v>
      </c>
      <c r="AV257" s="49">
        <f t="shared" si="131"/>
        <v>102953.08385476202</v>
      </c>
      <c r="AW257" s="49">
        <f t="shared" si="131"/>
        <v>105412.42712188458</v>
      </c>
      <c r="AX257" s="49">
        <f t="shared" si="131"/>
        <v>106775.62062942477</v>
      </c>
      <c r="AY257" s="3"/>
      <c r="AZ257" s="53">
        <f t="shared" si="123"/>
        <v>753790.00768674421</v>
      </c>
      <c r="BA257" s="53">
        <f t="shared" si="124"/>
        <v>723319.81118290243</v>
      </c>
      <c r="BB257" s="53">
        <f t="shared" si="125"/>
        <v>742861.37847120734</v>
      </c>
      <c r="BC257" s="53">
        <f t="shared" si="126"/>
        <v>718621.93584003719</v>
      </c>
      <c r="BD257" s="53">
        <f t="shared" si="127"/>
        <v>694413.08639628324</v>
      </c>
    </row>
    <row r="258" spans="2:56" s="240" customFormat="1">
      <c r="B258" s="43">
        <f>'12. Investeringen (bijschatten)'!B61</f>
        <v>42</v>
      </c>
      <c r="C258" s="54"/>
      <c r="D258" s="3"/>
      <c r="E258" s="54"/>
      <c r="F258" s="179">
        <f>'12. Investeringen (bijschatten)'!C61</f>
        <v>302473.20248261362</v>
      </c>
      <c r="G258" s="3"/>
      <c r="H258" s="43">
        <f>'12. Investeringen (bijschatten)'!D61</f>
        <v>2021</v>
      </c>
      <c r="I258" s="43" t="str">
        <f>'12. Investeringen (bijschatten)'!E61</f>
        <v>16 LNG installaties</v>
      </c>
      <c r="J258" s="179">
        <f>_xlfn.XLOOKUP(I258,'3. Input (des)investeringen '!$B$11:$B$81,'3. Input (des)investeringen '!$D$11:$D$81)</f>
        <v>30</v>
      </c>
      <c r="M258" s="49">
        <f t="shared" si="105"/>
        <v>0</v>
      </c>
      <c r="N258" s="49">
        <f t="shared" si="106"/>
        <v>5041.2200413768933</v>
      </c>
      <c r="O258" s="3"/>
      <c r="P258" s="147">
        <f t="shared" si="107"/>
        <v>0</v>
      </c>
      <c r="Q258" s="147">
        <f t="shared" si="108"/>
        <v>297431.98244123673</v>
      </c>
      <c r="R258" s="3"/>
      <c r="S258" s="49">
        <f t="shared" si="109"/>
        <v>297431.98244123673</v>
      </c>
      <c r="T258" s="44">
        <f t="shared" si="110"/>
        <v>29.5</v>
      </c>
      <c r="U258" s="3"/>
      <c r="V258" s="49">
        <f t="shared" si="129"/>
        <v>11796.454896821931</v>
      </c>
      <c r="W258" s="49">
        <f t="shared" si="129"/>
        <v>11276.611121707745</v>
      </c>
      <c r="X258" s="49">
        <f t="shared" si="129"/>
        <v>10779.675716344353</v>
      </c>
      <c r="Y258" s="49">
        <f t="shared" si="129"/>
        <v>10304.639159352906</v>
      </c>
      <c r="Z258" s="49">
        <f t="shared" si="129"/>
        <v>9850.5364167373555</v>
      </c>
      <c r="AA258" s="3"/>
      <c r="AB258" s="49">
        <f t="shared" si="130"/>
        <v>1008.2440082753789</v>
      </c>
      <c r="AC258" s="49">
        <f t="shared" si="130"/>
        <v>1008.2440082753789</v>
      </c>
      <c r="AD258" s="49">
        <f t="shared" si="130"/>
        <v>1008.2440082753789</v>
      </c>
      <c r="AE258" s="49">
        <f t="shared" si="130"/>
        <v>1008.2440082753789</v>
      </c>
      <c r="AF258" s="49">
        <f t="shared" si="130"/>
        <v>1008.2440082753789</v>
      </c>
      <c r="AG258" s="3"/>
      <c r="AH258" s="49">
        <f t="shared" si="113"/>
        <v>12804.69890509731</v>
      </c>
      <c r="AI258" s="49">
        <f t="shared" si="114"/>
        <v>12284.855129983123</v>
      </c>
      <c r="AJ258" s="49">
        <f t="shared" si="115"/>
        <v>11787.919724619731</v>
      </c>
      <c r="AK258" s="49">
        <f t="shared" si="116"/>
        <v>11312.883167628284</v>
      </c>
      <c r="AL258" s="49">
        <f t="shared" si="117"/>
        <v>10858.780425012734</v>
      </c>
      <c r="AM258" s="3"/>
      <c r="AN258" s="49">
        <f t="shared" si="128"/>
        <v>284627.28353613941</v>
      </c>
      <c r="AO258" s="49">
        <f t="shared" si="118"/>
        <v>272342.42840615631</v>
      </c>
      <c r="AP258" s="49">
        <f t="shared" si="119"/>
        <v>260554.50868153656</v>
      </c>
      <c r="AQ258" s="49">
        <f t="shared" si="120"/>
        <v>249241.62551390828</v>
      </c>
      <c r="AR258" s="49">
        <f t="shared" si="121"/>
        <v>238382.84508889556</v>
      </c>
      <c r="AS258" s="3"/>
      <c r="AT258" s="49">
        <f t="shared" si="131"/>
        <v>3066.8604924679148</v>
      </c>
      <c r="AU258" s="49">
        <f t="shared" si="131"/>
        <v>3243.9778196289217</v>
      </c>
      <c r="AV258" s="49">
        <f t="shared" si="131"/>
        <v>3489.4820610184379</v>
      </c>
      <c r="AW258" s="49">
        <f t="shared" si="131"/>
        <v>3572.8388084920466</v>
      </c>
      <c r="AX258" s="49">
        <f t="shared" si="131"/>
        <v>3619.0427599634654</v>
      </c>
      <c r="AY258" s="3"/>
      <c r="AZ258" s="53">
        <f t="shared" si="123"/>
        <v>25548.887037793967</v>
      </c>
      <c r="BA258" s="53">
        <f t="shared" si="124"/>
        <v>24516.133087015205</v>
      </c>
      <c r="BB258" s="53">
        <f t="shared" si="125"/>
        <v>25178.473115536559</v>
      </c>
      <c r="BC258" s="53">
        <f t="shared" si="126"/>
        <v>24356.903745648848</v>
      </c>
      <c r="BD258" s="53">
        <f t="shared" si="127"/>
        <v>23536.371298354228</v>
      </c>
    </row>
    <row r="259" spans="2:56" s="240" customFormat="1">
      <c r="B259" s="43">
        <f>'12. Investeringen (bijschatten)'!B62</f>
        <v>43</v>
      </c>
      <c r="C259" s="54"/>
      <c r="D259" s="3"/>
      <c r="E259" s="54"/>
      <c r="F259" s="179">
        <f>'12. Investeringen (bijschatten)'!C62</f>
        <v>2052183.8724388792</v>
      </c>
      <c r="G259" s="3"/>
      <c r="H259" s="43">
        <f>'12. Investeringen (bijschatten)'!D62</f>
        <v>2021</v>
      </c>
      <c r="I259" s="43" t="str">
        <f>'12. Investeringen (bijschatten)'!E62</f>
        <v>17 Mengstations</v>
      </c>
      <c r="J259" s="179">
        <f>_xlfn.XLOOKUP(I259,'3. Input (des)investeringen '!$B$11:$B$81,'3. Input (des)investeringen '!$D$11:$D$81)</f>
        <v>30</v>
      </c>
      <c r="M259" s="49">
        <f t="shared" si="105"/>
        <v>0</v>
      </c>
      <c r="N259" s="49">
        <f t="shared" si="106"/>
        <v>34203.064540647989</v>
      </c>
      <c r="O259" s="3"/>
      <c r="P259" s="147">
        <f t="shared" si="107"/>
        <v>0</v>
      </c>
      <c r="Q259" s="147">
        <f t="shared" si="108"/>
        <v>2017980.8078982313</v>
      </c>
      <c r="R259" s="3"/>
      <c r="S259" s="49">
        <f t="shared" si="109"/>
        <v>2017980.8078982313</v>
      </c>
      <c r="T259" s="44">
        <f t="shared" si="110"/>
        <v>29.5</v>
      </c>
      <c r="U259" s="3"/>
      <c r="V259" s="49">
        <f t="shared" si="129"/>
        <v>80035.171025116288</v>
      </c>
      <c r="W259" s="49">
        <f t="shared" si="129"/>
        <v>76508.197386721338</v>
      </c>
      <c r="X259" s="49">
        <f t="shared" si="129"/>
        <v>73136.649705272604</v>
      </c>
      <c r="Y259" s="49">
        <f t="shared" si="129"/>
        <v>69913.678701311437</v>
      </c>
      <c r="Z259" s="49">
        <f t="shared" si="129"/>
        <v>66832.736928033308</v>
      </c>
      <c r="AA259" s="3"/>
      <c r="AB259" s="49">
        <f t="shared" si="130"/>
        <v>6840.6129081295985</v>
      </c>
      <c r="AC259" s="49">
        <f t="shared" si="130"/>
        <v>6840.6129081295985</v>
      </c>
      <c r="AD259" s="49">
        <f t="shared" si="130"/>
        <v>6840.6129081295985</v>
      </c>
      <c r="AE259" s="49">
        <f t="shared" si="130"/>
        <v>6840.6129081295985</v>
      </c>
      <c r="AF259" s="49">
        <f t="shared" si="130"/>
        <v>6840.6129081295985</v>
      </c>
      <c r="AG259" s="3"/>
      <c r="AH259" s="49">
        <f t="shared" si="113"/>
        <v>86875.783933245883</v>
      </c>
      <c r="AI259" s="49">
        <f t="shared" si="114"/>
        <v>83348.810294850933</v>
      </c>
      <c r="AJ259" s="49">
        <f t="shared" si="115"/>
        <v>79977.262613402199</v>
      </c>
      <c r="AK259" s="49">
        <f t="shared" si="116"/>
        <v>76754.291609441032</v>
      </c>
      <c r="AL259" s="49">
        <f t="shared" si="117"/>
        <v>73673.349836162903</v>
      </c>
      <c r="AM259" s="3"/>
      <c r="AN259" s="49">
        <f t="shared" si="128"/>
        <v>1931105.0239649855</v>
      </c>
      <c r="AO259" s="49">
        <f t="shared" si="118"/>
        <v>1847756.2136701345</v>
      </c>
      <c r="AP259" s="49">
        <f t="shared" si="119"/>
        <v>1767778.9510567323</v>
      </c>
      <c r="AQ259" s="49">
        <f t="shared" si="120"/>
        <v>1691024.6594472914</v>
      </c>
      <c r="AR259" s="49">
        <f t="shared" si="121"/>
        <v>1617351.3096111284</v>
      </c>
      <c r="AS259" s="3"/>
      <c r="AT259" s="49">
        <f t="shared" si="131"/>
        <v>20807.666894142079</v>
      </c>
      <c r="AU259" s="49">
        <f t="shared" si="131"/>
        <v>22009.351272612574</v>
      </c>
      <c r="AV259" s="49">
        <f t="shared" si="131"/>
        <v>23675.018976923893</v>
      </c>
      <c r="AW259" s="49">
        <f t="shared" si="131"/>
        <v>24240.567830244654</v>
      </c>
      <c r="AX259" s="49">
        <f t="shared" si="131"/>
        <v>24554.046853425367</v>
      </c>
      <c r="AY259" s="3"/>
      <c r="AZ259" s="53">
        <f t="shared" si="123"/>
        <v>173341.02164219748</v>
      </c>
      <c r="BA259" s="53">
        <f t="shared" si="124"/>
        <v>166334.11661857794</v>
      </c>
      <c r="BB259" s="53">
        <f t="shared" si="125"/>
        <v>170827.88173048192</v>
      </c>
      <c r="BC259" s="53">
        <f t="shared" si="126"/>
        <v>165253.79649868276</v>
      </c>
      <c r="BD259" s="53">
        <f t="shared" si="127"/>
        <v>159686.74645481113</v>
      </c>
    </row>
    <row r="260" spans="2:56" s="240" customFormat="1">
      <c r="B260" s="43">
        <f>'12. Investeringen (bijschatten)'!B63</f>
        <v>44</v>
      </c>
      <c r="C260" s="54"/>
      <c r="D260" s="3"/>
      <c r="E260" s="54"/>
      <c r="F260" s="179">
        <f>'12. Investeringen (bijschatten)'!C63</f>
        <v>2389093.2206175276</v>
      </c>
      <c r="G260" s="3"/>
      <c r="H260" s="43">
        <f>'12. Investeringen (bijschatten)'!D63</f>
        <v>2021</v>
      </c>
      <c r="I260" s="43" t="str">
        <f>'12. Investeringen (bijschatten)'!E63</f>
        <v>20 Kantoorgebouwen</v>
      </c>
      <c r="J260" s="179">
        <f>_xlfn.XLOOKUP(I260,'3. Input (des)investeringen '!$B$11:$B$81,'3. Input (des)investeringen '!$D$11:$D$81)</f>
        <v>30</v>
      </c>
      <c r="M260" s="49">
        <f t="shared" si="105"/>
        <v>0</v>
      </c>
      <c r="N260" s="49">
        <f t="shared" si="106"/>
        <v>39818.220343625457</v>
      </c>
      <c r="O260" s="3"/>
      <c r="P260" s="147">
        <f t="shared" si="107"/>
        <v>0</v>
      </c>
      <c r="Q260" s="147">
        <f t="shared" si="108"/>
        <v>2349275.000273902</v>
      </c>
      <c r="R260" s="3"/>
      <c r="S260" s="49">
        <f t="shared" si="109"/>
        <v>2349275.000273902</v>
      </c>
      <c r="T260" s="44">
        <f t="shared" si="110"/>
        <v>29.5</v>
      </c>
      <c r="U260" s="3"/>
      <c r="V260" s="49">
        <f t="shared" si="129"/>
        <v>93174.635604083567</v>
      </c>
      <c r="W260" s="49">
        <f t="shared" si="129"/>
        <v>89068.634713056163</v>
      </c>
      <c r="X260" s="49">
        <f t="shared" si="129"/>
        <v>85143.576234175707</v>
      </c>
      <c r="Y260" s="49">
        <f t="shared" si="129"/>
        <v>81391.486434025603</v>
      </c>
      <c r="Z260" s="49">
        <f t="shared" si="129"/>
        <v>77804.742964051591</v>
      </c>
      <c r="AA260" s="3"/>
      <c r="AB260" s="49">
        <f t="shared" si="130"/>
        <v>7963.6440687250915</v>
      </c>
      <c r="AC260" s="49">
        <f t="shared" si="130"/>
        <v>7963.6440687250915</v>
      </c>
      <c r="AD260" s="49">
        <f t="shared" si="130"/>
        <v>7963.6440687250915</v>
      </c>
      <c r="AE260" s="49">
        <f t="shared" si="130"/>
        <v>7963.6440687250915</v>
      </c>
      <c r="AF260" s="49">
        <f t="shared" si="130"/>
        <v>7963.6440687250915</v>
      </c>
      <c r="AG260" s="3"/>
      <c r="AH260" s="49">
        <f t="shared" si="113"/>
        <v>101138.27967280865</v>
      </c>
      <c r="AI260" s="49">
        <f t="shared" si="114"/>
        <v>97032.27878178125</v>
      </c>
      <c r="AJ260" s="49">
        <f t="shared" si="115"/>
        <v>93107.220302900794</v>
      </c>
      <c r="AK260" s="49">
        <f t="shared" si="116"/>
        <v>89355.13050275069</v>
      </c>
      <c r="AL260" s="49">
        <f t="shared" si="117"/>
        <v>85768.387032776678</v>
      </c>
      <c r="AM260" s="3"/>
      <c r="AN260" s="49">
        <f t="shared" si="128"/>
        <v>2248136.7206010935</v>
      </c>
      <c r="AO260" s="49">
        <f t="shared" si="118"/>
        <v>2151104.4418193121</v>
      </c>
      <c r="AP260" s="49">
        <f t="shared" si="119"/>
        <v>2057997.2215164113</v>
      </c>
      <c r="AQ260" s="49">
        <f t="shared" si="120"/>
        <v>1968642.0910136607</v>
      </c>
      <c r="AR260" s="49">
        <f t="shared" si="121"/>
        <v>1882873.703980884</v>
      </c>
      <c r="AS260" s="3"/>
      <c r="AT260" s="49">
        <f t="shared" si="131"/>
        <v>24223.685109942882</v>
      </c>
      <c r="AU260" s="49">
        <f t="shared" si="131"/>
        <v>25622.651372412307</v>
      </c>
      <c r="AV260" s="49">
        <f t="shared" si="131"/>
        <v>27561.773628276471</v>
      </c>
      <c r="AW260" s="49">
        <f t="shared" si="131"/>
        <v>28220.169276708741</v>
      </c>
      <c r="AX260" s="49">
        <f t="shared" si="131"/>
        <v>28585.112505795132</v>
      </c>
      <c r="AY260" s="3"/>
      <c r="AZ260" s="53">
        <f t="shared" si="123"/>
        <v>201798.61328318872</v>
      </c>
      <c r="BA260" s="53">
        <f t="shared" si="124"/>
        <v>193641.37673423087</v>
      </c>
      <c r="BB260" s="53">
        <f t="shared" si="125"/>
        <v>198872.88834880089</v>
      </c>
      <c r="BC260" s="53">
        <f t="shared" si="126"/>
        <v>192383.69923797852</v>
      </c>
      <c r="BD260" s="53">
        <f t="shared" si="127"/>
        <v>185902.70028984541</v>
      </c>
    </row>
    <row r="261" spans="2:56" s="240" customFormat="1">
      <c r="B261" s="43">
        <f>'12. Investeringen (bijschatten)'!B64</f>
        <v>45</v>
      </c>
      <c r="C261" s="54"/>
      <c r="D261" s="3"/>
      <c r="E261" s="54"/>
      <c r="F261" s="179">
        <f>'12. Investeringen (bijschatten)'!C64</f>
        <v>2623152.226809788</v>
      </c>
      <c r="G261" s="3"/>
      <c r="H261" s="43">
        <f>'12. Investeringen (bijschatten)'!D64</f>
        <v>2021</v>
      </c>
      <c r="I261" s="43" t="str">
        <f>'12. Investeringen (bijschatten)'!E64</f>
        <v>21 Hoofdtransportleiding</v>
      </c>
      <c r="J261" s="179">
        <f>_xlfn.XLOOKUP(I261,'3. Input (des)investeringen '!$B$11:$B$81,'3. Input (des)investeringen '!$D$11:$D$81)</f>
        <v>55</v>
      </c>
      <c r="M261" s="49">
        <f t="shared" si="105"/>
        <v>0</v>
      </c>
      <c r="N261" s="49">
        <f t="shared" si="106"/>
        <v>23846.838425543527</v>
      </c>
      <c r="O261" s="3"/>
      <c r="P261" s="147">
        <f t="shared" si="107"/>
        <v>0</v>
      </c>
      <c r="Q261" s="147">
        <f t="shared" si="108"/>
        <v>2599305.3883842444</v>
      </c>
      <c r="R261" s="3"/>
      <c r="S261" s="49">
        <f t="shared" si="109"/>
        <v>2599305.3883842444</v>
      </c>
      <c r="T261" s="44">
        <f t="shared" si="110"/>
        <v>54.5</v>
      </c>
      <c r="U261" s="3"/>
      <c r="V261" s="49">
        <f t="shared" si="129"/>
        <v>55801.601915771862</v>
      </c>
      <c r="W261" s="49">
        <f t="shared" si="129"/>
        <v>54470.554530625006</v>
      </c>
      <c r="X261" s="49">
        <f t="shared" si="129"/>
        <v>53171.256899619264</v>
      </c>
      <c r="Y261" s="49">
        <f t="shared" si="129"/>
        <v>51902.951689169626</v>
      </c>
      <c r="Z261" s="49">
        <f t="shared" si="129"/>
        <v>50664.899630528882</v>
      </c>
      <c r="AA261" s="3"/>
      <c r="AB261" s="49">
        <f t="shared" si="130"/>
        <v>4769.3676851087057</v>
      </c>
      <c r="AC261" s="49">
        <f t="shared" si="130"/>
        <v>4769.3676851087057</v>
      </c>
      <c r="AD261" s="49">
        <f t="shared" si="130"/>
        <v>4769.3676851087057</v>
      </c>
      <c r="AE261" s="49">
        <f t="shared" si="130"/>
        <v>4769.3676851087057</v>
      </c>
      <c r="AF261" s="49">
        <f t="shared" si="130"/>
        <v>4769.3676851087057</v>
      </c>
      <c r="AG261" s="3"/>
      <c r="AH261" s="49">
        <f t="shared" si="113"/>
        <v>60570.969600880569</v>
      </c>
      <c r="AI261" s="49">
        <f t="shared" si="114"/>
        <v>59239.922215733714</v>
      </c>
      <c r="AJ261" s="49">
        <f t="shared" si="115"/>
        <v>57940.624584727972</v>
      </c>
      <c r="AK261" s="49">
        <f t="shared" si="116"/>
        <v>56672.319374278333</v>
      </c>
      <c r="AL261" s="49">
        <f t="shared" si="117"/>
        <v>55434.267315637589</v>
      </c>
      <c r="AM261" s="3"/>
      <c r="AN261" s="49">
        <f t="shared" si="128"/>
        <v>2538734.4187833639</v>
      </c>
      <c r="AO261" s="49">
        <f t="shared" si="118"/>
        <v>2479494.4965676302</v>
      </c>
      <c r="AP261" s="49">
        <f t="shared" si="119"/>
        <v>2421553.8719829023</v>
      </c>
      <c r="AQ261" s="49">
        <f t="shared" si="120"/>
        <v>2364881.5526086241</v>
      </c>
      <c r="AR261" s="49">
        <f t="shared" si="121"/>
        <v>2309447.2852929863</v>
      </c>
      <c r="AS261" s="3"/>
      <c r="AT261" s="49">
        <f t="shared" si="131"/>
        <v>26596.874910247949</v>
      </c>
      <c r="AU261" s="49">
        <f t="shared" si="131"/>
        <v>28132.897630064592</v>
      </c>
      <c r="AV261" s="49">
        <f t="shared" si="131"/>
        <v>30261.995322707877</v>
      </c>
      <c r="AW261" s="49">
        <f t="shared" si="131"/>
        <v>30984.893866976723</v>
      </c>
      <c r="AX261" s="49">
        <f t="shared" si="131"/>
        <v>31385.590514464464</v>
      </c>
      <c r="AY261" s="3"/>
      <c r="AZ261" s="53">
        <f t="shared" si="123"/>
        <v>173484.81474976291</v>
      </c>
      <c r="BA261" s="53">
        <f t="shared" si="124"/>
        <v>169196.13823253012</v>
      </c>
      <c r="BB261" s="53">
        <f t="shared" si="125"/>
        <v>180221.66704278611</v>
      </c>
      <c r="BC261" s="53">
        <f t="shared" si="126"/>
        <v>177522.71224038277</v>
      </c>
      <c r="BD261" s="53">
        <f t="shared" si="127"/>
        <v>174578.85467123555</v>
      </c>
    </row>
    <row r="262" spans="2:56" s="240" customFormat="1">
      <c r="B262" s="43">
        <f>'12. Investeringen (bijschatten)'!B65</f>
        <v>46</v>
      </c>
      <c r="C262" s="54"/>
      <c r="D262" s="3"/>
      <c r="E262" s="54"/>
      <c r="F262" s="179">
        <f>'12. Investeringen (bijschatten)'!C65</f>
        <v>1633023.1294499158</v>
      </c>
      <c r="G262" s="3"/>
      <c r="H262" s="43">
        <f>'12. Investeringen (bijschatten)'!D65</f>
        <v>2021</v>
      </c>
      <c r="I262" s="43" t="str">
        <f>'12. Investeringen (bijschatten)'!E65</f>
        <v>21 Hoofdtransportleiding (EHD)</v>
      </c>
      <c r="J262" s="179">
        <f>_xlfn.XLOOKUP(I262,'3. Input (des)investeringen '!$B$11:$B$81,'3. Input (des)investeringen '!$D$11:$D$81)</f>
        <v>55</v>
      </c>
      <c r="M262" s="49">
        <f t="shared" si="105"/>
        <v>0</v>
      </c>
      <c r="N262" s="49">
        <f t="shared" si="106"/>
        <v>14845.664813181053</v>
      </c>
      <c r="O262" s="3"/>
      <c r="P262" s="147">
        <f t="shared" si="107"/>
        <v>0</v>
      </c>
      <c r="Q262" s="147">
        <f t="shared" si="108"/>
        <v>1618177.4646367347</v>
      </c>
      <c r="R262" s="3"/>
      <c r="S262" s="49">
        <f t="shared" si="109"/>
        <v>1618177.4646367347</v>
      </c>
      <c r="T262" s="44">
        <f t="shared" si="110"/>
        <v>54.5</v>
      </c>
      <c r="U262" s="3"/>
      <c r="V262" s="49">
        <f t="shared" si="129"/>
        <v>34738.855662843664</v>
      </c>
      <c r="W262" s="49">
        <f t="shared" si="129"/>
        <v>33910.222408500602</v>
      </c>
      <c r="X262" s="49">
        <f t="shared" si="129"/>
        <v>33101.354718022609</v>
      </c>
      <c r="Y262" s="49">
        <f t="shared" si="129"/>
        <v>32311.781119244093</v>
      </c>
      <c r="Z262" s="49">
        <f t="shared" si="129"/>
        <v>31541.041386124507</v>
      </c>
      <c r="AA262" s="3"/>
      <c r="AB262" s="49">
        <f t="shared" si="130"/>
        <v>2969.1329626362108</v>
      </c>
      <c r="AC262" s="49">
        <f t="shared" si="130"/>
        <v>2969.1329626362108</v>
      </c>
      <c r="AD262" s="49">
        <f t="shared" si="130"/>
        <v>2969.1329626362108</v>
      </c>
      <c r="AE262" s="49">
        <f t="shared" si="130"/>
        <v>2969.1329626362108</v>
      </c>
      <c r="AF262" s="49">
        <f t="shared" si="130"/>
        <v>2969.1329626362108</v>
      </c>
      <c r="AG262" s="3"/>
      <c r="AH262" s="49">
        <f t="shared" si="113"/>
        <v>37707.988625479877</v>
      </c>
      <c r="AI262" s="49">
        <f t="shared" si="114"/>
        <v>36879.355371136815</v>
      </c>
      <c r="AJ262" s="49">
        <f t="shared" si="115"/>
        <v>36070.487680658822</v>
      </c>
      <c r="AK262" s="49">
        <f t="shared" si="116"/>
        <v>35280.914081880306</v>
      </c>
      <c r="AL262" s="49">
        <f t="shared" si="117"/>
        <v>34510.174348760716</v>
      </c>
      <c r="AM262" s="3"/>
      <c r="AN262" s="49">
        <f t="shared" si="128"/>
        <v>1580469.4760112548</v>
      </c>
      <c r="AO262" s="49">
        <f t="shared" si="118"/>
        <v>1543590.1206401179</v>
      </c>
      <c r="AP262" s="49">
        <f t="shared" si="119"/>
        <v>1507519.632959459</v>
      </c>
      <c r="AQ262" s="49">
        <f t="shared" si="120"/>
        <v>1472238.7188775786</v>
      </c>
      <c r="AR262" s="49">
        <f t="shared" si="121"/>
        <v>1437728.544528818</v>
      </c>
      <c r="AS262" s="3"/>
      <c r="AT262" s="49">
        <f t="shared" si="131"/>
        <v>16557.678755968944</v>
      </c>
      <c r="AU262" s="49">
        <f t="shared" si="131"/>
        <v>17513.91781948366</v>
      </c>
      <c r="AV262" s="49">
        <f t="shared" si="131"/>
        <v>18839.371120062184</v>
      </c>
      <c r="AW262" s="49">
        <f t="shared" si="131"/>
        <v>19289.406017378231</v>
      </c>
      <c r="AX262" s="49">
        <f t="shared" si="131"/>
        <v>19538.856615994962</v>
      </c>
      <c r="AY262" s="3"/>
      <c r="AZ262" s="53">
        <f t="shared" si="123"/>
        <v>108001.62956583149</v>
      </c>
      <c r="BA262" s="53">
        <f t="shared" si="124"/>
        <v>105331.74717174437</v>
      </c>
      <c r="BB262" s="53">
        <f t="shared" si="125"/>
        <v>112195.60485318044</v>
      </c>
      <c r="BC262" s="53">
        <f t="shared" si="126"/>
        <v>110515.39141660652</v>
      </c>
      <c r="BD262" s="53">
        <f t="shared" si="127"/>
        <v>108682.71565685078</v>
      </c>
    </row>
    <row r="263" spans="2:56" s="240" customFormat="1">
      <c r="B263" s="43">
        <f>'12. Investeringen (bijschatten)'!B66</f>
        <v>47</v>
      </c>
      <c r="C263" s="54"/>
      <c r="D263" s="3"/>
      <c r="E263" s="54"/>
      <c r="F263" s="179">
        <f>'12. Investeringen (bijschatten)'!C66</f>
        <v>1234463.3646877937</v>
      </c>
      <c r="G263" s="3"/>
      <c r="H263" s="43">
        <f>'12. Investeringen (bijschatten)'!D66</f>
        <v>2021</v>
      </c>
      <c r="I263" s="43" t="str">
        <f>'12. Investeringen (bijschatten)'!E66</f>
        <v>32 M&amp;R stations</v>
      </c>
      <c r="J263" s="179">
        <f>_xlfn.XLOOKUP(I263,'3. Input (des)investeringen '!$B$11:$B$81,'3. Input (des)investeringen '!$D$11:$D$81)</f>
        <v>30</v>
      </c>
      <c r="M263" s="49">
        <f t="shared" si="105"/>
        <v>0</v>
      </c>
      <c r="N263" s="49">
        <f t="shared" si="106"/>
        <v>20574.389411463228</v>
      </c>
      <c r="O263" s="3"/>
      <c r="P263" s="147">
        <f t="shared" si="107"/>
        <v>0</v>
      </c>
      <c r="Q263" s="147">
        <f t="shared" si="108"/>
        <v>1213888.9752763305</v>
      </c>
      <c r="R263" s="3"/>
      <c r="S263" s="49">
        <f t="shared" si="109"/>
        <v>1213888.9752763305</v>
      </c>
      <c r="T263" s="44">
        <f t="shared" si="110"/>
        <v>29.5</v>
      </c>
      <c r="U263" s="3"/>
      <c r="V263" s="49">
        <f t="shared" si="129"/>
        <v>48144.071222823957</v>
      </c>
      <c r="W263" s="49">
        <f t="shared" si="129"/>
        <v>46022.468084191038</v>
      </c>
      <c r="X263" s="49">
        <f t="shared" si="129"/>
        <v>43994.359321158889</v>
      </c>
      <c r="Y263" s="49">
        <f t="shared" si="129"/>
        <v>42055.624842599347</v>
      </c>
      <c r="Z263" s="49">
        <f t="shared" si="129"/>
        <v>40202.326120722086</v>
      </c>
      <c r="AA263" s="3"/>
      <c r="AB263" s="49">
        <f t="shared" si="130"/>
        <v>4114.8778822926461</v>
      </c>
      <c r="AC263" s="49">
        <f t="shared" si="130"/>
        <v>4114.8778822926461</v>
      </c>
      <c r="AD263" s="49">
        <f t="shared" si="130"/>
        <v>4114.8778822926461</v>
      </c>
      <c r="AE263" s="49">
        <f t="shared" si="130"/>
        <v>4114.8778822926461</v>
      </c>
      <c r="AF263" s="49">
        <f t="shared" si="130"/>
        <v>4114.8778822926461</v>
      </c>
      <c r="AG263" s="3"/>
      <c r="AH263" s="49">
        <f t="shared" si="113"/>
        <v>52258.949105116604</v>
      </c>
      <c r="AI263" s="49">
        <f t="shared" si="114"/>
        <v>50137.345966483685</v>
      </c>
      <c r="AJ263" s="49">
        <f t="shared" si="115"/>
        <v>48109.237203451536</v>
      </c>
      <c r="AK263" s="49">
        <f t="shared" si="116"/>
        <v>46170.502724891994</v>
      </c>
      <c r="AL263" s="49">
        <f t="shared" si="117"/>
        <v>44317.204003014733</v>
      </c>
      <c r="AM263" s="3"/>
      <c r="AN263" s="49">
        <f t="shared" si="128"/>
        <v>1161630.0261712139</v>
      </c>
      <c r="AO263" s="49">
        <f t="shared" si="118"/>
        <v>1111492.6802047302</v>
      </c>
      <c r="AP263" s="49">
        <f t="shared" si="119"/>
        <v>1063383.4430012787</v>
      </c>
      <c r="AQ263" s="49">
        <f t="shared" si="120"/>
        <v>1017212.9402763867</v>
      </c>
      <c r="AR263" s="49">
        <f t="shared" si="121"/>
        <v>972895.73627337196</v>
      </c>
      <c r="AS263" s="3"/>
      <c r="AT263" s="49">
        <f t="shared" si="131"/>
        <v>12516.569704311652</v>
      </c>
      <c r="AU263" s="49">
        <f t="shared" si="131"/>
        <v>13239.426637875058</v>
      </c>
      <c r="AV263" s="49">
        <f t="shared" si="131"/>
        <v>14241.386445829445</v>
      </c>
      <c r="AW263" s="49">
        <f t="shared" si="131"/>
        <v>14581.584685247421</v>
      </c>
      <c r="AX263" s="49">
        <f t="shared" si="131"/>
        <v>14770.153738397034</v>
      </c>
      <c r="AY263" s="3"/>
      <c r="AZ263" s="53">
        <f t="shared" si="123"/>
        <v>104270.93969924953</v>
      </c>
      <c r="BA263" s="53">
        <f t="shared" si="124"/>
        <v>100056.03105111484</v>
      </c>
      <c r="BB263" s="53">
        <f t="shared" si="125"/>
        <v>102759.19448332957</v>
      </c>
      <c r="BC263" s="53">
        <f t="shared" si="126"/>
        <v>99406.179140642111</v>
      </c>
      <c r="BD263" s="53">
        <f t="shared" si="127"/>
        <v>96057.395719799897</v>
      </c>
    </row>
    <row r="264" spans="2:56" s="240" customFormat="1">
      <c r="B264" s="43">
        <f>'12. Investeringen (bijschatten)'!B67</f>
        <v>48</v>
      </c>
      <c r="C264" s="54"/>
      <c r="D264" s="3"/>
      <c r="E264" s="54"/>
      <c r="F264" s="179">
        <f>'12. Investeringen (bijschatten)'!C67</f>
        <v>374278.37821483467</v>
      </c>
      <c r="G264" s="3"/>
      <c r="H264" s="43">
        <f>'12. Investeringen (bijschatten)'!D67</f>
        <v>2021</v>
      </c>
      <c r="I264" s="43" t="str">
        <f>'12. Investeringen (bijschatten)'!E67</f>
        <v>33 Exportstations</v>
      </c>
      <c r="J264" s="179">
        <f>_xlfn.XLOOKUP(I264,'3. Input (des)investeringen '!$B$11:$B$81,'3. Input (des)investeringen '!$D$11:$D$81)</f>
        <v>30</v>
      </c>
      <c r="M264" s="49">
        <f t="shared" si="105"/>
        <v>0</v>
      </c>
      <c r="N264" s="49">
        <f t="shared" si="106"/>
        <v>6237.9729702472441</v>
      </c>
      <c r="O264" s="3"/>
      <c r="P264" s="147">
        <f t="shared" si="107"/>
        <v>0</v>
      </c>
      <c r="Q264" s="147">
        <f t="shared" si="108"/>
        <v>368040.4052445874</v>
      </c>
      <c r="R264" s="3"/>
      <c r="S264" s="49">
        <f t="shared" si="109"/>
        <v>368040.4052445874</v>
      </c>
      <c r="T264" s="44">
        <f t="shared" si="110"/>
        <v>29.5</v>
      </c>
      <c r="U264" s="3"/>
      <c r="V264" s="49">
        <f t="shared" si="129"/>
        <v>14596.856750378551</v>
      </c>
      <c r="W264" s="49">
        <f t="shared" si="129"/>
        <v>13953.605435955089</v>
      </c>
      <c r="X264" s="49">
        <f t="shared" si="129"/>
        <v>13338.700789624863</v>
      </c>
      <c r="Y264" s="49">
        <f t="shared" si="129"/>
        <v>12750.893636183768</v>
      </c>
      <c r="Z264" s="49">
        <f t="shared" si="129"/>
        <v>12188.989848826517</v>
      </c>
      <c r="AA264" s="3"/>
      <c r="AB264" s="49">
        <f t="shared" si="130"/>
        <v>1247.5945940494487</v>
      </c>
      <c r="AC264" s="49">
        <f t="shared" si="130"/>
        <v>1247.5945940494487</v>
      </c>
      <c r="AD264" s="49">
        <f t="shared" si="130"/>
        <v>1247.5945940494487</v>
      </c>
      <c r="AE264" s="49">
        <f t="shared" si="130"/>
        <v>1247.5945940494487</v>
      </c>
      <c r="AF264" s="49">
        <f t="shared" si="130"/>
        <v>1247.5945940494487</v>
      </c>
      <c r="AG264" s="3"/>
      <c r="AH264" s="49">
        <f t="shared" si="113"/>
        <v>15844.451344428</v>
      </c>
      <c r="AI264" s="49">
        <f t="shared" si="114"/>
        <v>15201.200030004538</v>
      </c>
      <c r="AJ264" s="49">
        <f t="shared" si="115"/>
        <v>14586.295383674313</v>
      </c>
      <c r="AK264" s="49">
        <f t="shared" si="116"/>
        <v>13998.488230233217</v>
      </c>
      <c r="AL264" s="49">
        <f t="shared" si="117"/>
        <v>13436.584442875966</v>
      </c>
      <c r="AM264" s="3"/>
      <c r="AN264" s="49">
        <f t="shared" si="128"/>
        <v>352195.95390015939</v>
      </c>
      <c r="AO264" s="49">
        <f t="shared" si="118"/>
        <v>336994.75387015485</v>
      </c>
      <c r="AP264" s="49">
        <f t="shared" si="119"/>
        <v>322408.45848648052</v>
      </c>
      <c r="AQ264" s="49">
        <f t="shared" si="120"/>
        <v>308409.97025624732</v>
      </c>
      <c r="AR264" s="49">
        <f t="shared" si="121"/>
        <v>294973.38581337134</v>
      </c>
      <c r="AS264" s="3"/>
      <c r="AT264" s="49">
        <f t="shared" si="131"/>
        <v>3794.9132746661089</v>
      </c>
      <c r="AU264" s="49">
        <f t="shared" si="131"/>
        <v>4014.0771061046257</v>
      </c>
      <c r="AV264" s="49">
        <f t="shared" si="131"/>
        <v>4317.8624614946239</v>
      </c>
      <c r="AW264" s="49">
        <f t="shared" si="131"/>
        <v>4421.0075599748079</v>
      </c>
      <c r="AX264" s="49">
        <f t="shared" si="131"/>
        <v>4478.1800297404016</v>
      </c>
      <c r="AY264" s="3"/>
      <c r="AZ264" s="53">
        <f t="shared" si="123"/>
        <v>31614.02705169953</v>
      </c>
      <c r="BA264" s="53">
        <f t="shared" si="124"/>
        <v>30336.104013824275</v>
      </c>
      <c r="BB264" s="53">
        <f t="shared" si="125"/>
        <v>31155.679267655196</v>
      </c>
      <c r="BC264" s="53">
        <f t="shared" si="126"/>
        <v>30139.074659945421</v>
      </c>
      <c r="BD264" s="53">
        <f t="shared" si="127"/>
        <v>29123.753133524478</v>
      </c>
    </row>
    <row r="265" spans="2:56" s="240" customFormat="1">
      <c r="B265" s="43">
        <f>'12. Investeringen (bijschatten)'!B68</f>
        <v>49</v>
      </c>
      <c r="C265" s="54"/>
      <c r="D265" s="3"/>
      <c r="E265" s="54"/>
      <c r="F265" s="179">
        <f>'12. Investeringen (bijschatten)'!C68</f>
        <v>889564.28597105667</v>
      </c>
      <c r="G265" s="3"/>
      <c r="H265" s="43">
        <f>'12. Investeringen (bijschatten)'!D68</f>
        <v>2021</v>
      </c>
      <c r="I265" s="43" t="str">
        <f>'12. Investeringen (bijschatten)'!E68</f>
        <v>34 Reduceerstations</v>
      </c>
      <c r="J265" s="179">
        <f>_xlfn.XLOOKUP(I265,'3. Input (des)investeringen '!$B$11:$B$81,'3. Input (des)investeringen '!$D$11:$D$81)</f>
        <v>30</v>
      </c>
      <c r="M265" s="49">
        <f t="shared" si="105"/>
        <v>0</v>
      </c>
      <c r="N265" s="49">
        <f t="shared" si="106"/>
        <v>14826.071432850944</v>
      </c>
      <c r="O265" s="3"/>
      <c r="P265" s="147">
        <f t="shared" si="107"/>
        <v>0</v>
      </c>
      <c r="Q265" s="147">
        <f t="shared" si="108"/>
        <v>874738.21453820576</v>
      </c>
      <c r="R265" s="3"/>
      <c r="S265" s="49">
        <f t="shared" si="109"/>
        <v>874738.21453820576</v>
      </c>
      <c r="T265" s="44">
        <f t="shared" si="110"/>
        <v>29.5</v>
      </c>
      <c r="U265" s="3"/>
      <c r="V265" s="49">
        <f t="shared" si="129"/>
        <v>34693.007152871214</v>
      </c>
      <c r="W265" s="49">
        <f t="shared" si="129"/>
        <v>33164.162769863324</v>
      </c>
      <c r="X265" s="49">
        <f t="shared" si="129"/>
        <v>31702.691190174432</v>
      </c>
      <c r="Y265" s="49">
        <f t="shared" si="129"/>
        <v>30305.623442810815</v>
      </c>
      <c r="Z265" s="49">
        <f t="shared" si="129"/>
        <v>28970.121392788642</v>
      </c>
      <c r="AA265" s="3"/>
      <c r="AB265" s="49">
        <f t="shared" si="130"/>
        <v>2965.214286570189</v>
      </c>
      <c r="AC265" s="49">
        <f t="shared" si="130"/>
        <v>2965.214286570189</v>
      </c>
      <c r="AD265" s="49">
        <f t="shared" si="130"/>
        <v>2965.214286570189</v>
      </c>
      <c r="AE265" s="49">
        <f t="shared" si="130"/>
        <v>2965.214286570189</v>
      </c>
      <c r="AF265" s="49">
        <f t="shared" si="130"/>
        <v>2965.214286570189</v>
      </c>
      <c r="AG265" s="3"/>
      <c r="AH265" s="49">
        <f t="shared" si="113"/>
        <v>37658.221439441404</v>
      </c>
      <c r="AI265" s="49">
        <f t="shared" si="114"/>
        <v>36129.377056433514</v>
      </c>
      <c r="AJ265" s="49">
        <f t="shared" si="115"/>
        <v>34667.905476744621</v>
      </c>
      <c r="AK265" s="49">
        <f t="shared" si="116"/>
        <v>33270.837729381004</v>
      </c>
      <c r="AL265" s="49">
        <f t="shared" si="117"/>
        <v>31935.335679358832</v>
      </c>
      <c r="AM265" s="3"/>
      <c r="AN265" s="49">
        <f t="shared" si="128"/>
        <v>837079.99309876433</v>
      </c>
      <c r="AO265" s="49">
        <f t="shared" si="118"/>
        <v>800950.61604233086</v>
      </c>
      <c r="AP265" s="49">
        <f t="shared" si="119"/>
        <v>766282.71056558623</v>
      </c>
      <c r="AQ265" s="49">
        <f t="shared" si="120"/>
        <v>733011.87283620518</v>
      </c>
      <c r="AR265" s="49">
        <f t="shared" si="121"/>
        <v>701076.53715684637</v>
      </c>
      <c r="AS265" s="3"/>
      <c r="AT265" s="49">
        <f t="shared" si="131"/>
        <v>9019.5413734606154</v>
      </c>
      <c r="AU265" s="49">
        <f t="shared" si="131"/>
        <v>9540.4379268607136</v>
      </c>
      <c r="AV265" s="49">
        <f t="shared" si="131"/>
        <v>10262.458269165532</v>
      </c>
      <c r="AW265" s="49">
        <f t="shared" si="131"/>
        <v>10507.607872299359</v>
      </c>
      <c r="AX265" s="49">
        <f t="shared" si="131"/>
        <v>10643.492257303933</v>
      </c>
      <c r="AY265" s="3"/>
      <c r="AZ265" s="53">
        <f t="shared" si="123"/>
        <v>75138.482578260009</v>
      </c>
      <c r="BA265" s="53">
        <f t="shared" si="124"/>
        <v>72101.185312691145</v>
      </c>
      <c r="BB265" s="53">
        <f t="shared" si="125"/>
        <v>74049.106747402431</v>
      </c>
      <c r="BC265" s="53">
        <f t="shared" si="126"/>
        <v>71632.896769456158</v>
      </c>
      <c r="BD265" s="53">
        <f t="shared" si="127"/>
        <v>69219.73634862293</v>
      </c>
    </row>
    <row r="266" spans="2:56" s="240" customFormat="1">
      <c r="B266" s="43">
        <f>'12. Investeringen (bijschatten)'!B69</f>
        <v>50</v>
      </c>
      <c r="C266" s="54"/>
      <c r="D266" s="3"/>
      <c r="E266" s="54"/>
      <c r="F266" s="179">
        <f>'12. Investeringen (bijschatten)'!C69</f>
        <v>21.673674251477685</v>
      </c>
      <c r="G266" s="3"/>
      <c r="H266" s="43">
        <f>'12. Investeringen (bijschatten)'!D69</f>
        <v>2021</v>
      </c>
      <c r="I266" s="43" t="str">
        <f>'12. Investeringen (bijschatten)'!E69</f>
        <v>34 Reduceerstations (EHD)</v>
      </c>
      <c r="J266" s="179">
        <f>_xlfn.XLOOKUP(I266,'3. Input (des)investeringen '!$B$11:$B$81,'3. Input (des)investeringen '!$D$11:$D$81)</f>
        <v>30</v>
      </c>
      <c r="M266" s="49">
        <f t="shared" si="105"/>
        <v>0</v>
      </c>
      <c r="N266" s="49">
        <f t="shared" si="106"/>
        <v>0.36122790419129475</v>
      </c>
      <c r="O266" s="3"/>
      <c r="P266" s="147">
        <f t="shared" si="107"/>
        <v>0</v>
      </c>
      <c r="Q266" s="147">
        <f t="shared" si="108"/>
        <v>21.312446347286389</v>
      </c>
      <c r="R266" s="3"/>
      <c r="S266" s="49">
        <f t="shared" si="109"/>
        <v>21.312446347286389</v>
      </c>
      <c r="T266" s="44">
        <f t="shared" si="110"/>
        <v>29.5</v>
      </c>
      <c r="U266" s="3"/>
      <c r="V266" s="49">
        <f t="shared" si="129"/>
        <v>0.84527329580762967</v>
      </c>
      <c r="W266" s="49">
        <f t="shared" si="129"/>
        <v>0.80802396412797139</v>
      </c>
      <c r="X266" s="49">
        <f t="shared" si="129"/>
        <v>0.77241612842063712</v>
      </c>
      <c r="Y266" s="49">
        <f t="shared" si="129"/>
        <v>0.7383774515749818</v>
      </c>
      <c r="Z266" s="49">
        <f t="shared" si="129"/>
        <v>0.70583878421744017</v>
      </c>
      <c r="AA266" s="3"/>
      <c r="AB266" s="49">
        <f t="shared" si="130"/>
        <v>7.2245580838258952E-2</v>
      </c>
      <c r="AC266" s="49">
        <f t="shared" si="130"/>
        <v>7.2245580838258952E-2</v>
      </c>
      <c r="AD266" s="49">
        <f t="shared" si="130"/>
        <v>7.2245580838258952E-2</v>
      </c>
      <c r="AE266" s="49">
        <f t="shared" si="130"/>
        <v>7.2245580838258952E-2</v>
      </c>
      <c r="AF266" s="49">
        <f t="shared" si="130"/>
        <v>7.2245580838258952E-2</v>
      </c>
      <c r="AG266" s="3"/>
      <c r="AH266" s="49">
        <f t="shared" si="113"/>
        <v>0.9175188766458886</v>
      </c>
      <c r="AI266" s="49">
        <f t="shared" si="114"/>
        <v>0.88026954496623033</v>
      </c>
      <c r="AJ266" s="49">
        <f t="shared" si="115"/>
        <v>0.84466170925889605</v>
      </c>
      <c r="AK266" s="49">
        <f t="shared" si="116"/>
        <v>0.81062303241324074</v>
      </c>
      <c r="AL266" s="49">
        <f t="shared" si="117"/>
        <v>0.77808436505569911</v>
      </c>
      <c r="AM266" s="3"/>
      <c r="AN266" s="49">
        <f t="shared" si="128"/>
        <v>20.3949274706405</v>
      </c>
      <c r="AO266" s="49">
        <f t="shared" si="118"/>
        <v>19.514657925674271</v>
      </c>
      <c r="AP266" s="49">
        <f t="shared" si="119"/>
        <v>18.669996216415374</v>
      </c>
      <c r="AQ266" s="49">
        <f t="shared" si="120"/>
        <v>17.859373184002134</v>
      </c>
      <c r="AR266" s="49">
        <f t="shared" si="121"/>
        <v>17.081288818946437</v>
      </c>
      <c r="AS266" s="3"/>
      <c r="AT266" s="49">
        <f t="shared" si="131"/>
        <v>0.21975545186452269</v>
      </c>
      <c r="AU266" s="49">
        <f t="shared" si="131"/>
        <v>0.23244676872060258</v>
      </c>
      <c r="AV266" s="49">
        <f t="shared" si="131"/>
        <v>0.2500383401773778</v>
      </c>
      <c r="AW266" s="49">
        <f t="shared" si="131"/>
        <v>0.256011256047535</v>
      </c>
      <c r="AX266" s="49">
        <f t="shared" si="131"/>
        <v>0.25932199361074165</v>
      </c>
      <c r="AY266" s="3"/>
      <c r="AZ266" s="53">
        <f t="shared" si="123"/>
        <v>1.8307018625121882</v>
      </c>
      <c r="BA266" s="53">
        <f t="shared" si="124"/>
        <v>1.7567000252340841</v>
      </c>
      <c r="BB266" s="53">
        <f t="shared" si="125"/>
        <v>1.8041599056600579</v>
      </c>
      <c r="BC266" s="53">
        <f t="shared" si="126"/>
        <v>1.7452904694528566</v>
      </c>
      <c r="BD266" s="53">
        <f t="shared" si="127"/>
        <v>1.6864953337864053</v>
      </c>
    </row>
    <row r="267" spans="2:56" s="240" customFormat="1">
      <c r="B267" s="43">
        <f>'12. Investeringen (bijschatten)'!B70</f>
        <v>51</v>
      </c>
      <c r="C267" s="54"/>
      <c r="D267" s="3"/>
      <c r="E267" s="54"/>
      <c r="F267" s="179">
        <f>'12. Investeringen (bijschatten)'!C70</f>
        <v>66907.138099665128</v>
      </c>
      <c r="G267" s="3"/>
      <c r="H267" s="43">
        <f>'12. Investeringen (bijschatten)'!D70</f>
        <v>2021</v>
      </c>
      <c r="I267" s="43" t="str">
        <f>'12. Investeringen (bijschatten)'!E70</f>
        <v>36 Luchtscheidingsunit</v>
      </c>
      <c r="J267" s="179">
        <f>_xlfn.XLOOKUP(I267,'3. Input (des)investeringen '!$B$11:$B$81,'3. Input (des)investeringen '!$D$11:$D$81)</f>
        <v>30</v>
      </c>
      <c r="M267" s="49">
        <f t="shared" si="105"/>
        <v>0</v>
      </c>
      <c r="N267" s="49">
        <f t="shared" si="106"/>
        <v>1115.1189683277521</v>
      </c>
      <c r="O267" s="3"/>
      <c r="P267" s="147">
        <f t="shared" si="107"/>
        <v>0</v>
      </c>
      <c r="Q267" s="147">
        <f t="shared" si="108"/>
        <v>65792.01913133738</v>
      </c>
      <c r="R267" s="3"/>
      <c r="S267" s="49">
        <f t="shared" si="109"/>
        <v>65792.01913133738</v>
      </c>
      <c r="T267" s="44">
        <f t="shared" si="110"/>
        <v>29.5</v>
      </c>
      <c r="U267" s="3"/>
      <c r="V267" s="49">
        <f t="shared" si="129"/>
        <v>2609.3783858869401</v>
      </c>
      <c r="W267" s="49">
        <f t="shared" si="129"/>
        <v>2494.3888298987022</v>
      </c>
      <c r="X267" s="49">
        <f t="shared" si="129"/>
        <v>2384.4666102760475</v>
      </c>
      <c r="Y267" s="49">
        <f t="shared" si="129"/>
        <v>2279.3884206706625</v>
      </c>
      <c r="Z267" s="49">
        <f t="shared" si="129"/>
        <v>2178.9407953529721</v>
      </c>
      <c r="AA267" s="3"/>
      <c r="AB267" s="49">
        <f t="shared" si="130"/>
        <v>223.02379366555044</v>
      </c>
      <c r="AC267" s="49">
        <f t="shared" si="130"/>
        <v>223.02379366555044</v>
      </c>
      <c r="AD267" s="49">
        <f t="shared" si="130"/>
        <v>223.02379366555044</v>
      </c>
      <c r="AE267" s="49">
        <f t="shared" si="130"/>
        <v>223.02379366555044</v>
      </c>
      <c r="AF267" s="49">
        <f t="shared" si="130"/>
        <v>223.02379366555044</v>
      </c>
      <c r="AG267" s="3"/>
      <c r="AH267" s="49">
        <f t="shared" si="113"/>
        <v>2832.4021795524905</v>
      </c>
      <c r="AI267" s="49">
        <f t="shared" si="114"/>
        <v>2717.4126235642525</v>
      </c>
      <c r="AJ267" s="49">
        <f t="shared" si="115"/>
        <v>2607.4904039415978</v>
      </c>
      <c r="AK267" s="49">
        <f t="shared" si="116"/>
        <v>2502.4122143362129</v>
      </c>
      <c r="AL267" s="49">
        <f t="shared" si="117"/>
        <v>2401.9645890185225</v>
      </c>
      <c r="AM267" s="3"/>
      <c r="AN267" s="49">
        <f t="shared" si="128"/>
        <v>62959.61695178489</v>
      </c>
      <c r="AO267" s="49">
        <f t="shared" si="118"/>
        <v>60242.204328220636</v>
      </c>
      <c r="AP267" s="49">
        <f t="shared" si="119"/>
        <v>57634.713924279036</v>
      </c>
      <c r="AQ267" s="49">
        <f t="shared" si="120"/>
        <v>55132.301709942825</v>
      </c>
      <c r="AR267" s="49">
        <f t="shared" si="121"/>
        <v>52730.337120924305</v>
      </c>
      <c r="AS267" s="3"/>
      <c r="AT267" s="49">
        <f t="shared" si="131"/>
        <v>678.39020719117264</v>
      </c>
      <c r="AU267" s="49">
        <f t="shared" si="131"/>
        <v>717.56859843687721</v>
      </c>
      <c r="AV267" s="49">
        <f t="shared" si="131"/>
        <v>771.87418996658016</v>
      </c>
      <c r="AW267" s="49">
        <f t="shared" si="131"/>
        <v>790.31272061650179</v>
      </c>
      <c r="AX267" s="49">
        <f t="shared" si="131"/>
        <v>800.53304471951412</v>
      </c>
      <c r="AY267" s="3"/>
      <c r="AZ267" s="53">
        <f t="shared" si="123"/>
        <v>5651.419363104349</v>
      </c>
      <c r="BA267" s="53">
        <f t="shared" si="124"/>
        <v>5422.9739648324112</v>
      </c>
      <c r="BB267" s="53">
        <f t="shared" si="125"/>
        <v>5569.4837230307812</v>
      </c>
      <c r="BC267" s="53">
        <f t="shared" si="126"/>
        <v>5387.7523999305422</v>
      </c>
      <c r="BD267" s="53">
        <f t="shared" si="127"/>
        <v>5206.25044433316</v>
      </c>
    </row>
    <row r="268" spans="2:56" s="240" customFormat="1">
      <c r="B268" s="43">
        <f>'12. Investeringen (bijschatten)'!B71</f>
        <v>52</v>
      </c>
      <c r="C268" s="54"/>
      <c r="D268" s="3"/>
      <c r="E268" s="54"/>
      <c r="F268" s="179">
        <f>'12. Investeringen (bijschatten)'!C71</f>
        <v>8176022.9143784875</v>
      </c>
      <c r="G268" s="3"/>
      <c r="H268" s="43">
        <f>'12. Investeringen (bijschatten)'!D71</f>
        <v>2021</v>
      </c>
      <c r="I268" s="43" t="str">
        <f>'12. Investeringen (bijschatten)'!E71</f>
        <v>37 ICT middelen 1</v>
      </c>
      <c r="J268" s="179">
        <f>_xlfn.XLOOKUP(I268,'3. Input (des)investeringen '!$B$11:$B$81,'3. Input (des)investeringen '!$D$11:$D$81)</f>
        <v>5</v>
      </c>
      <c r="M268" s="49">
        <f t="shared" si="105"/>
        <v>0</v>
      </c>
      <c r="N268" s="49">
        <f t="shared" si="106"/>
        <v>817602.29143784882</v>
      </c>
      <c r="O268" s="3"/>
      <c r="P268" s="147">
        <f t="shared" si="107"/>
        <v>0</v>
      </c>
      <c r="Q268" s="147">
        <f t="shared" si="108"/>
        <v>7358420.622940639</v>
      </c>
      <c r="R268" s="3"/>
      <c r="S268" s="49">
        <f t="shared" si="109"/>
        <v>7358420.622940639</v>
      </c>
      <c r="T268" s="44">
        <f t="shared" si="110"/>
        <v>4.5</v>
      </c>
      <c r="U268" s="3"/>
      <c r="V268" s="49">
        <f t="shared" si="129"/>
        <v>1913189.3619645662</v>
      </c>
      <c r="W268" s="49">
        <f t="shared" si="129"/>
        <v>1360490.2129525803</v>
      </c>
      <c r="X268" s="49">
        <f t="shared" si="129"/>
        <v>1339559.5942917713</v>
      </c>
      <c r="Y268" s="49">
        <f t="shared" si="129"/>
        <v>1339559.5942917713</v>
      </c>
      <c r="Z268" s="49">
        <f t="shared" si="129"/>
        <v>669779.79714588565</v>
      </c>
      <c r="AA268" s="3"/>
      <c r="AB268" s="49">
        <f t="shared" si="130"/>
        <v>163520.45828756978</v>
      </c>
      <c r="AC268" s="49">
        <f t="shared" si="130"/>
        <v>163520.45828756978</v>
      </c>
      <c r="AD268" s="49">
        <f t="shared" si="130"/>
        <v>163520.45828756978</v>
      </c>
      <c r="AE268" s="49">
        <f t="shared" si="130"/>
        <v>163520.45828756978</v>
      </c>
      <c r="AF268" s="49">
        <f t="shared" si="130"/>
        <v>81760.229143784891</v>
      </c>
      <c r="AG268" s="3"/>
      <c r="AH268" s="49">
        <f t="shared" si="113"/>
        <v>2076709.8202521359</v>
      </c>
      <c r="AI268" s="49">
        <f t="shared" si="114"/>
        <v>1524010.67124015</v>
      </c>
      <c r="AJ268" s="49">
        <f t="shared" si="115"/>
        <v>1503080.052579341</v>
      </c>
      <c r="AK268" s="49">
        <f t="shared" si="116"/>
        <v>1503080.052579341</v>
      </c>
      <c r="AL268" s="49">
        <f t="shared" si="117"/>
        <v>751540.0262896705</v>
      </c>
      <c r="AM268" s="3"/>
      <c r="AN268" s="49">
        <f t="shared" si="128"/>
        <v>5281710.8026885036</v>
      </c>
      <c r="AO268" s="49">
        <f t="shared" si="118"/>
        <v>3757700.1314483536</v>
      </c>
      <c r="AP268" s="49">
        <f t="shared" si="119"/>
        <v>2254620.0788690127</v>
      </c>
      <c r="AQ268" s="49">
        <f t="shared" si="120"/>
        <v>751540.02628967166</v>
      </c>
      <c r="AR268" s="49">
        <f t="shared" si="121"/>
        <v>0</v>
      </c>
      <c r="AS268" s="3"/>
      <c r="AT268" s="49">
        <f t="shared" si="131"/>
        <v>82898.98561529952</v>
      </c>
      <c r="AU268" s="49">
        <f t="shared" si="131"/>
        <v>87686.567832554283</v>
      </c>
      <c r="AV268" s="49">
        <f t="shared" si="131"/>
        <v>94322.687286121989</v>
      </c>
      <c r="AW268" s="49">
        <f t="shared" si="131"/>
        <v>96575.86764001289</v>
      </c>
      <c r="AX268" s="49">
        <f t="shared" si="131"/>
        <v>97824.786760333518</v>
      </c>
      <c r="AY268" s="3"/>
      <c r="AZ268" s="53">
        <f t="shared" si="123"/>
        <v>2339186.9731588447</v>
      </c>
      <c r="BA268" s="53">
        <f t="shared" si="124"/>
        <v>1735701.3434104999</v>
      </c>
      <c r="BB268" s="53">
        <f t="shared" si="125"/>
        <v>1683078.3028624854</v>
      </c>
      <c r="BC268" s="53">
        <f t="shared" si="126"/>
        <v>1628214.4412183615</v>
      </c>
      <c r="BD268" s="53">
        <f t="shared" si="127"/>
        <v>849364.81305000396</v>
      </c>
    </row>
    <row r="269" spans="2:56" s="240" customFormat="1">
      <c r="B269" s="43">
        <f>'12. Investeringen (bijschatten)'!B72</f>
        <v>53</v>
      </c>
      <c r="C269" s="54"/>
      <c r="D269" s="3"/>
      <c r="E269" s="54"/>
      <c r="F269" s="179">
        <f>'12. Investeringen (bijschatten)'!C72</f>
        <v>3432263.071002047</v>
      </c>
      <c r="G269" s="3"/>
      <c r="H269" s="43">
        <f>'12. Investeringen (bijschatten)'!D72</f>
        <v>2021</v>
      </c>
      <c r="I269" s="43" t="str">
        <f>'12. Investeringen (bijschatten)'!E72</f>
        <v>38 ICT middelen 2</v>
      </c>
      <c r="J269" s="179">
        <f>_xlfn.XLOOKUP(I269,'3. Input (des)investeringen '!$B$11:$B$81,'3. Input (des)investeringen '!$D$11:$D$81)</f>
        <v>10</v>
      </c>
      <c r="M269" s="49">
        <f t="shared" si="105"/>
        <v>0</v>
      </c>
      <c r="N269" s="49">
        <f t="shared" si="106"/>
        <v>171613.15355010238</v>
      </c>
      <c r="O269" s="3"/>
      <c r="P269" s="147">
        <f t="shared" si="107"/>
        <v>0</v>
      </c>
      <c r="Q269" s="147">
        <f t="shared" si="108"/>
        <v>3260649.9174519447</v>
      </c>
      <c r="R269" s="3"/>
      <c r="S269" s="49">
        <f t="shared" si="109"/>
        <v>3260649.9174519447</v>
      </c>
      <c r="T269" s="44">
        <f t="shared" si="110"/>
        <v>9.5</v>
      </c>
      <c r="U269" s="3"/>
      <c r="V269" s="49">
        <f t="shared" si="129"/>
        <v>401574.77930723951</v>
      </c>
      <c r="W269" s="49">
        <f t="shared" si="129"/>
        <v>346622.44108624884</v>
      </c>
      <c r="X269" s="49">
        <f t="shared" si="129"/>
        <v>299189.89651655161</v>
      </c>
      <c r="Y269" s="49">
        <f t="shared" si="129"/>
        <v>290338.12443026307</v>
      </c>
      <c r="Z269" s="49">
        <f t="shared" si="129"/>
        <v>290338.12443026307</v>
      </c>
      <c r="AA269" s="3"/>
      <c r="AB269" s="49">
        <f t="shared" si="130"/>
        <v>34322.630710020472</v>
      </c>
      <c r="AC269" s="49">
        <f t="shared" si="130"/>
        <v>34322.630710020472</v>
      </c>
      <c r="AD269" s="49">
        <f t="shared" si="130"/>
        <v>34322.630710020472</v>
      </c>
      <c r="AE269" s="49">
        <f t="shared" si="130"/>
        <v>34322.630710020472</v>
      </c>
      <c r="AF269" s="49">
        <f t="shared" si="130"/>
        <v>34322.630710020472</v>
      </c>
      <c r="AG269" s="3"/>
      <c r="AH269" s="49">
        <f t="shared" si="113"/>
        <v>435897.41001726</v>
      </c>
      <c r="AI269" s="49">
        <f t="shared" si="114"/>
        <v>380945.07179626933</v>
      </c>
      <c r="AJ269" s="49">
        <f t="shared" si="115"/>
        <v>333512.5272265721</v>
      </c>
      <c r="AK269" s="49">
        <f t="shared" si="116"/>
        <v>324660.75514028355</v>
      </c>
      <c r="AL269" s="49">
        <f t="shared" si="117"/>
        <v>324660.75514028355</v>
      </c>
      <c r="AM269" s="3"/>
      <c r="AN269" s="49">
        <f t="shared" si="128"/>
        <v>2824752.5074346848</v>
      </c>
      <c r="AO269" s="49">
        <f t="shared" si="118"/>
        <v>2443807.4356384156</v>
      </c>
      <c r="AP269" s="49">
        <f t="shared" si="119"/>
        <v>2110294.9084118437</v>
      </c>
      <c r="AQ269" s="49">
        <f t="shared" si="120"/>
        <v>1785634.1532715601</v>
      </c>
      <c r="AR269" s="49">
        <f t="shared" si="121"/>
        <v>1460973.3981312765</v>
      </c>
      <c r="AS269" s="3"/>
      <c r="AT269" s="49">
        <f t="shared" si="131"/>
        <v>34800.676310549636</v>
      </c>
      <c r="AU269" s="49">
        <f t="shared" si="131"/>
        <v>36810.484968836499</v>
      </c>
      <c r="AV269" s="49">
        <f t="shared" si="131"/>
        <v>39596.302471278053</v>
      </c>
      <c r="AW269" s="49">
        <f t="shared" si="131"/>
        <v>40542.178944711937</v>
      </c>
      <c r="AX269" s="49">
        <f t="shared" si="131"/>
        <v>41066.470402824947</v>
      </c>
      <c r="AY269" s="3"/>
      <c r="AZ269" s="53">
        <f t="shared" si="123"/>
        <v>566739.67158058891</v>
      </c>
      <c r="BA269" s="53">
        <f t="shared" si="124"/>
        <v>498401.20214117353</v>
      </c>
      <c r="BB269" s="53">
        <f t="shared" si="125"/>
        <v>453300.03621750022</v>
      </c>
      <c r="BC269" s="53">
        <f t="shared" si="126"/>
        <v>433057.03190931474</v>
      </c>
      <c r="BD269" s="53">
        <f t="shared" si="127"/>
        <v>421244.214672097</v>
      </c>
    </row>
    <row r="270" spans="2:56" s="240" customFormat="1">
      <c r="B270" s="43">
        <f>'12. Investeringen (bijschatten)'!B73</f>
        <v>54</v>
      </c>
      <c r="C270" s="54"/>
      <c r="D270" s="3"/>
      <c r="E270" s="54"/>
      <c r="F270" s="179">
        <f>'12. Investeringen (bijschatten)'!C73</f>
        <v>280.60480266320502</v>
      </c>
      <c r="G270" s="3"/>
      <c r="H270" s="43">
        <f>'12. Investeringen (bijschatten)'!D73</f>
        <v>2021</v>
      </c>
      <c r="I270" s="43" t="str">
        <f>'12. Investeringen (bijschatten)'!E73</f>
        <v>41 Stikstofbuffer</v>
      </c>
      <c r="J270" s="179">
        <f>_xlfn.XLOOKUP(I270,'3. Input (des)investeringen '!$B$11:$B$81,'3. Input (des)investeringen '!$D$11:$D$81)</f>
        <v>30</v>
      </c>
      <c r="M270" s="49">
        <f t="shared" si="105"/>
        <v>0</v>
      </c>
      <c r="N270" s="49">
        <f t="shared" si="106"/>
        <v>4.6767467110534167</v>
      </c>
      <c r="O270" s="3"/>
      <c r="P270" s="147">
        <f t="shared" si="107"/>
        <v>0</v>
      </c>
      <c r="Q270" s="147">
        <f t="shared" si="108"/>
        <v>275.92805595215162</v>
      </c>
      <c r="R270" s="3"/>
      <c r="S270" s="49">
        <f t="shared" si="109"/>
        <v>275.92805595215162</v>
      </c>
      <c r="T270" s="44">
        <f t="shared" si="110"/>
        <v>29.5</v>
      </c>
      <c r="U270" s="3"/>
      <c r="V270" s="49">
        <f t="shared" si="129"/>
        <v>10.943587303864996</v>
      </c>
      <c r="W270" s="49">
        <f t="shared" si="129"/>
        <v>10.46132752437264</v>
      </c>
      <c r="X270" s="49">
        <f t="shared" si="129"/>
        <v>10.000319870756218</v>
      </c>
      <c r="Y270" s="49">
        <f t="shared" si="129"/>
        <v>9.5596278086550974</v>
      </c>
      <c r="Z270" s="49">
        <f t="shared" si="129"/>
        <v>9.1383560747143626</v>
      </c>
      <c r="AA270" s="3"/>
      <c r="AB270" s="49">
        <f t="shared" si="130"/>
        <v>0.93534934221068355</v>
      </c>
      <c r="AC270" s="49">
        <f t="shared" si="130"/>
        <v>0.93534934221068344</v>
      </c>
      <c r="AD270" s="49">
        <f t="shared" si="130"/>
        <v>0.93534934221068344</v>
      </c>
      <c r="AE270" s="49">
        <f t="shared" si="130"/>
        <v>0.93534934221068344</v>
      </c>
      <c r="AF270" s="49">
        <f t="shared" si="130"/>
        <v>0.93534934221068344</v>
      </c>
      <c r="AG270" s="3"/>
      <c r="AH270" s="49">
        <f t="shared" si="113"/>
        <v>11.87893664607568</v>
      </c>
      <c r="AI270" s="49">
        <f t="shared" si="114"/>
        <v>11.396676866583324</v>
      </c>
      <c r="AJ270" s="49">
        <f t="shared" si="115"/>
        <v>10.935669212966902</v>
      </c>
      <c r="AK270" s="49">
        <f t="shared" si="116"/>
        <v>10.494977150865781</v>
      </c>
      <c r="AL270" s="49">
        <f t="shared" si="117"/>
        <v>10.073705416925046</v>
      </c>
      <c r="AM270" s="3"/>
      <c r="AN270" s="49">
        <f t="shared" si="128"/>
        <v>264.04911930607597</v>
      </c>
      <c r="AO270" s="49">
        <f t="shared" si="118"/>
        <v>252.65244243949263</v>
      </c>
      <c r="AP270" s="49">
        <f t="shared" si="119"/>
        <v>241.71677322652573</v>
      </c>
      <c r="AQ270" s="49">
        <f t="shared" si="120"/>
        <v>231.22179607565994</v>
      </c>
      <c r="AR270" s="49">
        <f t="shared" si="121"/>
        <v>221.1480906587349</v>
      </c>
      <c r="AS270" s="3"/>
      <c r="AT270" s="49">
        <f t="shared" si="131"/>
        <v>2.8451306635469815</v>
      </c>
      <c r="AU270" s="49">
        <f t="shared" si="131"/>
        <v>3.0094426496281468</v>
      </c>
      <c r="AV270" s="49">
        <f t="shared" si="131"/>
        <v>3.2371972693520048</v>
      </c>
      <c r="AW270" s="49">
        <f t="shared" si="131"/>
        <v>3.3145274377222855</v>
      </c>
      <c r="AX270" s="49">
        <f t="shared" si="131"/>
        <v>3.3573909065469101</v>
      </c>
      <c r="AY270" s="3"/>
      <c r="AZ270" s="53">
        <f t="shared" si="123"/>
        <v>23.701737366029246</v>
      </c>
      <c r="BA270" s="53">
        <f t="shared" si="124"/>
        <v>22.743650116714726</v>
      </c>
      <c r="BB270" s="53">
        <f t="shared" si="125"/>
        <v>23.358103864926886</v>
      </c>
      <c r="BC270" s="53">
        <f t="shared" si="126"/>
        <v>22.595932839463146</v>
      </c>
      <c r="BD270" s="53">
        <f t="shared" si="127"/>
        <v>21.834723768503885</v>
      </c>
    </row>
    <row r="271" spans="2:56" s="240" customFormat="1">
      <c r="B271" s="43">
        <f>'12. Investeringen (bijschatten)'!B74</f>
        <v>55</v>
      </c>
      <c r="C271" s="54"/>
      <c r="D271" s="3"/>
      <c r="E271" s="54"/>
      <c r="F271" s="179">
        <f>'12. Investeringen (bijschatten)'!C74</f>
        <v>13637663.667912096</v>
      </c>
      <c r="G271" s="3"/>
      <c r="H271" s="43">
        <f>'12. Investeringen (bijschatten)'!D74</f>
        <v>2021</v>
      </c>
      <c r="I271" s="43" t="str">
        <f>'12. Investeringen (bijschatten)'!E74</f>
        <v>42 Vulgas</v>
      </c>
      <c r="J271" s="179">
        <f>_xlfn.XLOOKUP(I271,'3. Input (des)investeringen '!$B$11:$B$81,'3. Input (des)investeringen '!$D$11:$D$81)</f>
        <v>0</v>
      </c>
      <c r="M271" s="49">
        <f t="shared" si="105"/>
        <v>0</v>
      </c>
      <c r="N271" s="49">
        <f t="shared" si="106"/>
        <v>0</v>
      </c>
      <c r="O271" s="3"/>
      <c r="P271" s="147">
        <f t="shared" si="107"/>
        <v>0</v>
      </c>
      <c r="Q271" s="147">
        <f t="shared" si="108"/>
        <v>13637663.667912096</v>
      </c>
      <c r="R271" s="3"/>
      <c r="S271" s="49">
        <f t="shared" si="109"/>
        <v>13637663.667912096</v>
      </c>
      <c r="T271" s="44">
        <f t="shared" si="110"/>
        <v>0</v>
      </c>
      <c r="U271" s="3"/>
      <c r="V271" s="49">
        <f t="shared" si="129"/>
        <v>0</v>
      </c>
      <c r="W271" s="49">
        <f t="shared" si="129"/>
        <v>0</v>
      </c>
      <c r="X271" s="49">
        <f t="shared" si="129"/>
        <v>0</v>
      </c>
      <c r="Y271" s="49">
        <f t="shared" si="129"/>
        <v>0</v>
      </c>
      <c r="Z271" s="49">
        <f t="shared" si="129"/>
        <v>0</v>
      </c>
      <c r="AA271" s="3"/>
      <c r="AB271" s="49">
        <f t="shared" si="130"/>
        <v>0</v>
      </c>
      <c r="AC271" s="49">
        <f t="shared" si="130"/>
        <v>0</v>
      </c>
      <c r="AD271" s="49">
        <f t="shared" si="130"/>
        <v>0</v>
      </c>
      <c r="AE271" s="49">
        <f t="shared" si="130"/>
        <v>0</v>
      </c>
      <c r="AF271" s="49">
        <f t="shared" si="130"/>
        <v>0</v>
      </c>
      <c r="AG271" s="3"/>
      <c r="AH271" s="49">
        <f t="shared" si="113"/>
        <v>0</v>
      </c>
      <c r="AI271" s="49">
        <f t="shared" si="114"/>
        <v>0</v>
      </c>
      <c r="AJ271" s="49">
        <f t="shared" si="115"/>
        <v>0</v>
      </c>
      <c r="AK271" s="49">
        <f t="shared" si="116"/>
        <v>0</v>
      </c>
      <c r="AL271" s="49">
        <f t="shared" si="117"/>
        <v>0</v>
      </c>
      <c r="AM271" s="3"/>
      <c r="AN271" s="49">
        <f t="shared" si="128"/>
        <v>13637663.667912096</v>
      </c>
      <c r="AO271" s="49">
        <f t="shared" si="118"/>
        <v>13637663.667912096</v>
      </c>
      <c r="AP271" s="49">
        <f t="shared" si="119"/>
        <v>13637663.667912096</v>
      </c>
      <c r="AQ271" s="49">
        <f t="shared" si="120"/>
        <v>13637663.667912096</v>
      </c>
      <c r="AR271" s="49">
        <f t="shared" si="121"/>
        <v>13637663.667912096</v>
      </c>
      <c r="AS271" s="3"/>
      <c r="AT271" s="49">
        <f t="shared" si="131"/>
        <v>138276.09047478775</v>
      </c>
      <c r="AU271" s="49">
        <f t="shared" si="131"/>
        <v>146261.8112518877</v>
      </c>
      <c r="AV271" s="49">
        <f t="shared" si="131"/>
        <v>157330.90512743057</v>
      </c>
      <c r="AW271" s="49">
        <f t="shared" si="131"/>
        <v>161089.22578911463</v>
      </c>
      <c r="AX271" s="49">
        <f t="shared" si="131"/>
        <v>163172.43165701945</v>
      </c>
      <c r="AY271" s="3"/>
      <c r="AZ271" s="53">
        <f t="shared" si="123"/>
        <v>601956.6551837991</v>
      </c>
      <c r="BA271" s="53">
        <f t="shared" si="124"/>
        <v>596304.71229298692</v>
      </c>
      <c r="BB271" s="53">
        <f t="shared" si="125"/>
        <v>675562.1245080902</v>
      </c>
      <c r="BC271" s="53">
        <f t="shared" si="126"/>
        <v>679320.44516977423</v>
      </c>
      <c r="BD271" s="53">
        <f t="shared" si="127"/>
        <v>681403.65103767905</v>
      </c>
    </row>
    <row r="272" spans="2:56" s="240" customFormat="1">
      <c r="B272" s="43">
        <f>'12. Investeringen (bijschatten)'!B75</f>
        <v>56</v>
      </c>
      <c r="C272" s="54"/>
      <c r="D272" s="3"/>
      <c r="E272" s="54"/>
      <c r="F272" s="179">
        <f>'12. Investeringen (bijschatten)'!C75</f>
        <v>6068.2242421309429</v>
      </c>
      <c r="G272" s="3"/>
      <c r="H272" s="43">
        <f>'12. Investeringen (bijschatten)'!D75</f>
        <v>2021</v>
      </c>
      <c r="I272" s="43" t="str">
        <f>'12. Investeringen (bijschatten)'!E75</f>
        <v>44 Stikstofleiding</v>
      </c>
      <c r="J272" s="179">
        <f>_xlfn.XLOOKUP(I272,'3. Input (des)investeringen '!$B$11:$B$81,'3. Input (des)investeringen '!$D$11:$D$81)</f>
        <v>55</v>
      </c>
      <c r="M272" s="49">
        <f t="shared" si="105"/>
        <v>0</v>
      </c>
      <c r="N272" s="49">
        <f t="shared" si="106"/>
        <v>55.165674928463119</v>
      </c>
      <c r="O272" s="3"/>
      <c r="P272" s="147">
        <f t="shared" si="107"/>
        <v>0</v>
      </c>
      <c r="Q272" s="147">
        <f t="shared" si="108"/>
        <v>6013.0585672024799</v>
      </c>
      <c r="R272" s="3"/>
      <c r="S272" s="49">
        <f t="shared" si="109"/>
        <v>6013.0585672024799</v>
      </c>
      <c r="T272" s="44">
        <f t="shared" si="110"/>
        <v>54.5</v>
      </c>
      <c r="U272" s="3"/>
      <c r="V272" s="49">
        <f t="shared" si="129"/>
        <v>129.0876793326037</v>
      </c>
      <c r="W272" s="49">
        <f t="shared" si="129"/>
        <v>126.0085236787985</v>
      </c>
      <c r="X272" s="49">
        <f t="shared" si="129"/>
        <v>123.00281577453357</v>
      </c>
      <c r="Y272" s="49">
        <f t="shared" si="129"/>
        <v>120.06880365514104</v>
      </c>
      <c r="Z272" s="49">
        <f t="shared" si="129"/>
        <v>117.20477714593584</v>
      </c>
      <c r="AA272" s="3"/>
      <c r="AB272" s="49">
        <f t="shared" si="130"/>
        <v>11.033134985692625</v>
      </c>
      <c r="AC272" s="49">
        <f t="shared" si="130"/>
        <v>11.033134985692623</v>
      </c>
      <c r="AD272" s="49">
        <f t="shared" si="130"/>
        <v>11.033134985692623</v>
      </c>
      <c r="AE272" s="49">
        <f t="shared" si="130"/>
        <v>11.033134985692623</v>
      </c>
      <c r="AF272" s="49">
        <f t="shared" si="130"/>
        <v>11.033134985692623</v>
      </c>
      <c r="AG272" s="3"/>
      <c r="AH272" s="49">
        <f t="shared" si="113"/>
        <v>140.12081431829631</v>
      </c>
      <c r="AI272" s="49">
        <f t="shared" si="114"/>
        <v>137.04165866449111</v>
      </c>
      <c r="AJ272" s="49">
        <f t="shared" si="115"/>
        <v>134.0359507602262</v>
      </c>
      <c r="AK272" s="49">
        <f t="shared" si="116"/>
        <v>131.10193864083365</v>
      </c>
      <c r="AL272" s="49">
        <f t="shared" si="117"/>
        <v>128.23791213162846</v>
      </c>
      <c r="AM272" s="3"/>
      <c r="AN272" s="49">
        <f t="shared" si="128"/>
        <v>5872.9377528841833</v>
      </c>
      <c r="AO272" s="49">
        <f t="shared" si="118"/>
        <v>5735.8960942196918</v>
      </c>
      <c r="AP272" s="49">
        <f t="shared" si="119"/>
        <v>5601.8601434594657</v>
      </c>
      <c r="AQ272" s="49">
        <f t="shared" si="120"/>
        <v>5470.7582048186323</v>
      </c>
      <c r="AR272" s="49">
        <f t="shared" si="121"/>
        <v>5342.5202926870043</v>
      </c>
      <c r="AS272" s="3"/>
      <c r="AT272" s="49">
        <f t="shared" si="131"/>
        <v>61.527424693753431</v>
      </c>
      <c r="AU272" s="49">
        <f t="shared" si="131"/>
        <v>65.080756524667066</v>
      </c>
      <c r="AV272" s="49">
        <f t="shared" si="131"/>
        <v>70.006068178453887</v>
      </c>
      <c r="AW272" s="49">
        <f t="shared" si="131"/>
        <v>71.678373135100799</v>
      </c>
      <c r="AX272" s="49">
        <f t="shared" si="131"/>
        <v>72.605317856483893</v>
      </c>
      <c r="AY272" s="3"/>
      <c r="AZ272" s="53">
        <f t="shared" si="123"/>
        <v>401.32812261011202</v>
      </c>
      <c r="BA272" s="53">
        <f t="shared" si="124"/>
        <v>391.40698629840801</v>
      </c>
      <c r="BB272" s="53">
        <f t="shared" si="125"/>
        <v>416.91270439013977</v>
      </c>
      <c r="BC272" s="53">
        <f t="shared" si="126"/>
        <v>410.66912355904248</v>
      </c>
      <c r="BD272" s="53">
        <f t="shared" si="127"/>
        <v>403.85900111021851</v>
      </c>
    </row>
    <row r="273" spans="2:56" s="240" customFormat="1">
      <c r="B273" s="43">
        <f>'12. Investeringen (bijschatten)'!B76</f>
        <v>57</v>
      </c>
      <c r="C273" s="54"/>
      <c r="D273" s="3"/>
      <c r="E273" s="54"/>
      <c r="F273" s="179">
        <f>'12. Investeringen (bijschatten)'!C76</f>
        <v>2134515.8335881382</v>
      </c>
      <c r="G273" s="3"/>
      <c r="H273" s="43">
        <f>'12. Investeringen (bijschatten)'!D76</f>
        <v>2021</v>
      </c>
      <c r="I273" s="43" t="str">
        <f>'12. Investeringen (bijschatten)'!E76</f>
        <v>45 Groen gas booster</v>
      </c>
      <c r="J273" s="179">
        <f>_xlfn.XLOOKUP(I273,'3. Input (des)investeringen '!$B$11:$B$81,'3. Input (des)investeringen '!$D$11:$D$81)</f>
        <v>30</v>
      </c>
      <c r="M273" s="49">
        <f t="shared" si="105"/>
        <v>0</v>
      </c>
      <c r="N273" s="49">
        <f t="shared" si="106"/>
        <v>35575.263893135634</v>
      </c>
      <c r="O273" s="3"/>
      <c r="P273" s="147">
        <f t="shared" si="107"/>
        <v>0</v>
      </c>
      <c r="Q273" s="147">
        <f t="shared" si="108"/>
        <v>2098940.5696950024</v>
      </c>
      <c r="R273" s="3"/>
      <c r="S273" s="49">
        <f t="shared" si="109"/>
        <v>2098940.5696950024</v>
      </c>
      <c r="T273" s="44">
        <f t="shared" si="110"/>
        <v>29.5</v>
      </c>
      <c r="U273" s="3"/>
      <c r="V273" s="49">
        <f t="shared" si="129"/>
        <v>83246.11750993738</v>
      </c>
      <c r="W273" s="49">
        <f t="shared" si="129"/>
        <v>79577.644534923194</v>
      </c>
      <c r="X273" s="49">
        <f t="shared" si="129"/>
        <v>76070.83308084184</v>
      </c>
      <c r="Y273" s="49">
        <f t="shared" si="129"/>
        <v>72718.559080669147</v>
      </c>
      <c r="Z273" s="49">
        <f t="shared" si="129"/>
        <v>69514.012409317613</v>
      </c>
      <c r="AA273" s="3"/>
      <c r="AB273" s="49">
        <f t="shared" si="130"/>
        <v>7115.0527786271277</v>
      </c>
      <c r="AC273" s="49">
        <f t="shared" si="130"/>
        <v>7115.0527786271268</v>
      </c>
      <c r="AD273" s="49">
        <f t="shared" si="130"/>
        <v>7115.0527786271268</v>
      </c>
      <c r="AE273" s="49">
        <f t="shared" si="130"/>
        <v>7115.0527786271268</v>
      </c>
      <c r="AF273" s="49">
        <f t="shared" si="130"/>
        <v>7115.0527786271268</v>
      </c>
      <c r="AG273" s="3"/>
      <c r="AH273" s="49">
        <f t="shared" si="113"/>
        <v>90361.170288564506</v>
      </c>
      <c r="AI273" s="49">
        <f t="shared" si="114"/>
        <v>86692.697313550321</v>
      </c>
      <c r="AJ273" s="49">
        <f t="shared" si="115"/>
        <v>83185.885859468966</v>
      </c>
      <c r="AK273" s="49">
        <f t="shared" si="116"/>
        <v>79833.611859296274</v>
      </c>
      <c r="AL273" s="49">
        <f t="shared" si="117"/>
        <v>76629.06518794474</v>
      </c>
      <c r="AM273" s="3"/>
      <c r="AN273" s="49">
        <f t="shared" si="128"/>
        <v>2008579.399406438</v>
      </c>
      <c r="AO273" s="49">
        <f t="shared" si="118"/>
        <v>1921886.7020928876</v>
      </c>
      <c r="AP273" s="49">
        <f t="shared" si="119"/>
        <v>1838700.8162334186</v>
      </c>
      <c r="AQ273" s="49">
        <f t="shared" si="120"/>
        <v>1758867.2043741224</v>
      </c>
      <c r="AR273" s="49">
        <f t="shared" si="121"/>
        <v>1682238.1391861776</v>
      </c>
      <c r="AS273" s="3"/>
      <c r="AT273" s="49">
        <f t="shared" si="131"/>
        <v>21642.453701183542</v>
      </c>
      <c r="AU273" s="49">
        <f t="shared" si="131"/>
        <v>22892.348687334288</v>
      </c>
      <c r="AV273" s="49">
        <f t="shared" si="131"/>
        <v>24624.84163599175</v>
      </c>
      <c r="AW273" s="49">
        <f t="shared" si="131"/>
        <v>25213.07985299232</v>
      </c>
      <c r="AX273" s="49">
        <f t="shared" si="131"/>
        <v>25539.135401651212</v>
      </c>
      <c r="AY273" s="3"/>
      <c r="AZ273" s="53">
        <f t="shared" si="123"/>
        <v>180295.32356956694</v>
      </c>
      <c r="BA273" s="53">
        <f t="shared" si="124"/>
        <v>173007.3071699499</v>
      </c>
      <c r="BB273" s="53">
        <f t="shared" si="125"/>
        <v>177681.35851233063</v>
      </c>
      <c r="BC273" s="53">
        <f t="shared" si="126"/>
        <v>171883.64547850523</v>
      </c>
      <c r="BD273" s="53">
        <f t="shared" si="127"/>
        <v>166093.2498786707</v>
      </c>
    </row>
    <row r="274" spans="2:56" s="240" customFormat="1">
      <c r="B274" s="43">
        <f>'12. Investeringen (bijschatten)'!B77</f>
        <v>58</v>
      </c>
      <c r="C274" s="54"/>
      <c r="D274" s="3"/>
      <c r="E274" s="54"/>
      <c r="F274" s="179">
        <f>'12. Investeringen (bijschatten)'!C77</f>
        <v>33813410.918106742</v>
      </c>
      <c r="G274" s="3"/>
      <c r="H274" s="43">
        <f>'12. Investeringen (bijschatten)'!D77</f>
        <v>2022</v>
      </c>
      <c r="I274" s="43" t="str">
        <f>'12. Investeringen (bijschatten)'!E77</f>
        <v>01 Regionale leidingen</v>
      </c>
      <c r="J274" s="179">
        <f>_xlfn.XLOOKUP(I274,'3. Input (des)investeringen '!$B$11:$B$81,'3. Input (des)investeringen '!$D$11:$D$81)</f>
        <v>55</v>
      </c>
      <c r="M274" s="49">
        <f t="shared" si="105"/>
        <v>0</v>
      </c>
      <c r="N274" s="49">
        <f t="shared" si="106"/>
        <v>0</v>
      </c>
      <c r="O274" s="3"/>
      <c r="P274" s="147">
        <f t="shared" si="107"/>
        <v>0</v>
      </c>
      <c r="Q274" s="147">
        <f t="shared" si="108"/>
        <v>0</v>
      </c>
      <c r="R274" s="3"/>
      <c r="S274" s="49">
        <f t="shared" si="109"/>
        <v>33813410.918106742</v>
      </c>
      <c r="T274" s="44">
        <f t="shared" si="110"/>
        <v>55</v>
      </c>
      <c r="U274" s="3"/>
      <c r="V274" s="49">
        <f t="shared" si="129"/>
        <v>359651.73431077169</v>
      </c>
      <c r="W274" s="49">
        <f t="shared" si="129"/>
        <v>710802.60944692523</v>
      </c>
      <c r="X274" s="49">
        <f t="shared" si="129"/>
        <v>694001.82049636147</v>
      </c>
      <c r="Y274" s="49">
        <f t="shared" si="129"/>
        <v>677598.14110281109</v>
      </c>
      <c r="Z274" s="49">
        <f t="shared" si="129"/>
        <v>661582.18504038115</v>
      </c>
      <c r="AA274" s="3"/>
      <c r="AB274" s="49">
        <f t="shared" si="130"/>
        <v>30739.464471006129</v>
      </c>
      <c r="AC274" s="49">
        <f t="shared" si="130"/>
        <v>61478.928942012259</v>
      </c>
      <c r="AD274" s="49">
        <f t="shared" si="130"/>
        <v>61478.928942012259</v>
      </c>
      <c r="AE274" s="49">
        <f t="shared" si="130"/>
        <v>61478.928942012259</v>
      </c>
      <c r="AF274" s="49">
        <f t="shared" si="130"/>
        <v>61478.928942012259</v>
      </c>
      <c r="AG274" s="3"/>
      <c r="AH274" s="49">
        <f t="shared" si="113"/>
        <v>390391.19878177781</v>
      </c>
      <c r="AI274" s="49">
        <f t="shared" si="114"/>
        <v>772281.53838893748</v>
      </c>
      <c r="AJ274" s="49">
        <f t="shared" si="115"/>
        <v>755480.74943837372</v>
      </c>
      <c r="AK274" s="49">
        <f t="shared" si="116"/>
        <v>739077.07004482334</v>
      </c>
      <c r="AL274" s="49">
        <f t="shared" si="117"/>
        <v>723061.11398239341</v>
      </c>
      <c r="AM274" s="3"/>
      <c r="AN274" s="49">
        <f t="shared" si="128"/>
        <v>33423019.719324965</v>
      </c>
      <c r="AO274" s="49">
        <f t="shared" si="118"/>
        <v>32650738.180936027</v>
      </c>
      <c r="AP274" s="49">
        <f t="shared" si="119"/>
        <v>31895257.431497652</v>
      </c>
      <c r="AQ274" s="49">
        <f t="shared" si="120"/>
        <v>31156180.361452829</v>
      </c>
      <c r="AR274" s="49">
        <f t="shared" si="121"/>
        <v>30433119.247470435</v>
      </c>
      <c r="AS274" s="3"/>
      <c r="AT274" s="49">
        <f t="shared" si="131"/>
        <v>338134.10918106744</v>
      </c>
      <c r="AU274" s="49">
        <f t="shared" si="131"/>
        <v>357662.03025449242</v>
      </c>
      <c r="AV274" s="49">
        <f t="shared" si="131"/>
        <v>384729.89270415256</v>
      </c>
      <c r="AW274" s="49">
        <f t="shared" si="131"/>
        <v>393920.32038106926</v>
      </c>
      <c r="AX274" s="49">
        <f t="shared" si="131"/>
        <v>399014.49796423718</v>
      </c>
      <c r="AY274" s="3"/>
      <c r="AZ274" s="53">
        <f t="shared" si="123"/>
        <v>1864907.9784198941</v>
      </c>
      <c r="BA274" s="53">
        <f t="shared" si="124"/>
        <v>2207417.9286143188</v>
      </c>
      <c r="BB274" s="53">
        <f t="shared" si="125"/>
        <v>2352230.4245394371</v>
      </c>
      <c r="BC274" s="53">
        <f t="shared" si="126"/>
        <v>2316932.2441611001</v>
      </c>
      <c r="BD274" s="53">
        <f t="shared" si="127"/>
        <v>2278534.1433505071</v>
      </c>
    </row>
    <row r="275" spans="2:56" s="240" customFormat="1">
      <c r="B275" s="43">
        <f>'12. Investeringen (bijschatten)'!B78</f>
        <v>59</v>
      </c>
      <c r="C275" s="54"/>
      <c r="D275" s="3"/>
      <c r="E275" s="54"/>
      <c r="F275" s="179">
        <f>'12. Investeringen (bijschatten)'!C78</f>
        <v>6849959.2876701923</v>
      </c>
      <c r="G275" s="3"/>
      <c r="H275" s="43">
        <f>'12. Investeringen (bijschatten)'!D78</f>
        <v>2022</v>
      </c>
      <c r="I275" s="43" t="str">
        <f>'12. Investeringen (bijschatten)'!E78</f>
        <v>02 Gasontvangststations</v>
      </c>
      <c r="J275" s="179">
        <f>_xlfn.XLOOKUP(I275,'3. Input (des)investeringen '!$B$11:$B$81,'3. Input (des)investeringen '!$D$11:$D$81)</f>
        <v>30</v>
      </c>
      <c r="M275" s="49">
        <f t="shared" si="105"/>
        <v>0</v>
      </c>
      <c r="N275" s="49">
        <f t="shared" si="106"/>
        <v>0</v>
      </c>
      <c r="O275" s="3"/>
      <c r="P275" s="147">
        <f t="shared" si="107"/>
        <v>0</v>
      </c>
      <c r="Q275" s="147">
        <f t="shared" si="108"/>
        <v>0</v>
      </c>
      <c r="R275" s="3"/>
      <c r="S275" s="49">
        <f t="shared" si="109"/>
        <v>6849959.2876701923</v>
      </c>
      <c r="T275" s="44">
        <f t="shared" si="110"/>
        <v>30</v>
      </c>
      <c r="U275" s="3"/>
      <c r="V275" s="49">
        <f t="shared" si="129"/>
        <v>133574.20610956877</v>
      </c>
      <c r="W275" s="49">
        <f t="shared" si="129"/>
        <v>261360.19662105621</v>
      </c>
      <c r="X275" s="49">
        <f t="shared" si="129"/>
        <v>250034.58810081042</v>
      </c>
      <c r="Y275" s="49">
        <f t="shared" si="129"/>
        <v>239199.75594977531</v>
      </c>
      <c r="Z275" s="49">
        <f t="shared" si="129"/>
        <v>228834.43319195168</v>
      </c>
      <c r="AA275" s="3"/>
      <c r="AB275" s="49">
        <f t="shared" si="130"/>
        <v>11416.598812783655</v>
      </c>
      <c r="AC275" s="49">
        <f t="shared" si="130"/>
        <v>22833.197625567311</v>
      </c>
      <c r="AD275" s="49">
        <f t="shared" si="130"/>
        <v>22833.197625567311</v>
      </c>
      <c r="AE275" s="49">
        <f t="shared" si="130"/>
        <v>22833.197625567311</v>
      </c>
      <c r="AF275" s="49">
        <f t="shared" si="130"/>
        <v>22833.197625567311</v>
      </c>
      <c r="AG275" s="3"/>
      <c r="AH275" s="49">
        <f t="shared" si="113"/>
        <v>144990.80492235243</v>
      </c>
      <c r="AI275" s="49">
        <f t="shared" si="114"/>
        <v>284193.3942466235</v>
      </c>
      <c r="AJ275" s="49">
        <f t="shared" si="115"/>
        <v>272867.78572637774</v>
      </c>
      <c r="AK275" s="49">
        <f t="shared" si="116"/>
        <v>262032.95357534263</v>
      </c>
      <c r="AL275" s="49">
        <f t="shared" si="117"/>
        <v>251667.63081751901</v>
      </c>
      <c r="AM275" s="3"/>
      <c r="AN275" s="49">
        <f t="shared" si="128"/>
        <v>6704968.4827478398</v>
      </c>
      <c r="AO275" s="49">
        <f t="shared" si="118"/>
        <v>6420775.0885012159</v>
      </c>
      <c r="AP275" s="49">
        <f t="shared" si="119"/>
        <v>6147907.3027748382</v>
      </c>
      <c r="AQ275" s="49">
        <f t="shared" si="120"/>
        <v>5885874.3491994953</v>
      </c>
      <c r="AR275" s="49">
        <f t="shared" si="121"/>
        <v>5634206.7183819767</v>
      </c>
      <c r="AS275" s="3"/>
      <c r="AT275" s="49">
        <f t="shared" si="131"/>
        <v>68499.592876701921</v>
      </c>
      <c r="AU275" s="49">
        <f t="shared" si="131"/>
        <v>72455.581364517217</v>
      </c>
      <c r="AV275" s="49">
        <f t="shared" si="131"/>
        <v>77939.019762183889</v>
      </c>
      <c r="AW275" s="49">
        <f t="shared" si="131"/>
        <v>79800.827066262937</v>
      </c>
      <c r="AX275" s="49">
        <f t="shared" si="131"/>
        <v>80832.81136188384</v>
      </c>
      <c r="AY275" s="3"/>
      <c r="AZ275" s="53">
        <f t="shared" si="123"/>
        <v>441459.3262124809</v>
      </c>
      <c r="BA275" s="53">
        <f t="shared" si="124"/>
        <v>568534.55353168084</v>
      </c>
      <c r="BB275" s="53">
        <f t="shared" si="125"/>
        <v>584427.28299400548</v>
      </c>
      <c r="BC275" s="53">
        <f t="shared" si="126"/>
        <v>565497.00591118634</v>
      </c>
      <c r="BD275" s="53">
        <f t="shared" si="127"/>
        <v>546600.29747791798</v>
      </c>
    </row>
    <row r="276" spans="2:56" s="240" customFormat="1">
      <c r="B276" s="43">
        <f>'12. Investeringen (bijschatten)'!B79</f>
        <v>60</v>
      </c>
      <c r="C276" s="54"/>
      <c r="D276" s="3"/>
      <c r="E276" s="54"/>
      <c r="F276" s="179">
        <f>'12. Investeringen (bijschatten)'!C79</f>
        <v>664518.3858161252</v>
      </c>
      <c r="G276" s="3"/>
      <c r="H276" s="43">
        <f>'12. Investeringen (bijschatten)'!D79</f>
        <v>2022</v>
      </c>
      <c r="I276" s="43" t="str">
        <f>'12. Investeringen (bijschatten)'!E79</f>
        <v>05 Wegen en terreinvoorzieningen</v>
      </c>
      <c r="J276" s="179">
        <f>_xlfn.XLOOKUP(I276,'3. Input (des)investeringen '!$B$11:$B$81,'3. Input (des)investeringen '!$D$11:$D$81)</f>
        <v>10</v>
      </c>
      <c r="M276" s="49">
        <f t="shared" si="105"/>
        <v>0</v>
      </c>
      <c r="N276" s="49">
        <f t="shared" si="106"/>
        <v>0</v>
      </c>
      <c r="O276" s="3"/>
      <c r="P276" s="147">
        <f t="shared" si="107"/>
        <v>0</v>
      </c>
      <c r="Q276" s="147">
        <f t="shared" si="108"/>
        <v>0</v>
      </c>
      <c r="R276" s="3"/>
      <c r="S276" s="49">
        <f t="shared" si="109"/>
        <v>664518.3858161252</v>
      </c>
      <c r="T276" s="44">
        <f t="shared" si="110"/>
        <v>10</v>
      </c>
      <c r="U276" s="3"/>
      <c r="V276" s="49">
        <f t="shared" si="129"/>
        <v>38874.325570243331</v>
      </c>
      <c r="W276" s="49">
        <f t="shared" si="129"/>
        <v>72694.988816355035</v>
      </c>
      <c r="X276" s="49">
        <f t="shared" si="129"/>
        <v>63244.640270228883</v>
      </c>
      <c r="Y276" s="49">
        <f t="shared" si="129"/>
        <v>56433.679010358072</v>
      </c>
      <c r="Z276" s="49">
        <f t="shared" si="129"/>
        <v>56433.679010358072</v>
      </c>
      <c r="AA276" s="3"/>
      <c r="AB276" s="49">
        <f t="shared" si="130"/>
        <v>3322.5919290806264</v>
      </c>
      <c r="AC276" s="49">
        <f t="shared" si="130"/>
        <v>6645.1838581612519</v>
      </c>
      <c r="AD276" s="49">
        <f t="shared" si="130"/>
        <v>6645.1838581612519</v>
      </c>
      <c r="AE276" s="49">
        <f t="shared" si="130"/>
        <v>6645.1838581612519</v>
      </c>
      <c r="AF276" s="49">
        <f t="shared" si="130"/>
        <v>6645.1838581612519</v>
      </c>
      <c r="AG276" s="3"/>
      <c r="AH276" s="49">
        <f t="shared" si="113"/>
        <v>42196.917499323958</v>
      </c>
      <c r="AI276" s="49">
        <f t="shared" si="114"/>
        <v>79340.172674516289</v>
      </c>
      <c r="AJ276" s="49">
        <f t="shared" si="115"/>
        <v>69889.82412839013</v>
      </c>
      <c r="AK276" s="49">
        <f t="shared" si="116"/>
        <v>63078.862868519325</v>
      </c>
      <c r="AL276" s="49">
        <f t="shared" si="117"/>
        <v>63078.862868519325</v>
      </c>
      <c r="AM276" s="3"/>
      <c r="AN276" s="49">
        <f t="shared" si="128"/>
        <v>622321.46831680124</v>
      </c>
      <c r="AO276" s="49">
        <f t="shared" si="118"/>
        <v>542981.29564228491</v>
      </c>
      <c r="AP276" s="49">
        <f t="shared" si="119"/>
        <v>473091.47151389479</v>
      </c>
      <c r="AQ276" s="49">
        <f t="shared" si="120"/>
        <v>410012.60864537547</v>
      </c>
      <c r="AR276" s="49">
        <f t="shared" si="121"/>
        <v>346933.74577685614</v>
      </c>
      <c r="AS276" s="3"/>
      <c r="AT276" s="49">
        <f t="shared" si="131"/>
        <v>6645.1838581612519</v>
      </c>
      <c r="AU276" s="49">
        <f t="shared" si="131"/>
        <v>7028.9565163377802</v>
      </c>
      <c r="AV276" s="49">
        <f t="shared" si="131"/>
        <v>7560.9079454942257</v>
      </c>
      <c r="AW276" s="49">
        <f t="shared" si="131"/>
        <v>7741.5229144961913</v>
      </c>
      <c r="AX276" s="49">
        <f t="shared" si="131"/>
        <v>7841.6362888264557</v>
      </c>
      <c r="AY276" s="3"/>
      <c r="AZ276" s="53">
        <f t="shared" si="123"/>
        <v>70001.031280256459</v>
      </c>
      <c r="BA276" s="53">
        <f t="shared" si="124"/>
        <v>104287.51194704947</v>
      </c>
      <c r="BB276" s="53">
        <f t="shared" si="125"/>
        <v>95428.207991412361</v>
      </c>
      <c r="BC276" s="53">
        <f t="shared" si="126"/>
        <v>86400.864911539786</v>
      </c>
      <c r="BD276" s="53">
        <f t="shared" si="127"/>
        <v>84103.981496866312</v>
      </c>
    </row>
    <row r="277" spans="2:56" s="240" customFormat="1">
      <c r="B277" s="43">
        <f>'12. Investeringen (bijschatten)'!B80</f>
        <v>61</v>
      </c>
      <c r="C277" s="54"/>
      <c r="D277" s="3"/>
      <c r="E277" s="54"/>
      <c r="F277" s="179">
        <f>'12. Investeringen (bijschatten)'!C80</f>
        <v>906873.84029764659</v>
      </c>
      <c r="G277" s="3"/>
      <c r="H277" s="43">
        <f>'12. Investeringen (bijschatten)'!D80</f>
        <v>2022</v>
      </c>
      <c r="I277" s="43" t="str">
        <f>'12. Investeringen (bijschatten)'!E80</f>
        <v>06 Utiliteitsgebouwen</v>
      </c>
      <c r="J277" s="179">
        <f>_xlfn.XLOOKUP(I277,'3. Input (des)investeringen '!$B$11:$B$81,'3. Input (des)investeringen '!$D$11:$D$81)</f>
        <v>30</v>
      </c>
      <c r="M277" s="49">
        <f t="shared" si="105"/>
        <v>0</v>
      </c>
      <c r="N277" s="49">
        <f t="shared" si="106"/>
        <v>0</v>
      </c>
      <c r="O277" s="3"/>
      <c r="P277" s="147">
        <f t="shared" si="107"/>
        <v>0</v>
      </c>
      <c r="Q277" s="147">
        <f t="shared" si="108"/>
        <v>0</v>
      </c>
      <c r="R277" s="3"/>
      <c r="S277" s="49">
        <f t="shared" si="109"/>
        <v>906873.84029764659</v>
      </c>
      <c r="T277" s="44">
        <f t="shared" si="110"/>
        <v>30</v>
      </c>
      <c r="U277" s="3"/>
      <c r="V277" s="49">
        <f t="shared" si="129"/>
        <v>17684.039885804108</v>
      </c>
      <c r="W277" s="49">
        <f t="shared" si="129"/>
        <v>34601.77137655671</v>
      </c>
      <c r="X277" s="49">
        <f t="shared" si="129"/>
        <v>33102.361283572587</v>
      </c>
      <c r="Y277" s="49">
        <f t="shared" si="129"/>
        <v>31667.925627951103</v>
      </c>
      <c r="Z277" s="49">
        <f t="shared" si="129"/>
        <v>30295.64885073989</v>
      </c>
      <c r="AA277" s="3"/>
      <c r="AB277" s="49">
        <f t="shared" si="130"/>
        <v>1511.4564004960778</v>
      </c>
      <c r="AC277" s="49">
        <f t="shared" si="130"/>
        <v>3022.9128009921556</v>
      </c>
      <c r="AD277" s="49">
        <f t="shared" si="130"/>
        <v>3022.9128009921556</v>
      </c>
      <c r="AE277" s="49">
        <f t="shared" si="130"/>
        <v>3022.9128009921556</v>
      </c>
      <c r="AF277" s="49">
        <f t="shared" si="130"/>
        <v>3022.9128009921556</v>
      </c>
      <c r="AG277" s="3"/>
      <c r="AH277" s="49">
        <f t="shared" si="113"/>
        <v>19195.496286300186</v>
      </c>
      <c r="AI277" s="49">
        <f t="shared" si="114"/>
        <v>37624.684177548865</v>
      </c>
      <c r="AJ277" s="49">
        <f t="shared" si="115"/>
        <v>36125.274084564742</v>
      </c>
      <c r="AK277" s="49">
        <f t="shared" si="116"/>
        <v>34690.838428943258</v>
      </c>
      <c r="AL277" s="49">
        <f t="shared" si="117"/>
        <v>33318.561651732045</v>
      </c>
      <c r="AM277" s="3"/>
      <c r="AN277" s="49">
        <f t="shared" si="128"/>
        <v>887678.34401134634</v>
      </c>
      <c r="AO277" s="49">
        <f t="shared" si="118"/>
        <v>850053.65983379749</v>
      </c>
      <c r="AP277" s="49">
        <f t="shared" si="119"/>
        <v>813928.38574923272</v>
      </c>
      <c r="AQ277" s="49">
        <f t="shared" si="120"/>
        <v>779237.54732028942</v>
      </c>
      <c r="AR277" s="49">
        <f t="shared" si="121"/>
        <v>745918.98566855735</v>
      </c>
      <c r="AS277" s="3"/>
      <c r="AT277" s="49">
        <f t="shared" si="131"/>
        <v>9068.7384029764653</v>
      </c>
      <c r="AU277" s="49">
        <f t="shared" si="131"/>
        <v>9592.4761832251643</v>
      </c>
      <c r="AV277" s="49">
        <f t="shared" si="131"/>
        <v>10318.434780771646</v>
      </c>
      <c r="AW277" s="49">
        <f t="shared" si="131"/>
        <v>10564.921550814717</v>
      </c>
      <c r="AX277" s="49">
        <f t="shared" si="131"/>
        <v>10701.547116309854</v>
      </c>
      <c r="AY277" s="3"/>
      <c r="AZ277" s="53">
        <f t="shared" si="123"/>
        <v>58445.298385662434</v>
      </c>
      <c r="BA277" s="53">
        <f t="shared" si="124"/>
        <v>75268.931135289342</v>
      </c>
      <c r="BB277" s="53">
        <f t="shared" si="125"/>
        <v>77372.987523807227</v>
      </c>
      <c r="BC277" s="53">
        <f t="shared" si="126"/>
        <v>74866.786777928966</v>
      </c>
      <c r="BD277" s="53">
        <f t="shared" si="127"/>
        <v>72365.030223447073</v>
      </c>
    </row>
    <row r="278" spans="2:56" s="240" customFormat="1">
      <c r="B278" s="43">
        <f>'12. Investeringen (bijschatten)'!B81</f>
        <v>62</v>
      </c>
      <c r="C278" s="54"/>
      <c r="D278" s="3"/>
      <c r="E278" s="54"/>
      <c r="F278" s="179">
        <f>'12. Investeringen (bijschatten)'!C81</f>
        <v>57338.455544922595</v>
      </c>
      <c r="G278" s="3"/>
      <c r="H278" s="43">
        <f>'12. Investeringen (bijschatten)'!D81</f>
        <v>2022</v>
      </c>
      <c r="I278" s="43" t="str">
        <f>'12. Investeringen (bijschatten)'!E81</f>
        <v>08 Inrichting gebouwen</v>
      </c>
      <c r="J278" s="179">
        <f>_xlfn.XLOOKUP(I278,'3. Input (des)investeringen '!$B$11:$B$81,'3. Input (des)investeringen '!$D$11:$D$81)</f>
        <v>10</v>
      </c>
      <c r="M278" s="49">
        <f t="shared" si="105"/>
        <v>0</v>
      </c>
      <c r="N278" s="49">
        <f t="shared" si="106"/>
        <v>0</v>
      </c>
      <c r="O278" s="3"/>
      <c r="P278" s="147">
        <f t="shared" si="107"/>
        <v>0</v>
      </c>
      <c r="Q278" s="147">
        <f t="shared" si="108"/>
        <v>0</v>
      </c>
      <c r="R278" s="3"/>
      <c r="S278" s="49">
        <f t="shared" si="109"/>
        <v>57338.455544922595</v>
      </c>
      <c r="T278" s="44">
        <f t="shared" si="110"/>
        <v>10</v>
      </c>
      <c r="U278" s="3"/>
      <c r="V278" s="49">
        <f t="shared" si="129"/>
        <v>3354.2996493779719</v>
      </c>
      <c r="W278" s="49">
        <f t="shared" si="129"/>
        <v>6272.5403443368068</v>
      </c>
      <c r="X278" s="49">
        <f t="shared" si="129"/>
        <v>5457.1100995730221</v>
      </c>
      <c r="Y278" s="49">
        <f t="shared" si="129"/>
        <v>4869.4213196190049</v>
      </c>
      <c r="Z278" s="49">
        <f t="shared" si="129"/>
        <v>4869.4213196190049</v>
      </c>
      <c r="AA278" s="3"/>
      <c r="AB278" s="49">
        <f t="shared" si="130"/>
        <v>286.69227772461301</v>
      </c>
      <c r="AC278" s="49">
        <f t="shared" si="130"/>
        <v>573.38455544922601</v>
      </c>
      <c r="AD278" s="49">
        <f t="shared" si="130"/>
        <v>573.38455544922601</v>
      </c>
      <c r="AE278" s="49">
        <f t="shared" si="130"/>
        <v>573.38455544922601</v>
      </c>
      <c r="AF278" s="49">
        <f t="shared" si="130"/>
        <v>573.38455544922601</v>
      </c>
      <c r="AG278" s="3"/>
      <c r="AH278" s="49">
        <f t="shared" si="113"/>
        <v>3640.9919271025851</v>
      </c>
      <c r="AI278" s="49">
        <f t="shared" si="114"/>
        <v>6845.9248997860332</v>
      </c>
      <c r="AJ278" s="49">
        <f t="shared" si="115"/>
        <v>6030.4946550222485</v>
      </c>
      <c r="AK278" s="49">
        <f t="shared" si="116"/>
        <v>5442.8058750682312</v>
      </c>
      <c r="AL278" s="49">
        <f t="shared" si="117"/>
        <v>5442.8058750682312</v>
      </c>
      <c r="AM278" s="3"/>
      <c r="AN278" s="49">
        <f t="shared" si="128"/>
        <v>53697.463617820009</v>
      </c>
      <c r="AO278" s="49">
        <f t="shared" si="118"/>
        <v>46851.538718033975</v>
      </c>
      <c r="AP278" s="49">
        <f t="shared" si="119"/>
        <v>40821.044063011723</v>
      </c>
      <c r="AQ278" s="49">
        <f t="shared" si="120"/>
        <v>35378.238187943491</v>
      </c>
      <c r="AR278" s="49">
        <f t="shared" si="121"/>
        <v>29935.432312875259</v>
      </c>
      <c r="AS278" s="3"/>
      <c r="AT278" s="49">
        <f t="shared" si="131"/>
        <v>573.38455544922601</v>
      </c>
      <c r="AU278" s="49">
        <f t="shared" si="131"/>
        <v>606.4986602955297</v>
      </c>
      <c r="AV278" s="49">
        <f t="shared" si="131"/>
        <v>652.39847890669557</v>
      </c>
      <c r="AW278" s="49">
        <f t="shared" si="131"/>
        <v>667.9829737708186</v>
      </c>
      <c r="AX278" s="49">
        <f t="shared" si="131"/>
        <v>676.62132958762277</v>
      </c>
      <c r="AY278" s="3"/>
      <c r="AZ278" s="53">
        <f t="shared" si="123"/>
        <v>6040.0902455576916</v>
      </c>
      <c r="BA278" s="53">
        <f t="shared" si="124"/>
        <v>8998.5243377766856</v>
      </c>
      <c r="BB278" s="53">
        <f t="shared" si="125"/>
        <v>8234.0928083233903</v>
      </c>
      <c r="BC278" s="53">
        <f t="shared" si="126"/>
        <v>7455.1618999809025</v>
      </c>
      <c r="BD278" s="53">
        <f t="shared" si="127"/>
        <v>7256.973632545114</v>
      </c>
    </row>
    <row r="279" spans="2:56" s="240" customFormat="1">
      <c r="B279" s="43">
        <f>'12. Investeringen (bijschatten)'!B82</f>
        <v>63</v>
      </c>
      <c r="C279" s="54"/>
      <c r="D279" s="3"/>
      <c r="E279" s="54"/>
      <c r="F279" s="179">
        <f>'12. Investeringen (bijschatten)'!C82</f>
        <v>105283.66667709664</v>
      </c>
      <c r="G279" s="3"/>
      <c r="H279" s="43">
        <f>'12. Investeringen (bijschatten)'!D82</f>
        <v>2022</v>
      </c>
      <c r="I279" s="43" t="str">
        <f>'12. Investeringen (bijschatten)'!E82</f>
        <v>15 Compressorstations (KC)</v>
      </c>
      <c r="J279" s="179">
        <f>_xlfn.XLOOKUP(I279,'3. Input (des)investeringen '!$B$11:$B$81,'3. Input (des)investeringen '!$D$11:$D$81)</f>
        <v>30</v>
      </c>
      <c r="M279" s="49">
        <f t="shared" si="105"/>
        <v>0</v>
      </c>
      <c r="N279" s="49">
        <f t="shared" si="106"/>
        <v>0</v>
      </c>
      <c r="O279" s="3"/>
      <c r="P279" s="147">
        <f t="shared" si="107"/>
        <v>0</v>
      </c>
      <c r="Q279" s="147">
        <f t="shared" si="108"/>
        <v>0</v>
      </c>
      <c r="R279" s="3"/>
      <c r="S279" s="49">
        <f t="shared" si="109"/>
        <v>105283.66667709664</v>
      </c>
      <c r="T279" s="44">
        <f t="shared" si="110"/>
        <v>30</v>
      </c>
      <c r="U279" s="3"/>
      <c r="V279" s="49">
        <f t="shared" si="129"/>
        <v>2053.0315002033844</v>
      </c>
      <c r="W279" s="49">
        <f t="shared" si="129"/>
        <v>4017.0983020646222</v>
      </c>
      <c r="X279" s="49">
        <f t="shared" si="129"/>
        <v>3843.0240423084888</v>
      </c>
      <c r="Y279" s="49">
        <f t="shared" si="129"/>
        <v>3676.4930004751209</v>
      </c>
      <c r="Z279" s="49">
        <f t="shared" si="129"/>
        <v>3517.1783037878654</v>
      </c>
      <c r="AA279" s="3"/>
      <c r="AB279" s="49">
        <f t="shared" si="130"/>
        <v>175.47277779516108</v>
      </c>
      <c r="AC279" s="49">
        <f t="shared" si="130"/>
        <v>350.94555559032216</v>
      </c>
      <c r="AD279" s="49">
        <f t="shared" si="130"/>
        <v>350.94555559032216</v>
      </c>
      <c r="AE279" s="49">
        <f t="shared" si="130"/>
        <v>350.94555559032216</v>
      </c>
      <c r="AF279" s="49">
        <f t="shared" si="130"/>
        <v>350.94555559032216</v>
      </c>
      <c r="AG279" s="3"/>
      <c r="AH279" s="49">
        <f t="shared" si="113"/>
        <v>2228.5042779985456</v>
      </c>
      <c r="AI279" s="49">
        <f t="shared" si="114"/>
        <v>4368.0438576549441</v>
      </c>
      <c r="AJ279" s="49">
        <f t="shared" si="115"/>
        <v>4193.9695978988111</v>
      </c>
      <c r="AK279" s="49">
        <f t="shared" si="116"/>
        <v>4027.4385560654432</v>
      </c>
      <c r="AL279" s="49">
        <f t="shared" si="117"/>
        <v>3868.1238593781877</v>
      </c>
      <c r="AM279" s="3"/>
      <c r="AN279" s="49">
        <f t="shared" si="128"/>
        <v>103055.16239909809</v>
      </c>
      <c r="AO279" s="49">
        <f t="shared" si="118"/>
        <v>98687.118541443138</v>
      </c>
      <c r="AP279" s="49">
        <f t="shared" si="119"/>
        <v>94493.148943544322</v>
      </c>
      <c r="AQ279" s="49">
        <f t="shared" si="120"/>
        <v>90465.710387478874</v>
      </c>
      <c r="AR279" s="49">
        <f t="shared" si="121"/>
        <v>86597.586528100685</v>
      </c>
      <c r="AS279" s="3"/>
      <c r="AT279" s="49">
        <f t="shared" si="131"/>
        <v>1052.8366667709665</v>
      </c>
      <c r="AU279" s="49">
        <f t="shared" si="131"/>
        <v>1113.6400899503233</v>
      </c>
      <c r="AV279" s="49">
        <f t="shared" si="131"/>
        <v>1197.9203719577638</v>
      </c>
      <c r="AW279" s="49">
        <f t="shared" si="131"/>
        <v>1226.536293803091</v>
      </c>
      <c r="AX279" s="49">
        <f t="shared" si="131"/>
        <v>1242.3978611545524</v>
      </c>
      <c r="AY279" s="3"/>
      <c r="AZ279" s="53">
        <f t="shared" si="123"/>
        <v>6785.2164663388485</v>
      </c>
      <c r="BA279" s="53">
        <f t="shared" si="124"/>
        <v>8738.3588594728899</v>
      </c>
      <c r="BB279" s="53">
        <f t="shared" si="125"/>
        <v>8982.6296297112585</v>
      </c>
      <c r="BC279" s="53">
        <f t="shared" si="126"/>
        <v>8691.6718445927308</v>
      </c>
      <c r="BD279" s="53">
        <f t="shared" si="127"/>
        <v>8401.2300086005653</v>
      </c>
    </row>
    <row r="280" spans="2:56" s="240" customFormat="1">
      <c r="B280" s="43">
        <f>'12. Investeringen (bijschatten)'!B83</f>
        <v>64</v>
      </c>
      <c r="C280" s="54"/>
      <c r="D280" s="3"/>
      <c r="E280" s="54"/>
      <c r="F280" s="179">
        <f>'12. Investeringen (bijschatten)'!C83</f>
        <v>6293355.1961035738</v>
      </c>
      <c r="G280" s="3"/>
      <c r="H280" s="43">
        <f>'12. Investeringen (bijschatten)'!D83</f>
        <v>2022</v>
      </c>
      <c r="I280" s="43" t="str">
        <f>'12. Investeringen (bijschatten)'!E83</f>
        <v>15 Compressorstations (TT-BT-AT)</v>
      </c>
      <c r="J280" s="179">
        <f>_xlfn.XLOOKUP(I280,'3. Input (des)investeringen '!$B$11:$B$81,'3. Input (des)investeringen '!$D$11:$D$81)</f>
        <v>30</v>
      </c>
      <c r="M280" s="49">
        <f t="shared" si="105"/>
        <v>0</v>
      </c>
      <c r="N280" s="49">
        <f t="shared" si="106"/>
        <v>0</v>
      </c>
      <c r="O280" s="3"/>
      <c r="P280" s="147">
        <f t="shared" si="107"/>
        <v>0</v>
      </c>
      <c r="Q280" s="147">
        <f t="shared" si="108"/>
        <v>0</v>
      </c>
      <c r="R280" s="3"/>
      <c r="S280" s="49">
        <f t="shared" si="109"/>
        <v>6293355.1961035738</v>
      </c>
      <c r="T280" s="44">
        <f t="shared" si="110"/>
        <v>30</v>
      </c>
      <c r="U280" s="3"/>
      <c r="V280" s="49">
        <f t="shared" si="129"/>
        <v>122720.42632401969</v>
      </c>
      <c r="W280" s="49">
        <f t="shared" si="129"/>
        <v>240122.96750733184</v>
      </c>
      <c r="X280" s="49">
        <f t="shared" si="129"/>
        <v>229717.63891534746</v>
      </c>
      <c r="Y280" s="49">
        <f t="shared" si="129"/>
        <v>219763.2078956824</v>
      </c>
      <c r="Z280" s="49">
        <f t="shared" si="129"/>
        <v>210240.13555353618</v>
      </c>
      <c r="AA280" s="3"/>
      <c r="AB280" s="49">
        <f t="shared" si="130"/>
        <v>10488.925326839291</v>
      </c>
      <c r="AC280" s="49">
        <f t="shared" si="130"/>
        <v>20977.850653678583</v>
      </c>
      <c r="AD280" s="49">
        <f t="shared" si="130"/>
        <v>20977.850653678583</v>
      </c>
      <c r="AE280" s="49">
        <f t="shared" si="130"/>
        <v>20977.850653678583</v>
      </c>
      <c r="AF280" s="49">
        <f t="shared" si="130"/>
        <v>20977.850653678583</v>
      </c>
      <c r="AG280" s="3"/>
      <c r="AH280" s="49">
        <f t="shared" si="113"/>
        <v>133209.35165085897</v>
      </c>
      <c r="AI280" s="49">
        <f t="shared" si="114"/>
        <v>261100.81816101042</v>
      </c>
      <c r="AJ280" s="49">
        <f t="shared" si="115"/>
        <v>250695.48956902605</v>
      </c>
      <c r="AK280" s="49">
        <f t="shared" si="116"/>
        <v>240741.05854936098</v>
      </c>
      <c r="AL280" s="49">
        <f t="shared" si="117"/>
        <v>231217.98620721477</v>
      </c>
      <c r="AM280" s="3"/>
      <c r="AN280" s="49">
        <f t="shared" si="128"/>
        <v>6160145.8444527145</v>
      </c>
      <c r="AO280" s="49">
        <f t="shared" si="118"/>
        <v>5899045.0262917038</v>
      </c>
      <c r="AP280" s="49">
        <f t="shared" si="119"/>
        <v>5648349.5367226778</v>
      </c>
      <c r="AQ280" s="49">
        <f t="shared" si="120"/>
        <v>5407608.4781733165</v>
      </c>
      <c r="AR280" s="49">
        <f t="shared" si="121"/>
        <v>5176390.4919661013</v>
      </c>
      <c r="AS280" s="3"/>
      <c r="AT280" s="49">
        <f t="shared" si="131"/>
        <v>62933.551961035737</v>
      </c>
      <c r="AU280" s="49">
        <f t="shared" si="131"/>
        <v>66568.090453889468</v>
      </c>
      <c r="AV280" s="49">
        <f t="shared" si="131"/>
        <v>71605.96353943985</v>
      </c>
      <c r="AW280" s="49">
        <f t="shared" si="131"/>
        <v>73316.486796469966</v>
      </c>
      <c r="AX280" s="49">
        <f t="shared" si="131"/>
        <v>74264.615603721919</v>
      </c>
      <c r="AY280" s="3"/>
      <c r="AZ280" s="53">
        <f t="shared" si="123"/>
        <v>405587.862323287</v>
      </c>
      <c r="BA280" s="53">
        <f t="shared" si="124"/>
        <v>522337.39448252611</v>
      </c>
      <c r="BB280" s="53">
        <f t="shared" si="125"/>
        <v>536938.73550392769</v>
      </c>
      <c r="BC280" s="53">
        <f t="shared" si="126"/>
        <v>519546.66751641693</v>
      </c>
      <c r="BD280" s="53">
        <f t="shared" si="127"/>
        <v>502185.44050564856</v>
      </c>
    </row>
    <row r="281" spans="2:56" s="240" customFormat="1">
      <c r="B281" s="43">
        <f>'12. Investeringen (bijschatten)'!B84</f>
        <v>65</v>
      </c>
      <c r="C281" s="54"/>
      <c r="D281" s="3"/>
      <c r="E281" s="54"/>
      <c r="F281" s="179">
        <f>'12. Investeringen (bijschatten)'!C84</f>
        <v>10404800.792079909</v>
      </c>
      <c r="G281" s="3"/>
      <c r="H281" s="43">
        <f>'12. Investeringen (bijschatten)'!D84</f>
        <v>2022</v>
      </c>
      <c r="I281" s="43" t="str">
        <f>'12. Investeringen (bijschatten)'!E84</f>
        <v>16 LNG installaties</v>
      </c>
      <c r="J281" s="179">
        <f>_xlfn.XLOOKUP(I281,'3. Input (des)investeringen '!$B$11:$B$81,'3. Input (des)investeringen '!$D$11:$D$81)</f>
        <v>30</v>
      </c>
      <c r="M281" s="49">
        <f t="shared" si="105"/>
        <v>0</v>
      </c>
      <c r="N281" s="49">
        <f t="shared" si="106"/>
        <v>0</v>
      </c>
      <c r="O281" s="3"/>
      <c r="P281" s="147">
        <f t="shared" si="107"/>
        <v>0</v>
      </c>
      <c r="Q281" s="147">
        <f t="shared" si="108"/>
        <v>0</v>
      </c>
      <c r="R281" s="3"/>
      <c r="S281" s="49">
        <f t="shared" si="109"/>
        <v>10404800.792079909</v>
      </c>
      <c r="T281" s="44">
        <f t="shared" si="110"/>
        <v>30</v>
      </c>
      <c r="U281" s="3"/>
      <c r="V281" s="49">
        <f t="shared" si="129"/>
        <v>202893.61544555824</v>
      </c>
      <c r="W281" s="49">
        <f t="shared" si="129"/>
        <v>396995.17422180896</v>
      </c>
      <c r="X281" s="49">
        <f t="shared" si="129"/>
        <v>379792.05000553059</v>
      </c>
      <c r="Y281" s="49">
        <f t="shared" si="129"/>
        <v>363334.39450529095</v>
      </c>
      <c r="Z281" s="49">
        <f t="shared" si="129"/>
        <v>347589.90407672833</v>
      </c>
      <c r="AA281" s="3"/>
      <c r="AB281" s="49">
        <f t="shared" si="130"/>
        <v>17341.334653466514</v>
      </c>
      <c r="AC281" s="49">
        <f t="shared" si="130"/>
        <v>34682.669306933029</v>
      </c>
      <c r="AD281" s="49">
        <f t="shared" si="130"/>
        <v>34682.669306933029</v>
      </c>
      <c r="AE281" s="49">
        <f t="shared" si="130"/>
        <v>34682.669306933029</v>
      </c>
      <c r="AF281" s="49">
        <f t="shared" si="130"/>
        <v>34682.669306933029</v>
      </c>
      <c r="AG281" s="3"/>
      <c r="AH281" s="49">
        <f t="shared" si="113"/>
        <v>220234.95009902475</v>
      </c>
      <c r="AI281" s="49">
        <f t="shared" si="114"/>
        <v>431677.84352874197</v>
      </c>
      <c r="AJ281" s="49">
        <f t="shared" si="115"/>
        <v>414474.7193124636</v>
      </c>
      <c r="AK281" s="49">
        <f t="shared" si="116"/>
        <v>398017.06381222396</v>
      </c>
      <c r="AL281" s="49">
        <f t="shared" si="117"/>
        <v>382272.57338366134</v>
      </c>
      <c r="AM281" s="3"/>
      <c r="AN281" s="49">
        <f t="shared" ref="AN281:AN307" si="132">IF($J281=0,IF($H281 &gt; AN$215, 0,$S281),IF(OR($H281&gt;AN$59,$H281+$J281&lt;=AN$59),0,
IF($H281=AN$59,$S281-AH281,
S281-AH281)))</f>
        <v>10184565.841980884</v>
      </c>
      <c r="AO281" s="49">
        <f t="shared" si="118"/>
        <v>9752887.9984521419</v>
      </c>
      <c r="AP281" s="49">
        <f t="shared" si="119"/>
        <v>9338413.2791396789</v>
      </c>
      <c r="AQ281" s="49">
        <f t="shared" si="120"/>
        <v>8940396.2153274547</v>
      </c>
      <c r="AR281" s="49">
        <f t="shared" si="121"/>
        <v>8558123.6419437937</v>
      </c>
      <c r="AS281" s="3"/>
      <c r="AT281" s="49">
        <f t="shared" si="131"/>
        <v>104048.00792079909</v>
      </c>
      <c r="AU281" s="49">
        <f t="shared" si="131"/>
        <v>110056.98847424109</v>
      </c>
      <c r="AV281" s="49">
        <f t="shared" si="131"/>
        <v>118386.10136197167</v>
      </c>
      <c r="AW281" s="49">
        <f t="shared" si="131"/>
        <v>121214.10855130643</v>
      </c>
      <c r="AX281" s="49">
        <f t="shared" si="131"/>
        <v>122781.64940309193</v>
      </c>
      <c r="AY281" s="3"/>
      <c r="AZ281" s="53">
        <f t="shared" si="123"/>
        <v>670558.19664717396</v>
      </c>
      <c r="BA281" s="53">
        <f t="shared" si="124"/>
        <v>863580.13595190377</v>
      </c>
      <c r="BB281" s="53">
        <f t="shared" si="125"/>
        <v>887720.52528174303</v>
      </c>
      <c r="BC281" s="53">
        <f t="shared" si="126"/>
        <v>858966.22854597366</v>
      </c>
      <c r="BD281" s="53">
        <f t="shared" si="127"/>
        <v>830262.92118061753</v>
      </c>
    </row>
    <row r="282" spans="2:56" s="240" customFormat="1">
      <c r="B282" s="43">
        <f>'12. Investeringen (bijschatten)'!B85</f>
        <v>66</v>
      </c>
      <c r="C282" s="54"/>
      <c r="D282" s="3"/>
      <c r="E282" s="54"/>
      <c r="F282" s="179">
        <f>'12. Investeringen (bijschatten)'!C85</f>
        <v>3092987.1234078766</v>
      </c>
      <c r="G282" s="3"/>
      <c r="H282" s="43">
        <f>'12. Investeringen (bijschatten)'!D85</f>
        <v>2022</v>
      </c>
      <c r="I282" s="43" t="str">
        <f>'12. Investeringen (bijschatten)'!E85</f>
        <v>17 Mengstations</v>
      </c>
      <c r="J282" s="179">
        <f>_xlfn.XLOOKUP(I282,'3. Input (des)investeringen '!$B$11:$B$81,'3. Input (des)investeringen '!$D$11:$D$81)</f>
        <v>30</v>
      </c>
      <c r="M282" s="49">
        <f t="shared" ref="M282:M290" si="133">IF($J282 = 0, 0, IF($H282&lt;=M$215,
VDB(ABS($F282),0,$J282,MAX(0,M$59-$H282-0.5),MIN($J282,M$59-$H282+0.5),1)*IF($F282&lt;0,-1,1)*INDEX(H$40:H$46,$H282-2019,1),
0))</f>
        <v>0</v>
      </c>
      <c r="N282" s="49">
        <f t="shared" ref="N282:N290" si="134">IF($J282 = 0, 0, IF($H282&lt;=N$215,
VDB(ABS($F282),0,$J282,MAX(0,N$59-$H282-0.5),MIN($J282,N$59-$H282+0.5),1)*IF($F282&lt;0,-1,1)*INDEX(I$40:I$46,$H282-2019,1),
0))</f>
        <v>0</v>
      </c>
      <c r="O282" s="3"/>
      <c r="P282" s="147">
        <f t="shared" ref="P282:P290" si="135">IF($J282=0, IF($H282 = M$215, $F282, 0), IF(OR($H282&gt;P$59,$H282+$J282&lt;=P$59),0,
F282-M282))</f>
        <v>0</v>
      </c>
      <c r="Q282" s="147">
        <f t="shared" ref="Q282:Q290" si="136">IF($J282=0, IF($H282 &gt; N$215, 0, IF($H282=N$215, $F282, $P282*I$40)), IF(OR($H282&gt;Q$59,$H282+$J282&lt;=Q$59),0,
IF($H282=Q$59,F282-N282,P282*I$40-N282)))</f>
        <v>0</v>
      </c>
      <c r="R282" s="3"/>
      <c r="S282" s="49">
        <f t="shared" ref="S282:S290" si="137">IF($J282=0, IF(H282&lt;=2021, $Q282, IF(H282&gt;=2022, $F282,0)), IF(H282&lt;=2021,Q282,F282))</f>
        <v>3092987.1234078766</v>
      </c>
      <c r="T282" s="44">
        <f t="shared" ref="T282:T290" si="138">IF($J282=0, 0, IF(H282&lt;2022,J282-2021+H282-0.5,J282))</f>
        <v>30</v>
      </c>
      <c r="U282" s="3"/>
      <c r="V282" s="49">
        <f t="shared" ref="V282:Z300" si="139">IF($J282=0, 0, IF(OR($H282&gt;V$59,$H282+$J282&lt;V$59),0,
IF(OR($H282=2020,$H282=2021),VDB(ABS($S282)*(1-$F$28),0,$T282,V$59-2022,MIN($T282,V$59-2021),$F$22),
VDB(ABS($S282)*(1-$F$28),0,$T282,MAX(0,V$59-$H282-0.5),MIN($T282,V$59-$H282+0.5),$F$22,FALSE))))*IF($F282&lt;0,-1,1)</f>
        <v>60313.248906453598</v>
      </c>
      <c r="W282" s="49">
        <f t="shared" si="139"/>
        <v>118012.92369362754</v>
      </c>
      <c r="X282" s="49">
        <f t="shared" si="139"/>
        <v>112899.03033357035</v>
      </c>
      <c r="Y282" s="49">
        <f t="shared" si="139"/>
        <v>108006.73901911563</v>
      </c>
      <c r="Z282" s="49">
        <f t="shared" si="139"/>
        <v>103326.44699495396</v>
      </c>
      <c r="AA282" s="3"/>
      <c r="AB282" s="49">
        <f t="shared" ref="AB282:AF300" si="140">IF($J282 = 0, 0, IF(OR($H282&gt;AB$59,$H282+$J282&lt;AB$59),0,
IF(OR($H282=2020,$H282=2021),VDB(ABS($S282)*$F$28,0,$T282,AB$59-2022,MIN($T282,AB$59-2021),1),
VDB(ABS($S282)*$F$28,0,$T282,MAX(0,AB$59-$H282-0.5),MIN($T282,AB$59-$H282+0.5),1))))*IF($F282&lt;0,-1,1)</f>
        <v>5154.9785390131283</v>
      </c>
      <c r="AC282" s="49">
        <f t="shared" si="140"/>
        <v>10309.957078026257</v>
      </c>
      <c r="AD282" s="49">
        <f t="shared" si="140"/>
        <v>10309.957078026257</v>
      </c>
      <c r="AE282" s="49">
        <f t="shared" si="140"/>
        <v>10309.957078026257</v>
      </c>
      <c r="AF282" s="49">
        <f t="shared" si="140"/>
        <v>10309.957078026257</v>
      </c>
      <c r="AG282" s="3"/>
      <c r="AH282" s="49">
        <f t="shared" ref="AH282:AH290" si="141">V282+AB282</f>
        <v>65468.227445466728</v>
      </c>
      <c r="AI282" s="49">
        <f t="shared" ref="AI282:AI290" si="142">W282+AC282</f>
        <v>128322.8807716538</v>
      </c>
      <c r="AJ282" s="49">
        <f t="shared" ref="AJ282:AJ290" si="143">X282+AD282</f>
        <v>123208.98741159661</v>
      </c>
      <c r="AK282" s="49">
        <f t="shared" ref="AK282:AK290" si="144">Y282+AE282</f>
        <v>118316.69609714189</v>
      </c>
      <c r="AL282" s="49">
        <f t="shared" ref="AL282:AL290" si="145">Z282+AF282</f>
        <v>113636.40407298022</v>
      </c>
      <c r="AM282" s="3"/>
      <c r="AN282" s="49">
        <f t="shared" si="132"/>
        <v>3027518.8959624097</v>
      </c>
      <c r="AO282" s="49">
        <f t="shared" ref="AO282:AO290" si="146">IF($J282 = 0, IF($H282 &gt; AO$215, 0, IF($H282=AO$215, $F282, AN282)), IF(OR($H282&gt;AO$59,$H282+$J282&lt;=AO$59),0,
IF($H282=AO$59,$S282-AI282,
AN282-AI282)))</f>
        <v>2899196.0151907559</v>
      </c>
      <c r="AP282" s="49">
        <f t="shared" ref="AP282:AP290" si="147">IF($J282 = 0, IF($H282 &gt; AP$215, 0, IF($H282=AP$215, $F282, AO282)), IF(OR($H282&gt;AP$59,$H282+$J282&lt;=AP$59),0,
IF($H282=AP$59,$S282-AJ282,
AO282-AJ282)))</f>
        <v>2775987.0277791591</v>
      </c>
      <c r="AQ282" s="49">
        <f t="shared" ref="AQ282:AQ290" si="148">IF($J282 = 0, IF($H282 &gt; AQ$215, 0, IF($H282=AQ$215, $F282, AP282)), IF(OR($H282&gt;AQ$59,$H282+$J282&lt;=AQ$59),0,
IF($H282=AQ$59,$S282-AK282,
AP282-AK282)))</f>
        <v>2657670.3316820171</v>
      </c>
      <c r="AR282" s="49">
        <f t="shared" ref="AR282:AR290" si="149">IF($J282 = 0, IF($H282 &gt; AR$215, 0, IF($H282=AR$215, $F282, AQ282)), IF(OR($H282&gt;AR$59,$H282+$J282&lt;=AR$59),0,
IF($H282=AR$59,$S282-AL282,
AQ282-AL282)))</f>
        <v>2544033.9276090367</v>
      </c>
      <c r="AS282" s="3"/>
      <c r="AT282" s="49">
        <f t="shared" ref="AT282:AX307" si="150">IF($H282&lt;=AT$215,$F282*INDEX($H$40:$N$46,$H282-2019,AT$215-2019)*INDEX($H$49:$N$55,$H282-2019,AT$215-2019)*$F$19,0)</f>
        <v>30929.871234078768</v>
      </c>
      <c r="AU282" s="49">
        <f t="shared" si="150"/>
        <v>32716.133157589287</v>
      </c>
      <c r="AV282" s="49">
        <f t="shared" si="150"/>
        <v>35192.090114955645</v>
      </c>
      <c r="AW282" s="49">
        <f t="shared" si="150"/>
        <v>36032.758763621699</v>
      </c>
      <c r="AX282" s="49">
        <f t="shared" si="150"/>
        <v>36498.73439995286</v>
      </c>
      <c r="AY282" s="3"/>
      <c r="AZ282" s="53">
        <f t="shared" ref="AZ282:AZ290" si="151">AH282+AN282*J$16+AT282</f>
        <v>199333.74114226745</v>
      </c>
      <c r="BA282" s="53">
        <f t="shared" ref="BA282:BA290" si="152">AI282+AO282*K$16+AU282</f>
        <v>256712.48243053805</v>
      </c>
      <c r="BB282" s="53">
        <f t="shared" ref="BB282:BB290" si="153">AJ282+AP282*L$16+AV282</f>
        <v>263888.58458216034</v>
      </c>
      <c r="BC282" s="53">
        <f t="shared" ref="BC282:BC290" si="154">AK282+AQ282*M$16+AW282</f>
        <v>255340.92746468025</v>
      </c>
      <c r="BD282" s="53">
        <f t="shared" ref="BD282:BD290" si="155">AL282+AR282*N$16+AX282</f>
        <v>246808.42772207648</v>
      </c>
    </row>
    <row r="283" spans="2:56" s="240" customFormat="1">
      <c r="B283" s="43">
        <f>'12. Investeringen (bijschatten)'!B86</f>
        <v>67</v>
      </c>
      <c r="C283" s="54"/>
      <c r="D283" s="3"/>
      <c r="E283" s="54"/>
      <c r="F283" s="179">
        <f>'12. Investeringen (bijschatten)'!C86</f>
        <v>1027512.2926749249</v>
      </c>
      <c r="G283" s="3"/>
      <c r="H283" s="43">
        <f>'12. Investeringen (bijschatten)'!D86</f>
        <v>2022</v>
      </c>
      <c r="I283" s="43" t="str">
        <f>'12. Investeringen (bijschatten)'!E86</f>
        <v>20 Kantoorgebouwen</v>
      </c>
      <c r="J283" s="179">
        <f>_xlfn.XLOOKUP(I283,'3. Input (des)investeringen '!$B$11:$B$81,'3. Input (des)investeringen '!$D$11:$D$81)</f>
        <v>30</v>
      </c>
      <c r="M283" s="49">
        <f t="shared" si="133"/>
        <v>0</v>
      </c>
      <c r="N283" s="49">
        <f t="shared" si="134"/>
        <v>0</v>
      </c>
      <c r="O283" s="3"/>
      <c r="P283" s="147">
        <f t="shared" si="135"/>
        <v>0</v>
      </c>
      <c r="Q283" s="147">
        <f t="shared" si="136"/>
        <v>0</v>
      </c>
      <c r="R283" s="3"/>
      <c r="S283" s="49">
        <f t="shared" si="137"/>
        <v>1027512.2926749249</v>
      </c>
      <c r="T283" s="44">
        <f t="shared" si="138"/>
        <v>30</v>
      </c>
      <c r="U283" s="3"/>
      <c r="V283" s="49">
        <f t="shared" si="139"/>
        <v>20036.489707161039</v>
      </c>
      <c r="W283" s="49">
        <f t="shared" si="139"/>
        <v>39204.731527011762</v>
      </c>
      <c r="X283" s="49">
        <f t="shared" si="139"/>
        <v>37505.85982750792</v>
      </c>
      <c r="Y283" s="49">
        <f t="shared" si="139"/>
        <v>35880.605901649251</v>
      </c>
      <c r="Z283" s="49">
        <f t="shared" si="139"/>
        <v>34325.779645911112</v>
      </c>
      <c r="AA283" s="3"/>
      <c r="AB283" s="49">
        <f t="shared" si="140"/>
        <v>1712.5204877915417</v>
      </c>
      <c r="AC283" s="49">
        <f t="shared" si="140"/>
        <v>3425.0409755830833</v>
      </c>
      <c r="AD283" s="49">
        <f t="shared" si="140"/>
        <v>3425.0409755830833</v>
      </c>
      <c r="AE283" s="49">
        <f t="shared" si="140"/>
        <v>3425.0409755830833</v>
      </c>
      <c r="AF283" s="49">
        <f t="shared" si="140"/>
        <v>3425.0409755830833</v>
      </c>
      <c r="AG283" s="3"/>
      <c r="AH283" s="49">
        <f t="shared" si="141"/>
        <v>21749.010194952582</v>
      </c>
      <c r="AI283" s="49">
        <f t="shared" si="142"/>
        <v>42629.772502594846</v>
      </c>
      <c r="AJ283" s="49">
        <f t="shared" si="143"/>
        <v>40930.900803091004</v>
      </c>
      <c r="AK283" s="49">
        <f t="shared" si="144"/>
        <v>39305.646877232335</v>
      </c>
      <c r="AL283" s="49">
        <f t="shared" si="145"/>
        <v>37750.820621494197</v>
      </c>
      <c r="AM283" s="3"/>
      <c r="AN283" s="49">
        <f t="shared" si="132"/>
        <v>1005763.2824799723</v>
      </c>
      <c r="AO283" s="49">
        <f t="shared" si="146"/>
        <v>963133.50997737749</v>
      </c>
      <c r="AP283" s="49">
        <f t="shared" si="147"/>
        <v>922202.60917428648</v>
      </c>
      <c r="AQ283" s="49">
        <f t="shared" si="148"/>
        <v>882896.96229705412</v>
      </c>
      <c r="AR283" s="49">
        <f t="shared" si="149"/>
        <v>845146.14167555992</v>
      </c>
      <c r="AS283" s="3"/>
      <c r="AT283" s="49">
        <f t="shared" si="150"/>
        <v>10275.122926749249</v>
      </c>
      <c r="AU283" s="49">
        <f t="shared" si="150"/>
        <v>10868.531826014872</v>
      </c>
      <c r="AV283" s="49">
        <f t="shared" si="150"/>
        <v>11691.062314607681</v>
      </c>
      <c r="AW283" s="49">
        <f t="shared" si="150"/>
        <v>11970.338411179027</v>
      </c>
      <c r="AX283" s="49">
        <f t="shared" si="150"/>
        <v>12125.138827512395</v>
      </c>
      <c r="AY283" s="3"/>
      <c r="AZ283" s="53">
        <f t="shared" si="151"/>
        <v>66220.084726020883</v>
      </c>
      <c r="BA283" s="53">
        <f t="shared" si="152"/>
        <v>85281.710157863185</v>
      </c>
      <c r="BB283" s="53">
        <f t="shared" si="153"/>
        <v>87665.662266321582</v>
      </c>
      <c r="BC283" s="53">
        <f t="shared" si="154"/>
        <v>84826.069855699403</v>
      </c>
      <c r="BD283" s="53">
        <f t="shared" si="155"/>
        <v>81991.512832677865</v>
      </c>
    </row>
    <row r="284" spans="2:56" s="240" customFormat="1">
      <c r="B284" s="43">
        <f>'12. Investeringen (bijschatten)'!B87</f>
        <v>68</v>
      </c>
      <c r="C284" s="54"/>
      <c r="D284" s="3"/>
      <c r="E284" s="54"/>
      <c r="F284" s="179">
        <f>'12. Investeringen (bijschatten)'!C87</f>
        <v>15717781.33321991</v>
      </c>
      <c r="G284" s="3"/>
      <c r="H284" s="43">
        <f>'12. Investeringen (bijschatten)'!D87</f>
        <v>2022</v>
      </c>
      <c r="I284" s="43" t="str">
        <f>'12. Investeringen (bijschatten)'!E87</f>
        <v>21 Hoofdtransportleiding</v>
      </c>
      <c r="J284" s="179">
        <f>_xlfn.XLOOKUP(I284,'3. Input (des)investeringen '!$B$11:$B$81,'3. Input (des)investeringen '!$D$11:$D$81)</f>
        <v>55</v>
      </c>
      <c r="M284" s="49">
        <f t="shared" si="133"/>
        <v>0</v>
      </c>
      <c r="N284" s="49">
        <f t="shared" si="134"/>
        <v>0</v>
      </c>
      <c r="O284" s="3"/>
      <c r="P284" s="147">
        <f t="shared" si="135"/>
        <v>0</v>
      </c>
      <c r="Q284" s="147">
        <f t="shared" si="136"/>
        <v>0</v>
      </c>
      <c r="R284" s="3"/>
      <c r="S284" s="49">
        <f t="shared" si="137"/>
        <v>15717781.33321991</v>
      </c>
      <c r="T284" s="44">
        <f t="shared" si="138"/>
        <v>55</v>
      </c>
      <c r="U284" s="3"/>
      <c r="V284" s="49">
        <f t="shared" si="139"/>
        <v>167180.03781697541</v>
      </c>
      <c r="W284" s="49">
        <f t="shared" si="139"/>
        <v>330408.54746736772</v>
      </c>
      <c r="X284" s="49">
        <f t="shared" si="139"/>
        <v>322598.89089086634</v>
      </c>
      <c r="Y284" s="49">
        <f t="shared" si="139"/>
        <v>314973.82619708224</v>
      </c>
      <c r="Z284" s="49">
        <f t="shared" si="139"/>
        <v>307528.99030515121</v>
      </c>
      <c r="AA284" s="3"/>
      <c r="AB284" s="49">
        <f t="shared" si="140"/>
        <v>14288.892121109011</v>
      </c>
      <c r="AC284" s="49">
        <f t="shared" si="140"/>
        <v>28577.784242218022</v>
      </c>
      <c r="AD284" s="49">
        <f t="shared" si="140"/>
        <v>28577.784242218022</v>
      </c>
      <c r="AE284" s="49">
        <f t="shared" si="140"/>
        <v>28577.784242218022</v>
      </c>
      <c r="AF284" s="49">
        <f t="shared" si="140"/>
        <v>28577.784242218022</v>
      </c>
      <c r="AG284" s="3"/>
      <c r="AH284" s="49">
        <f t="shared" si="141"/>
        <v>181468.92993808442</v>
      </c>
      <c r="AI284" s="49">
        <f t="shared" si="142"/>
        <v>358986.33170958573</v>
      </c>
      <c r="AJ284" s="49">
        <f t="shared" si="143"/>
        <v>351176.67513308435</v>
      </c>
      <c r="AK284" s="49">
        <f t="shared" si="144"/>
        <v>343551.61043930025</v>
      </c>
      <c r="AL284" s="49">
        <f t="shared" si="145"/>
        <v>336106.77454736922</v>
      </c>
      <c r="AM284" s="3"/>
      <c r="AN284" s="49">
        <f t="shared" si="132"/>
        <v>15536312.403281827</v>
      </c>
      <c r="AO284" s="49">
        <f t="shared" si="146"/>
        <v>15177326.07157224</v>
      </c>
      <c r="AP284" s="49">
        <f t="shared" si="147"/>
        <v>14826149.396439156</v>
      </c>
      <c r="AQ284" s="49">
        <f t="shared" si="148"/>
        <v>14482597.785999855</v>
      </c>
      <c r="AR284" s="49">
        <f t="shared" si="149"/>
        <v>14146491.011452485</v>
      </c>
      <c r="AS284" s="3"/>
      <c r="AT284" s="49">
        <f t="shared" si="150"/>
        <v>157177.81333219909</v>
      </c>
      <c r="AU284" s="49">
        <f t="shared" si="150"/>
        <v>166255.14640776027</v>
      </c>
      <c r="AV284" s="49">
        <f t="shared" si="150"/>
        <v>178837.33588789959</v>
      </c>
      <c r="AW284" s="49">
        <f t="shared" si="150"/>
        <v>183109.40216758969</v>
      </c>
      <c r="AX284" s="49">
        <f t="shared" si="150"/>
        <v>185477.37295642099</v>
      </c>
      <c r="AY284" s="3"/>
      <c r="AZ284" s="53">
        <f t="shared" si="151"/>
        <v>866881.36498186574</v>
      </c>
      <c r="BA284" s="53">
        <f t="shared" si="152"/>
        <v>1026093.2384792299</v>
      </c>
      <c r="BB284" s="53">
        <f t="shared" si="153"/>
        <v>1093407.688085672</v>
      </c>
      <c r="BC284" s="53">
        <f t="shared" si="154"/>
        <v>1076999.7284748843</v>
      </c>
      <c r="BD284" s="53">
        <f t="shared" si="155"/>
        <v>1059150.8059389847</v>
      </c>
    </row>
    <row r="285" spans="2:56" s="240" customFormat="1">
      <c r="B285" s="43">
        <f>'12. Investeringen (bijschatten)'!B88</f>
        <v>69</v>
      </c>
      <c r="C285" s="54"/>
      <c r="D285" s="3"/>
      <c r="E285" s="54"/>
      <c r="F285" s="179">
        <f>'12. Investeringen (bijschatten)'!C88</f>
        <v>4052946.4637069628</v>
      </c>
      <c r="G285" s="3"/>
      <c r="H285" s="43">
        <f>'12. Investeringen (bijschatten)'!D88</f>
        <v>2022</v>
      </c>
      <c r="I285" s="43" t="str">
        <f>'12. Investeringen (bijschatten)'!E88</f>
        <v>32 M&amp;R stations</v>
      </c>
      <c r="J285" s="179">
        <f>_xlfn.XLOOKUP(I285,'3. Input (des)investeringen '!$B$11:$B$81,'3. Input (des)investeringen '!$D$11:$D$81)</f>
        <v>30</v>
      </c>
      <c r="M285" s="49">
        <f t="shared" si="133"/>
        <v>0</v>
      </c>
      <c r="N285" s="49">
        <f t="shared" si="134"/>
        <v>0</v>
      </c>
      <c r="O285" s="3"/>
      <c r="P285" s="147">
        <f t="shared" si="135"/>
        <v>0</v>
      </c>
      <c r="Q285" s="147">
        <f t="shared" si="136"/>
        <v>0</v>
      </c>
      <c r="R285" s="3"/>
      <c r="S285" s="49">
        <f t="shared" si="137"/>
        <v>4052946.4637069628</v>
      </c>
      <c r="T285" s="44">
        <f t="shared" si="138"/>
        <v>30</v>
      </c>
      <c r="U285" s="3"/>
      <c r="V285" s="49">
        <f t="shared" si="139"/>
        <v>79032.456042285776</v>
      </c>
      <c r="W285" s="49">
        <f t="shared" si="139"/>
        <v>154640.17232273918</v>
      </c>
      <c r="X285" s="49">
        <f t="shared" si="139"/>
        <v>147939.09818875379</v>
      </c>
      <c r="Y285" s="49">
        <f t="shared" si="139"/>
        <v>141528.4039339078</v>
      </c>
      <c r="Z285" s="49">
        <f t="shared" si="139"/>
        <v>135395.50643010513</v>
      </c>
      <c r="AA285" s="3"/>
      <c r="AB285" s="49">
        <f t="shared" si="140"/>
        <v>6754.9107728449389</v>
      </c>
      <c r="AC285" s="49">
        <f t="shared" si="140"/>
        <v>13509.821545689878</v>
      </c>
      <c r="AD285" s="49">
        <f t="shared" si="140"/>
        <v>13509.821545689878</v>
      </c>
      <c r="AE285" s="49">
        <f t="shared" si="140"/>
        <v>13509.821545689878</v>
      </c>
      <c r="AF285" s="49">
        <f t="shared" si="140"/>
        <v>13509.821545689878</v>
      </c>
      <c r="AG285" s="3"/>
      <c r="AH285" s="49">
        <f t="shared" si="141"/>
        <v>85787.366815130721</v>
      </c>
      <c r="AI285" s="49">
        <f t="shared" si="142"/>
        <v>168149.99386842907</v>
      </c>
      <c r="AJ285" s="49">
        <f t="shared" si="143"/>
        <v>161448.91973444368</v>
      </c>
      <c r="AK285" s="49">
        <f t="shared" si="144"/>
        <v>155038.22547959769</v>
      </c>
      <c r="AL285" s="49">
        <f t="shared" si="145"/>
        <v>148905.32797579502</v>
      </c>
      <c r="AM285" s="3"/>
      <c r="AN285" s="49">
        <f t="shared" si="132"/>
        <v>3967159.0968918321</v>
      </c>
      <c r="AO285" s="49">
        <f t="shared" si="146"/>
        <v>3799009.1030234029</v>
      </c>
      <c r="AP285" s="49">
        <f t="shared" si="147"/>
        <v>3637560.1832889593</v>
      </c>
      <c r="AQ285" s="49">
        <f t="shared" si="148"/>
        <v>3482521.9578093616</v>
      </c>
      <c r="AR285" s="49">
        <f t="shared" si="149"/>
        <v>3333616.6298335665</v>
      </c>
      <c r="AS285" s="3"/>
      <c r="AT285" s="49">
        <f t="shared" si="150"/>
        <v>40529.464637069628</v>
      </c>
      <c r="AU285" s="49">
        <f t="shared" si="150"/>
        <v>42870.122278789677</v>
      </c>
      <c r="AV285" s="49">
        <f t="shared" si="150"/>
        <v>46114.53313284849</v>
      </c>
      <c r="AW285" s="49">
        <f t="shared" si="150"/>
        <v>47216.117100325966</v>
      </c>
      <c r="AX285" s="49">
        <f t="shared" si="150"/>
        <v>47826.715926667377</v>
      </c>
      <c r="AY285" s="3"/>
      <c r="AZ285" s="53">
        <f t="shared" si="151"/>
        <v>261200.24074652267</v>
      </c>
      <c r="BA285" s="53">
        <f t="shared" si="152"/>
        <v>336387.41654699104</v>
      </c>
      <c r="BB285" s="53">
        <f t="shared" si="153"/>
        <v>345790.73983227264</v>
      </c>
      <c r="BC285" s="53">
        <f t="shared" si="154"/>
        <v>334590.17697667936</v>
      </c>
      <c r="BD285" s="53">
        <f t="shared" si="155"/>
        <v>323409.47583613795</v>
      </c>
    </row>
    <row r="286" spans="2:56" s="240" customFormat="1">
      <c r="B286" s="43">
        <f>'12. Investeringen (bijschatten)'!B89</f>
        <v>70</v>
      </c>
      <c r="C286" s="54"/>
      <c r="D286" s="3"/>
      <c r="E286" s="54"/>
      <c r="F286" s="179">
        <f>'12. Investeringen (bijschatten)'!C89</f>
        <v>646.81735113356922</v>
      </c>
      <c r="G286" s="3"/>
      <c r="H286" s="43">
        <f>'12. Investeringen (bijschatten)'!D89</f>
        <v>2022</v>
      </c>
      <c r="I286" s="43" t="str">
        <f>'12. Investeringen (bijschatten)'!E89</f>
        <v>33 Exportstations</v>
      </c>
      <c r="J286" s="179">
        <f>_xlfn.XLOOKUP(I286,'3. Input (des)investeringen '!$B$11:$B$81,'3. Input (des)investeringen '!$D$11:$D$81)</f>
        <v>30</v>
      </c>
      <c r="M286" s="49">
        <f t="shared" si="133"/>
        <v>0</v>
      </c>
      <c r="N286" s="49">
        <f t="shared" si="134"/>
        <v>0</v>
      </c>
      <c r="O286" s="3"/>
      <c r="P286" s="147">
        <f t="shared" si="135"/>
        <v>0</v>
      </c>
      <c r="Q286" s="147">
        <f t="shared" si="136"/>
        <v>0</v>
      </c>
      <c r="R286" s="3"/>
      <c r="S286" s="49">
        <f t="shared" si="137"/>
        <v>646.81735113356922</v>
      </c>
      <c r="T286" s="44">
        <f t="shared" si="138"/>
        <v>30</v>
      </c>
      <c r="U286" s="3"/>
      <c r="V286" s="49">
        <f t="shared" si="139"/>
        <v>12.612938347104601</v>
      </c>
      <c r="W286" s="49">
        <f t="shared" si="139"/>
        <v>24.679316032501337</v>
      </c>
      <c r="X286" s="49">
        <f t="shared" si="139"/>
        <v>23.609879004426279</v>
      </c>
      <c r="Y286" s="49">
        <f t="shared" si="139"/>
        <v>22.586784247567806</v>
      </c>
      <c r="Z286" s="49">
        <f t="shared" si="139"/>
        <v>21.608023596839868</v>
      </c>
      <c r="AA286" s="3"/>
      <c r="AB286" s="49">
        <f t="shared" si="140"/>
        <v>1.0780289185559486</v>
      </c>
      <c r="AC286" s="49">
        <f t="shared" si="140"/>
        <v>2.1560578371118972</v>
      </c>
      <c r="AD286" s="49">
        <f t="shared" si="140"/>
        <v>2.1560578371118972</v>
      </c>
      <c r="AE286" s="49">
        <f t="shared" si="140"/>
        <v>2.1560578371118972</v>
      </c>
      <c r="AF286" s="49">
        <f t="shared" si="140"/>
        <v>2.1560578371118972</v>
      </c>
      <c r="AG286" s="3"/>
      <c r="AH286" s="49">
        <f t="shared" si="141"/>
        <v>13.69096726566055</v>
      </c>
      <c r="AI286" s="49">
        <f t="shared" si="142"/>
        <v>26.835373869613235</v>
      </c>
      <c r="AJ286" s="49">
        <f t="shared" si="143"/>
        <v>25.765936841538178</v>
      </c>
      <c r="AK286" s="49">
        <f t="shared" si="144"/>
        <v>24.742842084679705</v>
      </c>
      <c r="AL286" s="49">
        <f t="shared" si="145"/>
        <v>23.764081433951766</v>
      </c>
      <c r="AM286" s="3"/>
      <c r="AN286" s="49">
        <f t="shared" si="132"/>
        <v>633.12638386790866</v>
      </c>
      <c r="AO286" s="49">
        <f t="shared" si="146"/>
        <v>606.29100999829541</v>
      </c>
      <c r="AP286" s="49">
        <f t="shared" si="147"/>
        <v>580.52507315675723</v>
      </c>
      <c r="AQ286" s="49">
        <f t="shared" si="148"/>
        <v>555.78223107207748</v>
      </c>
      <c r="AR286" s="49">
        <f t="shared" si="149"/>
        <v>532.01814963812569</v>
      </c>
      <c r="AS286" s="3"/>
      <c r="AT286" s="49">
        <f t="shared" si="150"/>
        <v>6.4681735113356922</v>
      </c>
      <c r="AU286" s="49">
        <f t="shared" si="150"/>
        <v>6.8417234679623506</v>
      </c>
      <c r="AV286" s="49">
        <f t="shared" si="150"/>
        <v>7.3595051000177429</v>
      </c>
      <c r="AW286" s="49">
        <f t="shared" si="150"/>
        <v>7.5353089578469659</v>
      </c>
      <c r="AX286" s="49">
        <f t="shared" si="150"/>
        <v>7.6327555732898427</v>
      </c>
      <c r="AY286" s="3"/>
      <c r="AZ286" s="53">
        <f t="shared" si="151"/>
        <v>41.685437828505137</v>
      </c>
      <c r="BA286" s="53">
        <f t="shared" si="152"/>
        <v>53.684700667519337</v>
      </c>
      <c r="BB286" s="53">
        <f t="shared" si="153"/>
        <v>55.185394721512694</v>
      </c>
      <c r="BC286" s="53">
        <f t="shared" si="154"/>
        <v>53.397875823265615</v>
      </c>
      <c r="BD286" s="53">
        <f t="shared" si="155"/>
        <v>51.613526693490385</v>
      </c>
    </row>
    <row r="287" spans="2:56" s="240" customFormat="1">
      <c r="B287" s="43">
        <f>'12. Investeringen (bijschatten)'!B90</f>
        <v>71</v>
      </c>
      <c r="C287" s="54"/>
      <c r="D287" s="3"/>
      <c r="E287" s="54"/>
      <c r="F287" s="179">
        <f>'12. Investeringen (bijschatten)'!C90</f>
        <v>183674.23028357985</v>
      </c>
      <c r="G287" s="3"/>
      <c r="H287" s="43">
        <f>'12. Investeringen (bijschatten)'!D90</f>
        <v>2022</v>
      </c>
      <c r="I287" s="43" t="str">
        <f>'12. Investeringen (bijschatten)'!E90</f>
        <v>34 Reduceerstations</v>
      </c>
      <c r="J287" s="179">
        <f>_xlfn.XLOOKUP(I287,'3. Input (des)investeringen '!$B$11:$B$81,'3. Input (des)investeringen '!$D$11:$D$81)</f>
        <v>30</v>
      </c>
      <c r="M287" s="49">
        <f t="shared" si="133"/>
        <v>0</v>
      </c>
      <c r="N287" s="49">
        <f t="shared" si="134"/>
        <v>0</v>
      </c>
      <c r="O287" s="3"/>
      <c r="P287" s="147">
        <f t="shared" si="135"/>
        <v>0</v>
      </c>
      <c r="Q287" s="147">
        <f t="shared" si="136"/>
        <v>0</v>
      </c>
      <c r="R287" s="3"/>
      <c r="S287" s="49">
        <f t="shared" si="137"/>
        <v>183674.23028357985</v>
      </c>
      <c r="T287" s="44">
        <f t="shared" si="138"/>
        <v>30</v>
      </c>
      <c r="U287" s="3"/>
      <c r="V287" s="49">
        <f t="shared" si="139"/>
        <v>3581.6474905298073</v>
      </c>
      <c r="W287" s="49">
        <f t="shared" si="139"/>
        <v>7008.09025646999</v>
      </c>
      <c r="X287" s="49">
        <f t="shared" si="139"/>
        <v>6704.4063453562903</v>
      </c>
      <c r="Y287" s="49">
        <f t="shared" si="139"/>
        <v>6413.8820703908514</v>
      </c>
      <c r="Z287" s="49">
        <f t="shared" si="139"/>
        <v>6135.9471806739139</v>
      </c>
      <c r="AA287" s="3"/>
      <c r="AB287" s="49">
        <f t="shared" si="140"/>
        <v>306.12371713929974</v>
      </c>
      <c r="AC287" s="49">
        <f t="shared" si="140"/>
        <v>612.24743427859948</v>
      </c>
      <c r="AD287" s="49">
        <f t="shared" si="140"/>
        <v>612.24743427859948</v>
      </c>
      <c r="AE287" s="49">
        <f t="shared" si="140"/>
        <v>612.24743427859948</v>
      </c>
      <c r="AF287" s="49">
        <f t="shared" si="140"/>
        <v>612.24743427859948</v>
      </c>
      <c r="AG287" s="3"/>
      <c r="AH287" s="49">
        <f t="shared" si="141"/>
        <v>3887.7712076691068</v>
      </c>
      <c r="AI287" s="49">
        <f t="shared" si="142"/>
        <v>7620.337690748589</v>
      </c>
      <c r="AJ287" s="49">
        <f t="shared" si="143"/>
        <v>7316.6537796348894</v>
      </c>
      <c r="AK287" s="49">
        <f t="shared" si="144"/>
        <v>7026.1295046694504</v>
      </c>
      <c r="AL287" s="49">
        <f t="shared" si="145"/>
        <v>6748.1946149525138</v>
      </c>
      <c r="AM287" s="3"/>
      <c r="AN287" s="49">
        <f t="shared" si="132"/>
        <v>179786.45907591074</v>
      </c>
      <c r="AO287" s="49">
        <f t="shared" si="146"/>
        <v>172166.12138516214</v>
      </c>
      <c r="AP287" s="49">
        <f t="shared" si="147"/>
        <v>164849.46760552726</v>
      </c>
      <c r="AQ287" s="49">
        <f t="shared" si="148"/>
        <v>157823.3381008578</v>
      </c>
      <c r="AR287" s="49">
        <f t="shared" si="149"/>
        <v>151075.14348590528</v>
      </c>
      <c r="AS287" s="3"/>
      <c r="AT287" s="49">
        <f t="shared" si="150"/>
        <v>1836.7423028357985</v>
      </c>
      <c r="AU287" s="49">
        <f t="shared" si="150"/>
        <v>1942.8178443091717</v>
      </c>
      <c r="AV287" s="49">
        <f t="shared" si="150"/>
        <v>2089.8502987664901</v>
      </c>
      <c r="AW287" s="49">
        <f t="shared" si="150"/>
        <v>2139.772642703424</v>
      </c>
      <c r="AX287" s="49">
        <f t="shared" si="150"/>
        <v>2167.4441825188642</v>
      </c>
      <c r="AY287" s="3"/>
      <c r="AZ287" s="53">
        <f t="shared" si="151"/>
        <v>11837.253119085872</v>
      </c>
      <c r="BA287" s="53">
        <f t="shared" si="152"/>
        <v>15244.637540768112</v>
      </c>
      <c r="BB287" s="53">
        <f t="shared" si="153"/>
        <v>15670.783847411416</v>
      </c>
      <c r="BC287" s="53">
        <f t="shared" si="154"/>
        <v>15163.18899520547</v>
      </c>
      <c r="BD287" s="53">
        <f t="shared" si="155"/>
        <v>14656.494249935778</v>
      </c>
    </row>
    <row r="288" spans="2:56" s="240" customFormat="1">
      <c r="B288" s="43">
        <f>'12. Investeringen (bijschatten)'!B91</f>
        <v>72</v>
      </c>
      <c r="C288" s="54"/>
      <c r="D288" s="3"/>
      <c r="E288" s="54"/>
      <c r="F288" s="179">
        <f>'12. Investeringen (bijschatten)'!C91</f>
        <v>914035.73224221612</v>
      </c>
      <c r="G288" s="3"/>
      <c r="H288" s="43">
        <f>'12. Investeringen (bijschatten)'!D91</f>
        <v>2022</v>
      </c>
      <c r="I288" s="43" t="str">
        <f>'12. Investeringen (bijschatten)'!E91</f>
        <v>36 Luchtscheidingsunit</v>
      </c>
      <c r="J288" s="179">
        <f>_xlfn.XLOOKUP(I288,'3. Input (des)investeringen '!$B$11:$B$81,'3. Input (des)investeringen '!$D$11:$D$81)</f>
        <v>30</v>
      </c>
      <c r="M288" s="49">
        <f t="shared" si="133"/>
        <v>0</v>
      </c>
      <c r="N288" s="49">
        <f t="shared" si="134"/>
        <v>0</v>
      </c>
      <c r="O288" s="3"/>
      <c r="P288" s="147">
        <f t="shared" si="135"/>
        <v>0</v>
      </c>
      <c r="Q288" s="147">
        <f t="shared" si="136"/>
        <v>0</v>
      </c>
      <c r="R288" s="3"/>
      <c r="S288" s="49">
        <f t="shared" si="137"/>
        <v>914035.73224221612</v>
      </c>
      <c r="T288" s="44">
        <f t="shared" si="138"/>
        <v>30</v>
      </c>
      <c r="U288" s="3"/>
      <c r="V288" s="49">
        <f t="shared" si="139"/>
        <v>17823.696778723217</v>
      </c>
      <c r="W288" s="49">
        <f t="shared" si="139"/>
        <v>34875.033363701754</v>
      </c>
      <c r="X288" s="49">
        <f t="shared" si="139"/>
        <v>33363.781917941349</v>
      </c>
      <c r="Y288" s="49">
        <f t="shared" si="139"/>
        <v>31918.018034830555</v>
      </c>
      <c r="Z288" s="49">
        <f t="shared" si="139"/>
        <v>30534.903919987897</v>
      </c>
      <c r="AA288" s="3"/>
      <c r="AB288" s="49">
        <f t="shared" si="140"/>
        <v>1523.3928870703603</v>
      </c>
      <c r="AC288" s="49">
        <f t="shared" si="140"/>
        <v>3046.7857741407202</v>
      </c>
      <c r="AD288" s="49">
        <f t="shared" si="140"/>
        <v>3046.7857741407202</v>
      </c>
      <c r="AE288" s="49">
        <f t="shared" si="140"/>
        <v>3046.7857741407202</v>
      </c>
      <c r="AF288" s="49">
        <f t="shared" si="140"/>
        <v>3046.7857741407202</v>
      </c>
      <c r="AG288" s="3"/>
      <c r="AH288" s="49">
        <f t="shared" si="141"/>
        <v>19347.089665793577</v>
      </c>
      <c r="AI288" s="49">
        <f t="shared" si="142"/>
        <v>37921.819137842474</v>
      </c>
      <c r="AJ288" s="49">
        <f t="shared" si="143"/>
        <v>36410.56769208207</v>
      </c>
      <c r="AK288" s="49">
        <f t="shared" si="144"/>
        <v>34964.803808971272</v>
      </c>
      <c r="AL288" s="49">
        <f t="shared" si="145"/>
        <v>33581.689694128618</v>
      </c>
      <c r="AM288" s="3"/>
      <c r="AN288" s="49">
        <f t="shared" si="132"/>
        <v>894688.64257642254</v>
      </c>
      <c r="AO288" s="49">
        <f t="shared" si="146"/>
        <v>856766.82343858003</v>
      </c>
      <c r="AP288" s="49">
        <f t="shared" si="147"/>
        <v>820356.25574649801</v>
      </c>
      <c r="AQ288" s="49">
        <f t="shared" si="148"/>
        <v>785391.4519375267</v>
      </c>
      <c r="AR288" s="49">
        <f t="shared" si="149"/>
        <v>751809.76224339812</v>
      </c>
      <c r="AS288" s="3"/>
      <c r="AT288" s="49">
        <f t="shared" si="150"/>
        <v>9140.3573224221618</v>
      </c>
      <c r="AU288" s="49">
        <f t="shared" si="150"/>
        <v>9668.2312385066871</v>
      </c>
      <c r="AV288" s="49">
        <f t="shared" si="150"/>
        <v>10399.922978636874</v>
      </c>
      <c r="AW288" s="49">
        <f t="shared" si="150"/>
        <v>10648.356338750551</v>
      </c>
      <c r="AX288" s="49">
        <f t="shared" si="150"/>
        <v>10786.060882923273</v>
      </c>
      <c r="AY288" s="3"/>
      <c r="AZ288" s="53">
        <f t="shared" si="151"/>
        <v>58906.860835814106</v>
      </c>
      <c r="BA288" s="53">
        <f t="shared" si="152"/>
        <v>75863.355549822314</v>
      </c>
      <c r="BB288" s="53">
        <f t="shared" si="153"/>
        <v>77984.02838908587</v>
      </c>
      <c r="BC288" s="53">
        <f t="shared" si="154"/>
        <v>75458.035321347837</v>
      </c>
      <c r="BD288" s="53">
        <f t="shared" si="155"/>
        <v>72936.521542301023</v>
      </c>
    </row>
    <row r="289" spans="2:56" s="240" customFormat="1">
      <c r="B289" s="43">
        <f>'12. Investeringen (bijschatten)'!B92</f>
        <v>73</v>
      </c>
      <c r="C289" s="54"/>
      <c r="D289" s="3"/>
      <c r="E289" s="54"/>
      <c r="F289" s="179">
        <f>'12. Investeringen (bijschatten)'!C92</f>
        <v>-5587235.5025544362</v>
      </c>
      <c r="G289" s="3"/>
      <c r="H289" s="43">
        <f>'12. Investeringen (bijschatten)'!D92</f>
        <v>2022</v>
      </c>
      <c r="I289" s="43" t="str">
        <f>'12. Investeringen (bijschatten)'!E92</f>
        <v>42 Vulgas</v>
      </c>
      <c r="J289" s="179">
        <f>_xlfn.XLOOKUP(I289,'3. Input (des)investeringen '!$B$11:$B$81,'3. Input (des)investeringen '!$D$11:$D$81)</f>
        <v>0</v>
      </c>
      <c r="M289" s="49">
        <f t="shared" si="133"/>
        <v>0</v>
      </c>
      <c r="N289" s="49">
        <f t="shared" si="134"/>
        <v>0</v>
      </c>
      <c r="O289" s="3"/>
      <c r="P289" s="147">
        <f t="shared" si="135"/>
        <v>0</v>
      </c>
      <c r="Q289" s="147">
        <f t="shared" si="136"/>
        <v>0</v>
      </c>
      <c r="R289" s="3"/>
      <c r="S289" s="49">
        <f t="shared" si="137"/>
        <v>-5587235.5025544362</v>
      </c>
      <c r="T289" s="44">
        <f t="shared" si="138"/>
        <v>0</v>
      </c>
      <c r="U289" s="3"/>
      <c r="V289" s="49">
        <f t="shared" si="139"/>
        <v>0</v>
      </c>
      <c r="W289" s="49">
        <f t="shared" si="139"/>
        <v>0</v>
      </c>
      <c r="X289" s="49">
        <f t="shared" si="139"/>
        <v>0</v>
      </c>
      <c r="Y289" s="49">
        <f t="shared" si="139"/>
        <v>0</v>
      </c>
      <c r="Z289" s="49">
        <f t="shared" si="139"/>
        <v>0</v>
      </c>
      <c r="AA289" s="3"/>
      <c r="AB289" s="49">
        <f t="shared" si="140"/>
        <v>0</v>
      </c>
      <c r="AC289" s="49">
        <f t="shared" si="140"/>
        <v>0</v>
      </c>
      <c r="AD289" s="49">
        <f t="shared" si="140"/>
        <v>0</v>
      </c>
      <c r="AE289" s="49">
        <f t="shared" si="140"/>
        <v>0</v>
      </c>
      <c r="AF289" s="49">
        <f t="shared" si="140"/>
        <v>0</v>
      </c>
      <c r="AG289" s="3"/>
      <c r="AH289" s="49">
        <f t="shared" si="141"/>
        <v>0</v>
      </c>
      <c r="AI289" s="49">
        <f t="shared" si="142"/>
        <v>0</v>
      </c>
      <c r="AJ289" s="49">
        <f t="shared" si="143"/>
        <v>0</v>
      </c>
      <c r="AK289" s="49">
        <f t="shared" si="144"/>
        <v>0</v>
      </c>
      <c r="AL289" s="49">
        <f t="shared" si="145"/>
        <v>0</v>
      </c>
      <c r="AM289" s="3"/>
      <c r="AN289" s="49">
        <f t="shared" si="132"/>
        <v>-5587235.5025544362</v>
      </c>
      <c r="AO289" s="49">
        <f t="shared" si="146"/>
        <v>-5587235.5025544362</v>
      </c>
      <c r="AP289" s="49">
        <f t="shared" si="147"/>
        <v>-5587235.5025544362</v>
      </c>
      <c r="AQ289" s="49">
        <f t="shared" si="148"/>
        <v>-5587235.5025544362</v>
      </c>
      <c r="AR289" s="49">
        <f t="shared" si="149"/>
        <v>-5587235.5025544362</v>
      </c>
      <c r="AS289" s="3"/>
      <c r="AT289" s="49">
        <f t="shared" si="150"/>
        <v>-55872.355025544362</v>
      </c>
      <c r="AU289" s="49">
        <f t="shared" si="150"/>
        <v>-59099.095272979597</v>
      </c>
      <c r="AV289" s="49">
        <f t="shared" si="150"/>
        <v>-63571.714803238705</v>
      </c>
      <c r="AW289" s="49">
        <f t="shared" si="150"/>
        <v>-65090.315926458461</v>
      </c>
      <c r="AX289" s="49">
        <f t="shared" si="150"/>
        <v>-65932.063892019432</v>
      </c>
      <c r="AY289" s="3"/>
      <c r="AZ289" s="53">
        <f t="shared" si="151"/>
        <v>-245838.3621123952</v>
      </c>
      <c r="BA289" s="53">
        <f t="shared" si="152"/>
        <v>-243477.86685727601</v>
      </c>
      <c r="BB289" s="53">
        <f t="shared" si="153"/>
        <v>-275886.66390030726</v>
      </c>
      <c r="BC289" s="53">
        <f t="shared" si="154"/>
        <v>-277405.26502352703</v>
      </c>
      <c r="BD289" s="53">
        <f t="shared" si="155"/>
        <v>-278247.01298908802</v>
      </c>
    </row>
    <row r="290" spans="2:56" s="240" customFormat="1">
      <c r="B290" s="43">
        <f>'12. Investeringen (bijschatten)'!B93</f>
        <v>74</v>
      </c>
      <c r="C290" s="54"/>
      <c r="D290" s="3"/>
      <c r="E290" s="54"/>
      <c r="F290" s="179">
        <f>'12. Investeringen (bijschatten)'!C93</f>
        <v>622622.73355007381</v>
      </c>
      <c r="G290" s="3"/>
      <c r="H290" s="43">
        <f>'12. Investeringen (bijschatten)'!D93</f>
        <v>2022</v>
      </c>
      <c r="I290" s="43" t="str">
        <f>'12. Investeringen (bijschatten)'!E93</f>
        <v>45 Groen gas booster</v>
      </c>
      <c r="J290" s="179">
        <f>_xlfn.XLOOKUP(I290,'3. Input (des)investeringen '!$B$11:$B$81,'3. Input (des)investeringen '!$D$11:$D$81)</f>
        <v>30</v>
      </c>
      <c r="M290" s="49">
        <f t="shared" si="133"/>
        <v>0</v>
      </c>
      <c r="N290" s="49">
        <f t="shared" si="134"/>
        <v>0</v>
      </c>
      <c r="O290" s="3"/>
      <c r="P290" s="147">
        <f t="shared" si="135"/>
        <v>0</v>
      </c>
      <c r="Q290" s="147">
        <f t="shared" si="136"/>
        <v>0</v>
      </c>
      <c r="R290" s="3"/>
      <c r="S290" s="49">
        <f t="shared" si="137"/>
        <v>622622.73355007381</v>
      </c>
      <c r="T290" s="44">
        <f t="shared" si="138"/>
        <v>30</v>
      </c>
      <c r="U290" s="3"/>
      <c r="V290" s="49">
        <f t="shared" si="139"/>
        <v>12141.14330422644</v>
      </c>
      <c r="W290" s="49">
        <f t="shared" si="139"/>
        <v>23756.170398603066</v>
      </c>
      <c r="X290" s="49">
        <f t="shared" si="139"/>
        <v>22726.736347996932</v>
      </c>
      <c r="Y290" s="49">
        <f t="shared" si="139"/>
        <v>21741.911106250398</v>
      </c>
      <c r="Z290" s="49">
        <f t="shared" si="139"/>
        <v>20799.761624979546</v>
      </c>
      <c r="AA290" s="3"/>
      <c r="AB290" s="49">
        <f t="shared" si="140"/>
        <v>1037.7045559167898</v>
      </c>
      <c r="AC290" s="49">
        <f t="shared" si="140"/>
        <v>2075.4091118335796</v>
      </c>
      <c r="AD290" s="49">
        <f t="shared" si="140"/>
        <v>2075.4091118335796</v>
      </c>
      <c r="AE290" s="49">
        <f t="shared" si="140"/>
        <v>2075.4091118335796</v>
      </c>
      <c r="AF290" s="49">
        <f t="shared" si="140"/>
        <v>2075.4091118335796</v>
      </c>
      <c r="AG290" s="3"/>
      <c r="AH290" s="49">
        <f t="shared" si="141"/>
        <v>13178.847860143229</v>
      </c>
      <c r="AI290" s="49">
        <f t="shared" si="142"/>
        <v>25831.579510436644</v>
      </c>
      <c r="AJ290" s="49">
        <f t="shared" si="143"/>
        <v>24802.14545983051</v>
      </c>
      <c r="AK290" s="49">
        <f t="shared" si="144"/>
        <v>23817.320218083976</v>
      </c>
      <c r="AL290" s="49">
        <f t="shared" si="145"/>
        <v>22875.170736813125</v>
      </c>
      <c r="AM290" s="3"/>
      <c r="AN290" s="49">
        <f t="shared" si="132"/>
        <v>609443.88568993052</v>
      </c>
      <c r="AO290" s="49">
        <f t="shared" si="146"/>
        <v>583612.3061794939</v>
      </c>
      <c r="AP290" s="49">
        <f t="shared" si="147"/>
        <v>558810.16071966337</v>
      </c>
      <c r="AQ290" s="49">
        <f t="shared" si="148"/>
        <v>534992.84050157934</v>
      </c>
      <c r="AR290" s="49">
        <f t="shared" si="149"/>
        <v>512117.66976476624</v>
      </c>
      <c r="AS290" s="3"/>
      <c r="AT290" s="49">
        <f t="shared" si="150"/>
        <v>6226.2273355007383</v>
      </c>
      <c r="AU290" s="49">
        <f t="shared" si="150"/>
        <v>6585.8044165805777</v>
      </c>
      <c r="AV290" s="49">
        <f t="shared" si="150"/>
        <v>7084.2180948273954</v>
      </c>
      <c r="AW290" s="49">
        <f t="shared" si="150"/>
        <v>7253.4458966766324</v>
      </c>
      <c r="AX290" s="49">
        <f t="shared" si="150"/>
        <v>7347.2474590124539</v>
      </c>
      <c r="AY290" s="3"/>
      <c r="AZ290" s="53">
        <f t="shared" si="151"/>
        <v>40126.167309101598</v>
      </c>
      <c r="BA290" s="53">
        <f t="shared" si="152"/>
        <v>51676.590030940526</v>
      </c>
      <c r="BB290" s="53">
        <f t="shared" si="153"/>
        <v>53121.149662005111</v>
      </c>
      <c r="BC290" s="53">
        <f t="shared" si="154"/>
        <v>51400.494053820621</v>
      </c>
      <c r="BD290" s="53">
        <f t="shared" si="155"/>
        <v>49682.889646886695</v>
      </c>
    </row>
    <row r="291" spans="2:56">
      <c r="B291" s="43">
        <f>'12. Investeringen (bijschatten)'!B94</f>
        <v>75</v>
      </c>
      <c r="C291" s="54"/>
      <c r="E291" s="54"/>
      <c r="F291" s="179">
        <f>'12. Investeringen (bijschatten)'!C94</f>
        <v>35129736.152436331</v>
      </c>
      <c r="H291" s="43">
        <f>'12. Investeringen (bijschatten)'!D94</f>
        <v>2023</v>
      </c>
      <c r="I291" s="43" t="str">
        <f>'12. Investeringen (bijschatten)'!E94</f>
        <v>01 Regionale leidingen</v>
      </c>
      <c r="J291" s="179">
        <f>_xlfn.XLOOKUP(I291,'3. Input (des)investeringen '!$B$11:$B$81,'3. Input (des)investeringen '!$D$11:$D$81)</f>
        <v>55</v>
      </c>
      <c r="M291" s="49">
        <f t="shared" ref="M291:M299" si="156">IF($J291 = 0, 0, IF($H291&lt;=M$215,
VDB(ABS($F291),0,$J291,MAX(0,M$59-$H291-0.5),MIN($J291,M$59-$H291+0.5),1)*IF($F291&lt;0,-1,1)*INDEX(H$40:H$46,$H291-2019,1),
0))</f>
        <v>0</v>
      </c>
      <c r="N291" s="49">
        <f t="shared" ref="N291:N299" si="157">IF($J291 = 0, 0, IF($H291&lt;=N$215,
VDB(ABS($F291),0,$J291,MAX(0,N$59-$H291-0.5),MIN($J291,N$59-$H291+0.5),1)*IF($F291&lt;0,-1,1)*INDEX(I$40:I$46,$H291-2019,1),
0))</f>
        <v>0</v>
      </c>
      <c r="P291" s="147">
        <f t="shared" ref="P291:P299" si="158">IF($J291=0, IF($H291 = M$215, $F291, 0), IF(OR($H291&gt;P$59,$H291+$J291&lt;=P$59),0,
F291-M291))</f>
        <v>0</v>
      </c>
      <c r="Q291" s="147">
        <f t="shared" ref="Q291:Q299" si="159">IF($J291=0, IF($H291 &gt; N$215, 0, IF($H291=N$215, $F291, $P291*I$40)), IF(OR($H291&gt;Q$59,$H291+$J291&lt;=Q$59),0,
IF($H291=Q$59,F291-N291,P291*I$40-N291)))</f>
        <v>0</v>
      </c>
      <c r="S291" s="49">
        <f t="shared" ref="S291:S299" si="160">IF($J291=0, IF(H291&lt;=2021, $Q291, IF(H291&gt;=2022, $F291,0)), IF(H291&lt;=2021,Q291,F291))</f>
        <v>35129736.152436331</v>
      </c>
      <c r="T291" s="44">
        <f t="shared" ref="T291:T299" si="161">IF($J291=0, 0, IF(H291&lt;2022,J291-2021+H291-0.5,J291))</f>
        <v>55</v>
      </c>
      <c r="V291" s="49">
        <f t="shared" si="139"/>
        <v>0</v>
      </c>
      <c r="W291" s="49">
        <f t="shared" si="139"/>
        <v>373652.64816682279</v>
      </c>
      <c r="X291" s="49">
        <f t="shared" si="139"/>
        <v>738473.50646788429</v>
      </c>
      <c r="Y291" s="49">
        <f t="shared" si="139"/>
        <v>721018.67813318886</v>
      </c>
      <c r="Z291" s="49">
        <f t="shared" si="139"/>
        <v>703976.4184682226</v>
      </c>
      <c r="AB291" s="49">
        <f t="shared" si="140"/>
        <v>0</v>
      </c>
      <c r="AC291" s="49">
        <f t="shared" si="140"/>
        <v>31936.12377494212</v>
      </c>
      <c r="AD291" s="49">
        <f t="shared" si="140"/>
        <v>63872.247549884247</v>
      </c>
      <c r="AE291" s="49">
        <f t="shared" si="140"/>
        <v>63872.247549884247</v>
      </c>
      <c r="AF291" s="49">
        <f t="shared" si="140"/>
        <v>63872.247549884247</v>
      </c>
      <c r="AH291" s="49">
        <f t="shared" ref="AH291:AH299" si="162">V291+AB291</f>
        <v>0</v>
      </c>
      <c r="AI291" s="49">
        <f t="shared" ref="AI291:AI299" si="163">W291+AC291</f>
        <v>405588.77194176492</v>
      </c>
      <c r="AJ291" s="49">
        <f t="shared" ref="AJ291:AJ299" si="164">X291+AD291</f>
        <v>802345.75401776854</v>
      </c>
      <c r="AK291" s="49">
        <f t="shared" ref="AK291:AK299" si="165">Y291+AE291</f>
        <v>784890.92568307312</v>
      </c>
      <c r="AL291" s="49">
        <f t="shared" ref="AL291:AL299" si="166">Z291+AF291</f>
        <v>767848.66601810686</v>
      </c>
      <c r="AN291" s="49">
        <f t="shared" si="132"/>
        <v>0</v>
      </c>
      <c r="AO291" s="49">
        <f t="shared" ref="AO291:AO299" si="167">IF($J291 = 0, IF($H291 &gt; AO$215, 0, IF($H291=AO$215, $F291, AN291)), IF(OR($H291&gt;AO$59,$H291+$J291&lt;=AO$59),0,
IF($H291=AO$59,$S291-AI291,
AN291-AI291)))</f>
        <v>34724147.380494565</v>
      </c>
      <c r="AP291" s="49">
        <f t="shared" ref="AP291:AP299" si="168">IF($J291 = 0, IF($H291 &gt; AP$215, 0, IF($H291=AP$215, $F291, AO291)), IF(OR($H291&gt;AP$59,$H291+$J291&lt;=AP$59),0,
IF($H291=AP$59,$S291-AJ291,
AO291-AJ291)))</f>
        <v>33921801.626476794</v>
      </c>
      <c r="AQ291" s="49">
        <f t="shared" ref="AQ291:AQ299" si="169">IF($J291 = 0, IF($H291 &gt; AQ$215, 0, IF($H291=AQ$215, $F291, AP291)), IF(OR($H291&gt;AQ$59,$H291+$J291&lt;=AQ$59),0,
IF($H291=AQ$59,$S291-AK291,
AP291-AK291)))</f>
        <v>33136910.700793721</v>
      </c>
      <c r="AR291" s="49">
        <f t="shared" ref="AR291:AR299" si="170">IF($J291 = 0, IF($H291 &gt; AR$215, 0, IF($H291=AR$215, $F291, AQ291)), IF(OR($H291&gt;AR$59,$H291+$J291&lt;=AR$59),0,
IF($H291=AR$59,$S291-AL291,
AQ291-AL291)))</f>
        <v>32369062.034775615</v>
      </c>
      <c r="AT291" s="49">
        <f t="shared" si="150"/>
        <v>0</v>
      </c>
      <c r="AU291" s="49">
        <f t="shared" si="150"/>
        <v>351297.36152436334</v>
      </c>
      <c r="AV291" s="49">
        <f t="shared" si="150"/>
        <v>377883.54584452719</v>
      </c>
      <c r="AW291" s="49">
        <f t="shared" si="150"/>
        <v>386910.42798766121</v>
      </c>
      <c r="AX291" s="49">
        <f t="shared" si="150"/>
        <v>391913.9536423976</v>
      </c>
      <c r="AZ291" s="53">
        <f t="shared" ref="AZ291:AZ299" si="171">AH291+AN291*J$16+AT291</f>
        <v>0</v>
      </c>
      <c r="BA291" s="53">
        <f t="shared" ref="BA291:BA299" si="172">AI291+AO291*K$16+AU291</f>
        <v>1902782.997022449</v>
      </c>
      <c r="BB291" s="53">
        <f t="shared" ref="BB291:BB299" si="173">AJ291+AP291*L$16+AV291</f>
        <v>2469257.7616684139</v>
      </c>
      <c r="BC291" s="53">
        <f t="shared" ref="BC291:BC299" si="174">AK291+AQ291*M$16+AW291</f>
        <v>2431003.9603008959</v>
      </c>
      <c r="BD291" s="53">
        <f t="shared" ref="BD291:BD299" si="175">AL291+AR291*N$16+AX291</f>
        <v>2389786.9769819779</v>
      </c>
    </row>
    <row r="292" spans="2:56">
      <c r="B292" s="43">
        <f>'12. Investeringen (bijschatten)'!B95</f>
        <v>76</v>
      </c>
      <c r="C292" s="54"/>
      <c r="E292" s="54"/>
      <c r="F292" s="179">
        <f>'12. Investeringen (bijschatten)'!C95</f>
        <v>3911702.9434979558</v>
      </c>
      <c r="H292" s="43">
        <f>'12. Investeringen (bijschatten)'!D95</f>
        <v>2023</v>
      </c>
      <c r="I292" s="43" t="str">
        <f>'12. Investeringen (bijschatten)'!E95</f>
        <v>02 Gasontvangststations</v>
      </c>
      <c r="J292" s="179">
        <f>_xlfn.XLOOKUP(I292,'3. Input (des)investeringen '!$B$11:$B$81,'3. Input (des)investeringen '!$D$11:$D$81)</f>
        <v>30</v>
      </c>
      <c r="M292" s="49">
        <f t="shared" si="156"/>
        <v>0</v>
      </c>
      <c r="N292" s="49">
        <f t="shared" si="157"/>
        <v>0</v>
      </c>
      <c r="P292" s="147">
        <f t="shared" si="158"/>
        <v>0</v>
      </c>
      <c r="Q292" s="147">
        <f t="shared" si="159"/>
        <v>0</v>
      </c>
      <c r="S292" s="49">
        <f t="shared" si="160"/>
        <v>3911702.9434979558</v>
      </c>
      <c r="T292" s="44">
        <f t="shared" si="161"/>
        <v>30</v>
      </c>
      <c r="V292" s="49">
        <f t="shared" si="139"/>
        <v>0</v>
      </c>
      <c r="W292" s="49">
        <f t="shared" si="139"/>
        <v>76278.207398210143</v>
      </c>
      <c r="X292" s="49">
        <f t="shared" si="139"/>
        <v>149251.02580916451</v>
      </c>
      <c r="Y292" s="49">
        <f t="shared" si="139"/>
        <v>142783.48135743404</v>
      </c>
      <c r="Z292" s="49">
        <f t="shared" si="139"/>
        <v>136596.19716527857</v>
      </c>
      <c r="AB292" s="49">
        <f t="shared" si="140"/>
        <v>0</v>
      </c>
      <c r="AC292" s="49">
        <f t="shared" si="140"/>
        <v>6519.5049058299273</v>
      </c>
      <c r="AD292" s="49">
        <f t="shared" si="140"/>
        <v>13039.009811659855</v>
      </c>
      <c r="AE292" s="49">
        <f t="shared" si="140"/>
        <v>13039.009811659855</v>
      </c>
      <c r="AF292" s="49">
        <f t="shared" si="140"/>
        <v>13039.009811659855</v>
      </c>
      <c r="AH292" s="49">
        <f t="shared" si="162"/>
        <v>0</v>
      </c>
      <c r="AI292" s="49">
        <f t="shared" si="163"/>
        <v>82797.712304040077</v>
      </c>
      <c r="AJ292" s="49">
        <f t="shared" si="164"/>
        <v>162290.03562082438</v>
      </c>
      <c r="AK292" s="49">
        <f t="shared" si="165"/>
        <v>155822.4911690939</v>
      </c>
      <c r="AL292" s="49">
        <f t="shared" si="166"/>
        <v>149635.20697693844</v>
      </c>
      <c r="AN292" s="49">
        <f t="shared" si="132"/>
        <v>0</v>
      </c>
      <c r="AO292" s="49">
        <f t="shared" si="167"/>
        <v>3828905.2311939159</v>
      </c>
      <c r="AP292" s="49">
        <f t="shared" si="168"/>
        <v>3666615.1955730915</v>
      </c>
      <c r="AQ292" s="49">
        <f t="shared" si="169"/>
        <v>3510792.7044039974</v>
      </c>
      <c r="AR292" s="49">
        <f t="shared" si="170"/>
        <v>3361157.4974270589</v>
      </c>
      <c r="AT292" s="49">
        <f t="shared" si="150"/>
        <v>0</v>
      </c>
      <c r="AU292" s="49">
        <f t="shared" si="150"/>
        <v>39117.029434979559</v>
      </c>
      <c r="AV292" s="49">
        <f t="shared" si="150"/>
        <v>42077.406222618811</v>
      </c>
      <c r="AW292" s="49">
        <f t="shared" si="150"/>
        <v>43082.551302464737</v>
      </c>
      <c r="AX292" s="49">
        <f t="shared" si="150"/>
        <v>43639.694855908194</v>
      </c>
      <c r="AZ292" s="53">
        <f t="shared" si="171"/>
        <v>0</v>
      </c>
      <c r="BA292" s="53">
        <f t="shared" si="172"/>
        <v>248268.61436841887</v>
      </c>
      <c r="BB292" s="53">
        <f t="shared" si="173"/>
        <v>343698.81927522068</v>
      </c>
      <c r="BC292" s="53">
        <f t="shared" si="174"/>
        <v>332315.16523891053</v>
      </c>
      <c r="BD292" s="53">
        <f t="shared" si="175"/>
        <v>320998.8867350748</v>
      </c>
    </row>
    <row r="293" spans="2:56">
      <c r="B293" s="43">
        <f>'12. Investeringen (bijschatten)'!B96</f>
        <v>77</v>
      </c>
      <c r="C293" s="54"/>
      <c r="E293" s="54"/>
      <c r="F293" s="179">
        <f>'12. Investeringen (bijschatten)'!C96</f>
        <v>211106.04067513763</v>
      </c>
      <c r="H293" s="43">
        <f>'12. Investeringen (bijschatten)'!D96</f>
        <v>2023</v>
      </c>
      <c r="I293" s="43" t="str">
        <f>'12. Investeringen (bijschatten)'!E96</f>
        <v>05 Wegen en terreinvoorzieningen</v>
      </c>
      <c r="J293" s="179">
        <f>_xlfn.XLOOKUP(I293,'3. Input (des)investeringen '!$B$11:$B$81,'3. Input (des)investeringen '!$D$11:$D$81)</f>
        <v>10</v>
      </c>
      <c r="M293" s="49">
        <f t="shared" si="156"/>
        <v>0</v>
      </c>
      <c r="N293" s="49">
        <f t="shared" si="157"/>
        <v>0</v>
      </c>
      <c r="P293" s="147">
        <f t="shared" si="158"/>
        <v>0</v>
      </c>
      <c r="Q293" s="147">
        <f t="shared" si="159"/>
        <v>0</v>
      </c>
      <c r="S293" s="49">
        <f t="shared" si="160"/>
        <v>211106.04067513763</v>
      </c>
      <c r="T293" s="44">
        <f t="shared" si="161"/>
        <v>10</v>
      </c>
      <c r="V293" s="49">
        <f t="shared" si="139"/>
        <v>0</v>
      </c>
      <c r="W293" s="49">
        <f t="shared" si="139"/>
        <v>12349.703379495553</v>
      </c>
      <c r="X293" s="49">
        <f t="shared" si="139"/>
        <v>23093.945319656683</v>
      </c>
      <c r="Y293" s="49">
        <f t="shared" si="139"/>
        <v>20091.732428101313</v>
      </c>
      <c r="Z293" s="49">
        <f t="shared" si="139"/>
        <v>17928.007397382706</v>
      </c>
      <c r="AB293" s="49">
        <f t="shared" si="140"/>
        <v>0</v>
      </c>
      <c r="AC293" s="49">
        <f t="shared" si="140"/>
        <v>1055.5302033756882</v>
      </c>
      <c r="AD293" s="49">
        <f t="shared" si="140"/>
        <v>2111.0604067513764</v>
      </c>
      <c r="AE293" s="49">
        <f t="shared" si="140"/>
        <v>2111.0604067513764</v>
      </c>
      <c r="AF293" s="49">
        <f t="shared" si="140"/>
        <v>2111.0604067513764</v>
      </c>
      <c r="AH293" s="49">
        <f t="shared" si="162"/>
        <v>0</v>
      </c>
      <c r="AI293" s="49">
        <f t="shared" si="163"/>
        <v>13405.233582871242</v>
      </c>
      <c r="AJ293" s="49">
        <f t="shared" si="164"/>
        <v>25205.005726408061</v>
      </c>
      <c r="AK293" s="49">
        <f t="shared" si="165"/>
        <v>22202.792834852691</v>
      </c>
      <c r="AL293" s="49">
        <f t="shared" si="166"/>
        <v>20039.067804134083</v>
      </c>
      <c r="AN293" s="49">
        <f t="shared" si="132"/>
        <v>0</v>
      </c>
      <c r="AO293" s="49">
        <f t="shared" si="167"/>
        <v>197700.80709226639</v>
      </c>
      <c r="AP293" s="49">
        <f t="shared" si="168"/>
        <v>172495.80136585832</v>
      </c>
      <c r="AQ293" s="49">
        <f t="shared" si="169"/>
        <v>150293.00853100565</v>
      </c>
      <c r="AR293" s="49">
        <f t="shared" si="170"/>
        <v>130253.94072687156</v>
      </c>
      <c r="AT293" s="49">
        <f t="shared" si="150"/>
        <v>0</v>
      </c>
      <c r="AU293" s="49">
        <f t="shared" si="150"/>
        <v>2111.0604067513764</v>
      </c>
      <c r="AV293" s="49">
        <f t="shared" si="150"/>
        <v>2270.8254583343205</v>
      </c>
      <c r="AW293" s="49">
        <f t="shared" si="150"/>
        <v>2325.0709368830112</v>
      </c>
      <c r="AX293" s="49">
        <f t="shared" si="150"/>
        <v>2355.1387542387815</v>
      </c>
      <c r="AZ293" s="53">
        <f t="shared" si="171"/>
        <v>0</v>
      </c>
      <c r="BA293" s="53">
        <f t="shared" si="172"/>
        <v>22040.420623667411</v>
      </c>
      <c r="BB293" s="53">
        <f t="shared" si="173"/>
        <v>34030.671636644998</v>
      </c>
      <c r="BC293" s="53">
        <f t="shared" si="174"/>
        <v>30238.998095913917</v>
      </c>
      <c r="BD293" s="53">
        <f t="shared" si="175"/>
        <v>27343.856305993984</v>
      </c>
    </row>
    <row r="294" spans="2:56">
      <c r="B294" s="43">
        <f>'12. Investeringen (bijschatten)'!B97</f>
        <v>78</v>
      </c>
      <c r="C294" s="54"/>
      <c r="E294" s="54"/>
      <c r="F294" s="179">
        <f>'12. Investeringen (bijschatten)'!C97</f>
        <v>87365.41867156743</v>
      </c>
      <c r="H294" s="43">
        <f>'12. Investeringen (bijschatten)'!D97</f>
        <v>2023</v>
      </c>
      <c r="I294" s="43" t="str">
        <f>'12. Investeringen (bijschatten)'!E97</f>
        <v>06 Utiliteitsgebouwen</v>
      </c>
      <c r="J294" s="179">
        <f>_xlfn.XLOOKUP(I294,'3. Input (des)investeringen '!$B$11:$B$81,'3. Input (des)investeringen '!$D$11:$D$81)</f>
        <v>30</v>
      </c>
      <c r="M294" s="49">
        <f t="shared" si="156"/>
        <v>0</v>
      </c>
      <c r="N294" s="49">
        <f t="shared" si="157"/>
        <v>0</v>
      </c>
      <c r="P294" s="147">
        <f t="shared" si="158"/>
        <v>0</v>
      </c>
      <c r="Q294" s="147">
        <f t="shared" si="159"/>
        <v>0</v>
      </c>
      <c r="S294" s="49">
        <f t="shared" si="160"/>
        <v>87365.41867156743</v>
      </c>
      <c r="T294" s="44">
        <f t="shared" si="161"/>
        <v>30</v>
      </c>
      <c r="V294" s="49">
        <f t="shared" si="139"/>
        <v>0</v>
      </c>
      <c r="W294" s="49">
        <f t="shared" si="139"/>
        <v>1703.6256640955648</v>
      </c>
      <c r="X294" s="49">
        <f t="shared" si="139"/>
        <v>3333.427549413655</v>
      </c>
      <c r="Y294" s="49">
        <f t="shared" si="139"/>
        <v>3188.9790222723968</v>
      </c>
      <c r="Z294" s="49">
        <f t="shared" si="139"/>
        <v>3050.7899313072594</v>
      </c>
      <c r="AB294" s="49">
        <f t="shared" si="140"/>
        <v>0</v>
      </c>
      <c r="AC294" s="49">
        <f t="shared" si="140"/>
        <v>145.60903111927908</v>
      </c>
      <c r="AD294" s="49">
        <f t="shared" si="140"/>
        <v>291.21806223855816</v>
      </c>
      <c r="AE294" s="49">
        <f t="shared" si="140"/>
        <v>291.21806223855816</v>
      </c>
      <c r="AF294" s="49">
        <f t="shared" si="140"/>
        <v>291.21806223855816</v>
      </c>
      <c r="AH294" s="49">
        <f t="shared" si="162"/>
        <v>0</v>
      </c>
      <c r="AI294" s="49">
        <f t="shared" si="163"/>
        <v>1849.2346952148439</v>
      </c>
      <c r="AJ294" s="49">
        <f t="shared" si="164"/>
        <v>3624.6456116522131</v>
      </c>
      <c r="AK294" s="49">
        <f t="shared" si="165"/>
        <v>3480.1970845109549</v>
      </c>
      <c r="AL294" s="49">
        <f t="shared" si="166"/>
        <v>3342.0079935458175</v>
      </c>
      <c r="AN294" s="49">
        <f t="shared" si="132"/>
        <v>0</v>
      </c>
      <c r="AO294" s="49">
        <f t="shared" si="167"/>
        <v>85516.183976352579</v>
      </c>
      <c r="AP294" s="49">
        <f t="shared" si="168"/>
        <v>81891.538364700362</v>
      </c>
      <c r="AQ294" s="49">
        <f t="shared" si="169"/>
        <v>78411.341280189401</v>
      </c>
      <c r="AR294" s="49">
        <f t="shared" si="170"/>
        <v>75069.333286643581</v>
      </c>
      <c r="AT294" s="49">
        <f t="shared" si="150"/>
        <v>0</v>
      </c>
      <c r="AU294" s="49">
        <f t="shared" si="150"/>
        <v>873.65418671567431</v>
      </c>
      <c r="AV294" s="49">
        <f t="shared" si="150"/>
        <v>939.77233556631666</v>
      </c>
      <c r="AW294" s="49">
        <f t="shared" si="150"/>
        <v>962.22161711832484</v>
      </c>
      <c r="AX294" s="49">
        <f t="shared" si="150"/>
        <v>974.66506707089877</v>
      </c>
      <c r="AZ294" s="53">
        <f t="shared" si="171"/>
        <v>0</v>
      </c>
      <c r="BA294" s="53">
        <f t="shared" si="172"/>
        <v>5544.9229531501533</v>
      </c>
      <c r="BB294" s="53">
        <f t="shared" si="173"/>
        <v>7676.2964050771434</v>
      </c>
      <c r="BC294" s="53">
        <f t="shared" si="174"/>
        <v>7422.0496702764767</v>
      </c>
      <c r="BD294" s="53">
        <f t="shared" si="175"/>
        <v>7169.3077255091721</v>
      </c>
    </row>
    <row r="295" spans="2:56">
      <c r="B295" s="43">
        <f>'12. Investeringen (bijschatten)'!B98</f>
        <v>79</v>
      </c>
      <c r="C295" s="54"/>
      <c r="E295" s="54"/>
      <c r="F295" s="179">
        <f>'12. Investeringen (bijschatten)'!C98</f>
        <v>512.30039495694564</v>
      </c>
      <c r="H295" s="43">
        <f>'12. Investeringen (bijschatten)'!D98</f>
        <v>2023</v>
      </c>
      <c r="I295" s="43" t="str">
        <f>'12. Investeringen (bijschatten)'!E98</f>
        <v>08 Inrichting gebouwen</v>
      </c>
      <c r="J295" s="179">
        <f>_xlfn.XLOOKUP(I295,'3. Input (des)investeringen '!$B$11:$B$81,'3. Input (des)investeringen '!$D$11:$D$81)</f>
        <v>10</v>
      </c>
      <c r="M295" s="49">
        <f t="shared" si="156"/>
        <v>0</v>
      </c>
      <c r="N295" s="49">
        <f t="shared" si="157"/>
        <v>0</v>
      </c>
      <c r="P295" s="147">
        <f t="shared" si="158"/>
        <v>0</v>
      </c>
      <c r="Q295" s="147">
        <f t="shared" si="159"/>
        <v>0</v>
      </c>
      <c r="S295" s="49">
        <f t="shared" si="160"/>
        <v>512.30039495694564</v>
      </c>
      <c r="T295" s="44">
        <f t="shared" si="161"/>
        <v>10</v>
      </c>
      <c r="V295" s="49">
        <f t="shared" si="139"/>
        <v>0</v>
      </c>
      <c r="W295" s="49">
        <f t="shared" si="139"/>
        <v>29.969573104981322</v>
      </c>
      <c r="X295" s="49">
        <f t="shared" si="139"/>
        <v>56.04310170631507</v>
      </c>
      <c r="Y295" s="49">
        <f t="shared" si="139"/>
        <v>48.757498484494114</v>
      </c>
      <c r="Z295" s="49">
        <f t="shared" si="139"/>
        <v>43.506690955394745</v>
      </c>
      <c r="AB295" s="49">
        <f t="shared" si="140"/>
        <v>0</v>
      </c>
      <c r="AC295" s="49">
        <f t="shared" si="140"/>
        <v>2.5615019747847287</v>
      </c>
      <c r="AD295" s="49">
        <f t="shared" si="140"/>
        <v>5.1230039495694575</v>
      </c>
      <c r="AE295" s="49">
        <f t="shared" si="140"/>
        <v>5.1230039495694575</v>
      </c>
      <c r="AF295" s="49">
        <f t="shared" si="140"/>
        <v>5.1230039495694575</v>
      </c>
      <c r="AH295" s="49">
        <f t="shared" si="162"/>
        <v>0</v>
      </c>
      <c r="AI295" s="49">
        <f t="shared" si="163"/>
        <v>32.531075079766048</v>
      </c>
      <c r="AJ295" s="49">
        <f t="shared" si="164"/>
        <v>61.166105655884529</v>
      </c>
      <c r="AK295" s="49">
        <f t="shared" si="165"/>
        <v>53.880502434063573</v>
      </c>
      <c r="AL295" s="49">
        <f t="shared" si="166"/>
        <v>48.629694904964204</v>
      </c>
      <c r="AN295" s="49">
        <f t="shared" si="132"/>
        <v>0</v>
      </c>
      <c r="AO295" s="49">
        <f t="shared" si="167"/>
        <v>479.76931987717961</v>
      </c>
      <c r="AP295" s="49">
        <f t="shared" si="168"/>
        <v>418.6032142212951</v>
      </c>
      <c r="AQ295" s="49">
        <f t="shared" si="169"/>
        <v>364.72271178723156</v>
      </c>
      <c r="AR295" s="49">
        <f t="shared" si="170"/>
        <v>316.09301688226736</v>
      </c>
      <c r="AT295" s="49">
        <f t="shared" si="150"/>
        <v>0</v>
      </c>
      <c r="AU295" s="49">
        <f t="shared" si="150"/>
        <v>5.1230039495694566</v>
      </c>
      <c r="AV295" s="49">
        <f t="shared" si="150"/>
        <v>5.5107128884728738</v>
      </c>
      <c r="AW295" s="49">
        <f t="shared" si="150"/>
        <v>5.6423527979527135</v>
      </c>
      <c r="AX295" s="49">
        <f t="shared" si="150"/>
        <v>5.7153197043358368</v>
      </c>
      <c r="AZ295" s="53">
        <f t="shared" si="171"/>
        <v>0</v>
      </c>
      <c r="BA295" s="53">
        <f t="shared" si="172"/>
        <v>53.486466585282436</v>
      </c>
      <c r="BB295" s="53">
        <f t="shared" si="173"/>
        <v>82.58374068476661</v>
      </c>
      <c r="BC295" s="53">
        <f t="shared" si="174"/>
        <v>73.382318279931084</v>
      </c>
      <c r="BD295" s="53">
        <f t="shared" si="175"/>
        <v>66.356549250826205</v>
      </c>
    </row>
    <row r="296" spans="2:56">
      <c r="B296" s="43">
        <f>'12. Investeringen (bijschatten)'!B99</f>
        <v>80</v>
      </c>
      <c r="C296" s="54"/>
      <c r="E296" s="54"/>
      <c r="F296" s="179">
        <f>'12. Investeringen (bijschatten)'!C99</f>
        <v>52227.302738377963</v>
      </c>
      <c r="H296" s="43">
        <f>'12. Investeringen (bijschatten)'!D99</f>
        <v>2023</v>
      </c>
      <c r="I296" s="43" t="str">
        <f>'12. Investeringen (bijschatten)'!E99</f>
        <v>15 Compressorstations (KC)</v>
      </c>
      <c r="J296" s="179">
        <f>_xlfn.XLOOKUP(I296,'3. Input (des)investeringen '!$B$11:$B$81,'3. Input (des)investeringen '!$D$11:$D$81)</f>
        <v>30</v>
      </c>
      <c r="M296" s="49">
        <f t="shared" si="156"/>
        <v>0</v>
      </c>
      <c r="N296" s="49">
        <f t="shared" si="157"/>
        <v>0</v>
      </c>
      <c r="P296" s="147">
        <f t="shared" si="158"/>
        <v>0</v>
      </c>
      <c r="Q296" s="147">
        <f t="shared" si="159"/>
        <v>0</v>
      </c>
      <c r="S296" s="49">
        <f t="shared" si="160"/>
        <v>52227.302738377963</v>
      </c>
      <c r="T296" s="44">
        <f t="shared" si="161"/>
        <v>30</v>
      </c>
      <c r="V296" s="49">
        <f t="shared" si="139"/>
        <v>0</v>
      </c>
      <c r="W296" s="49">
        <f t="shared" si="139"/>
        <v>1018.4324033983703</v>
      </c>
      <c r="X296" s="49">
        <f t="shared" si="139"/>
        <v>1992.7327359828112</v>
      </c>
      <c r="Y296" s="49">
        <f t="shared" si="139"/>
        <v>1906.3809840902225</v>
      </c>
      <c r="Z296" s="49">
        <f t="shared" si="139"/>
        <v>1823.7711414463129</v>
      </c>
      <c r="AB296" s="49">
        <f t="shared" si="140"/>
        <v>0</v>
      </c>
      <c r="AC296" s="49">
        <f t="shared" si="140"/>
        <v>87.045504563963277</v>
      </c>
      <c r="AD296" s="49">
        <f t="shared" si="140"/>
        <v>174.09100912792658</v>
      </c>
      <c r="AE296" s="49">
        <f t="shared" si="140"/>
        <v>174.09100912792658</v>
      </c>
      <c r="AF296" s="49">
        <f t="shared" si="140"/>
        <v>174.09100912792658</v>
      </c>
      <c r="AH296" s="49">
        <f t="shared" si="162"/>
        <v>0</v>
      </c>
      <c r="AI296" s="49">
        <f t="shared" si="163"/>
        <v>1105.4779079623336</v>
      </c>
      <c r="AJ296" s="49">
        <f t="shared" si="164"/>
        <v>2166.8237451107379</v>
      </c>
      <c r="AK296" s="49">
        <f t="shared" si="165"/>
        <v>2080.4719932181492</v>
      </c>
      <c r="AL296" s="49">
        <f t="shared" si="166"/>
        <v>1997.8621505742394</v>
      </c>
      <c r="AN296" s="49">
        <f t="shared" si="132"/>
        <v>0</v>
      </c>
      <c r="AO296" s="49">
        <f t="shared" si="167"/>
        <v>51121.82483041563</v>
      </c>
      <c r="AP296" s="49">
        <f t="shared" si="168"/>
        <v>48955.001085304888</v>
      </c>
      <c r="AQ296" s="49">
        <f t="shared" si="169"/>
        <v>46874.529092086741</v>
      </c>
      <c r="AR296" s="49">
        <f t="shared" si="170"/>
        <v>44876.6669415125</v>
      </c>
      <c r="AT296" s="49">
        <f t="shared" si="150"/>
        <v>0</v>
      </c>
      <c r="AU296" s="49">
        <f t="shared" si="150"/>
        <v>522.27302738377966</v>
      </c>
      <c r="AV296" s="49">
        <f t="shared" si="150"/>
        <v>561.79865009618413</v>
      </c>
      <c r="AW296" s="49">
        <f t="shared" si="150"/>
        <v>575.21889624968185</v>
      </c>
      <c r="AX296" s="49">
        <f t="shared" si="150"/>
        <v>582.65762701598248</v>
      </c>
      <c r="AZ296" s="53">
        <f t="shared" si="171"/>
        <v>0</v>
      </c>
      <c r="BA296" s="53">
        <f t="shared" si="172"/>
        <v>3314.7711547498293</v>
      </c>
      <c r="BB296" s="53">
        <f t="shared" si="173"/>
        <v>4588.9124364485078</v>
      </c>
      <c r="BC296" s="53">
        <f t="shared" si="174"/>
        <v>4436.9229949671271</v>
      </c>
      <c r="BD296" s="53">
        <f t="shared" si="175"/>
        <v>4285.8331213676965</v>
      </c>
    </row>
    <row r="297" spans="2:56">
      <c r="B297" s="43">
        <f>'12. Investeringen (bijschatten)'!B100</f>
        <v>81</v>
      </c>
      <c r="C297" s="54"/>
      <c r="E297" s="54"/>
      <c r="F297" s="179">
        <f>'12. Investeringen (bijschatten)'!C100</f>
        <v>1503868.6390986054</v>
      </c>
      <c r="H297" s="43">
        <f>'12. Investeringen (bijschatten)'!D100</f>
        <v>2023</v>
      </c>
      <c r="I297" s="43" t="str">
        <f>'12. Investeringen (bijschatten)'!E100</f>
        <v>15 Compressorstations (TT-BT-AT)</v>
      </c>
      <c r="J297" s="179">
        <f>_xlfn.XLOOKUP(I297,'3. Input (des)investeringen '!$B$11:$B$81,'3. Input (des)investeringen '!$D$11:$D$81)</f>
        <v>30</v>
      </c>
      <c r="M297" s="49">
        <f t="shared" si="156"/>
        <v>0</v>
      </c>
      <c r="N297" s="49">
        <f t="shared" si="157"/>
        <v>0</v>
      </c>
      <c r="P297" s="147">
        <f t="shared" si="158"/>
        <v>0</v>
      </c>
      <c r="Q297" s="147">
        <f t="shared" si="159"/>
        <v>0</v>
      </c>
      <c r="S297" s="49">
        <f t="shared" si="160"/>
        <v>1503868.6390986054</v>
      </c>
      <c r="T297" s="44">
        <f t="shared" si="161"/>
        <v>30</v>
      </c>
      <c r="V297" s="49">
        <f t="shared" si="139"/>
        <v>0</v>
      </c>
      <c r="W297" s="49">
        <f t="shared" si="139"/>
        <v>29325.438462422804</v>
      </c>
      <c r="X297" s="49">
        <f t="shared" si="139"/>
        <v>57380.107924807293</v>
      </c>
      <c r="Y297" s="49">
        <f t="shared" si="139"/>
        <v>54893.636581398976</v>
      </c>
      <c r="Z297" s="49">
        <f t="shared" si="139"/>
        <v>52514.912329538347</v>
      </c>
      <c r="AB297" s="49">
        <f t="shared" si="140"/>
        <v>0</v>
      </c>
      <c r="AC297" s="49">
        <f t="shared" si="140"/>
        <v>2506.4477318310092</v>
      </c>
      <c r="AD297" s="49">
        <f t="shared" si="140"/>
        <v>5012.8954636620192</v>
      </c>
      <c r="AE297" s="49">
        <f t="shared" si="140"/>
        <v>5012.8954636620192</v>
      </c>
      <c r="AF297" s="49">
        <f t="shared" si="140"/>
        <v>5012.8954636620192</v>
      </c>
      <c r="AH297" s="49">
        <f t="shared" si="162"/>
        <v>0</v>
      </c>
      <c r="AI297" s="49">
        <f t="shared" si="163"/>
        <v>31831.886194253813</v>
      </c>
      <c r="AJ297" s="49">
        <f t="shared" si="164"/>
        <v>62393.003388469311</v>
      </c>
      <c r="AK297" s="49">
        <f t="shared" si="165"/>
        <v>59906.532045060994</v>
      </c>
      <c r="AL297" s="49">
        <f t="shared" si="166"/>
        <v>57527.807793200365</v>
      </c>
      <c r="AN297" s="49">
        <f t="shared" si="132"/>
        <v>0</v>
      </c>
      <c r="AO297" s="49">
        <f t="shared" si="167"/>
        <v>1472036.7529043516</v>
      </c>
      <c r="AP297" s="49">
        <f t="shared" si="168"/>
        <v>1409643.7495158822</v>
      </c>
      <c r="AQ297" s="49">
        <f t="shared" si="169"/>
        <v>1349737.2174708212</v>
      </c>
      <c r="AR297" s="49">
        <f t="shared" si="170"/>
        <v>1292209.409677621</v>
      </c>
      <c r="AT297" s="49">
        <f t="shared" si="150"/>
        <v>0</v>
      </c>
      <c r="AU297" s="49">
        <f t="shared" si="150"/>
        <v>15038.686390986055</v>
      </c>
      <c r="AV297" s="49">
        <f t="shared" si="150"/>
        <v>16176.814177055878</v>
      </c>
      <c r="AW297" s="49">
        <f t="shared" si="150"/>
        <v>16563.245914117393</v>
      </c>
      <c r="AX297" s="49">
        <f t="shared" si="150"/>
        <v>16777.441810278753</v>
      </c>
      <c r="AZ297" s="53">
        <f t="shared" si="171"/>
        <v>0</v>
      </c>
      <c r="BA297" s="53">
        <f t="shared" si="172"/>
        <v>95447.785431083466</v>
      </c>
      <c r="BB297" s="53">
        <f t="shared" si="173"/>
        <v>132136.2800471287</v>
      </c>
      <c r="BC297" s="53">
        <f t="shared" si="174"/>
        <v>127759.7922230696</v>
      </c>
      <c r="BD297" s="53">
        <f t="shared" si="175"/>
        <v>123409.20717122871</v>
      </c>
    </row>
    <row r="298" spans="2:56">
      <c r="B298" s="43">
        <f>'12. Investeringen (bijschatten)'!B101</f>
        <v>82</v>
      </c>
      <c r="C298" s="54"/>
      <c r="E298" s="54"/>
      <c r="F298" s="179">
        <f>'12. Investeringen (bijschatten)'!C101</f>
        <v>2183439.2423609141</v>
      </c>
      <c r="H298" s="43">
        <f>'12. Investeringen (bijschatten)'!D101</f>
        <v>2023</v>
      </c>
      <c r="I298" s="43" t="str">
        <f>'12. Investeringen (bijschatten)'!E101</f>
        <v>16 LNG installaties</v>
      </c>
      <c r="J298" s="179">
        <f>_xlfn.XLOOKUP(I298,'3. Input (des)investeringen '!$B$11:$B$81,'3. Input (des)investeringen '!$D$11:$D$81)</f>
        <v>30</v>
      </c>
      <c r="M298" s="49">
        <f t="shared" si="156"/>
        <v>0</v>
      </c>
      <c r="N298" s="49">
        <f t="shared" si="157"/>
        <v>0</v>
      </c>
      <c r="P298" s="147">
        <f t="shared" si="158"/>
        <v>0</v>
      </c>
      <c r="Q298" s="147">
        <f t="shared" si="159"/>
        <v>0</v>
      </c>
      <c r="S298" s="49">
        <f t="shared" si="160"/>
        <v>2183439.2423609141</v>
      </c>
      <c r="T298" s="44">
        <f t="shared" si="161"/>
        <v>30</v>
      </c>
      <c r="V298" s="49">
        <f t="shared" si="139"/>
        <v>0</v>
      </c>
      <c r="W298" s="49">
        <f t="shared" si="139"/>
        <v>42577.065226037827</v>
      </c>
      <c r="X298" s="49">
        <f t="shared" si="139"/>
        <v>83309.124292280685</v>
      </c>
      <c r="Y298" s="49">
        <f t="shared" si="139"/>
        <v>79699.062239615188</v>
      </c>
      <c r="Z298" s="49">
        <f t="shared" si="139"/>
        <v>76245.436209231862</v>
      </c>
      <c r="AB298" s="49">
        <f t="shared" si="140"/>
        <v>0</v>
      </c>
      <c r="AC298" s="49">
        <f t="shared" si="140"/>
        <v>3639.0654039348574</v>
      </c>
      <c r="AD298" s="49">
        <f t="shared" si="140"/>
        <v>7278.1308078697148</v>
      </c>
      <c r="AE298" s="49">
        <f t="shared" si="140"/>
        <v>7278.1308078697148</v>
      </c>
      <c r="AF298" s="49">
        <f t="shared" si="140"/>
        <v>7278.1308078697148</v>
      </c>
      <c r="AH298" s="49">
        <f t="shared" si="162"/>
        <v>0</v>
      </c>
      <c r="AI298" s="49">
        <f t="shared" si="163"/>
        <v>46216.130629972686</v>
      </c>
      <c r="AJ298" s="49">
        <f t="shared" si="164"/>
        <v>90587.255100150403</v>
      </c>
      <c r="AK298" s="49">
        <f t="shared" si="165"/>
        <v>86977.193047484907</v>
      </c>
      <c r="AL298" s="49">
        <f t="shared" si="166"/>
        <v>83523.567017101581</v>
      </c>
      <c r="AN298" s="49">
        <f t="shared" si="132"/>
        <v>0</v>
      </c>
      <c r="AO298" s="49">
        <f t="shared" si="167"/>
        <v>2137223.1117309416</v>
      </c>
      <c r="AP298" s="49">
        <f t="shared" si="168"/>
        <v>2046635.8566307912</v>
      </c>
      <c r="AQ298" s="49">
        <f t="shared" si="169"/>
        <v>1959658.6635833064</v>
      </c>
      <c r="AR298" s="49">
        <f t="shared" si="170"/>
        <v>1876135.0965662047</v>
      </c>
      <c r="AT298" s="49">
        <f t="shared" si="150"/>
        <v>0</v>
      </c>
      <c r="AU298" s="49">
        <f t="shared" si="150"/>
        <v>21834.392423609141</v>
      </c>
      <c r="AV298" s="49">
        <f t="shared" si="150"/>
        <v>23486.819242227884</v>
      </c>
      <c r="AW298" s="49">
        <f t="shared" si="150"/>
        <v>24047.872380286226</v>
      </c>
      <c r="AX298" s="49">
        <f t="shared" si="150"/>
        <v>24358.859465908077</v>
      </c>
      <c r="AZ298" s="53">
        <f t="shared" si="171"/>
        <v>0</v>
      </c>
      <c r="BA298" s="53">
        <f t="shared" si="172"/>
        <v>138578.88574070291</v>
      </c>
      <c r="BB298" s="53">
        <f t="shared" si="173"/>
        <v>191846.23689434835</v>
      </c>
      <c r="BC298" s="53">
        <f t="shared" si="174"/>
        <v>185492.09464393678</v>
      </c>
      <c r="BD298" s="53">
        <f t="shared" si="175"/>
        <v>179175.56015252543</v>
      </c>
    </row>
    <row r="299" spans="2:56">
      <c r="B299" s="43">
        <f>'12. Investeringen (bijschatten)'!B102</f>
        <v>83</v>
      </c>
      <c r="C299" s="54"/>
      <c r="E299" s="54"/>
      <c r="F299" s="179">
        <f>'12. Investeringen (bijschatten)'!C102</f>
        <v>999432.73169850267</v>
      </c>
      <c r="H299" s="43">
        <f>'12. Investeringen (bijschatten)'!D102</f>
        <v>2023</v>
      </c>
      <c r="I299" s="43" t="str">
        <f>'12. Investeringen (bijschatten)'!E102</f>
        <v>17 Mengstations</v>
      </c>
      <c r="J299" s="179">
        <f>_xlfn.XLOOKUP(I299,'3. Input (des)investeringen '!$B$11:$B$81,'3. Input (des)investeringen '!$D$11:$D$81)</f>
        <v>30</v>
      </c>
      <c r="M299" s="49">
        <f t="shared" si="156"/>
        <v>0</v>
      </c>
      <c r="N299" s="49">
        <f t="shared" si="157"/>
        <v>0</v>
      </c>
      <c r="P299" s="147">
        <f t="shared" si="158"/>
        <v>0</v>
      </c>
      <c r="Q299" s="147">
        <f t="shared" si="159"/>
        <v>0</v>
      </c>
      <c r="S299" s="49">
        <f t="shared" si="160"/>
        <v>999432.73169850267</v>
      </c>
      <c r="T299" s="44">
        <f t="shared" si="161"/>
        <v>30</v>
      </c>
      <c r="V299" s="49">
        <f t="shared" si="139"/>
        <v>0</v>
      </c>
      <c r="W299" s="49">
        <f t="shared" si="139"/>
        <v>19488.938268120804</v>
      </c>
      <c r="X299" s="49">
        <f t="shared" si="139"/>
        <v>38133.355877956375</v>
      </c>
      <c r="Y299" s="49">
        <f t="shared" si="139"/>
        <v>36480.910456578262</v>
      </c>
      <c r="Z299" s="49">
        <f t="shared" si="139"/>
        <v>34900.071003459874</v>
      </c>
      <c r="AB299" s="49">
        <f t="shared" si="140"/>
        <v>0</v>
      </c>
      <c r="AC299" s="49">
        <f t="shared" si="140"/>
        <v>1665.7212194975045</v>
      </c>
      <c r="AD299" s="49">
        <f t="shared" si="140"/>
        <v>3331.4424389950095</v>
      </c>
      <c r="AE299" s="49">
        <f t="shared" si="140"/>
        <v>3331.4424389950095</v>
      </c>
      <c r="AF299" s="49">
        <f t="shared" si="140"/>
        <v>3331.4424389950095</v>
      </c>
      <c r="AH299" s="49">
        <f t="shared" si="162"/>
        <v>0</v>
      </c>
      <c r="AI299" s="49">
        <f t="shared" si="163"/>
        <v>21154.659487618308</v>
      </c>
      <c r="AJ299" s="49">
        <f t="shared" si="164"/>
        <v>41464.798316951383</v>
      </c>
      <c r="AK299" s="49">
        <f t="shared" si="165"/>
        <v>39812.352895573269</v>
      </c>
      <c r="AL299" s="49">
        <f t="shared" si="166"/>
        <v>38231.513442454881</v>
      </c>
      <c r="AN299" s="49">
        <f t="shared" si="132"/>
        <v>0</v>
      </c>
      <c r="AO299" s="49">
        <f t="shared" si="167"/>
        <v>978278.07221088442</v>
      </c>
      <c r="AP299" s="49">
        <f t="shared" si="168"/>
        <v>936813.27389393304</v>
      </c>
      <c r="AQ299" s="49">
        <f t="shared" si="169"/>
        <v>897000.9209983598</v>
      </c>
      <c r="AR299" s="49">
        <f t="shared" si="170"/>
        <v>858769.40755590494</v>
      </c>
      <c r="AT299" s="49">
        <f t="shared" si="150"/>
        <v>0</v>
      </c>
      <c r="AU299" s="49">
        <f t="shared" si="150"/>
        <v>9994.3273169850272</v>
      </c>
      <c r="AV299" s="49">
        <f t="shared" si="150"/>
        <v>10750.698008334455</v>
      </c>
      <c r="AW299" s="49">
        <f t="shared" si="150"/>
        <v>11007.51068235755</v>
      </c>
      <c r="AX299" s="49">
        <f t="shared" si="150"/>
        <v>11149.859810501794</v>
      </c>
      <c r="AZ299" s="53">
        <f t="shared" si="171"/>
        <v>0</v>
      </c>
      <c r="BA299" s="53">
        <f t="shared" si="172"/>
        <v>63432.163187562524</v>
      </c>
      <c r="BB299" s="53">
        <f t="shared" si="173"/>
        <v>87814.400733255301</v>
      </c>
      <c r="BC299" s="53">
        <f t="shared" si="174"/>
        <v>84905.898575868487</v>
      </c>
      <c r="BD299" s="53">
        <f t="shared" si="175"/>
        <v>82014.610740081058</v>
      </c>
    </row>
    <row r="300" spans="2:56">
      <c r="B300" s="43">
        <f>'12. Investeringen (bijschatten)'!B103</f>
        <v>84</v>
      </c>
      <c r="C300" s="54"/>
      <c r="E300" s="54"/>
      <c r="F300" s="179">
        <f>'12. Investeringen (bijschatten)'!C103</f>
        <v>1817413.6692713664</v>
      </c>
      <c r="H300" s="43">
        <f>'12. Investeringen (bijschatten)'!D103</f>
        <v>2023</v>
      </c>
      <c r="I300" s="43" t="str">
        <f>'12. Investeringen (bijschatten)'!E103</f>
        <v>20 Kantoorgebouwen</v>
      </c>
      <c r="J300" s="179">
        <f>_xlfn.XLOOKUP(I300,'3. Input (des)investeringen '!$B$11:$B$81,'3. Input (des)investeringen '!$D$11:$D$81)</f>
        <v>30</v>
      </c>
      <c r="M300" s="49">
        <f t="shared" ref="M300:M307" si="176">IF($J300 = 0, 0, IF($H300&lt;=M$215,
VDB(ABS($F300),0,$J300,MAX(0,M$59-$H300-0.5),MIN($J300,M$59-$H300+0.5),1)*IF($F300&lt;0,-1,1)*INDEX(H$40:H$46,$H300-2019,1),
0))</f>
        <v>0</v>
      </c>
      <c r="N300" s="49">
        <f t="shared" ref="N300:N307" si="177">IF($J300 = 0, 0, IF($H300&lt;=N$215,
VDB(ABS($F300),0,$J300,MAX(0,N$59-$H300-0.5),MIN($J300,N$59-$H300+0.5),1)*IF($F300&lt;0,-1,1)*INDEX(I$40:I$46,$H300-2019,1),
0))</f>
        <v>0</v>
      </c>
      <c r="P300" s="147">
        <f t="shared" ref="P300:P307" si="178">IF($J300=0, IF($H300 = M$215, $F300, 0), IF(OR($H300&gt;P$59,$H300+$J300&lt;=P$59),0,
F300-M300))</f>
        <v>0</v>
      </c>
      <c r="Q300" s="147">
        <f t="shared" ref="Q300:Q307" si="179">IF($J300=0, IF($H300 &gt; N$215, 0, IF($H300=N$215, $F300, $P300*I$40)), IF(OR($H300&gt;Q$59,$H300+$J300&lt;=Q$59),0,
IF($H300=Q$59,F300-N300,P300*I$40-N300)))</f>
        <v>0</v>
      </c>
      <c r="S300" s="49">
        <f t="shared" ref="S300:S307" si="180">IF($J300=0, IF(H300&lt;=2021, $Q300, IF(H300&gt;=2022, $F300,0)), IF(H300&lt;=2021,Q300,F300))</f>
        <v>1817413.6692713664</v>
      </c>
      <c r="T300" s="44">
        <f t="shared" ref="T300:T307" si="181">IF($J300=0, 0, IF(H300&lt;2022,J300-2021+H300-0.5,J300))</f>
        <v>30</v>
      </c>
      <c r="V300" s="49">
        <f t="shared" si="139"/>
        <v>0</v>
      </c>
      <c r="W300" s="49">
        <f t="shared" si="139"/>
        <v>35439.566550791649</v>
      </c>
      <c r="X300" s="49">
        <f t="shared" si="139"/>
        <v>69343.418551048977</v>
      </c>
      <c r="Y300" s="49">
        <f t="shared" si="139"/>
        <v>66338.537080503535</v>
      </c>
      <c r="Z300" s="49">
        <f t="shared" si="139"/>
        <v>63463.867140348375</v>
      </c>
      <c r="AB300" s="49">
        <f t="shared" si="140"/>
        <v>0</v>
      </c>
      <c r="AC300" s="49">
        <f t="shared" si="140"/>
        <v>3029.0227821189446</v>
      </c>
      <c r="AD300" s="49">
        <f t="shared" si="140"/>
        <v>6058.0455642378893</v>
      </c>
      <c r="AE300" s="49">
        <f t="shared" si="140"/>
        <v>6058.0455642378893</v>
      </c>
      <c r="AF300" s="49">
        <f t="shared" si="140"/>
        <v>6058.0455642378893</v>
      </c>
      <c r="AH300" s="49">
        <f t="shared" ref="AH300:AH307" si="182">V300+AB300</f>
        <v>0</v>
      </c>
      <c r="AI300" s="49">
        <f t="shared" ref="AI300:AI307" si="183">W300+AC300</f>
        <v>38468.589332910597</v>
      </c>
      <c r="AJ300" s="49">
        <f t="shared" ref="AJ300:AJ307" si="184">X300+AD300</f>
        <v>75401.464115286872</v>
      </c>
      <c r="AK300" s="49">
        <f t="shared" ref="AK300:AK307" si="185">Y300+AE300</f>
        <v>72396.582644741429</v>
      </c>
      <c r="AL300" s="49">
        <f t="shared" ref="AL300:AL307" si="186">Z300+AF300</f>
        <v>69521.91270458627</v>
      </c>
      <c r="AN300" s="49">
        <f t="shared" si="132"/>
        <v>0</v>
      </c>
      <c r="AO300" s="49">
        <f t="shared" ref="AO300:AO307" si="187">IF($J300 = 0, IF($H300 &gt; AO$215, 0, IF($H300=AO$215, $F300, AN300)), IF(OR($H300&gt;AO$59,$H300+$J300&lt;=AO$59),0,
IF($H300=AO$59,$S300-AI300,
AN300-AI300)))</f>
        <v>1778945.079938456</v>
      </c>
      <c r="AP300" s="49">
        <f t="shared" ref="AP300:AP307" si="188">IF($J300 = 0, IF($H300 &gt; AP$215, 0, IF($H300=AP$215, $F300, AO300)), IF(OR($H300&gt;AP$59,$H300+$J300&lt;=AP$59),0,
IF($H300=AP$59,$S300-AJ300,
AO300-AJ300)))</f>
        <v>1703543.615823169</v>
      </c>
      <c r="AQ300" s="49">
        <f t="shared" ref="AQ300:AQ307" si="189">IF($J300 = 0, IF($H300 &gt; AQ$215, 0, IF($H300=AQ$215, $F300, AP300)), IF(OR($H300&gt;AQ$59,$H300+$J300&lt;=AQ$59),0,
IF($H300=AQ$59,$S300-AK300,
AP300-AK300)))</f>
        <v>1631147.0331784275</v>
      </c>
      <c r="AR300" s="49">
        <f t="shared" ref="AR300:AR307" si="190">IF($J300 = 0, IF($H300 &gt; AR$215, 0, IF($H300=AR$215, $F300, AQ300)), IF(OR($H300&gt;AR$59,$H300+$J300&lt;=AR$59),0,
IF($H300=AR$59,$S300-AL300,
AQ300-AL300)))</f>
        <v>1561625.1204738412</v>
      </c>
      <c r="AT300" s="49">
        <f t="shared" si="150"/>
        <v>0</v>
      </c>
      <c r="AU300" s="49">
        <f t="shared" si="150"/>
        <v>18174.136692713666</v>
      </c>
      <c r="AV300" s="49">
        <f t="shared" si="150"/>
        <v>19549.555357618236</v>
      </c>
      <c r="AW300" s="49">
        <f t="shared" si="150"/>
        <v>20016.555136001021</v>
      </c>
      <c r="AX300" s="49">
        <f t="shared" si="150"/>
        <v>20275.409227019783</v>
      </c>
      <c r="AZ300" s="53">
        <f t="shared" ref="AZ300:AZ307" si="191">AH300+AN300*J$16+AT300</f>
        <v>0</v>
      </c>
      <c r="BA300" s="53">
        <f t="shared" ref="BA300:BA307" si="192">AI300+AO300*K$16+AU300</f>
        <v>115347.91366359331</v>
      </c>
      <c r="BB300" s="53">
        <f t="shared" ref="BB300:BB307" si="193">AJ300+AP300*L$16+AV300</f>
        <v>159685.67687418553</v>
      </c>
      <c r="BC300" s="53">
        <f t="shared" ref="BC300:BC307" si="194">AK300+AQ300*M$16+AW300</f>
        <v>154396.7250415227</v>
      </c>
      <c r="BD300" s="53">
        <f t="shared" ref="BD300:BD307" si="195">AL300+AR300*N$16+AX300</f>
        <v>149139.07650961203</v>
      </c>
    </row>
    <row r="301" spans="2:56">
      <c r="B301" s="43">
        <f>'12. Investeringen (bijschatten)'!B104</f>
        <v>85</v>
      </c>
      <c r="C301" s="54"/>
      <c r="E301" s="54"/>
      <c r="F301" s="179">
        <f>'12. Investeringen (bijschatten)'!C104</f>
        <v>22543419.613286749</v>
      </c>
      <c r="H301" s="43">
        <f>'12. Investeringen (bijschatten)'!D104</f>
        <v>2023</v>
      </c>
      <c r="I301" s="43" t="str">
        <f>'12. Investeringen (bijschatten)'!E104</f>
        <v>21 Hoofdtransportleiding</v>
      </c>
      <c r="J301" s="179">
        <f>_xlfn.XLOOKUP(I301,'3. Input (des)investeringen '!$B$11:$B$81,'3. Input (des)investeringen '!$D$11:$D$81)</f>
        <v>55</v>
      </c>
      <c r="M301" s="49">
        <f t="shared" si="176"/>
        <v>0</v>
      </c>
      <c r="N301" s="49">
        <f t="shared" si="177"/>
        <v>0</v>
      </c>
      <c r="P301" s="147">
        <f t="shared" si="178"/>
        <v>0</v>
      </c>
      <c r="Q301" s="147">
        <f t="shared" si="179"/>
        <v>0</v>
      </c>
      <c r="S301" s="49">
        <f t="shared" si="180"/>
        <v>22543419.613286749</v>
      </c>
      <c r="T301" s="44">
        <f t="shared" si="181"/>
        <v>55</v>
      </c>
      <c r="V301" s="49">
        <f t="shared" ref="V301:Z307" si="196">IF($J301=0, 0, IF(OR($H301&gt;V$59,$H301+$J301&lt;V$59),0,
IF(OR($H301=2020,$H301=2021),VDB(ABS($S301)*(1-$F$28),0,$T301,V$59-2022,MIN($T301,V$59-2021),$F$22),
VDB(ABS($S301)*(1-$F$28),0,$T301,MAX(0,V$59-$H301-0.5),MIN($T301,V$59-$H301+0.5),$F$22,FALSE))))*IF($F301&lt;0,-1,1)</f>
        <v>0</v>
      </c>
      <c r="W301" s="49">
        <f t="shared" si="196"/>
        <v>239780.00861404996</v>
      </c>
      <c r="X301" s="49">
        <f t="shared" si="196"/>
        <v>473892.48975176789</v>
      </c>
      <c r="Y301" s="49">
        <f t="shared" si="196"/>
        <v>462691.39453945338</v>
      </c>
      <c r="Z301" s="49">
        <f t="shared" si="196"/>
        <v>451755.05248670268</v>
      </c>
      <c r="AB301" s="49">
        <f t="shared" ref="AB301:AF307" si="197">IF($J301 = 0, 0, IF(OR($H301&gt;AB$59,$H301+$J301&lt;AB$59),0,
IF(OR($H301=2020,$H301=2021),VDB(ABS($S301)*$F$28,0,$T301,AB$59-2022,MIN($T301,AB$59-2021),1),
VDB(ABS($S301)*$F$28,0,$T301,MAX(0,AB$59-$H301-0.5),MIN($T301,AB$59-$H301+0.5),1))))*IF($F301&lt;0,-1,1)</f>
        <v>0</v>
      </c>
      <c r="AC301" s="49">
        <f t="shared" si="197"/>
        <v>20494.017830260684</v>
      </c>
      <c r="AD301" s="49">
        <f t="shared" si="197"/>
        <v>40988.035660521367</v>
      </c>
      <c r="AE301" s="49">
        <f t="shared" si="197"/>
        <v>40988.035660521367</v>
      </c>
      <c r="AF301" s="49">
        <f t="shared" si="197"/>
        <v>40988.035660521367</v>
      </c>
      <c r="AH301" s="49">
        <f t="shared" si="182"/>
        <v>0</v>
      </c>
      <c r="AI301" s="49">
        <f t="shared" si="183"/>
        <v>260274.02644431064</v>
      </c>
      <c r="AJ301" s="49">
        <f t="shared" si="184"/>
        <v>514880.52541228925</v>
      </c>
      <c r="AK301" s="49">
        <f t="shared" si="185"/>
        <v>503679.43019997474</v>
      </c>
      <c r="AL301" s="49">
        <f t="shared" si="186"/>
        <v>492743.08814722404</v>
      </c>
      <c r="AN301" s="49">
        <f t="shared" si="132"/>
        <v>0</v>
      </c>
      <c r="AO301" s="49">
        <f t="shared" si="187"/>
        <v>22283145.586842436</v>
      </c>
      <c r="AP301" s="49">
        <f t="shared" si="188"/>
        <v>21768265.061430149</v>
      </c>
      <c r="AQ301" s="49">
        <f t="shared" si="189"/>
        <v>21264585.631230175</v>
      </c>
      <c r="AR301" s="49">
        <f t="shared" si="190"/>
        <v>20771842.543082952</v>
      </c>
      <c r="AT301" s="49">
        <f t="shared" si="150"/>
        <v>0</v>
      </c>
      <c r="AU301" s="49">
        <f t="shared" si="150"/>
        <v>225434.19613286748</v>
      </c>
      <c r="AV301" s="49">
        <f t="shared" si="150"/>
        <v>242495.05609620293</v>
      </c>
      <c r="AW301" s="49">
        <f t="shared" si="150"/>
        <v>248287.77799622904</v>
      </c>
      <c r="AX301" s="49">
        <f t="shared" si="150"/>
        <v>251498.63554127622</v>
      </c>
      <c r="AZ301" s="53">
        <f t="shared" si="191"/>
        <v>0</v>
      </c>
      <c r="BA301" s="53">
        <f t="shared" si="192"/>
        <v>1221052.0269429786</v>
      </c>
      <c r="BB301" s="53">
        <f t="shared" si="193"/>
        <v>1584569.6538428378</v>
      </c>
      <c r="BC301" s="53">
        <f t="shared" si="194"/>
        <v>1560021.4621829505</v>
      </c>
      <c r="BD301" s="53">
        <f t="shared" si="195"/>
        <v>1533571.7403256525</v>
      </c>
    </row>
    <row r="302" spans="2:56">
      <c r="B302" s="43">
        <f>'12. Investeringen (bijschatten)'!B105</f>
        <v>86</v>
      </c>
      <c r="C302" s="54"/>
      <c r="E302" s="54"/>
      <c r="F302" s="179">
        <f>'12. Investeringen (bijschatten)'!C105</f>
        <v>1283661.605903188</v>
      </c>
      <c r="H302" s="43">
        <f>'12. Investeringen (bijschatten)'!D105</f>
        <v>2023</v>
      </c>
      <c r="I302" s="43" t="str">
        <f>'12. Investeringen (bijschatten)'!E105</f>
        <v>32 M&amp;R stations</v>
      </c>
      <c r="J302" s="179">
        <f>_xlfn.XLOOKUP(I302,'3. Input (des)investeringen '!$B$11:$B$81,'3. Input (des)investeringen '!$D$11:$D$81)</f>
        <v>30</v>
      </c>
      <c r="M302" s="49">
        <f t="shared" si="176"/>
        <v>0</v>
      </c>
      <c r="N302" s="49">
        <f t="shared" si="177"/>
        <v>0</v>
      </c>
      <c r="P302" s="147">
        <f t="shared" si="178"/>
        <v>0</v>
      </c>
      <c r="Q302" s="147">
        <f t="shared" si="179"/>
        <v>0</v>
      </c>
      <c r="S302" s="49">
        <f t="shared" si="180"/>
        <v>1283661.605903188</v>
      </c>
      <c r="T302" s="44">
        <f t="shared" si="181"/>
        <v>30</v>
      </c>
      <c r="V302" s="49">
        <f t="shared" si="196"/>
        <v>0</v>
      </c>
      <c r="W302" s="49">
        <f t="shared" si="196"/>
        <v>25031.401315112169</v>
      </c>
      <c r="X302" s="49">
        <f t="shared" si="196"/>
        <v>48978.108573236146</v>
      </c>
      <c r="Y302" s="49">
        <f t="shared" si="196"/>
        <v>46855.723868395915</v>
      </c>
      <c r="Z302" s="49">
        <f t="shared" si="196"/>
        <v>44825.309167432097</v>
      </c>
      <c r="AB302" s="49">
        <f t="shared" si="197"/>
        <v>0</v>
      </c>
      <c r="AC302" s="49">
        <f t="shared" si="197"/>
        <v>2139.4360098386469</v>
      </c>
      <c r="AD302" s="49">
        <f t="shared" si="197"/>
        <v>4278.8720196772929</v>
      </c>
      <c r="AE302" s="49">
        <f t="shared" si="197"/>
        <v>4278.8720196772929</v>
      </c>
      <c r="AF302" s="49">
        <f t="shared" si="197"/>
        <v>4278.8720196772929</v>
      </c>
      <c r="AH302" s="49">
        <f t="shared" si="182"/>
        <v>0</v>
      </c>
      <c r="AI302" s="49">
        <f t="shared" si="183"/>
        <v>27170.837324950815</v>
      </c>
      <c r="AJ302" s="49">
        <f t="shared" si="184"/>
        <v>53256.980592913438</v>
      </c>
      <c r="AK302" s="49">
        <f t="shared" si="185"/>
        <v>51134.595888073207</v>
      </c>
      <c r="AL302" s="49">
        <f t="shared" si="186"/>
        <v>49104.181187109389</v>
      </c>
      <c r="AN302" s="49">
        <f t="shared" si="132"/>
        <v>0</v>
      </c>
      <c r="AO302" s="49">
        <f t="shared" si="187"/>
        <v>1256490.7685782372</v>
      </c>
      <c r="AP302" s="49">
        <f t="shared" si="188"/>
        <v>1203233.7879853237</v>
      </c>
      <c r="AQ302" s="49">
        <f t="shared" si="189"/>
        <v>1152099.1920972504</v>
      </c>
      <c r="AR302" s="49">
        <f t="shared" si="190"/>
        <v>1102995.010910141</v>
      </c>
      <c r="AT302" s="49">
        <f t="shared" si="150"/>
        <v>0</v>
      </c>
      <c r="AU302" s="49">
        <f t="shared" si="150"/>
        <v>12836.61605903188</v>
      </c>
      <c r="AV302" s="49">
        <f t="shared" si="150"/>
        <v>13808.091162379415</v>
      </c>
      <c r="AW302" s="49">
        <f t="shared" si="150"/>
        <v>14137.938844066335</v>
      </c>
      <c r="AX302" s="49">
        <f t="shared" si="150"/>
        <v>14320.770669197796</v>
      </c>
      <c r="AZ302" s="53">
        <f t="shared" si="191"/>
        <v>0</v>
      </c>
      <c r="BA302" s="53">
        <f t="shared" si="192"/>
        <v>81471.648747064522</v>
      </c>
      <c r="BB302" s="53">
        <f t="shared" si="193"/>
        <v>112787.95569873515</v>
      </c>
      <c r="BC302" s="53">
        <f t="shared" si="194"/>
        <v>109052.30403183505</v>
      </c>
      <c r="BD302" s="53">
        <f t="shared" si="195"/>
        <v>105338.76227089255</v>
      </c>
    </row>
    <row r="303" spans="2:56">
      <c r="B303" s="43">
        <f>'12. Investeringen (bijschatten)'!B106</f>
        <v>87</v>
      </c>
      <c r="C303" s="54"/>
      <c r="E303" s="54"/>
      <c r="F303" s="179">
        <f>'12. Investeringen (bijschatten)'!C106</f>
        <v>403062.53576066508</v>
      </c>
      <c r="H303" s="43">
        <f>'12. Investeringen (bijschatten)'!D106</f>
        <v>2023</v>
      </c>
      <c r="I303" s="43" t="str">
        <f>'12. Investeringen (bijschatten)'!E106</f>
        <v>33 Exportstations</v>
      </c>
      <c r="J303" s="179">
        <f>_xlfn.XLOOKUP(I303,'3. Input (des)investeringen '!$B$11:$B$81,'3. Input (des)investeringen '!$D$11:$D$81)</f>
        <v>30</v>
      </c>
      <c r="M303" s="49">
        <f t="shared" si="176"/>
        <v>0</v>
      </c>
      <c r="N303" s="49">
        <f t="shared" si="177"/>
        <v>0</v>
      </c>
      <c r="P303" s="147">
        <f t="shared" si="178"/>
        <v>0</v>
      </c>
      <c r="Q303" s="147">
        <f t="shared" si="179"/>
        <v>0</v>
      </c>
      <c r="S303" s="49">
        <f t="shared" si="180"/>
        <v>403062.53576066508</v>
      </c>
      <c r="T303" s="44">
        <f t="shared" si="181"/>
        <v>30</v>
      </c>
      <c r="V303" s="49">
        <f t="shared" si="196"/>
        <v>0</v>
      </c>
      <c r="W303" s="49">
        <f t="shared" si="196"/>
        <v>7859.7194473329691</v>
      </c>
      <c r="X303" s="49">
        <f t="shared" si="196"/>
        <v>15378.851051948177</v>
      </c>
      <c r="Y303" s="49">
        <f t="shared" si="196"/>
        <v>14712.434173030424</v>
      </c>
      <c r="Z303" s="49">
        <f t="shared" si="196"/>
        <v>14074.895358865771</v>
      </c>
      <c r="AB303" s="49">
        <f t="shared" si="197"/>
        <v>0</v>
      </c>
      <c r="AC303" s="49">
        <f t="shared" si="197"/>
        <v>671.77089293444192</v>
      </c>
      <c r="AD303" s="49">
        <f t="shared" si="197"/>
        <v>1343.5417858688836</v>
      </c>
      <c r="AE303" s="49">
        <f t="shared" si="197"/>
        <v>1343.5417858688836</v>
      </c>
      <c r="AF303" s="49">
        <f t="shared" si="197"/>
        <v>1343.5417858688836</v>
      </c>
      <c r="AH303" s="49">
        <f t="shared" si="182"/>
        <v>0</v>
      </c>
      <c r="AI303" s="49">
        <f t="shared" si="183"/>
        <v>8531.4903402674117</v>
      </c>
      <c r="AJ303" s="49">
        <f t="shared" si="184"/>
        <v>16722.39283781706</v>
      </c>
      <c r="AK303" s="49">
        <f t="shared" si="185"/>
        <v>16055.975958899307</v>
      </c>
      <c r="AL303" s="49">
        <f t="shared" si="186"/>
        <v>15418.437144734655</v>
      </c>
      <c r="AN303" s="49">
        <f t="shared" si="132"/>
        <v>0</v>
      </c>
      <c r="AO303" s="49">
        <f t="shared" si="187"/>
        <v>394531.04542039766</v>
      </c>
      <c r="AP303" s="49">
        <f t="shared" si="188"/>
        <v>377808.65258258057</v>
      </c>
      <c r="AQ303" s="49">
        <f t="shared" si="189"/>
        <v>361752.67662368127</v>
      </c>
      <c r="AR303" s="49">
        <f t="shared" si="190"/>
        <v>346334.23947894661</v>
      </c>
      <c r="AT303" s="49">
        <f t="shared" si="150"/>
        <v>0</v>
      </c>
      <c r="AU303" s="49">
        <f t="shared" si="150"/>
        <v>4030.6253576066511</v>
      </c>
      <c r="AV303" s="49">
        <f t="shared" si="150"/>
        <v>4335.663084670322</v>
      </c>
      <c r="AW303" s="49">
        <f t="shared" si="150"/>
        <v>4439.2334044369272</v>
      </c>
      <c r="AX303" s="49">
        <f t="shared" si="150"/>
        <v>4496.6415708231052</v>
      </c>
      <c r="AZ303" s="53">
        <f t="shared" si="191"/>
        <v>0</v>
      </c>
      <c r="BA303" s="53">
        <f t="shared" si="192"/>
        <v>25581.640196747187</v>
      </c>
      <c r="BB303" s="53">
        <f t="shared" si="193"/>
        <v>35414.784720625445</v>
      </c>
      <c r="BC303" s="53">
        <f t="shared" si="194"/>
        <v>34241.811075036123</v>
      </c>
      <c r="BD303" s="53">
        <f t="shared" si="195"/>
        <v>33075.779815757734</v>
      </c>
    </row>
    <row r="304" spans="2:56">
      <c r="B304" s="43">
        <f>'12. Investeringen (bijschatten)'!B107</f>
        <v>88</v>
      </c>
      <c r="C304" s="54"/>
      <c r="E304" s="54"/>
      <c r="F304" s="179">
        <f>'12. Investeringen (bijschatten)'!C107</f>
        <v>141832.85648723919</v>
      </c>
      <c r="H304" s="43">
        <f>'12. Investeringen (bijschatten)'!D107</f>
        <v>2023</v>
      </c>
      <c r="I304" s="43" t="str">
        <f>'12. Investeringen (bijschatten)'!E107</f>
        <v>34 Reduceerstations</v>
      </c>
      <c r="J304" s="179">
        <f>_xlfn.XLOOKUP(I304,'3. Input (des)investeringen '!$B$11:$B$81,'3. Input (des)investeringen '!$D$11:$D$81)</f>
        <v>30</v>
      </c>
      <c r="M304" s="49">
        <f t="shared" si="176"/>
        <v>0</v>
      </c>
      <c r="N304" s="49">
        <f t="shared" si="177"/>
        <v>0</v>
      </c>
      <c r="P304" s="147">
        <f t="shared" si="178"/>
        <v>0</v>
      </c>
      <c r="Q304" s="147">
        <f t="shared" si="179"/>
        <v>0</v>
      </c>
      <c r="S304" s="49">
        <f t="shared" si="180"/>
        <v>141832.85648723919</v>
      </c>
      <c r="T304" s="44">
        <f t="shared" si="181"/>
        <v>30</v>
      </c>
      <c r="V304" s="49">
        <f t="shared" si="196"/>
        <v>0</v>
      </c>
      <c r="W304" s="49">
        <f t="shared" si="196"/>
        <v>2765.740701501164</v>
      </c>
      <c r="X304" s="49">
        <f t="shared" si="196"/>
        <v>5411.6326392706114</v>
      </c>
      <c r="Y304" s="49">
        <f t="shared" si="196"/>
        <v>5177.1285582355513</v>
      </c>
      <c r="Z304" s="49">
        <f t="shared" si="196"/>
        <v>4952.7863207120108</v>
      </c>
      <c r="AB304" s="49">
        <f t="shared" si="197"/>
        <v>0</v>
      </c>
      <c r="AC304" s="49">
        <f t="shared" si="197"/>
        <v>236.38809414539864</v>
      </c>
      <c r="AD304" s="49">
        <f t="shared" si="197"/>
        <v>472.77618829079728</v>
      </c>
      <c r="AE304" s="49">
        <f t="shared" si="197"/>
        <v>472.77618829079728</v>
      </c>
      <c r="AF304" s="49">
        <f t="shared" si="197"/>
        <v>472.77618829079728</v>
      </c>
      <c r="AH304" s="49">
        <f t="shared" si="182"/>
        <v>0</v>
      </c>
      <c r="AI304" s="49">
        <f t="shared" si="183"/>
        <v>3002.1287956465626</v>
      </c>
      <c r="AJ304" s="49">
        <f t="shared" si="184"/>
        <v>5884.4088275614085</v>
      </c>
      <c r="AK304" s="49">
        <f t="shared" si="185"/>
        <v>5649.9047465263484</v>
      </c>
      <c r="AL304" s="49">
        <f t="shared" si="186"/>
        <v>5425.5625090028079</v>
      </c>
      <c r="AN304" s="49">
        <f t="shared" si="132"/>
        <v>0</v>
      </c>
      <c r="AO304" s="49">
        <f t="shared" si="187"/>
        <v>138830.72769159262</v>
      </c>
      <c r="AP304" s="49">
        <f t="shared" si="188"/>
        <v>132946.3188640312</v>
      </c>
      <c r="AQ304" s="49">
        <f t="shared" si="189"/>
        <v>127296.41411750486</v>
      </c>
      <c r="AR304" s="49">
        <f t="shared" si="190"/>
        <v>121870.85160850205</v>
      </c>
      <c r="AT304" s="49">
        <f t="shared" si="150"/>
        <v>0</v>
      </c>
      <c r="AU304" s="49">
        <f t="shared" si="150"/>
        <v>1418.328564872392</v>
      </c>
      <c r="AV304" s="49">
        <f t="shared" si="150"/>
        <v>1525.6676706619346</v>
      </c>
      <c r="AW304" s="49">
        <f t="shared" si="150"/>
        <v>1562.1128199787072</v>
      </c>
      <c r="AX304" s="49">
        <f t="shared" si="150"/>
        <v>1582.3140629666711</v>
      </c>
      <c r="AZ304" s="53">
        <f t="shared" si="191"/>
        <v>0</v>
      </c>
      <c r="BA304" s="53">
        <f t="shared" si="192"/>
        <v>9001.8713743415119</v>
      </c>
      <c r="BB304" s="53">
        <f t="shared" si="193"/>
        <v>12462.03661505653</v>
      </c>
      <c r="BC304" s="53">
        <f t="shared" si="194"/>
        <v>12049.281302970239</v>
      </c>
      <c r="BD304" s="53">
        <f t="shared" si="195"/>
        <v>11638.968933092558</v>
      </c>
    </row>
    <row r="305" spans="1:56">
      <c r="B305" s="43">
        <f>'12. Investeringen (bijschatten)'!B108</f>
        <v>89</v>
      </c>
      <c r="C305" s="54"/>
      <c r="E305" s="54"/>
      <c r="F305" s="179">
        <f>'12. Investeringen (bijschatten)'!C108</f>
        <v>106149.96916572338</v>
      </c>
      <c r="H305" s="43">
        <f>'12. Investeringen (bijschatten)'!D108</f>
        <v>2023</v>
      </c>
      <c r="I305" s="43" t="str">
        <f>'12. Investeringen (bijschatten)'!E108</f>
        <v>35 Injectiestations</v>
      </c>
      <c r="J305" s="179">
        <f>_xlfn.XLOOKUP(I305,'3. Input (des)investeringen '!$B$11:$B$81,'3. Input (des)investeringen '!$D$11:$D$81)</f>
        <v>30</v>
      </c>
      <c r="M305" s="49">
        <f t="shared" si="176"/>
        <v>0</v>
      </c>
      <c r="N305" s="49">
        <f t="shared" si="177"/>
        <v>0</v>
      </c>
      <c r="P305" s="147">
        <f t="shared" si="178"/>
        <v>0</v>
      </c>
      <c r="Q305" s="147">
        <f t="shared" si="179"/>
        <v>0</v>
      </c>
      <c r="S305" s="49">
        <f t="shared" si="180"/>
        <v>106149.96916572338</v>
      </c>
      <c r="T305" s="44">
        <f t="shared" si="181"/>
        <v>30</v>
      </c>
      <c r="V305" s="49">
        <f t="shared" si="196"/>
        <v>0</v>
      </c>
      <c r="W305" s="49">
        <f t="shared" si="196"/>
        <v>2069.9243987316063</v>
      </c>
      <c r="X305" s="49">
        <f t="shared" si="196"/>
        <v>4050.1520735181762</v>
      </c>
      <c r="Y305" s="49">
        <f t="shared" si="196"/>
        <v>3874.6454836657222</v>
      </c>
      <c r="Z305" s="49">
        <f t="shared" si="196"/>
        <v>3706.7441793735411</v>
      </c>
      <c r="AB305" s="49">
        <f t="shared" si="197"/>
        <v>0</v>
      </c>
      <c r="AC305" s="49">
        <f t="shared" si="197"/>
        <v>176.91661527620562</v>
      </c>
      <c r="AD305" s="49">
        <f t="shared" si="197"/>
        <v>353.83323055241124</v>
      </c>
      <c r="AE305" s="49">
        <f t="shared" si="197"/>
        <v>353.83323055241124</v>
      </c>
      <c r="AF305" s="49">
        <f t="shared" si="197"/>
        <v>353.83323055241124</v>
      </c>
      <c r="AH305" s="49">
        <f t="shared" si="182"/>
        <v>0</v>
      </c>
      <c r="AI305" s="49">
        <f t="shared" si="183"/>
        <v>2246.8410140078117</v>
      </c>
      <c r="AJ305" s="49">
        <f t="shared" si="184"/>
        <v>4403.9853040705875</v>
      </c>
      <c r="AK305" s="49">
        <f t="shared" si="185"/>
        <v>4228.4787142181331</v>
      </c>
      <c r="AL305" s="49">
        <f t="shared" si="186"/>
        <v>4060.5774099259525</v>
      </c>
      <c r="AN305" s="49">
        <f t="shared" si="132"/>
        <v>0</v>
      </c>
      <c r="AO305" s="49">
        <f t="shared" si="187"/>
        <v>103903.12815171557</v>
      </c>
      <c r="AP305" s="49">
        <f t="shared" si="188"/>
        <v>99499.14284764498</v>
      </c>
      <c r="AQ305" s="49">
        <f t="shared" si="189"/>
        <v>95270.66413342685</v>
      </c>
      <c r="AR305" s="49">
        <f t="shared" si="190"/>
        <v>91210.086723500892</v>
      </c>
      <c r="AT305" s="49">
        <f t="shared" si="150"/>
        <v>0</v>
      </c>
      <c r="AU305" s="49">
        <f t="shared" si="150"/>
        <v>1061.4996916572338</v>
      </c>
      <c r="AV305" s="49">
        <f t="shared" si="150"/>
        <v>1141.8339883218532</v>
      </c>
      <c r="AW305" s="49">
        <f t="shared" si="150"/>
        <v>1169.1101186348858</v>
      </c>
      <c r="AX305" s="49">
        <f t="shared" si="150"/>
        <v>1184.229050689072</v>
      </c>
      <c r="AZ305" s="53">
        <f t="shared" si="191"/>
        <v>0</v>
      </c>
      <c r="BA305" s="53">
        <f t="shared" si="192"/>
        <v>6737.1439346716588</v>
      </c>
      <c r="BB305" s="53">
        <f t="shared" si="193"/>
        <v>9326.7867206029514</v>
      </c>
      <c r="BC305" s="53">
        <f t="shared" si="194"/>
        <v>9017.8740699232385</v>
      </c>
      <c r="BD305" s="53">
        <f t="shared" si="195"/>
        <v>8710.7897561080572</v>
      </c>
    </row>
    <row r="306" spans="1:56">
      <c r="B306" s="43">
        <f>'12. Investeringen (bijschatten)'!B109</f>
        <v>90</v>
      </c>
      <c r="C306" s="54"/>
      <c r="E306" s="54"/>
      <c r="F306" s="179">
        <f>'12. Investeringen (bijschatten)'!C109</f>
        <v>22782.771765883743</v>
      </c>
      <c r="H306" s="43">
        <f>'12. Investeringen (bijschatten)'!D109</f>
        <v>2023</v>
      </c>
      <c r="I306" s="43" t="str">
        <f>'12. Investeringen (bijschatten)'!E109</f>
        <v>36 Luchtscheidingsunit</v>
      </c>
      <c r="J306" s="179">
        <f>_xlfn.XLOOKUP(I306,'3. Input (des)investeringen '!$B$11:$B$81,'3. Input (des)investeringen '!$D$11:$D$81)</f>
        <v>30</v>
      </c>
      <c r="M306" s="49">
        <f t="shared" si="176"/>
        <v>0</v>
      </c>
      <c r="N306" s="49">
        <f t="shared" si="177"/>
        <v>0</v>
      </c>
      <c r="P306" s="147">
        <f t="shared" si="178"/>
        <v>0</v>
      </c>
      <c r="Q306" s="147">
        <f t="shared" si="179"/>
        <v>0</v>
      </c>
      <c r="S306" s="49">
        <f t="shared" si="180"/>
        <v>22782.771765883743</v>
      </c>
      <c r="T306" s="44">
        <f t="shared" si="181"/>
        <v>30</v>
      </c>
      <c r="V306" s="49">
        <f t="shared" si="196"/>
        <v>0</v>
      </c>
      <c r="W306" s="49">
        <f t="shared" si="196"/>
        <v>444.26404943473301</v>
      </c>
      <c r="X306" s="49">
        <f t="shared" si="196"/>
        <v>869.27665672729427</v>
      </c>
      <c r="Y306" s="49">
        <f t="shared" si="196"/>
        <v>831.6080016024448</v>
      </c>
      <c r="Z306" s="49">
        <f t="shared" si="196"/>
        <v>795.5716548663388</v>
      </c>
      <c r="AB306" s="49">
        <f t="shared" si="197"/>
        <v>0</v>
      </c>
      <c r="AC306" s="49">
        <f t="shared" si="197"/>
        <v>37.97128627647291</v>
      </c>
      <c r="AD306" s="49">
        <f t="shared" si="197"/>
        <v>75.942572552945819</v>
      </c>
      <c r="AE306" s="49">
        <f t="shared" si="197"/>
        <v>75.942572552945819</v>
      </c>
      <c r="AF306" s="49">
        <f t="shared" si="197"/>
        <v>75.942572552945819</v>
      </c>
      <c r="AH306" s="49">
        <f t="shared" si="182"/>
        <v>0</v>
      </c>
      <c r="AI306" s="49">
        <f t="shared" si="183"/>
        <v>482.23533571120595</v>
      </c>
      <c r="AJ306" s="49">
        <f t="shared" si="184"/>
        <v>945.21922928024014</v>
      </c>
      <c r="AK306" s="49">
        <f t="shared" si="185"/>
        <v>907.55057415539068</v>
      </c>
      <c r="AL306" s="49">
        <f t="shared" si="186"/>
        <v>871.51422741928468</v>
      </c>
      <c r="AN306" s="49">
        <f t="shared" si="132"/>
        <v>0</v>
      </c>
      <c r="AO306" s="49">
        <f t="shared" si="187"/>
        <v>22300.536430172539</v>
      </c>
      <c r="AP306" s="49">
        <f t="shared" si="188"/>
        <v>21355.317200892299</v>
      </c>
      <c r="AQ306" s="49">
        <f t="shared" si="189"/>
        <v>20447.76662673691</v>
      </c>
      <c r="AR306" s="49">
        <f t="shared" si="190"/>
        <v>19576.252399317626</v>
      </c>
      <c r="AT306" s="49">
        <f t="shared" si="150"/>
        <v>0</v>
      </c>
      <c r="AU306" s="49">
        <f t="shared" si="150"/>
        <v>227.82771765883743</v>
      </c>
      <c r="AV306" s="49">
        <f t="shared" si="150"/>
        <v>245.06971933125828</v>
      </c>
      <c r="AW306" s="49">
        <f t="shared" si="150"/>
        <v>250.92394478664337</v>
      </c>
      <c r="AX306" s="49">
        <f t="shared" si="150"/>
        <v>254.16889324062421</v>
      </c>
      <c r="AZ306" s="53">
        <f t="shared" si="191"/>
        <v>0</v>
      </c>
      <c r="BA306" s="53">
        <f t="shared" si="192"/>
        <v>1445.9807555657371</v>
      </c>
      <c r="BB306" s="53">
        <f t="shared" si="193"/>
        <v>2001.7910022454059</v>
      </c>
      <c r="BC306" s="53">
        <f t="shared" si="194"/>
        <v>1935.4896507580365</v>
      </c>
      <c r="BD306" s="53">
        <f t="shared" si="195"/>
        <v>1869.5807118339785</v>
      </c>
    </row>
    <row r="307" spans="1:56">
      <c r="B307" s="43">
        <f>'12. Investeringen (bijschatten)'!B110</f>
        <v>91</v>
      </c>
      <c r="C307" s="54"/>
      <c r="E307" s="54"/>
      <c r="F307" s="179">
        <f>'12. Investeringen (bijschatten)'!C110</f>
        <v>-7843704.5403578533</v>
      </c>
      <c r="H307" s="43">
        <f>'12. Investeringen (bijschatten)'!D110</f>
        <v>2023</v>
      </c>
      <c r="I307" s="43" t="str">
        <f>'12. Investeringen (bijschatten)'!E110</f>
        <v>42 Vulgas</v>
      </c>
      <c r="J307" s="179">
        <f>_xlfn.XLOOKUP(I307,'3. Input (des)investeringen '!$B$11:$B$81,'3. Input (des)investeringen '!$D$11:$D$81)</f>
        <v>0</v>
      </c>
      <c r="M307" s="49">
        <f t="shared" si="176"/>
        <v>0</v>
      </c>
      <c r="N307" s="49">
        <f t="shared" si="177"/>
        <v>0</v>
      </c>
      <c r="P307" s="147">
        <f t="shared" si="178"/>
        <v>0</v>
      </c>
      <c r="Q307" s="147">
        <f t="shared" si="179"/>
        <v>0</v>
      </c>
      <c r="S307" s="49">
        <f t="shared" si="180"/>
        <v>-7843704.5403578533</v>
      </c>
      <c r="T307" s="44">
        <f t="shared" si="181"/>
        <v>0</v>
      </c>
      <c r="V307" s="49">
        <f t="shared" si="196"/>
        <v>0</v>
      </c>
      <c r="W307" s="49">
        <f t="shared" si="196"/>
        <v>0</v>
      </c>
      <c r="X307" s="49">
        <f t="shared" si="196"/>
        <v>0</v>
      </c>
      <c r="Y307" s="49">
        <f t="shared" si="196"/>
        <v>0</v>
      </c>
      <c r="Z307" s="49">
        <f t="shared" si="196"/>
        <v>0</v>
      </c>
      <c r="AB307" s="49">
        <f t="shared" si="197"/>
        <v>0</v>
      </c>
      <c r="AC307" s="49">
        <f t="shared" si="197"/>
        <v>0</v>
      </c>
      <c r="AD307" s="49">
        <f t="shared" si="197"/>
        <v>0</v>
      </c>
      <c r="AE307" s="49">
        <f t="shared" si="197"/>
        <v>0</v>
      </c>
      <c r="AF307" s="49">
        <f t="shared" si="197"/>
        <v>0</v>
      </c>
      <c r="AH307" s="49">
        <f t="shared" si="182"/>
        <v>0</v>
      </c>
      <c r="AI307" s="49">
        <f t="shared" si="183"/>
        <v>0</v>
      </c>
      <c r="AJ307" s="49">
        <f t="shared" si="184"/>
        <v>0</v>
      </c>
      <c r="AK307" s="49">
        <f t="shared" si="185"/>
        <v>0</v>
      </c>
      <c r="AL307" s="49">
        <f t="shared" si="186"/>
        <v>0</v>
      </c>
      <c r="AN307" s="49">
        <f t="shared" si="132"/>
        <v>0</v>
      </c>
      <c r="AO307" s="49">
        <f t="shared" si="187"/>
        <v>-7843704.5403578533</v>
      </c>
      <c r="AP307" s="49">
        <f t="shared" si="188"/>
        <v>-7843704.5403578533</v>
      </c>
      <c r="AQ307" s="49">
        <f t="shared" si="189"/>
        <v>-7843704.5403578533</v>
      </c>
      <c r="AR307" s="49">
        <f t="shared" si="190"/>
        <v>-7843704.5403578533</v>
      </c>
      <c r="AT307" s="49">
        <f t="shared" si="150"/>
        <v>0</v>
      </c>
      <c r="AU307" s="49">
        <f t="shared" si="150"/>
        <v>-78437.045403578537</v>
      </c>
      <c r="AV307" s="49">
        <f t="shared" si="150"/>
        <v>-84373.160999721367</v>
      </c>
      <c r="AW307" s="49">
        <f t="shared" si="150"/>
        <v>-86388.667069682706</v>
      </c>
      <c r="AX307" s="49">
        <f t="shared" si="150"/>
        <v>-87505.84531222783</v>
      </c>
      <c r="AZ307" s="53">
        <f t="shared" si="191"/>
        <v>0</v>
      </c>
      <c r="BA307" s="53">
        <f t="shared" si="192"/>
        <v>-337279.29523538769</v>
      </c>
      <c r="BB307" s="53">
        <f t="shared" si="193"/>
        <v>-382433.9335333198</v>
      </c>
      <c r="BC307" s="53">
        <f t="shared" si="194"/>
        <v>-384449.43960328109</v>
      </c>
      <c r="BD307" s="53">
        <f t="shared" si="195"/>
        <v>-385566.61784582626</v>
      </c>
    </row>
    <row r="308" spans="1:56" ht="13.5" customHeight="1">
      <c r="A308" s="240"/>
      <c r="C308" s="54"/>
      <c r="E308" s="54"/>
      <c r="F308" s="165"/>
      <c r="AR308" s="97"/>
    </row>
    <row r="309" spans="1:56" s="39" customFormat="1">
      <c r="A309" s="106"/>
      <c r="B309" s="39" t="s">
        <v>889</v>
      </c>
      <c r="J309" s="39" t="s">
        <v>885</v>
      </c>
    </row>
    <row r="310" spans="1:56" s="40" customFormat="1">
      <c r="A310" s="107"/>
      <c r="D310" s="41" t="s">
        <v>886</v>
      </c>
      <c r="J310" s="109">
        <v>2022</v>
      </c>
      <c r="K310" s="109">
        <v>2023</v>
      </c>
      <c r="L310" s="109">
        <v>2024</v>
      </c>
      <c r="M310" s="109">
        <v>2025</v>
      </c>
      <c r="N310" s="109">
        <v>2026</v>
      </c>
    </row>
    <row r="311" spans="1:56">
      <c r="C311" s="54"/>
      <c r="E311" s="54"/>
      <c r="AR311" s="97"/>
    </row>
    <row r="312" spans="1:56">
      <c r="B312" s="3" t="s">
        <v>890</v>
      </c>
      <c r="C312" s="54"/>
      <c r="D312" s="3">
        <v>2020</v>
      </c>
      <c r="E312" s="54"/>
      <c r="J312" s="53">
        <f>SUMIFS(AZ$217:AZ$307, $H$217:$H$307,$D312)</f>
        <v>9233560.7003606651</v>
      </c>
      <c r="K312" s="53">
        <f t="shared" ref="K312:N312" si="198">SUMIFS(BA$217:BA$307, $H$217:$H$307,$D312)</f>
        <v>8555993.2364601251</v>
      </c>
      <c r="L312" s="53">
        <f t="shared" si="198"/>
        <v>8778487.873406047</v>
      </c>
      <c r="M312" s="53">
        <f t="shared" si="198"/>
        <v>8193399.1175383404</v>
      </c>
      <c r="N312" s="53">
        <f t="shared" si="198"/>
        <v>7617395.0379718607</v>
      </c>
      <c r="P312" s="5"/>
      <c r="AR312" s="97"/>
    </row>
    <row r="313" spans="1:56">
      <c r="B313" s="3" t="s">
        <v>890</v>
      </c>
      <c r="C313" s="54"/>
      <c r="D313" s="3">
        <v>2021</v>
      </c>
      <c r="E313" s="54"/>
      <c r="J313" s="53">
        <f>SUMIFS(AZ$217:AZ$307, $H$217:$H$307,$D313)</f>
        <v>8497419.0957247205</v>
      </c>
      <c r="K313" s="53">
        <f t="shared" ref="K313:N314" si="199">SUMIFS(BA$217:BA$307, $H$217:$H$307,$D313)</f>
        <v>7585714.20728698</v>
      </c>
      <c r="L313" s="53">
        <f t="shared" si="199"/>
        <v>7687390.3961598752</v>
      </c>
      <c r="M313" s="53">
        <f t="shared" si="199"/>
        <v>7485666.0735283894</v>
      </c>
      <c r="N313" s="53">
        <f t="shared" si="199"/>
        <v>6575816.0930289561</v>
      </c>
      <c r="AR313" s="97"/>
    </row>
    <row r="314" spans="1:56">
      <c r="B314" s="3" t="s">
        <v>890</v>
      </c>
      <c r="C314" s="54"/>
      <c r="D314" s="3">
        <v>2022</v>
      </c>
      <c r="E314" s="54"/>
      <c r="J314" s="53">
        <f t="shared" ref="J314" si="200">SUMIFS(AZ$217:AZ$307, $H$217:$H$307,$D314)</f>
        <v>4782494.0361667611</v>
      </c>
      <c r="K314" s="53">
        <f t="shared" si="199"/>
        <v>5962998.5874395613</v>
      </c>
      <c r="L314" s="53">
        <f t="shared" si="199"/>
        <v>6213032.0444317097</v>
      </c>
      <c r="M314" s="53">
        <f t="shared" si="199"/>
        <v>6054783.3855633335</v>
      </c>
      <c r="N314" s="53">
        <f t="shared" si="199"/>
        <v>5900150.7461827584</v>
      </c>
      <c r="AR314" s="97"/>
    </row>
    <row r="315" spans="1:56">
      <c r="B315" s="3" t="s">
        <v>890</v>
      </c>
      <c r="C315" s="54"/>
      <c r="D315" s="3">
        <v>2023</v>
      </c>
      <c r="E315" s="54"/>
      <c r="J315" s="53">
        <f>SUMIFS(AZ$217:AZ$307, $H$217:$H$307,$D315)</f>
        <v>0</v>
      </c>
      <c r="K315" s="53">
        <f>SUMIFS(BA$217:BA$307, $H$217:$H$307,$D315)</f>
        <v>3602822.9773279442</v>
      </c>
      <c r="L315" s="53">
        <f t="shared" ref="L315" si="201">SUMIFS(BB$217:BB$307, $H$217:$H$307,$D315)</f>
        <v>4804946.7147781914</v>
      </c>
      <c r="M315" s="53">
        <f>SUMIFS(BC$217:BC$307, $H$217:$H$307,$D315)</f>
        <v>4699913.7718138332</v>
      </c>
      <c r="N315" s="53">
        <f>SUMIFS(BD$217:BD$307, $H$217:$H$307,$D315)</f>
        <v>4592028.6759601338</v>
      </c>
      <c r="AR315" s="97"/>
    </row>
    <row r="316" spans="1:56">
      <c r="B316" s="3" t="s">
        <v>890</v>
      </c>
      <c r="C316" s="54"/>
      <c r="D316" s="3">
        <v>2024</v>
      </c>
      <c r="E316" s="54"/>
      <c r="J316" s="105"/>
      <c r="K316" s="105"/>
      <c r="L316" s="105"/>
      <c r="M316" s="105"/>
      <c r="N316" s="105"/>
      <c r="AR316" s="97"/>
    </row>
    <row r="317" spans="1:56">
      <c r="B317" s="3" t="s">
        <v>890</v>
      </c>
      <c r="C317" s="54"/>
      <c r="D317" s="3">
        <v>2025</v>
      </c>
      <c r="E317" s="54"/>
      <c r="J317" s="105"/>
      <c r="K317" s="105"/>
      <c r="L317" s="105"/>
      <c r="M317" s="105"/>
      <c r="N317" s="105"/>
      <c r="AR317" s="97"/>
    </row>
    <row r="318" spans="1:56">
      <c r="B318" s="3" t="s">
        <v>890</v>
      </c>
      <c r="C318" s="54"/>
      <c r="D318" s="3">
        <v>2026</v>
      </c>
      <c r="E318" s="54"/>
      <c r="J318" s="105"/>
      <c r="K318" s="105"/>
      <c r="L318" s="105"/>
      <c r="M318" s="105"/>
      <c r="N318" s="105"/>
      <c r="AR318" s="97"/>
    </row>
    <row r="320" spans="1:56" s="8" customFormat="1">
      <c r="A320" s="160"/>
      <c r="B320" s="8" t="s">
        <v>891</v>
      </c>
      <c r="D320" s="8" t="s">
        <v>194</v>
      </c>
      <c r="J320" s="52">
        <v>2022</v>
      </c>
      <c r="K320" s="52">
        <v>2023</v>
      </c>
      <c r="L320" s="52">
        <v>2024</v>
      </c>
      <c r="M320" s="52">
        <v>2025</v>
      </c>
      <c r="N320" s="52">
        <v>2026</v>
      </c>
    </row>
    <row r="322" spans="2:14">
      <c r="B322" s="3" t="s">
        <v>892</v>
      </c>
      <c r="D322" s="3" t="s">
        <v>204</v>
      </c>
      <c r="J322" s="53">
        <f t="shared" ref="J322:N325" si="202">J312-J205</f>
        <v>-12756559.43889554</v>
      </c>
      <c r="K322" s="53">
        <f t="shared" si="202"/>
        <v>-11018374.816815039</v>
      </c>
      <c r="L322" s="53">
        <f t="shared" si="202"/>
        <v>-10839203.388769312</v>
      </c>
      <c r="M322" s="53">
        <f t="shared" si="202"/>
        <v>-9184753.292657651</v>
      </c>
      <c r="N322" s="53">
        <f t="shared" si="202"/>
        <v>-7763972.3356985589</v>
      </c>
    </row>
    <row r="323" spans="2:14">
      <c r="B323" s="3" t="s">
        <v>893</v>
      </c>
      <c r="D323" s="3" t="s">
        <v>204</v>
      </c>
      <c r="J323" s="53">
        <f t="shared" si="202"/>
        <v>-13837484.211981896</v>
      </c>
      <c r="K323" s="53">
        <f t="shared" si="202"/>
        <v>-12505574.939146273</v>
      </c>
      <c r="L323" s="53">
        <f t="shared" si="202"/>
        <v>-12477143.420360353</v>
      </c>
      <c r="M323" s="53">
        <f t="shared" si="202"/>
        <v>-11944801.475117594</v>
      </c>
      <c r="N323" s="53">
        <f t="shared" si="202"/>
        <v>-10707673.803729583</v>
      </c>
    </row>
    <row r="324" spans="2:14">
      <c r="B324" s="3" t="s">
        <v>894</v>
      </c>
      <c r="D324" s="3" t="s">
        <v>204</v>
      </c>
      <c r="J324" s="53">
        <f t="shared" si="202"/>
        <v>-11332587.168613983</v>
      </c>
      <c r="K324" s="53">
        <f t="shared" si="202"/>
        <v>-15705466.585948357</v>
      </c>
      <c r="L324" s="53">
        <f t="shared" si="202"/>
        <v>-14925157.671221215</v>
      </c>
      <c r="M324" s="53">
        <f t="shared" si="202"/>
        <v>-14237662.265062112</v>
      </c>
      <c r="N324" s="53">
        <f t="shared" si="202"/>
        <v>-13681020.936452162</v>
      </c>
    </row>
    <row r="325" spans="2:14">
      <c r="B325" s="3" t="s">
        <v>895</v>
      </c>
      <c r="D325" s="3" t="s">
        <v>204</v>
      </c>
      <c r="J325" s="53">
        <f t="shared" si="202"/>
        <v>0</v>
      </c>
      <c r="K325" s="53">
        <f t="shared" si="202"/>
        <v>-12510056.898220608</v>
      </c>
      <c r="L325" s="53">
        <f>L315-L208</f>
        <v>-18170099.194502193</v>
      </c>
      <c r="M325" s="53">
        <f t="shared" si="202"/>
        <v>-16632374.35250546</v>
      </c>
      <c r="N325" s="53">
        <f t="shared" si="202"/>
        <v>-15855429.123789616</v>
      </c>
    </row>
    <row r="326" spans="2:14">
      <c r="B326" s="3" t="s">
        <v>896</v>
      </c>
      <c r="D326" s="3" t="s">
        <v>204</v>
      </c>
      <c r="J326" s="105"/>
      <c r="K326" s="105"/>
      <c r="L326" s="105"/>
      <c r="M326" s="105"/>
      <c r="N326" s="105"/>
    </row>
    <row r="327" spans="2:14">
      <c r="B327" s="3" t="s">
        <v>897</v>
      </c>
      <c r="D327" s="3" t="s">
        <v>204</v>
      </c>
      <c r="J327" s="105"/>
      <c r="K327" s="105"/>
      <c r="L327" s="105"/>
      <c r="M327" s="105"/>
      <c r="N327" s="105"/>
    </row>
    <row r="328" spans="2:14">
      <c r="B328" s="3" t="s">
        <v>898</v>
      </c>
      <c r="D328" s="3" t="s">
        <v>204</v>
      </c>
      <c r="J328" s="105"/>
      <c r="K328" s="105"/>
      <c r="L328" s="105"/>
      <c r="M328" s="105"/>
      <c r="N328" s="105"/>
    </row>
    <row r="330" spans="2:14">
      <c r="B330" s="3" t="s">
        <v>899</v>
      </c>
      <c r="D330" s="3" t="s">
        <v>204</v>
      </c>
      <c r="J330" s="53">
        <f>J322</f>
        <v>-12756559.43889554</v>
      </c>
      <c r="K330" s="53">
        <f>K322+K323+J323*K33</f>
        <v>-37638183.652182847</v>
      </c>
      <c r="L330" s="49">
        <f>L322+L323+L324+K324*L34+J324*L33</f>
        <v>-66596798.198202893</v>
      </c>
      <c r="M330" s="57">
        <f>SUM(M322:M325)+L325*M35+K325*M34+J325*M33</f>
        <v>-85362788.83980006</v>
      </c>
      <c r="N330" s="105"/>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27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13.5703125" defaultRowHeight="12.75"/>
  <cols>
    <col min="1" max="1" width="2.5703125" style="3" customWidth="1"/>
    <col min="2" max="2" width="59.85546875" style="3" customWidth="1"/>
    <col min="3" max="3" width="2.5703125" style="3" customWidth="1"/>
    <col min="4" max="4" width="36.42578125" style="3" customWidth="1"/>
    <col min="5" max="5" width="2.5703125" style="3" customWidth="1"/>
    <col min="6" max="6" width="27.140625" style="3" bestFit="1" customWidth="1"/>
    <col min="7" max="7" width="29" style="3" bestFit="1" customWidth="1"/>
    <col min="8" max="8" width="23.140625" style="3" customWidth="1"/>
    <col min="9" max="9" width="31.140625" style="3" customWidth="1"/>
    <col min="10" max="11" width="23.140625" style="3" customWidth="1"/>
    <col min="12" max="12" width="15.5703125" style="3" customWidth="1"/>
    <col min="13" max="13" width="21.42578125" style="3" customWidth="1"/>
    <col min="14" max="14" width="33.5703125" style="3" bestFit="1" customWidth="1"/>
    <col min="15" max="15" width="2.5703125" style="3" customWidth="1"/>
    <col min="16" max="17" width="14.42578125" style="3" customWidth="1"/>
    <col min="18" max="18" width="15" style="3" customWidth="1"/>
    <col min="19" max="19" width="15.5703125" style="3" customWidth="1"/>
    <col min="20" max="20" width="13.5703125" style="3" customWidth="1"/>
    <col min="21" max="21" width="2.5703125" style="3" customWidth="1"/>
    <col min="22" max="22" width="12.5703125" style="3" customWidth="1"/>
    <col min="23" max="26" width="15.5703125" style="3" customWidth="1"/>
    <col min="27" max="27" width="2.5703125" style="3" customWidth="1"/>
    <col min="28" max="28" width="13.42578125" style="3" customWidth="1"/>
    <col min="29" max="32" width="15.5703125" style="3" customWidth="1"/>
    <col min="33" max="33" width="2.5703125" style="3" customWidth="1"/>
    <col min="34" max="34" width="15" style="3" customWidth="1"/>
    <col min="35" max="38" width="15.5703125" style="3" customWidth="1"/>
    <col min="39" max="39" width="2.5703125" style="3" customWidth="1"/>
    <col min="40" max="40" width="14.140625" style="3" bestFit="1" customWidth="1"/>
    <col min="41" max="44" width="13.5703125" style="3"/>
    <col min="52" max="52" width="15.5703125" style="3" customWidth="1"/>
    <col min="53" max="16384" width="13.5703125" style="3"/>
  </cols>
  <sheetData>
    <row r="2" spans="1:51" s="12" customFormat="1" ht="18">
      <c r="B2" s="12" t="s">
        <v>900</v>
      </c>
    </row>
    <row r="4" spans="1:51">
      <c r="B4" s="16" t="s">
        <v>844</v>
      </c>
    </row>
    <row r="5" spans="1:51" ht="63.6" customHeight="1">
      <c r="B5" s="379" t="s">
        <v>901</v>
      </c>
      <c r="C5" s="379"/>
      <c r="D5" s="379"/>
      <c r="F5" s="195"/>
    </row>
    <row r="7" spans="1:51">
      <c r="B7" s="387" t="s">
        <v>846</v>
      </c>
      <c r="C7" s="389"/>
      <c r="D7" s="389"/>
      <c r="F7" s="13"/>
      <c r="AS7" s="3"/>
      <c r="AT7" s="3"/>
      <c r="AU7" s="3"/>
      <c r="AV7" s="3"/>
      <c r="AW7" s="3"/>
      <c r="AX7" s="3"/>
      <c r="AY7" s="3"/>
    </row>
    <row r="8" spans="1:51" ht="55.5" customHeight="1">
      <c r="B8" s="379" t="s">
        <v>902</v>
      </c>
      <c r="C8" s="379"/>
      <c r="D8" s="379"/>
      <c r="F8" s="13"/>
      <c r="AS8" s="3"/>
      <c r="AT8" s="3"/>
      <c r="AU8" s="3"/>
      <c r="AV8" s="3"/>
      <c r="AW8" s="3"/>
      <c r="AX8" s="3"/>
      <c r="AY8" s="3"/>
    </row>
    <row r="10" spans="1:51" s="8" customFormat="1">
      <c r="B10" s="8" t="s">
        <v>152</v>
      </c>
      <c r="H10" s="59"/>
      <c r="I10" s="52"/>
      <c r="J10" s="59"/>
      <c r="K10" s="52"/>
      <c r="L10" s="52"/>
      <c r="M10" s="52"/>
    </row>
    <row r="12" spans="1:51" s="39" customFormat="1">
      <c r="A12" s="106"/>
      <c r="B12" s="39" t="s">
        <v>848</v>
      </c>
    </row>
    <row r="13" spans="1:51" s="40" customFormat="1">
      <c r="A13" s="107"/>
      <c r="B13" s="40" t="s">
        <v>152</v>
      </c>
      <c r="D13" s="40" t="s">
        <v>194</v>
      </c>
      <c r="F13" s="40" t="s">
        <v>195</v>
      </c>
      <c r="H13" s="109">
        <v>2022</v>
      </c>
      <c r="I13" s="109">
        <v>2023</v>
      </c>
      <c r="J13" s="109">
        <v>2024</v>
      </c>
      <c r="K13" s="109">
        <v>2025</v>
      </c>
      <c r="L13" s="109">
        <v>2026</v>
      </c>
    </row>
    <row r="14" spans="1:51" s="110" customFormat="1">
      <c r="H14" s="111"/>
      <c r="I14" s="112"/>
      <c r="J14" s="111"/>
      <c r="K14" s="112"/>
      <c r="L14" s="112"/>
      <c r="Q14" s="112"/>
      <c r="U14" s="112"/>
      <c r="V14" s="112"/>
      <c r="W14" s="112"/>
      <c r="AA14" s="112"/>
      <c r="AB14" s="112"/>
      <c r="AC14" s="112"/>
    </row>
    <row r="15" spans="1:51">
      <c r="B15" s="16" t="s">
        <v>206</v>
      </c>
    </row>
    <row r="16" spans="1:51">
      <c r="B16" s="158" t="s">
        <v>849</v>
      </c>
      <c r="D16" s="3" t="s">
        <v>199</v>
      </c>
      <c r="H16" s="149">
        <f>IF(ISBLANK('2. Parameters'!M28),'2. Parameters'!M24,'2. Parameters'!M28)</f>
        <v>4.1000000000000002E-2</v>
      </c>
      <c r="I16" s="149">
        <f>IF(ISBLANK('2. Parameters'!N28),'2. Parameters'!N24,'2. Parameters'!N28)</f>
        <v>5.0999999999999997E-2</v>
      </c>
      <c r="J16" s="149">
        <f>IF(ISBLANK('2. Parameters'!O28),'2. Parameters'!O24,'2. Parameters'!O28)</f>
        <v>3.7999999999999999E-2</v>
      </c>
      <c r="K16" s="149">
        <f>IF(ISBLANK('2. Parameters'!P28),'2. Parameters'!P24,'2. Parameters'!P28)</f>
        <v>3.7999999999999999E-2</v>
      </c>
      <c r="L16" s="149">
        <f>IF(ISBLANK('2. Parameters'!Q28),'2. Parameters'!Q24,'2. Parameters'!Q28)</f>
        <v>3.7999999999999999E-2</v>
      </c>
    </row>
    <row r="18" spans="1:51">
      <c r="B18" s="16" t="s">
        <v>217</v>
      </c>
    </row>
    <row r="19" spans="1:51">
      <c r="B19" s="3" t="s">
        <v>217</v>
      </c>
      <c r="D19" s="3" t="s">
        <v>199</v>
      </c>
      <c r="F19" s="85">
        <f>'2. Parameters'!F32</f>
        <v>0.01</v>
      </c>
    </row>
    <row r="20" spans="1:51" s="98" customFormat="1">
      <c r="A20" s="3"/>
      <c r="F20" s="114"/>
    </row>
    <row r="21" spans="1:51" s="98" customFormat="1">
      <c r="A21" s="3"/>
      <c r="B21" s="115" t="s">
        <v>242</v>
      </c>
      <c r="F21" s="114"/>
    </row>
    <row r="22" spans="1:51">
      <c r="B22" s="3" t="s">
        <v>242</v>
      </c>
      <c r="F22" s="116">
        <f>'2. Parameters'!F88</f>
        <v>1.3</v>
      </c>
    </row>
    <row r="24" spans="1:51">
      <c r="B24" s="2" t="s">
        <v>243</v>
      </c>
    </row>
    <row r="25" spans="1:51">
      <c r="B25" s="3" t="s">
        <v>243</v>
      </c>
      <c r="D25" s="3" t="s">
        <v>199</v>
      </c>
      <c r="F25" s="86">
        <f>'2. Parameters'!F92</f>
        <v>0.1</v>
      </c>
    </row>
    <row r="27" spans="1:51">
      <c r="B27" s="2" t="s">
        <v>244</v>
      </c>
    </row>
    <row r="28" spans="1:51">
      <c r="B28" s="3" t="s">
        <v>244</v>
      </c>
      <c r="D28" s="3" t="s">
        <v>199</v>
      </c>
      <c r="F28" s="86">
        <f>'2. Parameters'!F96</f>
        <v>0.9</v>
      </c>
    </row>
    <row r="30" spans="1:51">
      <c r="B30" s="2" t="s">
        <v>241</v>
      </c>
      <c r="AS30" s="3"/>
      <c r="AT30" s="3"/>
      <c r="AU30" s="3"/>
      <c r="AV30" s="3"/>
      <c r="AW30" s="3"/>
      <c r="AX30" s="3"/>
      <c r="AY30" s="3"/>
    </row>
    <row r="31" spans="1:51">
      <c r="B31" s="3" t="s">
        <v>241</v>
      </c>
      <c r="D31" s="3" t="s">
        <v>199</v>
      </c>
      <c r="F31" s="159">
        <f>'2. Parameters'!F84</f>
        <v>1</v>
      </c>
      <c r="AS31" s="3"/>
      <c r="AT31" s="3"/>
      <c r="AU31" s="3"/>
      <c r="AV31" s="3"/>
      <c r="AW31" s="3"/>
      <c r="AX31" s="3"/>
      <c r="AY31" s="3"/>
    </row>
    <row r="32" spans="1:51">
      <c r="AS32" s="3"/>
      <c r="AT32" s="3"/>
      <c r="AU32" s="3"/>
      <c r="AV32" s="3"/>
      <c r="AW32" s="3"/>
      <c r="AX32" s="3"/>
      <c r="AY32" s="3"/>
    </row>
    <row r="33" spans="2:40">
      <c r="B33" s="16" t="s">
        <v>238</v>
      </c>
    </row>
    <row r="34" spans="2:40">
      <c r="B34" s="32" t="s">
        <v>228</v>
      </c>
      <c r="D34" s="3" t="s">
        <v>850</v>
      </c>
      <c r="H34" s="38">
        <f>'2. Parameters'!M76</f>
        <v>1</v>
      </c>
      <c r="I34" s="38">
        <f>'2. Parameters'!N76</f>
        <v>1.02</v>
      </c>
      <c r="J34" s="38">
        <f>'2. Parameters'!O76</f>
        <v>1.0608</v>
      </c>
      <c r="K34" s="38">
        <f>'2. Parameters'!P76</f>
        <v>1.1350560000000001</v>
      </c>
      <c r="L34" s="38">
        <f>'2. Parameters'!Q76</f>
        <v>1.2145099200000002</v>
      </c>
    </row>
    <row r="35" spans="2:40">
      <c r="B35" s="32" t="s">
        <v>229</v>
      </c>
      <c r="D35" s="3" t="s">
        <v>850</v>
      </c>
      <c r="H35" s="10"/>
      <c r="I35" s="38">
        <f>'2. Parameters'!N77</f>
        <v>1</v>
      </c>
      <c r="J35" s="38">
        <f>'2. Parameters'!O77</f>
        <v>1.04</v>
      </c>
      <c r="K35" s="38">
        <f>'2. Parameters'!P77</f>
        <v>1.1128</v>
      </c>
      <c r="L35" s="38">
        <f>'2. Parameters'!Q77</f>
        <v>1.190696</v>
      </c>
    </row>
    <row r="36" spans="2:40">
      <c r="B36" s="32" t="s">
        <v>230</v>
      </c>
      <c r="D36" s="3" t="s">
        <v>850</v>
      </c>
      <c r="H36" s="10"/>
      <c r="I36" s="10"/>
      <c r="J36" s="38">
        <f>'2. Parameters'!O78</f>
        <v>1</v>
      </c>
      <c r="K36" s="38">
        <f>'2. Parameters'!P78</f>
        <v>1.07</v>
      </c>
      <c r="L36" s="38">
        <f>'2. Parameters'!Q78</f>
        <v>1.1449</v>
      </c>
    </row>
    <row r="37" spans="2:40">
      <c r="B37" s="32" t="s">
        <v>231</v>
      </c>
      <c r="D37" s="3" t="s">
        <v>850</v>
      </c>
      <c r="H37" s="10"/>
      <c r="I37" s="10"/>
      <c r="J37" s="10"/>
      <c r="K37" s="38">
        <f>'2. Parameters'!P79</f>
        <v>1</v>
      </c>
      <c r="L37" s="38">
        <f>'2. Parameters'!Q79</f>
        <v>1.07</v>
      </c>
    </row>
    <row r="38" spans="2:40">
      <c r="B38" s="32" t="s">
        <v>232</v>
      </c>
      <c r="D38" s="3" t="s">
        <v>850</v>
      </c>
      <c r="H38" s="10"/>
      <c r="I38" s="10"/>
      <c r="J38" s="10"/>
      <c r="K38" s="10"/>
      <c r="L38" s="38">
        <f>'2. Parameters'!Q80</f>
        <v>1</v>
      </c>
    </row>
    <row r="40" spans="2:40">
      <c r="B40" s="2" t="s">
        <v>218</v>
      </c>
    </row>
    <row r="41" spans="2:40">
      <c r="B41" s="3" t="s">
        <v>853</v>
      </c>
      <c r="D41" s="3" t="s">
        <v>223</v>
      </c>
      <c r="H41" s="38">
        <f>'2. Parameters'!M45</f>
        <v>1</v>
      </c>
      <c r="I41" s="38">
        <f>'2. Parameters'!N45</f>
        <v>1.0620000000000001</v>
      </c>
      <c r="J41" s="38">
        <f>'2. Parameters'!O45</f>
        <v>1.1469600000000002</v>
      </c>
      <c r="K41" s="38">
        <f>'2. Parameters'!P45</f>
        <v>1.1790748800000002</v>
      </c>
      <c r="L41" s="38">
        <f>'2. Parameters'!Q45</f>
        <v>1.19911915296</v>
      </c>
    </row>
    <row r="42" spans="2:40">
      <c r="B42" s="3" t="s">
        <v>854</v>
      </c>
      <c r="D42" s="3" t="s">
        <v>223</v>
      </c>
      <c r="H42" s="10"/>
      <c r="I42" s="38">
        <f>'2. Parameters'!N46</f>
        <v>1</v>
      </c>
      <c r="J42" s="38">
        <f>'2. Parameters'!O46</f>
        <v>1.08</v>
      </c>
      <c r="K42" s="38">
        <f>'2. Parameters'!P46</f>
        <v>1.1102400000000001</v>
      </c>
      <c r="L42" s="38">
        <f>'2. Parameters'!Q46</f>
        <v>1.1291140799999999</v>
      </c>
    </row>
    <row r="43" spans="2:40">
      <c r="B43" s="3" t="s">
        <v>855</v>
      </c>
      <c r="D43" s="3" t="s">
        <v>223</v>
      </c>
      <c r="H43" s="10"/>
      <c r="I43" s="10"/>
      <c r="J43" s="38">
        <f>'2. Parameters'!O47</f>
        <v>1</v>
      </c>
      <c r="K43" s="38">
        <f>'2. Parameters'!P47</f>
        <v>1.028</v>
      </c>
      <c r="L43" s="38">
        <f>'2. Parameters'!Q47</f>
        <v>1.0454759999999998</v>
      </c>
    </row>
    <row r="44" spans="2:40">
      <c r="B44" s="3" t="s">
        <v>856</v>
      </c>
      <c r="D44" s="3" t="s">
        <v>223</v>
      </c>
      <c r="H44" s="10"/>
      <c r="I44" s="10"/>
      <c r="J44" s="10"/>
      <c r="K44" s="38">
        <f>'2. Parameters'!P48</f>
        <v>1</v>
      </c>
      <c r="L44" s="38">
        <f>'2. Parameters'!Q48</f>
        <v>1.0169999999999999</v>
      </c>
    </row>
    <row r="45" spans="2:40">
      <c r="B45" s="3" t="s">
        <v>857</v>
      </c>
      <c r="D45" s="3" t="s">
        <v>223</v>
      </c>
      <c r="H45" s="10"/>
      <c r="I45" s="10"/>
      <c r="J45" s="10"/>
      <c r="K45" s="10"/>
      <c r="L45" s="38">
        <f>'2. Parameters'!Q49</f>
        <v>1</v>
      </c>
    </row>
    <row r="47" spans="2:40" s="39" customFormat="1">
      <c r="B47" s="39" t="s">
        <v>903</v>
      </c>
    </row>
    <row r="48" spans="2:40" s="42" customFormat="1">
      <c r="P48" s="42" t="s">
        <v>862</v>
      </c>
      <c r="V48" s="42" t="s">
        <v>863</v>
      </c>
      <c r="AB48" s="42" t="s">
        <v>864</v>
      </c>
      <c r="AH48" s="42" t="s">
        <v>865</v>
      </c>
      <c r="AN48" s="42" t="s">
        <v>866</v>
      </c>
    </row>
    <row r="49" spans="1:51" s="45" customFormat="1">
      <c r="B49" s="45" t="s">
        <v>869</v>
      </c>
      <c r="F49" s="45" t="s">
        <v>904</v>
      </c>
      <c r="G49" s="46" t="s">
        <v>533</v>
      </c>
      <c r="H49" s="46" t="s">
        <v>905</v>
      </c>
      <c r="I49" s="46" t="s">
        <v>871</v>
      </c>
      <c r="J49" s="45" t="s">
        <v>906</v>
      </c>
      <c r="K49" s="45" t="s">
        <v>361</v>
      </c>
      <c r="M49" s="45" t="s">
        <v>873</v>
      </c>
      <c r="N49" s="45" t="s">
        <v>907</v>
      </c>
      <c r="P49" s="51">
        <v>2022</v>
      </c>
      <c r="Q49" s="51">
        <v>2023</v>
      </c>
      <c r="R49" s="51">
        <v>2024</v>
      </c>
      <c r="S49" s="51">
        <v>2025</v>
      </c>
      <c r="T49" s="51">
        <v>2026</v>
      </c>
      <c r="V49" s="51">
        <v>2022</v>
      </c>
      <c r="W49" s="51">
        <v>2023</v>
      </c>
      <c r="X49" s="51">
        <v>2024</v>
      </c>
      <c r="Y49" s="51">
        <v>2025</v>
      </c>
      <c r="Z49" s="51">
        <v>2026</v>
      </c>
      <c r="AB49" s="51">
        <v>2022</v>
      </c>
      <c r="AC49" s="51">
        <v>2023</v>
      </c>
      <c r="AD49" s="51">
        <v>2024</v>
      </c>
      <c r="AE49" s="51">
        <v>2025</v>
      </c>
      <c r="AF49" s="51">
        <v>2026</v>
      </c>
      <c r="AH49" s="51">
        <v>2022</v>
      </c>
      <c r="AI49" s="51">
        <v>2023</v>
      </c>
      <c r="AJ49" s="51">
        <v>2024</v>
      </c>
      <c r="AK49" s="51">
        <v>2025</v>
      </c>
      <c r="AL49" s="51">
        <v>2026</v>
      </c>
      <c r="AN49" s="51">
        <v>2022</v>
      </c>
      <c r="AO49" s="51">
        <v>2023</v>
      </c>
      <c r="AP49" s="51">
        <v>2024</v>
      </c>
      <c r="AQ49" s="51">
        <v>2025</v>
      </c>
      <c r="AR49" s="51">
        <v>2026</v>
      </c>
    </row>
    <row r="50" spans="1:51" s="54" customFormat="1">
      <c r="G50" s="55"/>
      <c r="H50" s="55"/>
      <c r="I50" s="55"/>
    </row>
    <row r="51" spans="1:51">
      <c r="A51" s="54"/>
      <c r="B51" s="43">
        <f>'13. Desinvesteringen'!B335</f>
        <v>316</v>
      </c>
      <c r="C51" s="54"/>
      <c r="D51" s="54"/>
      <c r="E51" s="54"/>
      <c r="F51" s="48">
        <f>'5. Input GAW-waarde desinv.'!D11</f>
        <v>0</v>
      </c>
      <c r="G51" s="187">
        <f>'13. Desinvesteringen'!D335</f>
        <v>1949</v>
      </c>
      <c r="H51" s="187">
        <f>'13. Desinvesteringen'!G335</f>
        <v>2022</v>
      </c>
      <c r="I51" s="43" t="str">
        <f>'13. Desinvesteringen'!C335</f>
        <v>01 Regionale leidingen</v>
      </c>
      <c r="J51" s="176">
        <f>'13. Desinvesteringen'!F335</f>
        <v>0</v>
      </c>
      <c r="K51" s="44">
        <f>_xlfn.XLOOKUP(I51,'3. Input (des)investeringen '!$B$11:$B$81,'3. Input (des)investeringen '!$E$11:$E$81)</f>
        <v>1</v>
      </c>
      <c r="L51" s="54"/>
      <c r="M51" s="44">
        <f>_xlfn.XLOOKUP(I51,'3. Input (des)investeringen '!$B$11:$B$81,'3. Input (des)investeringen '!$D$11:$D$81,0)</f>
        <v>55</v>
      </c>
      <c r="N51" s="44">
        <f>IF($M51&gt;0, MAX(0,IF(G51&lt;2022,M51-2021+G51-0.5,M51)), 0)</f>
        <v>0</v>
      </c>
      <c r="P51" s="49">
        <f>IF($M51&gt;0, IF(OR($G51&gt;P$49,$G51+$M51&lt;P$49),0,
VDB($F51,0,$N51,MAX(0,P$49-2022),MIN($N51,P$49-2021),$F$22,FALSE))*(1-$F$25), 0)</f>
        <v>0</v>
      </c>
      <c r="Q51" s="49">
        <f>IF($M51&gt;0, IF(OR($G51&gt;Q$49,$G51+$M51&lt;Q$49),0,
VDB($F51,0,$N51,MAX(0,Q$49-2022),MIN($N51,Q$49-2021),$F$22,FALSE))*(1-$F$25), 0)</f>
        <v>0</v>
      </c>
      <c r="R51" s="49">
        <f t="shared" ref="R51:T66" si="0">IF($M51&gt;0, IF(OR($G51&gt;R$49,$G51+$M51&lt;R$49),0,
VDB($F51,0,$N51,MAX(0,R$49-2022),MIN($N51,R$49-2021),$F$22,FALSE))*(1-$F$25), 0)</f>
        <v>0</v>
      </c>
      <c r="S51" s="49">
        <f t="shared" si="0"/>
        <v>0</v>
      </c>
      <c r="T51" s="103">
        <f t="shared" si="0"/>
        <v>0</v>
      </c>
      <c r="V51" s="49">
        <f>IF($M51&gt;0, IF(OR($G51&gt;V$49,$G51+$M51&lt;V$49),0,
VDB($F51,0,$N51,MAX(0,P$49-2022),MIN($N51,P$49-2021),1,FALSE))*$F$25, 0)</f>
        <v>0</v>
      </c>
      <c r="W51" s="49">
        <f t="shared" ref="W51:Z51" si="1">IF($M51&gt;0, IF(OR($G51&gt;W$49,$G51+$M51&lt;W$49),0,
VDB($F51,0,$N51,MAX(0,Q$49-2022),MIN($N51,Q$49-2021),1,FALSE))*$F$25, 0)</f>
        <v>0</v>
      </c>
      <c r="X51" s="49">
        <f t="shared" si="1"/>
        <v>0</v>
      </c>
      <c r="Y51" s="49">
        <f t="shared" si="1"/>
        <v>0</v>
      </c>
      <c r="Z51" s="103">
        <f t="shared" si="1"/>
        <v>0</v>
      </c>
      <c r="AB51" s="49">
        <f>P51+V51</f>
        <v>0</v>
      </c>
      <c r="AC51" s="49">
        <f>Q51+W51</f>
        <v>0</v>
      </c>
      <c r="AD51" s="49">
        <f>R51+X51</f>
        <v>0</v>
      </c>
      <c r="AE51" s="49">
        <f t="shared" ref="AE51:AF51" si="2">S51+Y51</f>
        <v>0</v>
      </c>
      <c r="AF51" s="103">
        <f t="shared" si="2"/>
        <v>0</v>
      </c>
      <c r="AH51" s="49">
        <f>IF($M51&gt;0, IF($M51&gt;0,IF(OR($G51&gt;AH$49,$G51+$M51&lt;=AH$49),0,IF(AH$49=2022,$F51-AB51,AG51-AB51))), $F51)</f>
        <v>0</v>
      </c>
      <c r="AI51" s="49">
        <f>IF($M51&gt;0, IF(OR($G51&gt;AI$49,$G51+$M51&lt;=AI$49),0,IF(AI$49=2022,$F51-AC51,AH51-AC51)), AH51)</f>
        <v>0</v>
      </c>
      <c r="AJ51" s="49">
        <f t="shared" ref="AJ51:AL51" si="3">IF($M51&gt;0, IF(OR($G51&gt;AJ$49,$G51+$M51&lt;=AJ$49),0,IF(AJ$49=2022,$F51-AD51,AI51-AD51)), AI51)</f>
        <v>0</v>
      </c>
      <c r="AK51" s="49">
        <f t="shared" si="3"/>
        <v>0</v>
      </c>
      <c r="AL51" s="103">
        <f t="shared" si="3"/>
        <v>0</v>
      </c>
      <c r="AN51" s="53">
        <f t="shared" ref="AN51" si="4">(AB51+AH51*H$16)*IF($K51=1,$F$31,1)</f>
        <v>0</v>
      </c>
      <c r="AO51" s="53">
        <f t="shared" ref="AO51" si="5">(AC51+AI51*I$16)*IF($K51=1,$F$31,1)</f>
        <v>0</v>
      </c>
      <c r="AP51" s="53">
        <f t="shared" ref="AP51" si="6">(AD51+AJ51*J$16)*IF($K51=1,$F$31,1)</f>
        <v>0</v>
      </c>
      <c r="AQ51" s="53">
        <f t="shared" ref="AQ51" si="7">(AE51+AK51*K$16)*IF($K51=1,$F$31,1)</f>
        <v>0</v>
      </c>
      <c r="AR51" s="203">
        <f t="shared" ref="AR51" si="8">(AF51+AL51*L$16)*IF($K51=1,$F$31,1)</f>
        <v>0</v>
      </c>
      <c r="AY51" s="3"/>
    </row>
    <row r="52" spans="1:51">
      <c r="A52" s="54"/>
      <c r="B52" s="43">
        <f>'13. Desinvesteringen'!B336</f>
        <v>317</v>
      </c>
      <c r="C52" s="54"/>
      <c r="D52" s="54"/>
      <c r="E52" s="54"/>
      <c r="F52" s="48">
        <f>'5. Input GAW-waarde desinv.'!D12</f>
        <v>0</v>
      </c>
      <c r="G52" s="187">
        <f>'13. Desinvesteringen'!D336</f>
        <v>1951</v>
      </c>
      <c r="H52" s="187">
        <f>'13. Desinvesteringen'!G336</f>
        <v>2022</v>
      </c>
      <c r="I52" s="43" t="str">
        <f>'13. Desinvesteringen'!C336</f>
        <v>01 Regionale leidingen</v>
      </c>
      <c r="J52" s="176">
        <f>'13. Desinvesteringen'!F336</f>
        <v>0</v>
      </c>
      <c r="K52" s="44">
        <f>_xlfn.XLOOKUP(I52,'3. Input (des)investeringen '!$B$11:$B$81,'3. Input (des)investeringen '!$E$11:$E$81)</f>
        <v>1</v>
      </c>
      <c r="L52" s="54"/>
      <c r="M52" s="44">
        <f>_xlfn.XLOOKUP(I52,'3. Input (des)investeringen '!$B$11:$B$81,'3. Input (des)investeringen '!$D$11:$D$81,0)</f>
        <v>55</v>
      </c>
      <c r="N52" s="44">
        <f t="shared" ref="N52:N115" si="9">IF($M52&gt;0, MAX(0,IF(G52&lt;2022,M52-2021+G52-0.5,M52)), 0)</f>
        <v>0</v>
      </c>
      <c r="P52" s="49">
        <f t="shared" ref="P52:T83" si="10">IF($M52&gt;0, IF(OR($G52&gt;P$49,$G52+$M52&lt;P$49),0,
VDB($F52,0,$N52,MAX(0,P$49-2022),MIN($N52,P$49-2021),$F$22,FALSE))*(1-$F$25), 0)</f>
        <v>0</v>
      </c>
      <c r="Q52" s="49">
        <f t="shared" si="10"/>
        <v>0</v>
      </c>
      <c r="R52" s="49">
        <f t="shared" si="0"/>
        <v>0</v>
      </c>
      <c r="S52" s="49">
        <f t="shared" si="0"/>
        <v>0</v>
      </c>
      <c r="T52" s="103">
        <f t="shared" si="0"/>
        <v>0</v>
      </c>
      <c r="V52" s="49">
        <f t="shared" ref="V52:V115" si="11">IF($M52&gt;0, IF(OR($G52&gt;V$49,$G52+$M52&lt;V$49),0,
VDB($F52,0,$N52,MAX(0,P$49-2022),MIN($N52,P$49-2021),1,FALSE))*$F$25, 0)</f>
        <v>0</v>
      </c>
      <c r="W52" s="49">
        <f t="shared" ref="W52:W115" si="12">IF($M52&gt;0, IF(OR($G52&gt;W$49,$G52+$M52&lt;W$49),0,
VDB($F52,0,$N52,MAX(0,Q$49-2022),MIN($N52,Q$49-2021),1,FALSE))*$F$25, 0)</f>
        <v>0</v>
      </c>
      <c r="X52" s="49">
        <f t="shared" ref="X52:X115" si="13">IF($M52&gt;0, IF(OR($G52&gt;X$49,$G52+$M52&lt;X$49),0,
VDB($F52,0,$N52,MAX(0,R$49-2022),MIN($N52,R$49-2021),1,FALSE))*$F$25, 0)</f>
        <v>0</v>
      </c>
      <c r="Y52" s="49">
        <f t="shared" ref="Y52:Y115" si="14">IF($M52&gt;0, IF(OR($G52&gt;Y$49,$G52+$M52&lt;Y$49),0,
VDB($F52,0,$N52,MAX(0,S$49-2022),MIN($N52,S$49-2021),1,FALSE))*$F$25, 0)</f>
        <v>0</v>
      </c>
      <c r="Z52" s="103">
        <f t="shared" ref="Z52:Z115" si="15">IF($M52&gt;0, IF(OR($G52&gt;Z$49,$G52+$M52&lt;Z$49),0,
VDB($F52,0,$N52,MAX(0,T$49-2022),MIN($N52,T$49-2021),1,FALSE))*$F$25, 0)</f>
        <v>0</v>
      </c>
      <c r="AB52" s="49">
        <f t="shared" ref="AB52:AB115" si="16">P52+V52</f>
        <v>0</v>
      </c>
      <c r="AC52" s="49">
        <f t="shared" ref="AC52:AC115" si="17">Q52+W52</f>
        <v>0</v>
      </c>
      <c r="AD52" s="49">
        <f t="shared" ref="AD52:AD115" si="18">R52+X52</f>
        <v>0</v>
      </c>
      <c r="AE52" s="49">
        <f t="shared" ref="AE52:AE115" si="19">S52+Y52</f>
        <v>0</v>
      </c>
      <c r="AF52" s="103">
        <f t="shared" ref="AF52:AF115" si="20">T52+Z52</f>
        <v>0</v>
      </c>
      <c r="AH52" s="49">
        <f t="shared" ref="AH52:AH115" si="21">IF($M52&gt;0, IF($M52&gt;0,IF(OR($G52&gt;AH$49,$G52+$M52&lt;=AH$49),0,IF(AH$49=2022,$F52-AB52,AG52-AB52))), $F52)</f>
        <v>0</v>
      </c>
      <c r="AI52" s="49">
        <f t="shared" ref="AI52:AI115" si="22">IF($M52&gt;0, IF(OR($G52&gt;AI$49,$G52+$M52&lt;=AI$49),0,IF(AI$49=2022,$F52-AC52,AH52-AC52)), AH52)</f>
        <v>0</v>
      </c>
      <c r="AJ52" s="49">
        <f t="shared" ref="AJ52:AJ115" si="23">IF($M52&gt;0, IF(OR($G52&gt;AJ$49,$G52+$M52&lt;=AJ$49),0,IF(AJ$49=2022,$F52-AD52,AI52-AD52)), AI52)</f>
        <v>0</v>
      </c>
      <c r="AK52" s="49">
        <f t="shared" ref="AK52:AK115" si="24">IF($M52&gt;0, IF(OR($G52&gt;AK$49,$G52+$M52&lt;=AK$49),0,IF(AK$49=2022,$F52-AE52,AJ52-AE52)), AJ52)</f>
        <v>0</v>
      </c>
      <c r="AL52" s="103">
        <f t="shared" ref="AL52:AL115" si="25">IF($M52&gt;0, IF(OR($G52&gt;AL$49,$G52+$M52&lt;=AL$49),0,IF(AL$49=2022,$F52-AF52,AK52-AF52)), AK52)</f>
        <v>0</v>
      </c>
      <c r="AN52" s="53">
        <f t="shared" ref="AN52:AN115" si="26">(AB52+AH52*H$16)*IF($K52=1,$F$31,1)</f>
        <v>0</v>
      </c>
      <c r="AO52" s="53">
        <f t="shared" ref="AO52:AO115" si="27">(AC52+AI52*I$16)*IF($K52=1,$F$31,1)</f>
        <v>0</v>
      </c>
      <c r="AP52" s="53">
        <f t="shared" ref="AP52:AP115" si="28">(AD52+AJ52*J$16)*IF($K52=1,$F$31,1)</f>
        <v>0</v>
      </c>
      <c r="AQ52" s="53">
        <f t="shared" ref="AQ52:AQ115" si="29">(AE52+AK52*K$16)*IF($K52=1,$F$31,1)</f>
        <v>0</v>
      </c>
      <c r="AR52" s="203">
        <f t="shared" ref="AR52:AR115" si="30">(AF52+AL52*L$16)*IF($K52=1,$F$31,1)</f>
        <v>0</v>
      </c>
      <c r="AY52" s="3"/>
    </row>
    <row r="53" spans="1:51">
      <c r="A53" s="54"/>
      <c r="B53" s="43">
        <f>'13. Desinvesteringen'!B337</f>
        <v>318</v>
      </c>
      <c r="C53" s="54"/>
      <c r="D53" s="54"/>
      <c r="E53" s="54"/>
      <c r="F53" s="48">
        <f>'5. Input GAW-waarde desinv.'!D13</f>
        <v>0</v>
      </c>
      <c r="G53" s="187">
        <f>'13. Desinvesteringen'!D337</f>
        <v>1955</v>
      </c>
      <c r="H53" s="187">
        <f>'13. Desinvesteringen'!G337</f>
        <v>2022</v>
      </c>
      <c r="I53" s="43" t="str">
        <f>'13. Desinvesteringen'!C337</f>
        <v>01 Regionale leidingen</v>
      </c>
      <c r="J53" s="176">
        <f>'13. Desinvesteringen'!F337</f>
        <v>0</v>
      </c>
      <c r="K53" s="44">
        <f>_xlfn.XLOOKUP(I53,'3. Input (des)investeringen '!$B$11:$B$81,'3. Input (des)investeringen '!$E$11:$E$81)</f>
        <v>1</v>
      </c>
      <c r="L53" s="54"/>
      <c r="M53" s="44">
        <f>_xlfn.XLOOKUP(I53,'3. Input (des)investeringen '!$B$11:$B$81,'3. Input (des)investeringen '!$D$11:$D$81,0)</f>
        <v>55</v>
      </c>
      <c r="N53" s="44">
        <f t="shared" si="9"/>
        <v>0</v>
      </c>
      <c r="P53" s="49">
        <f t="shared" si="10"/>
        <v>0</v>
      </c>
      <c r="Q53" s="49">
        <f t="shared" si="10"/>
        <v>0</v>
      </c>
      <c r="R53" s="49">
        <f t="shared" si="0"/>
        <v>0</v>
      </c>
      <c r="S53" s="49">
        <f t="shared" si="0"/>
        <v>0</v>
      </c>
      <c r="T53" s="103">
        <f t="shared" si="0"/>
        <v>0</v>
      </c>
      <c r="V53" s="49">
        <f t="shared" si="11"/>
        <v>0</v>
      </c>
      <c r="W53" s="49">
        <f t="shared" si="12"/>
        <v>0</v>
      </c>
      <c r="X53" s="49">
        <f t="shared" si="13"/>
        <v>0</v>
      </c>
      <c r="Y53" s="49">
        <f t="shared" si="14"/>
        <v>0</v>
      </c>
      <c r="Z53" s="103">
        <f t="shared" si="15"/>
        <v>0</v>
      </c>
      <c r="AB53" s="49">
        <f t="shared" si="16"/>
        <v>0</v>
      </c>
      <c r="AC53" s="49">
        <f t="shared" si="17"/>
        <v>0</v>
      </c>
      <c r="AD53" s="49">
        <f t="shared" si="18"/>
        <v>0</v>
      </c>
      <c r="AE53" s="49">
        <f t="shared" si="19"/>
        <v>0</v>
      </c>
      <c r="AF53" s="103">
        <f t="shared" si="20"/>
        <v>0</v>
      </c>
      <c r="AH53" s="49">
        <f t="shared" si="21"/>
        <v>0</v>
      </c>
      <c r="AI53" s="49">
        <f t="shared" si="22"/>
        <v>0</v>
      </c>
      <c r="AJ53" s="49">
        <f t="shared" si="23"/>
        <v>0</v>
      </c>
      <c r="AK53" s="49">
        <f t="shared" si="24"/>
        <v>0</v>
      </c>
      <c r="AL53" s="103">
        <f t="shared" si="25"/>
        <v>0</v>
      </c>
      <c r="AN53" s="53">
        <f t="shared" si="26"/>
        <v>0</v>
      </c>
      <c r="AO53" s="53">
        <f t="shared" si="27"/>
        <v>0</v>
      </c>
      <c r="AP53" s="53">
        <f t="shared" si="28"/>
        <v>0</v>
      </c>
      <c r="AQ53" s="53">
        <f t="shared" si="29"/>
        <v>0</v>
      </c>
      <c r="AR53" s="203">
        <f t="shared" si="30"/>
        <v>0</v>
      </c>
      <c r="AY53" s="3"/>
    </row>
    <row r="54" spans="1:51">
      <c r="A54" s="54"/>
      <c r="B54" s="43">
        <f>'13. Desinvesteringen'!B338</f>
        <v>319</v>
      </c>
      <c r="C54" s="54"/>
      <c r="D54" s="54"/>
      <c r="E54" s="54"/>
      <c r="F54" s="48">
        <f>'5. Input GAW-waarde desinv.'!D14</f>
        <v>0</v>
      </c>
      <c r="G54" s="187">
        <f>'13. Desinvesteringen'!D338</f>
        <v>1960</v>
      </c>
      <c r="H54" s="187">
        <f>'13. Desinvesteringen'!G338</f>
        <v>2022</v>
      </c>
      <c r="I54" s="43" t="str">
        <f>'13. Desinvesteringen'!C338</f>
        <v>01 Regionale leidingen</v>
      </c>
      <c r="J54" s="176">
        <f>'13. Desinvesteringen'!F338</f>
        <v>0</v>
      </c>
      <c r="K54" s="44">
        <f>_xlfn.XLOOKUP(I54,'3. Input (des)investeringen '!$B$11:$B$81,'3. Input (des)investeringen '!$E$11:$E$81)</f>
        <v>1</v>
      </c>
      <c r="L54" s="54"/>
      <c r="M54" s="44">
        <f>_xlfn.XLOOKUP(I54,'3. Input (des)investeringen '!$B$11:$B$81,'3. Input (des)investeringen '!$D$11:$D$81,0)</f>
        <v>55</v>
      </c>
      <c r="N54" s="44">
        <f t="shared" si="9"/>
        <v>0</v>
      </c>
      <c r="P54" s="49">
        <f t="shared" si="10"/>
        <v>0</v>
      </c>
      <c r="Q54" s="49">
        <f t="shared" si="10"/>
        <v>0</v>
      </c>
      <c r="R54" s="49">
        <f t="shared" si="0"/>
        <v>0</v>
      </c>
      <c r="S54" s="49">
        <f t="shared" si="0"/>
        <v>0</v>
      </c>
      <c r="T54" s="103">
        <f t="shared" si="0"/>
        <v>0</v>
      </c>
      <c r="V54" s="49">
        <f t="shared" si="11"/>
        <v>0</v>
      </c>
      <c r="W54" s="49">
        <f t="shared" si="12"/>
        <v>0</v>
      </c>
      <c r="X54" s="49">
        <f t="shared" si="13"/>
        <v>0</v>
      </c>
      <c r="Y54" s="49">
        <f t="shared" si="14"/>
        <v>0</v>
      </c>
      <c r="Z54" s="103">
        <f t="shared" si="15"/>
        <v>0</v>
      </c>
      <c r="AB54" s="49">
        <f t="shared" si="16"/>
        <v>0</v>
      </c>
      <c r="AC54" s="49">
        <f t="shared" si="17"/>
        <v>0</v>
      </c>
      <c r="AD54" s="49">
        <f t="shared" si="18"/>
        <v>0</v>
      </c>
      <c r="AE54" s="49">
        <f t="shared" si="19"/>
        <v>0</v>
      </c>
      <c r="AF54" s="103">
        <f t="shared" si="20"/>
        <v>0</v>
      </c>
      <c r="AH54" s="49">
        <f t="shared" si="21"/>
        <v>0</v>
      </c>
      <c r="AI54" s="49">
        <f t="shared" si="22"/>
        <v>0</v>
      </c>
      <c r="AJ54" s="49">
        <f t="shared" si="23"/>
        <v>0</v>
      </c>
      <c r="AK54" s="49">
        <f t="shared" si="24"/>
        <v>0</v>
      </c>
      <c r="AL54" s="103">
        <f t="shared" si="25"/>
        <v>0</v>
      </c>
      <c r="AN54" s="53">
        <f t="shared" si="26"/>
        <v>0</v>
      </c>
      <c r="AO54" s="53">
        <f t="shared" si="27"/>
        <v>0</v>
      </c>
      <c r="AP54" s="53">
        <f t="shared" si="28"/>
        <v>0</v>
      </c>
      <c r="AQ54" s="53">
        <f t="shared" si="29"/>
        <v>0</v>
      </c>
      <c r="AR54" s="203">
        <f t="shared" si="30"/>
        <v>0</v>
      </c>
      <c r="AY54" s="3"/>
    </row>
    <row r="55" spans="1:51">
      <c r="A55" s="54"/>
      <c r="B55" s="43">
        <f>'13. Desinvesteringen'!B339</f>
        <v>320</v>
      </c>
      <c r="C55" s="54"/>
      <c r="D55" s="54"/>
      <c r="E55" s="54"/>
      <c r="F55" s="48">
        <f>'5. Input GAW-waarde desinv.'!D15</f>
        <v>0</v>
      </c>
      <c r="G55" s="187">
        <f>'13. Desinvesteringen'!D339</f>
        <v>1964</v>
      </c>
      <c r="H55" s="187">
        <f>'13. Desinvesteringen'!G339</f>
        <v>2022</v>
      </c>
      <c r="I55" s="43" t="str">
        <f>'13. Desinvesteringen'!C339</f>
        <v>01 Regionale leidingen</v>
      </c>
      <c r="J55" s="176">
        <f>'13. Desinvesteringen'!F339</f>
        <v>0</v>
      </c>
      <c r="K55" s="44">
        <f>_xlfn.XLOOKUP(I55,'3. Input (des)investeringen '!$B$11:$B$81,'3. Input (des)investeringen '!$E$11:$E$81)</f>
        <v>1</v>
      </c>
      <c r="L55" s="54"/>
      <c r="M55" s="44">
        <f>_xlfn.XLOOKUP(I55,'3. Input (des)investeringen '!$B$11:$B$81,'3. Input (des)investeringen '!$D$11:$D$81,0)</f>
        <v>55</v>
      </c>
      <c r="N55" s="44">
        <f t="shared" si="9"/>
        <v>0</v>
      </c>
      <c r="P55" s="49">
        <f t="shared" si="10"/>
        <v>0</v>
      </c>
      <c r="Q55" s="49">
        <f t="shared" si="10"/>
        <v>0</v>
      </c>
      <c r="R55" s="49">
        <f t="shared" si="0"/>
        <v>0</v>
      </c>
      <c r="S55" s="49">
        <f t="shared" si="0"/>
        <v>0</v>
      </c>
      <c r="T55" s="103">
        <f t="shared" si="0"/>
        <v>0</v>
      </c>
      <c r="V55" s="49">
        <f t="shared" si="11"/>
        <v>0</v>
      </c>
      <c r="W55" s="49">
        <f t="shared" si="12"/>
        <v>0</v>
      </c>
      <c r="X55" s="49">
        <f t="shared" si="13"/>
        <v>0</v>
      </c>
      <c r="Y55" s="49">
        <f t="shared" si="14"/>
        <v>0</v>
      </c>
      <c r="Z55" s="103">
        <f t="shared" si="15"/>
        <v>0</v>
      </c>
      <c r="AB55" s="49">
        <f t="shared" si="16"/>
        <v>0</v>
      </c>
      <c r="AC55" s="49">
        <f t="shared" si="17"/>
        <v>0</v>
      </c>
      <c r="AD55" s="49">
        <f t="shared" si="18"/>
        <v>0</v>
      </c>
      <c r="AE55" s="49">
        <f t="shared" si="19"/>
        <v>0</v>
      </c>
      <c r="AF55" s="103">
        <f t="shared" si="20"/>
        <v>0</v>
      </c>
      <c r="AH55" s="49">
        <f t="shared" si="21"/>
        <v>0</v>
      </c>
      <c r="AI55" s="49">
        <f t="shared" si="22"/>
        <v>0</v>
      </c>
      <c r="AJ55" s="49">
        <f t="shared" si="23"/>
        <v>0</v>
      </c>
      <c r="AK55" s="49">
        <f t="shared" si="24"/>
        <v>0</v>
      </c>
      <c r="AL55" s="103">
        <f t="shared" si="25"/>
        <v>0</v>
      </c>
      <c r="AN55" s="53">
        <f t="shared" si="26"/>
        <v>0</v>
      </c>
      <c r="AO55" s="53">
        <f t="shared" si="27"/>
        <v>0</v>
      </c>
      <c r="AP55" s="53">
        <f t="shared" si="28"/>
        <v>0</v>
      </c>
      <c r="AQ55" s="53">
        <f t="shared" si="29"/>
        <v>0</v>
      </c>
      <c r="AR55" s="203">
        <f t="shared" si="30"/>
        <v>0</v>
      </c>
      <c r="AY55" s="3"/>
    </row>
    <row r="56" spans="1:51">
      <c r="A56" s="54"/>
      <c r="B56" s="43">
        <f>'13. Desinvesteringen'!B340</f>
        <v>321</v>
      </c>
      <c r="C56" s="54"/>
      <c r="D56" s="54"/>
      <c r="E56" s="54"/>
      <c r="F56" s="48">
        <f>'5. Input GAW-waarde desinv.'!D16</f>
        <v>0</v>
      </c>
      <c r="G56" s="187">
        <f>'13. Desinvesteringen'!D340</f>
        <v>1965</v>
      </c>
      <c r="H56" s="187">
        <f>'13. Desinvesteringen'!G340</f>
        <v>2022</v>
      </c>
      <c r="I56" s="43" t="str">
        <f>'13. Desinvesteringen'!C340</f>
        <v>01 Regionale leidingen</v>
      </c>
      <c r="J56" s="176">
        <f>'13. Desinvesteringen'!F340</f>
        <v>0</v>
      </c>
      <c r="K56" s="44">
        <f>_xlfn.XLOOKUP(I56,'3. Input (des)investeringen '!$B$11:$B$81,'3. Input (des)investeringen '!$E$11:$E$81)</f>
        <v>1</v>
      </c>
      <c r="L56" s="54"/>
      <c r="M56" s="44">
        <f>_xlfn.XLOOKUP(I56,'3. Input (des)investeringen '!$B$11:$B$81,'3. Input (des)investeringen '!$D$11:$D$81,0)</f>
        <v>55</v>
      </c>
      <c r="N56" s="44">
        <f t="shared" si="9"/>
        <v>0</v>
      </c>
      <c r="P56" s="49">
        <f t="shared" si="10"/>
        <v>0</v>
      </c>
      <c r="Q56" s="49">
        <f t="shared" si="10"/>
        <v>0</v>
      </c>
      <c r="R56" s="49">
        <f t="shared" si="0"/>
        <v>0</v>
      </c>
      <c r="S56" s="49">
        <f t="shared" si="0"/>
        <v>0</v>
      </c>
      <c r="T56" s="103">
        <f t="shared" si="0"/>
        <v>0</v>
      </c>
      <c r="V56" s="49">
        <f t="shared" si="11"/>
        <v>0</v>
      </c>
      <c r="W56" s="49">
        <f t="shared" si="12"/>
        <v>0</v>
      </c>
      <c r="X56" s="49">
        <f t="shared" si="13"/>
        <v>0</v>
      </c>
      <c r="Y56" s="49">
        <f t="shared" si="14"/>
        <v>0</v>
      </c>
      <c r="Z56" s="103">
        <f t="shared" si="15"/>
        <v>0</v>
      </c>
      <c r="AB56" s="49">
        <f t="shared" si="16"/>
        <v>0</v>
      </c>
      <c r="AC56" s="49">
        <f t="shared" si="17"/>
        <v>0</v>
      </c>
      <c r="AD56" s="49">
        <f t="shared" si="18"/>
        <v>0</v>
      </c>
      <c r="AE56" s="49">
        <f t="shared" si="19"/>
        <v>0</v>
      </c>
      <c r="AF56" s="103">
        <f t="shared" si="20"/>
        <v>0</v>
      </c>
      <c r="AH56" s="49">
        <f t="shared" si="21"/>
        <v>0</v>
      </c>
      <c r="AI56" s="49">
        <f t="shared" si="22"/>
        <v>0</v>
      </c>
      <c r="AJ56" s="49">
        <f t="shared" si="23"/>
        <v>0</v>
      </c>
      <c r="AK56" s="49">
        <f t="shared" si="24"/>
        <v>0</v>
      </c>
      <c r="AL56" s="103">
        <f t="shared" si="25"/>
        <v>0</v>
      </c>
      <c r="AN56" s="53">
        <f t="shared" si="26"/>
        <v>0</v>
      </c>
      <c r="AO56" s="53">
        <f t="shared" si="27"/>
        <v>0</v>
      </c>
      <c r="AP56" s="53">
        <f t="shared" si="28"/>
        <v>0</v>
      </c>
      <c r="AQ56" s="53">
        <f t="shared" si="29"/>
        <v>0</v>
      </c>
      <c r="AR56" s="203">
        <f t="shared" si="30"/>
        <v>0</v>
      </c>
      <c r="AY56" s="3"/>
    </row>
    <row r="57" spans="1:51">
      <c r="A57" s="54"/>
      <c r="B57" s="43">
        <f>'13. Desinvesteringen'!B341</f>
        <v>322</v>
      </c>
      <c r="C57" s="54"/>
      <c r="D57" s="54"/>
      <c r="E57" s="54"/>
      <c r="F57" s="48">
        <f>'5. Input GAW-waarde desinv.'!D17</f>
        <v>0</v>
      </c>
      <c r="G57" s="187">
        <f>'13. Desinvesteringen'!D341</f>
        <v>1966</v>
      </c>
      <c r="H57" s="187">
        <f>'13. Desinvesteringen'!G341</f>
        <v>2022</v>
      </c>
      <c r="I57" s="43" t="str">
        <f>'13. Desinvesteringen'!C341</f>
        <v>01 Regionale leidingen</v>
      </c>
      <c r="J57" s="176">
        <f>'13. Desinvesteringen'!F341</f>
        <v>0</v>
      </c>
      <c r="K57" s="44">
        <f>_xlfn.XLOOKUP(I57,'3. Input (des)investeringen '!$B$11:$B$81,'3. Input (des)investeringen '!$E$11:$E$81)</f>
        <v>1</v>
      </c>
      <c r="L57" s="54"/>
      <c r="M57" s="44">
        <f>_xlfn.XLOOKUP(I57,'3. Input (des)investeringen '!$B$11:$B$81,'3. Input (des)investeringen '!$D$11:$D$81,0)</f>
        <v>55</v>
      </c>
      <c r="N57" s="44">
        <f t="shared" si="9"/>
        <v>0</v>
      </c>
      <c r="P57" s="49">
        <f t="shared" si="10"/>
        <v>0</v>
      </c>
      <c r="Q57" s="49">
        <f t="shared" si="10"/>
        <v>0</v>
      </c>
      <c r="R57" s="49">
        <f t="shared" si="0"/>
        <v>0</v>
      </c>
      <c r="S57" s="49">
        <f t="shared" si="0"/>
        <v>0</v>
      </c>
      <c r="T57" s="103">
        <f t="shared" si="0"/>
        <v>0</v>
      </c>
      <c r="V57" s="49">
        <f t="shared" si="11"/>
        <v>0</v>
      </c>
      <c r="W57" s="49">
        <f t="shared" si="12"/>
        <v>0</v>
      </c>
      <c r="X57" s="49">
        <f t="shared" si="13"/>
        <v>0</v>
      </c>
      <c r="Y57" s="49">
        <f t="shared" si="14"/>
        <v>0</v>
      </c>
      <c r="Z57" s="103">
        <f t="shared" si="15"/>
        <v>0</v>
      </c>
      <c r="AB57" s="49">
        <f t="shared" si="16"/>
        <v>0</v>
      </c>
      <c r="AC57" s="49">
        <f t="shared" si="17"/>
        <v>0</v>
      </c>
      <c r="AD57" s="49">
        <f t="shared" si="18"/>
        <v>0</v>
      </c>
      <c r="AE57" s="49">
        <f t="shared" si="19"/>
        <v>0</v>
      </c>
      <c r="AF57" s="103">
        <f t="shared" si="20"/>
        <v>0</v>
      </c>
      <c r="AH57" s="49">
        <f t="shared" si="21"/>
        <v>0</v>
      </c>
      <c r="AI57" s="49">
        <f t="shared" si="22"/>
        <v>0</v>
      </c>
      <c r="AJ57" s="49">
        <f t="shared" si="23"/>
        <v>0</v>
      </c>
      <c r="AK57" s="49">
        <f t="shared" si="24"/>
        <v>0</v>
      </c>
      <c r="AL57" s="103">
        <f t="shared" si="25"/>
        <v>0</v>
      </c>
      <c r="AN57" s="53">
        <f t="shared" si="26"/>
        <v>0</v>
      </c>
      <c r="AO57" s="53">
        <f t="shared" si="27"/>
        <v>0</v>
      </c>
      <c r="AP57" s="53">
        <f t="shared" si="28"/>
        <v>0</v>
      </c>
      <c r="AQ57" s="53">
        <f t="shared" si="29"/>
        <v>0</v>
      </c>
      <c r="AR57" s="203">
        <f t="shared" si="30"/>
        <v>0</v>
      </c>
      <c r="AY57" s="3"/>
    </row>
    <row r="58" spans="1:51">
      <c r="A58" s="54"/>
      <c r="B58" s="43">
        <f>'13. Desinvesteringen'!B342</f>
        <v>323</v>
      </c>
      <c r="C58" s="54"/>
      <c r="D58" s="54"/>
      <c r="E58" s="54"/>
      <c r="F58" s="48">
        <f>'5. Input GAW-waarde desinv.'!D18</f>
        <v>4800.0618690721003</v>
      </c>
      <c r="G58" s="187">
        <f>'13. Desinvesteringen'!D342</f>
        <v>1967</v>
      </c>
      <c r="H58" s="187">
        <f>'13. Desinvesteringen'!G342</f>
        <v>2022</v>
      </c>
      <c r="I58" s="43" t="str">
        <f>'13. Desinvesteringen'!C342</f>
        <v>01 Regionale leidingen</v>
      </c>
      <c r="J58" s="176">
        <f>'13. Desinvesteringen'!F342</f>
        <v>0</v>
      </c>
      <c r="K58" s="44">
        <f>_xlfn.XLOOKUP(I58,'3. Input (des)investeringen '!$B$11:$B$81,'3. Input (des)investeringen '!$E$11:$E$81)</f>
        <v>1</v>
      </c>
      <c r="L58" s="54"/>
      <c r="M58" s="44">
        <f>_xlfn.XLOOKUP(I58,'3. Input (des)investeringen '!$B$11:$B$81,'3. Input (des)investeringen '!$D$11:$D$81,0)</f>
        <v>55</v>
      </c>
      <c r="N58" s="44">
        <f t="shared" si="9"/>
        <v>0.5</v>
      </c>
      <c r="P58" s="49">
        <f t="shared" si="10"/>
        <v>4320.0556821648906</v>
      </c>
      <c r="Q58" s="49">
        <f t="shared" si="10"/>
        <v>0</v>
      </c>
      <c r="R58" s="49">
        <f t="shared" si="0"/>
        <v>0</v>
      </c>
      <c r="S58" s="49">
        <f t="shared" si="0"/>
        <v>0</v>
      </c>
      <c r="T58" s="103">
        <f t="shared" si="0"/>
        <v>0</v>
      </c>
      <c r="V58" s="49">
        <f t="shared" si="11"/>
        <v>480.00618690721006</v>
      </c>
      <c r="W58" s="49">
        <f t="shared" si="12"/>
        <v>0</v>
      </c>
      <c r="X58" s="49">
        <f t="shared" si="13"/>
        <v>0</v>
      </c>
      <c r="Y58" s="49">
        <f t="shared" si="14"/>
        <v>0</v>
      </c>
      <c r="Z58" s="103">
        <f t="shared" si="15"/>
        <v>0</v>
      </c>
      <c r="AB58" s="49">
        <f t="shared" si="16"/>
        <v>4800.0618690721003</v>
      </c>
      <c r="AC58" s="49">
        <f t="shared" si="17"/>
        <v>0</v>
      </c>
      <c r="AD58" s="49">
        <f t="shared" si="18"/>
        <v>0</v>
      </c>
      <c r="AE58" s="49">
        <f t="shared" si="19"/>
        <v>0</v>
      </c>
      <c r="AF58" s="103">
        <f t="shared" si="20"/>
        <v>0</v>
      </c>
      <c r="AH58" s="49">
        <f t="shared" si="21"/>
        <v>0</v>
      </c>
      <c r="AI58" s="49">
        <f t="shared" si="22"/>
        <v>0</v>
      </c>
      <c r="AJ58" s="49">
        <f t="shared" si="23"/>
        <v>0</v>
      </c>
      <c r="AK58" s="49">
        <f t="shared" si="24"/>
        <v>0</v>
      </c>
      <c r="AL58" s="103">
        <f t="shared" si="25"/>
        <v>0</v>
      </c>
      <c r="AN58" s="53">
        <f t="shared" si="26"/>
        <v>4800.0618690721003</v>
      </c>
      <c r="AO58" s="53">
        <f t="shared" si="27"/>
        <v>0</v>
      </c>
      <c r="AP58" s="53">
        <f t="shared" si="28"/>
        <v>0</v>
      </c>
      <c r="AQ58" s="53">
        <f t="shared" si="29"/>
        <v>0</v>
      </c>
      <c r="AR58" s="203">
        <f t="shared" si="30"/>
        <v>0</v>
      </c>
      <c r="AY58" s="3"/>
    </row>
    <row r="59" spans="1:51">
      <c r="A59" s="54"/>
      <c r="B59" s="43">
        <f>'13. Desinvesteringen'!B343</f>
        <v>324</v>
      </c>
      <c r="C59" s="54"/>
      <c r="D59" s="54"/>
      <c r="E59" s="54"/>
      <c r="F59" s="48">
        <f>'5. Input GAW-waarde desinv.'!D19</f>
        <v>7362.4523493487277</v>
      </c>
      <c r="G59" s="187">
        <f>'13. Desinvesteringen'!D343</f>
        <v>1968</v>
      </c>
      <c r="H59" s="187">
        <f>'13. Desinvesteringen'!G343</f>
        <v>2022</v>
      </c>
      <c r="I59" s="43" t="str">
        <f>'13. Desinvesteringen'!C343</f>
        <v>01 Regionale leidingen</v>
      </c>
      <c r="J59" s="176">
        <f>'13. Desinvesteringen'!F343</f>
        <v>0</v>
      </c>
      <c r="K59" s="44">
        <f>_xlfn.XLOOKUP(I59,'3. Input (des)investeringen '!$B$11:$B$81,'3. Input (des)investeringen '!$E$11:$E$81)</f>
        <v>1</v>
      </c>
      <c r="L59" s="54"/>
      <c r="M59" s="44">
        <f>_xlfn.XLOOKUP(I59,'3. Input (des)investeringen '!$B$11:$B$81,'3. Input (des)investeringen '!$D$11:$D$81,0)</f>
        <v>55</v>
      </c>
      <c r="N59" s="44">
        <f t="shared" si="9"/>
        <v>1.5</v>
      </c>
      <c r="P59" s="49">
        <f t="shared" si="10"/>
        <v>5742.7128324920077</v>
      </c>
      <c r="Q59" s="49">
        <f t="shared" si="10"/>
        <v>883.49428192184735</v>
      </c>
      <c r="R59" s="49">
        <f t="shared" si="0"/>
        <v>0</v>
      </c>
      <c r="S59" s="49">
        <f t="shared" si="0"/>
        <v>0</v>
      </c>
      <c r="T59" s="103">
        <f t="shared" si="0"/>
        <v>0</v>
      </c>
      <c r="V59" s="49">
        <f t="shared" si="11"/>
        <v>490.83015662324851</v>
      </c>
      <c r="W59" s="49">
        <f t="shared" si="12"/>
        <v>245.41507831162426</v>
      </c>
      <c r="X59" s="49">
        <f t="shared" si="13"/>
        <v>0</v>
      </c>
      <c r="Y59" s="49">
        <f t="shared" si="14"/>
        <v>0</v>
      </c>
      <c r="Z59" s="103">
        <f t="shared" si="15"/>
        <v>0</v>
      </c>
      <c r="AB59" s="49">
        <f t="shared" si="16"/>
        <v>6233.5429891152562</v>
      </c>
      <c r="AC59" s="49">
        <f t="shared" si="17"/>
        <v>1128.9093602334715</v>
      </c>
      <c r="AD59" s="49">
        <f t="shared" si="18"/>
        <v>0</v>
      </c>
      <c r="AE59" s="49">
        <f t="shared" si="19"/>
        <v>0</v>
      </c>
      <c r="AF59" s="103">
        <f t="shared" si="20"/>
        <v>0</v>
      </c>
      <c r="AH59" s="49">
        <f t="shared" si="21"/>
        <v>1128.9093602334715</v>
      </c>
      <c r="AI59" s="49">
        <f t="shared" si="22"/>
        <v>0</v>
      </c>
      <c r="AJ59" s="49">
        <f t="shared" si="23"/>
        <v>0</v>
      </c>
      <c r="AK59" s="49">
        <f t="shared" si="24"/>
        <v>0</v>
      </c>
      <c r="AL59" s="103">
        <f t="shared" si="25"/>
        <v>0</v>
      </c>
      <c r="AN59" s="53">
        <f t="shared" si="26"/>
        <v>6279.8282728848289</v>
      </c>
      <c r="AO59" s="53">
        <f t="shared" si="27"/>
        <v>1128.9093602334715</v>
      </c>
      <c r="AP59" s="53">
        <f t="shared" si="28"/>
        <v>0</v>
      </c>
      <c r="AQ59" s="53">
        <f t="shared" si="29"/>
        <v>0</v>
      </c>
      <c r="AR59" s="203">
        <f t="shared" si="30"/>
        <v>0</v>
      </c>
      <c r="AY59" s="3"/>
    </row>
    <row r="60" spans="1:51">
      <c r="A60" s="54"/>
      <c r="B60" s="43">
        <f>'13. Desinvesteringen'!B344</f>
        <v>325</v>
      </c>
      <c r="C60" s="54"/>
      <c r="D60" s="54"/>
      <c r="E60" s="54"/>
      <c r="F60" s="48">
        <f>'5. Input GAW-waarde desinv.'!D20</f>
        <v>19106.465971183679</v>
      </c>
      <c r="G60" s="187">
        <f>'13. Desinvesteringen'!D344</f>
        <v>1969</v>
      </c>
      <c r="H60" s="187">
        <f>'13. Desinvesteringen'!G344</f>
        <v>2022</v>
      </c>
      <c r="I60" s="43" t="str">
        <f>'13. Desinvesteringen'!C344</f>
        <v>01 Regionale leidingen</v>
      </c>
      <c r="J60" s="176">
        <f>'13. Desinvesteringen'!F344</f>
        <v>0</v>
      </c>
      <c r="K60" s="44">
        <f>_xlfn.XLOOKUP(I60,'3. Input (des)investeringen '!$B$11:$B$81,'3. Input (des)investeringen '!$E$11:$E$81)</f>
        <v>1</v>
      </c>
      <c r="L60" s="54"/>
      <c r="M60" s="44">
        <f>_xlfn.XLOOKUP(I60,'3. Input (des)investeringen '!$B$11:$B$81,'3. Input (des)investeringen '!$D$11:$D$81,0)</f>
        <v>55</v>
      </c>
      <c r="N60" s="44">
        <f t="shared" si="9"/>
        <v>2.5</v>
      </c>
      <c r="P60" s="49">
        <f t="shared" si="10"/>
        <v>8941.8260745139614</v>
      </c>
      <c r="Q60" s="49">
        <f t="shared" si="10"/>
        <v>5502.6621997009006</v>
      </c>
      <c r="R60" s="49">
        <f t="shared" si="0"/>
        <v>2751.3310998504503</v>
      </c>
      <c r="S60" s="49">
        <f t="shared" si="0"/>
        <v>0</v>
      </c>
      <c r="T60" s="103">
        <f t="shared" si="0"/>
        <v>0</v>
      </c>
      <c r="V60" s="49">
        <f t="shared" si="11"/>
        <v>764.25863884734724</v>
      </c>
      <c r="W60" s="49">
        <f t="shared" si="12"/>
        <v>764.25863884734724</v>
      </c>
      <c r="X60" s="49">
        <f t="shared" si="13"/>
        <v>382.12931942367362</v>
      </c>
      <c r="Y60" s="49">
        <f t="shared" si="14"/>
        <v>0</v>
      </c>
      <c r="Z60" s="103">
        <f t="shared" si="15"/>
        <v>0</v>
      </c>
      <c r="AB60" s="49">
        <f t="shared" si="16"/>
        <v>9706.0847133613079</v>
      </c>
      <c r="AC60" s="49">
        <f t="shared" si="17"/>
        <v>6266.920838548248</v>
      </c>
      <c r="AD60" s="49">
        <f t="shared" si="18"/>
        <v>3133.460419274124</v>
      </c>
      <c r="AE60" s="49">
        <f t="shared" si="19"/>
        <v>0</v>
      </c>
      <c r="AF60" s="103">
        <f t="shared" si="20"/>
        <v>0</v>
      </c>
      <c r="AH60" s="49">
        <f t="shared" si="21"/>
        <v>9400.3812578223715</v>
      </c>
      <c r="AI60" s="49">
        <f t="shared" si="22"/>
        <v>3133.4604192741235</v>
      </c>
      <c r="AJ60" s="49">
        <f t="shared" si="23"/>
        <v>0</v>
      </c>
      <c r="AK60" s="49">
        <f t="shared" si="24"/>
        <v>0</v>
      </c>
      <c r="AL60" s="103">
        <f t="shared" si="25"/>
        <v>0</v>
      </c>
      <c r="AN60" s="53">
        <f t="shared" si="26"/>
        <v>10091.500344932025</v>
      </c>
      <c r="AO60" s="53">
        <f t="shared" si="27"/>
        <v>6426.7273199312285</v>
      </c>
      <c r="AP60" s="53">
        <f t="shared" si="28"/>
        <v>3133.460419274124</v>
      </c>
      <c r="AQ60" s="53">
        <f t="shared" si="29"/>
        <v>0</v>
      </c>
      <c r="AR60" s="203">
        <f t="shared" si="30"/>
        <v>0</v>
      </c>
      <c r="AY60" s="3"/>
    </row>
    <row r="61" spans="1:51">
      <c r="A61" s="54"/>
      <c r="B61" s="43">
        <f>'13. Desinvesteringen'!B345</f>
        <v>326</v>
      </c>
      <c r="C61" s="54"/>
      <c r="D61" s="54"/>
      <c r="E61" s="54"/>
      <c r="F61" s="48">
        <f>'5. Input GAW-waarde desinv.'!D21</f>
        <v>34361.047919882221</v>
      </c>
      <c r="G61" s="187">
        <f>'13. Desinvesteringen'!D345</f>
        <v>1970</v>
      </c>
      <c r="H61" s="187">
        <f>'13. Desinvesteringen'!G345</f>
        <v>2022</v>
      </c>
      <c r="I61" s="43" t="str">
        <f>'13. Desinvesteringen'!C345</f>
        <v>01 Regionale leidingen</v>
      </c>
      <c r="J61" s="176">
        <f>'13. Desinvesteringen'!F345</f>
        <v>0</v>
      </c>
      <c r="K61" s="44">
        <f>_xlfn.XLOOKUP(I61,'3. Input (des)investeringen '!$B$11:$B$81,'3. Input (des)investeringen '!$E$11:$E$81)</f>
        <v>1</v>
      </c>
      <c r="L61" s="54"/>
      <c r="M61" s="44">
        <f>_xlfn.XLOOKUP(I61,'3. Input (des)investeringen '!$B$11:$B$81,'3. Input (des)investeringen '!$D$11:$D$81,0)</f>
        <v>55</v>
      </c>
      <c r="N61" s="44">
        <f t="shared" si="9"/>
        <v>3.5</v>
      </c>
      <c r="P61" s="49">
        <f t="shared" si="10"/>
        <v>11486.407447503487</v>
      </c>
      <c r="Q61" s="49">
        <f t="shared" si="10"/>
        <v>7775.4142721562039</v>
      </c>
      <c r="R61" s="49">
        <f t="shared" si="0"/>
        <v>7775.4142721562039</v>
      </c>
      <c r="S61" s="49">
        <f t="shared" si="0"/>
        <v>3887.7071360781019</v>
      </c>
      <c r="T61" s="103">
        <f t="shared" si="0"/>
        <v>0</v>
      </c>
      <c r="V61" s="49">
        <f t="shared" si="11"/>
        <v>981.74422628234925</v>
      </c>
      <c r="W61" s="49">
        <f t="shared" si="12"/>
        <v>981.74422628234936</v>
      </c>
      <c r="X61" s="49">
        <f t="shared" si="13"/>
        <v>981.74422628234936</v>
      </c>
      <c r="Y61" s="49">
        <f t="shared" si="14"/>
        <v>490.87211314117468</v>
      </c>
      <c r="Z61" s="103">
        <f t="shared" si="15"/>
        <v>0</v>
      </c>
      <c r="AB61" s="49">
        <f t="shared" si="16"/>
        <v>12468.151673785836</v>
      </c>
      <c r="AC61" s="49">
        <f t="shared" si="17"/>
        <v>8757.1584984385536</v>
      </c>
      <c r="AD61" s="49">
        <f t="shared" si="18"/>
        <v>8757.1584984385536</v>
      </c>
      <c r="AE61" s="49">
        <f t="shared" si="19"/>
        <v>4378.5792492192768</v>
      </c>
      <c r="AF61" s="103">
        <f t="shared" si="20"/>
        <v>0</v>
      </c>
      <c r="AH61" s="49">
        <f t="shared" si="21"/>
        <v>21892.896246096385</v>
      </c>
      <c r="AI61" s="49">
        <f t="shared" si="22"/>
        <v>13135.737747657831</v>
      </c>
      <c r="AJ61" s="49">
        <f t="shared" si="23"/>
        <v>4378.5792492192777</v>
      </c>
      <c r="AK61" s="49">
        <f t="shared" si="24"/>
        <v>0</v>
      </c>
      <c r="AL61" s="103">
        <f t="shared" si="25"/>
        <v>0</v>
      </c>
      <c r="AN61" s="53">
        <f t="shared" si="26"/>
        <v>13365.760419875789</v>
      </c>
      <c r="AO61" s="53">
        <f t="shared" si="27"/>
        <v>9427.0811235691035</v>
      </c>
      <c r="AP61" s="53">
        <f t="shared" si="28"/>
        <v>8923.5445099088865</v>
      </c>
      <c r="AQ61" s="53">
        <f t="shared" si="29"/>
        <v>4378.5792492192768</v>
      </c>
      <c r="AR61" s="203">
        <f t="shared" si="30"/>
        <v>0</v>
      </c>
      <c r="AY61" s="3"/>
    </row>
    <row r="62" spans="1:51">
      <c r="A62" s="54"/>
      <c r="B62" s="43">
        <f>'13. Desinvesteringen'!B346</f>
        <v>327</v>
      </c>
      <c r="C62" s="54"/>
      <c r="D62" s="54"/>
      <c r="E62" s="54"/>
      <c r="F62" s="48">
        <f>'5. Input GAW-waarde desinv.'!D22</f>
        <v>24689.78297700132</v>
      </c>
      <c r="G62" s="187">
        <f>'13. Desinvesteringen'!D346</f>
        <v>1971</v>
      </c>
      <c r="H62" s="187">
        <f>'13. Desinvesteringen'!G346</f>
        <v>2022</v>
      </c>
      <c r="I62" s="43" t="str">
        <f>'13. Desinvesteringen'!C346</f>
        <v>01 Regionale leidingen</v>
      </c>
      <c r="J62" s="176">
        <f>'13. Desinvesteringen'!F346</f>
        <v>0</v>
      </c>
      <c r="K62" s="44">
        <f>_xlfn.XLOOKUP(I62,'3. Input (des)investeringen '!$B$11:$B$81,'3. Input (des)investeringen '!$E$11:$E$81)</f>
        <v>1</v>
      </c>
      <c r="L62" s="54"/>
      <c r="M62" s="44">
        <f>_xlfn.XLOOKUP(I62,'3. Input (des)investeringen '!$B$11:$B$81,'3. Input (des)investeringen '!$D$11:$D$81,0)</f>
        <v>55</v>
      </c>
      <c r="N62" s="44">
        <f t="shared" si="9"/>
        <v>4.5</v>
      </c>
      <c r="P62" s="49">
        <f t="shared" si="10"/>
        <v>6419.343574020344</v>
      </c>
      <c r="Q62" s="49">
        <f t="shared" si="10"/>
        <v>4564.8665415255773</v>
      </c>
      <c r="R62" s="49">
        <f t="shared" si="0"/>
        <v>4494.6378255021073</v>
      </c>
      <c r="S62" s="49">
        <f t="shared" si="0"/>
        <v>4494.6378255021073</v>
      </c>
      <c r="T62" s="103">
        <f t="shared" si="0"/>
        <v>2247.3189127510536</v>
      </c>
      <c r="V62" s="49">
        <f t="shared" si="11"/>
        <v>548.66184393336266</v>
      </c>
      <c r="W62" s="49">
        <f t="shared" si="12"/>
        <v>548.66184393336277</v>
      </c>
      <c r="X62" s="49">
        <f t="shared" si="13"/>
        <v>548.66184393336277</v>
      </c>
      <c r="Y62" s="49">
        <f t="shared" si="14"/>
        <v>548.66184393336277</v>
      </c>
      <c r="Z62" s="103">
        <f t="shared" si="15"/>
        <v>274.33092196668139</v>
      </c>
      <c r="AB62" s="49">
        <f t="shared" si="16"/>
        <v>6968.0054179537065</v>
      </c>
      <c r="AC62" s="49">
        <f t="shared" si="17"/>
        <v>5113.5283854589397</v>
      </c>
      <c r="AD62" s="49">
        <f t="shared" si="18"/>
        <v>5043.2996694354697</v>
      </c>
      <c r="AE62" s="49">
        <f t="shared" si="19"/>
        <v>5043.2996694354697</v>
      </c>
      <c r="AF62" s="103">
        <f t="shared" si="20"/>
        <v>2521.6498347177348</v>
      </c>
      <c r="AH62" s="49">
        <f t="shared" si="21"/>
        <v>17721.777559047612</v>
      </c>
      <c r="AI62" s="49">
        <f t="shared" si="22"/>
        <v>12608.249173588672</v>
      </c>
      <c r="AJ62" s="49">
        <f t="shared" si="23"/>
        <v>7564.9495041532027</v>
      </c>
      <c r="AK62" s="49">
        <f t="shared" si="24"/>
        <v>2521.649834717733</v>
      </c>
      <c r="AL62" s="103">
        <f t="shared" si="25"/>
        <v>0</v>
      </c>
      <c r="AN62" s="53">
        <f t="shared" si="26"/>
        <v>7694.5982978746588</v>
      </c>
      <c r="AO62" s="53">
        <f t="shared" si="27"/>
        <v>5756.5490933119618</v>
      </c>
      <c r="AP62" s="53">
        <f t="shared" si="28"/>
        <v>5330.7677505932916</v>
      </c>
      <c r="AQ62" s="53">
        <f t="shared" si="29"/>
        <v>5139.1223631547437</v>
      </c>
      <c r="AR62" s="203">
        <f t="shared" si="30"/>
        <v>2521.6498347177348</v>
      </c>
      <c r="AY62" s="3"/>
    </row>
    <row r="63" spans="1:51">
      <c r="A63" s="54"/>
      <c r="B63" s="43">
        <f>'13. Desinvesteringen'!B347</f>
        <v>328</v>
      </c>
      <c r="C63" s="54"/>
      <c r="D63" s="54"/>
      <c r="E63" s="54"/>
      <c r="F63" s="48">
        <f>'5. Input GAW-waarde desinv.'!D23</f>
        <v>84795.96142136406</v>
      </c>
      <c r="G63" s="187">
        <f>'13. Desinvesteringen'!D347</f>
        <v>1972</v>
      </c>
      <c r="H63" s="187">
        <f>'13. Desinvesteringen'!G347</f>
        <v>2022</v>
      </c>
      <c r="I63" s="43" t="str">
        <f>'13. Desinvesteringen'!C347</f>
        <v>01 Regionale leidingen</v>
      </c>
      <c r="J63" s="176">
        <f>'13. Desinvesteringen'!F347</f>
        <v>0</v>
      </c>
      <c r="K63" s="44">
        <f>_xlfn.XLOOKUP(I63,'3. Input (des)investeringen '!$B$11:$B$81,'3. Input (des)investeringen '!$E$11:$E$81)</f>
        <v>1</v>
      </c>
      <c r="L63" s="54"/>
      <c r="M63" s="44">
        <f>_xlfn.XLOOKUP(I63,'3. Input (des)investeringen '!$B$11:$B$81,'3. Input (des)investeringen '!$D$11:$D$81,0)</f>
        <v>55</v>
      </c>
      <c r="N63" s="44">
        <f t="shared" si="9"/>
        <v>5.5</v>
      </c>
      <c r="P63" s="49">
        <f t="shared" si="10"/>
        <v>18038.413611453812</v>
      </c>
      <c r="Q63" s="49">
        <f t="shared" si="10"/>
        <v>13774.788576019271</v>
      </c>
      <c r="R63" s="49">
        <f t="shared" si="0"/>
        <v>12715.189454787022</v>
      </c>
      <c r="S63" s="49">
        <f t="shared" si="0"/>
        <v>12715.189454787022</v>
      </c>
      <c r="T63" s="103">
        <f t="shared" si="0"/>
        <v>12715.189454787022</v>
      </c>
      <c r="V63" s="49">
        <f t="shared" si="11"/>
        <v>1541.7447531157104</v>
      </c>
      <c r="W63" s="49">
        <f t="shared" si="12"/>
        <v>1541.7447531157104</v>
      </c>
      <c r="X63" s="49">
        <f t="shared" si="13"/>
        <v>1541.7447531157104</v>
      </c>
      <c r="Y63" s="49">
        <f t="shared" si="14"/>
        <v>1541.7447531157104</v>
      </c>
      <c r="Z63" s="103">
        <f t="shared" si="15"/>
        <v>1541.7447531157104</v>
      </c>
      <c r="AB63" s="49">
        <f t="shared" si="16"/>
        <v>19580.158364569521</v>
      </c>
      <c r="AC63" s="49">
        <f t="shared" si="17"/>
        <v>15316.533329134982</v>
      </c>
      <c r="AD63" s="49">
        <f t="shared" si="18"/>
        <v>14256.934207902732</v>
      </c>
      <c r="AE63" s="49">
        <f t="shared" si="19"/>
        <v>14256.934207902732</v>
      </c>
      <c r="AF63" s="103">
        <f t="shared" si="20"/>
        <v>14256.934207902732</v>
      </c>
      <c r="AH63" s="49">
        <f t="shared" si="21"/>
        <v>65215.803056794539</v>
      </c>
      <c r="AI63" s="49">
        <f t="shared" si="22"/>
        <v>49899.269727659557</v>
      </c>
      <c r="AJ63" s="49">
        <f t="shared" si="23"/>
        <v>35642.335519756823</v>
      </c>
      <c r="AK63" s="49">
        <f t="shared" si="24"/>
        <v>21385.40131185409</v>
      </c>
      <c r="AL63" s="103">
        <f t="shared" si="25"/>
        <v>7128.4671039513578</v>
      </c>
      <c r="AN63" s="53">
        <f t="shared" si="26"/>
        <v>22254.006289898098</v>
      </c>
      <c r="AO63" s="53">
        <f t="shared" si="27"/>
        <v>17861.396085245618</v>
      </c>
      <c r="AP63" s="53">
        <f t="shared" si="28"/>
        <v>15611.342957653491</v>
      </c>
      <c r="AQ63" s="53">
        <f t="shared" si="29"/>
        <v>15069.579457753187</v>
      </c>
      <c r="AR63" s="203">
        <f t="shared" si="30"/>
        <v>14527.815957852883</v>
      </c>
      <c r="AY63" s="3"/>
    </row>
    <row r="64" spans="1:51">
      <c r="A64" s="54"/>
      <c r="B64" s="43">
        <f>'13. Desinvesteringen'!B348</f>
        <v>329</v>
      </c>
      <c r="C64" s="54"/>
      <c r="D64" s="54"/>
      <c r="E64" s="54"/>
      <c r="F64" s="48">
        <f>'5. Input GAW-waarde desinv.'!D24</f>
        <v>73143.543504977206</v>
      </c>
      <c r="G64" s="187">
        <f>'13. Desinvesteringen'!D348</f>
        <v>1973</v>
      </c>
      <c r="H64" s="187">
        <f>'13. Desinvesteringen'!G348</f>
        <v>2022</v>
      </c>
      <c r="I64" s="43" t="str">
        <f>'13. Desinvesteringen'!C348</f>
        <v>01 Regionale leidingen</v>
      </c>
      <c r="J64" s="176">
        <f>'13. Desinvesteringen'!F348</f>
        <v>0</v>
      </c>
      <c r="K64" s="44">
        <f>_xlfn.XLOOKUP(I64,'3. Input (des)investeringen '!$B$11:$B$81,'3. Input (des)investeringen '!$E$11:$E$81)</f>
        <v>1</v>
      </c>
      <c r="L64" s="54"/>
      <c r="M64" s="44">
        <f>_xlfn.XLOOKUP(I64,'3. Input (des)investeringen '!$B$11:$B$81,'3. Input (des)investeringen '!$D$11:$D$81,0)</f>
        <v>55</v>
      </c>
      <c r="N64" s="44">
        <f t="shared" si="9"/>
        <v>6.5</v>
      </c>
      <c r="P64" s="49">
        <f t="shared" si="10"/>
        <v>13165.837830895898</v>
      </c>
      <c r="Q64" s="49">
        <f t="shared" si="10"/>
        <v>10532.670264716719</v>
      </c>
      <c r="R64" s="49">
        <f t="shared" si="0"/>
        <v>9362.3735686370837</v>
      </c>
      <c r="S64" s="49">
        <f t="shared" si="0"/>
        <v>9362.3735686370837</v>
      </c>
      <c r="T64" s="103">
        <f t="shared" si="0"/>
        <v>9362.3735686370837</v>
      </c>
      <c r="V64" s="49">
        <f t="shared" si="11"/>
        <v>1125.285284691957</v>
      </c>
      <c r="W64" s="49">
        <f t="shared" si="12"/>
        <v>1125.285284691957</v>
      </c>
      <c r="X64" s="49">
        <f t="shared" si="13"/>
        <v>1125.285284691957</v>
      </c>
      <c r="Y64" s="49">
        <f t="shared" si="14"/>
        <v>1125.285284691957</v>
      </c>
      <c r="Z64" s="103">
        <f t="shared" si="15"/>
        <v>1125.285284691957</v>
      </c>
      <c r="AB64" s="49">
        <f t="shared" si="16"/>
        <v>14291.123115587856</v>
      </c>
      <c r="AC64" s="49">
        <f t="shared" si="17"/>
        <v>11657.955549408676</v>
      </c>
      <c r="AD64" s="49">
        <f t="shared" si="18"/>
        <v>10487.658853329041</v>
      </c>
      <c r="AE64" s="49">
        <f t="shared" si="19"/>
        <v>10487.658853329041</v>
      </c>
      <c r="AF64" s="103">
        <f t="shared" si="20"/>
        <v>10487.658853329041</v>
      </c>
      <c r="AH64" s="49">
        <f t="shared" si="21"/>
        <v>58852.42038938935</v>
      </c>
      <c r="AI64" s="49">
        <f t="shared" si="22"/>
        <v>47194.464839980676</v>
      </c>
      <c r="AJ64" s="49">
        <f t="shared" si="23"/>
        <v>36706.805986651634</v>
      </c>
      <c r="AK64" s="49">
        <f t="shared" si="24"/>
        <v>26219.147133322593</v>
      </c>
      <c r="AL64" s="103">
        <f t="shared" si="25"/>
        <v>15731.488279993551</v>
      </c>
      <c r="AN64" s="53">
        <f t="shared" si="26"/>
        <v>16704.072351552819</v>
      </c>
      <c r="AO64" s="53">
        <f t="shared" si="27"/>
        <v>14064.873256247691</v>
      </c>
      <c r="AP64" s="53">
        <f t="shared" si="28"/>
        <v>11882.517480821803</v>
      </c>
      <c r="AQ64" s="53">
        <f t="shared" si="29"/>
        <v>11483.986444395299</v>
      </c>
      <c r="AR64" s="203">
        <f t="shared" si="30"/>
        <v>11085.455407968797</v>
      </c>
      <c r="AY64" s="3"/>
    </row>
    <row r="65" spans="1:51">
      <c r="A65" s="54"/>
      <c r="B65" s="43">
        <f>'13. Desinvesteringen'!B349</f>
        <v>330</v>
      </c>
      <c r="C65" s="54"/>
      <c r="D65" s="54"/>
      <c r="E65" s="54"/>
      <c r="F65" s="48">
        <f>'5. Input GAW-waarde desinv.'!D25</f>
        <v>28650.688160986421</v>
      </c>
      <c r="G65" s="187">
        <f>'13. Desinvesteringen'!D349</f>
        <v>1974</v>
      </c>
      <c r="H65" s="187">
        <f>'13. Desinvesteringen'!G349</f>
        <v>2022</v>
      </c>
      <c r="I65" s="43" t="str">
        <f>'13. Desinvesteringen'!C349</f>
        <v>01 Regionale leidingen</v>
      </c>
      <c r="J65" s="176">
        <f>'13. Desinvesteringen'!F349</f>
        <v>0</v>
      </c>
      <c r="K65" s="44">
        <f>_xlfn.XLOOKUP(I65,'3. Input (des)investeringen '!$B$11:$B$81,'3. Input (des)investeringen '!$E$11:$E$81)</f>
        <v>1</v>
      </c>
      <c r="L65" s="54"/>
      <c r="M65" s="44">
        <f>_xlfn.XLOOKUP(I65,'3. Input (des)investeringen '!$B$11:$B$81,'3. Input (des)investeringen '!$D$11:$D$81,0)</f>
        <v>55</v>
      </c>
      <c r="N65" s="44">
        <f t="shared" si="9"/>
        <v>7.5</v>
      </c>
      <c r="P65" s="49">
        <f t="shared" si="10"/>
        <v>4469.5073531138823</v>
      </c>
      <c r="Q65" s="49">
        <f t="shared" si="10"/>
        <v>3694.7927452408089</v>
      </c>
      <c r="R65" s="49">
        <f t="shared" si="0"/>
        <v>3203.8762266423801</v>
      </c>
      <c r="S65" s="49">
        <f t="shared" si="0"/>
        <v>3203.8762266423801</v>
      </c>
      <c r="T65" s="103">
        <f t="shared" si="0"/>
        <v>3203.8762266423801</v>
      </c>
      <c r="V65" s="49">
        <f t="shared" si="11"/>
        <v>382.00917547981896</v>
      </c>
      <c r="W65" s="49">
        <f t="shared" si="12"/>
        <v>382.00917547981902</v>
      </c>
      <c r="X65" s="49">
        <f t="shared" si="13"/>
        <v>382.00917547981902</v>
      </c>
      <c r="Y65" s="49">
        <f t="shared" si="14"/>
        <v>382.00917547981902</v>
      </c>
      <c r="Z65" s="103">
        <f t="shared" si="15"/>
        <v>382.00917547981902</v>
      </c>
      <c r="AB65" s="49">
        <f t="shared" si="16"/>
        <v>4851.516528593701</v>
      </c>
      <c r="AC65" s="49">
        <f t="shared" si="17"/>
        <v>4076.801920720628</v>
      </c>
      <c r="AD65" s="49">
        <f t="shared" si="18"/>
        <v>3585.8854021221991</v>
      </c>
      <c r="AE65" s="49">
        <f t="shared" si="19"/>
        <v>3585.8854021221991</v>
      </c>
      <c r="AF65" s="103">
        <f t="shared" si="20"/>
        <v>3585.8854021221991</v>
      </c>
      <c r="AH65" s="49">
        <f t="shared" si="21"/>
        <v>23799.171632392721</v>
      </c>
      <c r="AI65" s="49">
        <f t="shared" si="22"/>
        <v>19722.369711672094</v>
      </c>
      <c r="AJ65" s="49">
        <f t="shared" si="23"/>
        <v>16136.484309549895</v>
      </c>
      <c r="AK65" s="49">
        <f t="shared" si="24"/>
        <v>12550.598907427695</v>
      </c>
      <c r="AL65" s="103">
        <f t="shared" si="25"/>
        <v>8964.7135053054953</v>
      </c>
      <c r="AN65" s="53">
        <f t="shared" si="26"/>
        <v>5827.2825655218021</v>
      </c>
      <c r="AO65" s="53">
        <f t="shared" si="27"/>
        <v>5082.6427760159049</v>
      </c>
      <c r="AP65" s="53">
        <f t="shared" si="28"/>
        <v>4199.0718058850953</v>
      </c>
      <c r="AQ65" s="53">
        <f t="shared" si="29"/>
        <v>4062.8081606044516</v>
      </c>
      <c r="AR65" s="203">
        <f t="shared" si="30"/>
        <v>3926.5445153238079</v>
      </c>
      <c r="AY65" s="3"/>
    </row>
    <row r="66" spans="1:51">
      <c r="A66" s="54"/>
      <c r="B66" s="43">
        <f>'13. Desinvesteringen'!B350</f>
        <v>331</v>
      </c>
      <c r="C66" s="54"/>
      <c r="D66" s="54"/>
      <c r="E66" s="54"/>
      <c r="F66" s="48">
        <f>'5. Input GAW-waarde desinv.'!D26</f>
        <v>22915.340357348177</v>
      </c>
      <c r="G66" s="187">
        <f>'13. Desinvesteringen'!D350</f>
        <v>1975</v>
      </c>
      <c r="H66" s="187">
        <f>'13. Desinvesteringen'!G350</f>
        <v>2022</v>
      </c>
      <c r="I66" s="43" t="str">
        <f>'13. Desinvesteringen'!C350</f>
        <v>01 Regionale leidingen</v>
      </c>
      <c r="J66" s="176">
        <f>'13. Desinvesteringen'!F350</f>
        <v>0</v>
      </c>
      <c r="K66" s="44">
        <f>_xlfn.XLOOKUP(I66,'3. Input (des)investeringen '!$B$11:$B$81,'3. Input (des)investeringen '!$E$11:$E$81)</f>
        <v>1</v>
      </c>
      <c r="L66" s="54"/>
      <c r="M66" s="44">
        <f>_xlfn.XLOOKUP(I66,'3. Input (des)investeringen '!$B$11:$B$81,'3. Input (des)investeringen '!$D$11:$D$81,0)</f>
        <v>55</v>
      </c>
      <c r="N66" s="44">
        <f t="shared" si="9"/>
        <v>8.5</v>
      </c>
      <c r="P66" s="49">
        <f t="shared" si="10"/>
        <v>3154.2292021291023</v>
      </c>
      <c r="Q66" s="49">
        <f t="shared" si="10"/>
        <v>2671.8176770975924</v>
      </c>
      <c r="R66" s="49">
        <f t="shared" si="0"/>
        <v>2276.5783757517943</v>
      </c>
      <c r="S66" s="49">
        <f t="shared" si="0"/>
        <v>2276.5783757517943</v>
      </c>
      <c r="T66" s="103">
        <f t="shared" si="0"/>
        <v>2276.5783757517943</v>
      </c>
      <c r="V66" s="49">
        <f t="shared" si="11"/>
        <v>269.59223949821387</v>
      </c>
      <c r="W66" s="49">
        <f t="shared" si="12"/>
        <v>269.59223949821387</v>
      </c>
      <c r="X66" s="49">
        <f t="shared" si="13"/>
        <v>269.59223949821387</v>
      </c>
      <c r="Y66" s="49">
        <f t="shared" si="14"/>
        <v>269.59223949821387</v>
      </c>
      <c r="Z66" s="103">
        <f t="shared" si="15"/>
        <v>269.59223949821387</v>
      </c>
      <c r="AB66" s="49">
        <f t="shared" si="16"/>
        <v>3423.8214416273163</v>
      </c>
      <c r="AC66" s="49">
        <f t="shared" si="17"/>
        <v>2941.4099165958064</v>
      </c>
      <c r="AD66" s="49">
        <f t="shared" si="18"/>
        <v>2546.1706152500083</v>
      </c>
      <c r="AE66" s="49">
        <f t="shared" si="19"/>
        <v>2546.1706152500083</v>
      </c>
      <c r="AF66" s="103">
        <f t="shared" si="20"/>
        <v>2546.1706152500083</v>
      </c>
      <c r="AH66" s="49">
        <f t="shared" si="21"/>
        <v>19491.518915720862</v>
      </c>
      <c r="AI66" s="49">
        <f t="shared" si="22"/>
        <v>16550.108999125056</v>
      </c>
      <c r="AJ66" s="49">
        <f t="shared" si="23"/>
        <v>14003.938383875047</v>
      </c>
      <c r="AK66" s="49">
        <f t="shared" si="24"/>
        <v>11457.767768625039</v>
      </c>
      <c r="AL66" s="103">
        <f t="shared" si="25"/>
        <v>8911.5971533750308</v>
      </c>
      <c r="AN66" s="53">
        <f t="shared" si="26"/>
        <v>4222.9737171718716</v>
      </c>
      <c r="AO66" s="53">
        <f t="shared" si="27"/>
        <v>3785.4654755511842</v>
      </c>
      <c r="AP66" s="53">
        <f t="shared" si="28"/>
        <v>3078.3202738372602</v>
      </c>
      <c r="AQ66" s="53">
        <f t="shared" si="29"/>
        <v>2981.5657904577597</v>
      </c>
      <c r="AR66" s="203">
        <f t="shared" si="30"/>
        <v>2884.8113070782592</v>
      </c>
      <c r="AY66" s="3"/>
    </row>
    <row r="67" spans="1:51">
      <c r="A67" s="54"/>
      <c r="B67" s="43">
        <f>'13. Desinvesteringen'!B351</f>
        <v>332</v>
      </c>
      <c r="C67" s="54"/>
      <c r="D67" s="54"/>
      <c r="E67" s="54"/>
      <c r="F67" s="48">
        <f>'5. Input GAW-waarde desinv.'!D27</f>
        <v>52322.526677778427</v>
      </c>
      <c r="G67" s="187">
        <f>'13. Desinvesteringen'!D351</f>
        <v>1976</v>
      </c>
      <c r="H67" s="187">
        <f>'13. Desinvesteringen'!G351</f>
        <v>2022</v>
      </c>
      <c r="I67" s="43" t="str">
        <f>'13. Desinvesteringen'!C351</f>
        <v>01 Regionale leidingen</v>
      </c>
      <c r="J67" s="176">
        <f>'13. Desinvesteringen'!F351</f>
        <v>0</v>
      </c>
      <c r="K67" s="44">
        <f>_xlfn.XLOOKUP(I67,'3. Input (des)investeringen '!$B$11:$B$81,'3. Input (des)investeringen '!$E$11:$E$81)</f>
        <v>1</v>
      </c>
      <c r="L67" s="54"/>
      <c r="M67" s="44">
        <f>_xlfn.XLOOKUP(I67,'3. Input (des)investeringen '!$B$11:$B$81,'3. Input (des)investeringen '!$D$11:$D$81,0)</f>
        <v>55</v>
      </c>
      <c r="N67" s="44">
        <f t="shared" si="9"/>
        <v>9.5</v>
      </c>
      <c r="P67" s="49">
        <f t="shared" si="10"/>
        <v>6443.9322329474489</v>
      </c>
      <c r="Q67" s="49">
        <f t="shared" si="10"/>
        <v>5562.1309800177987</v>
      </c>
      <c r="R67" s="49">
        <f t="shared" si="10"/>
        <v>4800.9972669627305</v>
      </c>
      <c r="S67" s="49">
        <f t="shared" si="10"/>
        <v>4658.9559277034778</v>
      </c>
      <c r="T67" s="103">
        <f t="shared" si="10"/>
        <v>4658.9559277034778</v>
      </c>
      <c r="V67" s="49">
        <f t="shared" si="11"/>
        <v>550.76343871345716</v>
      </c>
      <c r="W67" s="49">
        <f t="shared" si="12"/>
        <v>550.76343871345716</v>
      </c>
      <c r="X67" s="49">
        <f t="shared" si="13"/>
        <v>550.76343871345716</v>
      </c>
      <c r="Y67" s="49">
        <f t="shared" si="14"/>
        <v>550.76343871345716</v>
      </c>
      <c r="Z67" s="103">
        <f t="shared" si="15"/>
        <v>550.76343871345716</v>
      </c>
      <c r="AB67" s="49">
        <f t="shared" si="16"/>
        <v>6994.6956716609056</v>
      </c>
      <c r="AC67" s="49">
        <f t="shared" si="17"/>
        <v>6112.8944187312554</v>
      </c>
      <c r="AD67" s="49">
        <f t="shared" si="18"/>
        <v>5351.7607056761881</v>
      </c>
      <c r="AE67" s="49">
        <f t="shared" si="19"/>
        <v>5209.7193664169354</v>
      </c>
      <c r="AF67" s="103">
        <f t="shared" si="20"/>
        <v>5209.7193664169354</v>
      </c>
      <c r="AH67" s="49">
        <f t="shared" si="21"/>
        <v>45327.831006117522</v>
      </c>
      <c r="AI67" s="49">
        <f t="shared" si="22"/>
        <v>39214.93658738627</v>
      </c>
      <c r="AJ67" s="49">
        <f t="shared" si="23"/>
        <v>33863.175881710078</v>
      </c>
      <c r="AK67" s="49">
        <f t="shared" si="24"/>
        <v>28653.456515293143</v>
      </c>
      <c r="AL67" s="103">
        <f t="shared" si="25"/>
        <v>23443.737148876207</v>
      </c>
      <c r="AN67" s="53">
        <f t="shared" si="26"/>
        <v>8853.1367429117236</v>
      </c>
      <c r="AO67" s="53">
        <f t="shared" si="27"/>
        <v>8112.8561846879547</v>
      </c>
      <c r="AP67" s="53">
        <f t="shared" si="28"/>
        <v>6638.5613891811709</v>
      </c>
      <c r="AQ67" s="53">
        <f t="shared" si="29"/>
        <v>6298.5507139980746</v>
      </c>
      <c r="AR67" s="203">
        <f t="shared" si="30"/>
        <v>6100.581378074231</v>
      </c>
      <c r="AY67" s="3"/>
    </row>
    <row r="68" spans="1:51">
      <c r="A68" s="54"/>
      <c r="B68" s="43">
        <f>'13. Desinvesteringen'!B352</f>
        <v>333</v>
      </c>
      <c r="C68" s="54"/>
      <c r="D68" s="54"/>
      <c r="E68" s="54"/>
      <c r="F68" s="48">
        <f>'5. Input GAW-waarde desinv.'!D28</f>
        <v>22168.241432612802</v>
      </c>
      <c r="G68" s="187">
        <f>'13. Desinvesteringen'!D352</f>
        <v>1977</v>
      </c>
      <c r="H68" s="187">
        <f>'13. Desinvesteringen'!G352</f>
        <v>2022</v>
      </c>
      <c r="I68" s="43" t="str">
        <f>'13. Desinvesteringen'!C352</f>
        <v>01 Regionale leidingen</v>
      </c>
      <c r="J68" s="176">
        <f>'13. Desinvesteringen'!F352</f>
        <v>0</v>
      </c>
      <c r="K68" s="44">
        <f>_xlfn.XLOOKUP(I68,'3. Input (des)investeringen '!$B$11:$B$81,'3. Input (des)investeringen '!$E$11:$E$81)</f>
        <v>1</v>
      </c>
      <c r="L68" s="54"/>
      <c r="M68" s="44">
        <f>_xlfn.XLOOKUP(I68,'3. Input (des)investeringen '!$B$11:$B$81,'3. Input (des)investeringen '!$D$11:$D$81,0)</f>
        <v>55</v>
      </c>
      <c r="N68" s="44">
        <f t="shared" si="9"/>
        <v>10.5</v>
      </c>
      <c r="P68" s="49">
        <f t="shared" si="10"/>
        <v>2470.1754739197127</v>
      </c>
      <c r="Q68" s="49">
        <f t="shared" si="10"/>
        <v>2164.3442247677481</v>
      </c>
      <c r="R68" s="49">
        <f t="shared" si="10"/>
        <v>1896.3777969393602</v>
      </c>
      <c r="S68" s="49">
        <f t="shared" si="10"/>
        <v>1789.4026391632935</v>
      </c>
      <c r="T68" s="103">
        <f t="shared" si="10"/>
        <v>1789.4026391632935</v>
      </c>
      <c r="V68" s="49">
        <f t="shared" si="11"/>
        <v>211.12610888202667</v>
      </c>
      <c r="W68" s="49">
        <f t="shared" si="12"/>
        <v>211.12610888202673</v>
      </c>
      <c r="X68" s="49">
        <f t="shared" si="13"/>
        <v>211.12610888202673</v>
      </c>
      <c r="Y68" s="49">
        <f t="shared" si="14"/>
        <v>211.12610888202673</v>
      </c>
      <c r="Z68" s="103">
        <f t="shared" si="15"/>
        <v>211.12610888202673</v>
      </c>
      <c r="AB68" s="49">
        <f t="shared" si="16"/>
        <v>2681.3015828017392</v>
      </c>
      <c r="AC68" s="49">
        <f t="shared" si="17"/>
        <v>2375.4703336497746</v>
      </c>
      <c r="AD68" s="49">
        <f t="shared" si="18"/>
        <v>2107.503905821387</v>
      </c>
      <c r="AE68" s="49">
        <f t="shared" si="19"/>
        <v>2000.5287480453203</v>
      </c>
      <c r="AF68" s="103">
        <f t="shared" si="20"/>
        <v>2000.5287480453203</v>
      </c>
      <c r="AH68" s="49">
        <f t="shared" si="21"/>
        <v>19486.939849811064</v>
      </c>
      <c r="AI68" s="49">
        <f t="shared" si="22"/>
        <v>17111.469516161291</v>
      </c>
      <c r="AJ68" s="49">
        <f t="shared" si="23"/>
        <v>15003.965610339903</v>
      </c>
      <c r="AK68" s="49">
        <f t="shared" si="24"/>
        <v>13003.436862294582</v>
      </c>
      <c r="AL68" s="103">
        <f t="shared" si="25"/>
        <v>11002.908114249261</v>
      </c>
      <c r="AN68" s="53">
        <f t="shared" si="26"/>
        <v>3480.266116643993</v>
      </c>
      <c r="AO68" s="53">
        <f t="shared" si="27"/>
        <v>3248.1552789740003</v>
      </c>
      <c r="AP68" s="53">
        <f t="shared" si="28"/>
        <v>2677.6545990143031</v>
      </c>
      <c r="AQ68" s="53">
        <f t="shared" si="29"/>
        <v>2494.6593488125145</v>
      </c>
      <c r="AR68" s="203">
        <f t="shared" si="30"/>
        <v>2418.6392563867921</v>
      </c>
      <c r="AY68" s="3"/>
    </row>
    <row r="69" spans="1:51">
      <c r="A69" s="54"/>
      <c r="B69" s="43">
        <f>'13. Desinvesteringen'!B353</f>
        <v>334</v>
      </c>
      <c r="C69" s="54"/>
      <c r="D69" s="54"/>
      <c r="E69" s="54"/>
      <c r="F69" s="48">
        <f>'5. Input GAW-waarde desinv.'!D29</f>
        <v>74293.951826154895</v>
      </c>
      <c r="G69" s="187">
        <f>'13. Desinvesteringen'!D353</f>
        <v>1980</v>
      </c>
      <c r="H69" s="187">
        <f>'13. Desinvesteringen'!G353</f>
        <v>2022</v>
      </c>
      <c r="I69" s="43" t="str">
        <f>'13. Desinvesteringen'!C353</f>
        <v>01 Regionale leidingen</v>
      </c>
      <c r="J69" s="176">
        <f>'13. Desinvesteringen'!F353</f>
        <v>0</v>
      </c>
      <c r="K69" s="44">
        <f>_xlfn.XLOOKUP(I69,'3. Input (des)investeringen '!$B$11:$B$81,'3. Input (des)investeringen '!$E$11:$E$81)</f>
        <v>1</v>
      </c>
      <c r="L69" s="54"/>
      <c r="M69" s="44">
        <f>_xlfn.XLOOKUP(I69,'3. Input (des)investeringen '!$B$11:$B$81,'3. Input (des)investeringen '!$D$11:$D$81,0)</f>
        <v>55</v>
      </c>
      <c r="N69" s="44">
        <f t="shared" si="9"/>
        <v>13.5</v>
      </c>
      <c r="P69" s="49">
        <f t="shared" si="10"/>
        <v>6438.8091582667575</v>
      </c>
      <c r="Q69" s="49">
        <f t="shared" si="10"/>
        <v>5818.7756837669958</v>
      </c>
      <c r="R69" s="49">
        <f t="shared" si="10"/>
        <v>5258.4491364412843</v>
      </c>
      <c r="S69" s="49">
        <f t="shared" si="10"/>
        <v>4752.0799603395308</v>
      </c>
      <c r="T69" s="103">
        <f t="shared" si="10"/>
        <v>4694.3623899710346</v>
      </c>
      <c r="V69" s="49">
        <f t="shared" si="11"/>
        <v>550.32556908262893</v>
      </c>
      <c r="W69" s="49">
        <f t="shared" si="12"/>
        <v>550.32556908262893</v>
      </c>
      <c r="X69" s="49">
        <f t="shared" si="13"/>
        <v>550.32556908262893</v>
      </c>
      <c r="Y69" s="49">
        <f t="shared" si="14"/>
        <v>550.32556908262893</v>
      </c>
      <c r="Z69" s="103">
        <f t="shared" si="15"/>
        <v>550.32556908262893</v>
      </c>
      <c r="AB69" s="49">
        <f t="shared" si="16"/>
        <v>6989.1347273493866</v>
      </c>
      <c r="AC69" s="49">
        <f t="shared" si="17"/>
        <v>6369.1012528496249</v>
      </c>
      <c r="AD69" s="49">
        <f t="shared" si="18"/>
        <v>5808.7747055239133</v>
      </c>
      <c r="AE69" s="49">
        <f t="shared" si="19"/>
        <v>5302.4055294221598</v>
      </c>
      <c r="AF69" s="103">
        <f t="shared" si="20"/>
        <v>5244.6879590536637</v>
      </c>
      <c r="AH69" s="49">
        <f t="shared" si="21"/>
        <v>67304.817098805506</v>
      </c>
      <c r="AI69" s="49">
        <f t="shared" si="22"/>
        <v>60935.715845955885</v>
      </c>
      <c r="AJ69" s="49">
        <f t="shared" si="23"/>
        <v>55126.941140431969</v>
      </c>
      <c r="AK69" s="49">
        <f t="shared" si="24"/>
        <v>49824.535611009807</v>
      </c>
      <c r="AL69" s="103">
        <f t="shared" si="25"/>
        <v>44579.847651956145</v>
      </c>
      <c r="AN69" s="53">
        <f t="shared" si="26"/>
        <v>9748.6322284004127</v>
      </c>
      <c r="AO69" s="53">
        <f t="shared" si="27"/>
        <v>9476.8227609933747</v>
      </c>
      <c r="AP69" s="53">
        <f t="shared" si="28"/>
        <v>7903.5984688603276</v>
      </c>
      <c r="AQ69" s="53">
        <f t="shared" si="29"/>
        <v>7195.7378826405329</v>
      </c>
      <c r="AR69" s="203">
        <f t="shared" si="30"/>
        <v>6938.7221698279973</v>
      </c>
      <c r="AY69" s="3"/>
    </row>
    <row r="70" spans="1:51">
      <c r="A70" s="54"/>
      <c r="B70" s="43">
        <f>'13. Desinvesteringen'!B354</f>
        <v>335</v>
      </c>
      <c r="C70" s="54"/>
      <c r="D70" s="54"/>
      <c r="E70" s="54"/>
      <c r="F70" s="48">
        <f>'5. Input GAW-waarde desinv.'!D30</f>
        <v>357.48421114725051</v>
      </c>
      <c r="G70" s="187">
        <f>'13. Desinvesteringen'!D354</f>
        <v>1986</v>
      </c>
      <c r="H70" s="187">
        <f>'13. Desinvesteringen'!G354</f>
        <v>2022</v>
      </c>
      <c r="I70" s="43" t="str">
        <f>'13. Desinvesteringen'!C354</f>
        <v>01 Regionale leidingen</v>
      </c>
      <c r="J70" s="176">
        <f>'13. Desinvesteringen'!F354</f>
        <v>0</v>
      </c>
      <c r="K70" s="44">
        <f>_xlfn.XLOOKUP(I70,'3. Input (des)investeringen '!$B$11:$B$81,'3. Input (des)investeringen '!$E$11:$E$81)</f>
        <v>1</v>
      </c>
      <c r="L70" s="54"/>
      <c r="M70" s="44">
        <f>_xlfn.XLOOKUP(I70,'3. Input (des)investeringen '!$B$11:$B$81,'3. Input (des)investeringen '!$D$11:$D$81,0)</f>
        <v>55</v>
      </c>
      <c r="N70" s="44">
        <f t="shared" si="9"/>
        <v>19.5</v>
      </c>
      <c r="P70" s="49">
        <f t="shared" si="10"/>
        <v>21.44905266883503</v>
      </c>
      <c r="Q70" s="49">
        <f t="shared" si="10"/>
        <v>20.019115824246029</v>
      </c>
      <c r="R70" s="49">
        <f t="shared" si="10"/>
        <v>18.684508102629628</v>
      </c>
      <c r="S70" s="49">
        <f t="shared" si="10"/>
        <v>17.438874229120984</v>
      </c>
      <c r="T70" s="103">
        <f t="shared" si="10"/>
        <v>16.276282613846252</v>
      </c>
      <c r="V70" s="49">
        <f t="shared" si="11"/>
        <v>1.833252364857695</v>
      </c>
      <c r="W70" s="49">
        <f t="shared" si="12"/>
        <v>1.833252364857695</v>
      </c>
      <c r="X70" s="49">
        <f t="shared" si="13"/>
        <v>1.833252364857695</v>
      </c>
      <c r="Y70" s="49">
        <f t="shared" si="14"/>
        <v>1.833252364857695</v>
      </c>
      <c r="Z70" s="103">
        <f t="shared" si="15"/>
        <v>1.833252364857695</v>
      </c>
      <c r="AB70" s="49">
        <f t="shared" si="16"/>
        <v>23.282305033692726</v>
      </c>
      <c r="AC70" s="49">
        <f t="shared" si="17"/>
        <v>21.852368189103725</v>
      </c>
      <c r="AD70" s="49">
        <f t="shared" si="18"/>
        <v>20.517760467487324</v>
      </c>
      <c r="AE70" s="49">
        <f t="shared" si="19"/>
        <v>19.27212659397868</v>
      </c>
      <c r="AF70" s="103">
        <f t="shared" si="20"/>
        <v>18.109534978703948</v>
      </c>
      <c r="AH70" s="49">
        <f t="shared" si="21"/>
        <v>334.20190611355775</v>
      </c>
      <c r="AI70" s="49">
        <f t="shared" si="22"/>
        <v>312.34953792445401</v>
      </c>
      <c r="AJ70" s="49">
        <f t="shared" si="23"/>
        <v>291.83177745696668</v>
      </c>
      <c r="AK70" s="49">
        <f t="shared" si="24"/>
        <v>272.55965086298801</v>
      </c>
      <c r="AL70" s="103">
        <f t="shared" si="25"/>
        <v>254.45011588428406</v>
      </c>
      <c r="AN70" s="53">
        <f t="shared" si="26"/>
        <v>36.984583184348594</v>
      </c>
      <c r="AO70" s="53">
        <f t="shared" si="27"/>
        <v>37.782194623250881</v>
      </c>
      <c r="AP70" s="53">
        <f t="shared" si="28"/>
        <v>31.607368010852056</v>
      </c>
      <c r="AQ70" s="53">
        <f t="shared" si="29"/>
        <v>29.629393326772224</v>
      </c>
      <c r="AR70" s="203">
        <f t="shared" si="30"/>
        <v>27.778639382306743</v>
      </c>
      <c r="AY70" s="3"/>
    </row>
    <row r="71" spans="1:51">
      <c r="A71" s="54"/>
      <c r="B71" s="43">
        <f>'13. Desinvesteringen'!B355</f>
        <v>336</v>
      </c>
      <c r="C71" s="54"/>
      <c r="D71" s="54"/>
      <c r="E71" s="54"/>
      <c r="F71" s="48">
        <f>'5. Input GAW-waarde desinv.'!D31</f>
        <v>38915.650783577308</v>
      </c>
      <c r="G71" s="187">
        <f>'13. Desinvesteringen'!D355</f>
        <v>1987</v>
      </c>
      <c r="H71" s="187">
        <f>'13. Desinvesteringen'!G355</f>
        <v>2022</v>
      </c>
      <c r="I71" s="43" t="str">
        <f>'13. Desinvesteringen'!C355</f>
        <v>01 Regionale leidingen</v>
      </c>
      <c r="J71" s="176">
        <f>'13. Desinvesteringen'!F355</f>
        <v>0</v>
      </c>
      <c r="K71" s="44">
        <f>_xlfn.XLOOKUP(I71,'3. Input (des)investeringen '!$B$11:$B$81,'3. Input (des)investeringen '!$E$11:$E$81)</f>
        <v>1</v>
      </c>
      <c r="L71" s="54"/>
      <c r="M71" s="44">
        <f>_xlfn.XLOOKUP(I71,'3. Input (des)investeringen '!$B$11:$B$81,'3. Input (des)investeringen '!$D$11:$D$81,0)</f>
        <v>55</v>
      </c>
      <c r="N71" s="44">
        <f t="shared" si="9"/>
        <v>20.5</v>
      </c>
      <c r="P71" s="49">
        <f t="shared" si="10"/>
        <v>2221.0395813066075</v>
      </c>
      <c r="Q71" s="49">
        <f t="shared" si="10"/>
        <v>2080.1931688335053</v>
      </c>
      <c r="R71" s="49">
        <f t="shared" si="10"/>
        <v>1948.2784800782101</v>
      </c>
      <c r="S71" s="49">
        <f t="shared" si="10"/>
        <v>1824.7291130488604</v>
      </c>
      <c r="T71" s="103">
        <f t="shared" si="10"/>
        <v>1709.0145839286888</v>
      </c>
      <c r="V71" s="49">
        <f t="shared" si="11"/>
        <v>189.83244284671858</v>
      </c>
      <c r="W71" s="49">
        <f t="shared" si="12"/>
        <v>189.83244284671855</v>
      </c>
      <c r="X71" s="49">
        <f t="shared" si="13"/>
        <v>189.83244284671855</v>
      </c>
      <c r="Y71" s="49">
        <f t="shared" si="14"/>
        <v>189.83244284671855</v>
      </c>
      <c r="Z71" s="103">
        <f t="shared" si="15"/>
        <v>189.83244284671855</v>
      </c>
      <c r="AB71" s="49">
        <f t="shared" si="16"/>
        <v>2410.872024153326</v>
      </c>
      <c r="AC71" s="49">
        <f t="shared" si="17"/>
        <v>2270.0256116802238</v>
      </c>
      <c r="AD71" s="49">
        <f t="shared" si="18"/>
        <v>2138.1109229249287</v>
      </c>
      <c r="AE71" s="49">
        <f t="shared" si="19"/>
        <v>2014.561555895579</v>
      </c>
      <c r="AF71" s="103">
        <f t="shared" si="20"/>
        <v>1898.8470267754074</v>
      </c>
      <c r="AH71" s="49">
        <f t="shared" si="21"/>
        <v>36504.778759423985</v>
      </c>
      <c r="AI71" s="49">
        <f t="shared" si="22"/>
        <v>34234.753147743759</v>
      </c>
      <c r="AJ71" s="49">
        <f t="shared" si="23"/>
        <v>32096.642224818832</v>
      </c>
      <c r="AK71" s="49">
        <f t="shared" si="24"/>
        <v>30082.080668923252</v>
      </c>
      <c r="AL71" s="103">
        <f t="shared" si="25"/>
        <v>28183.233642147847</v>
      </c>
      <c r="AN71" s="53">
        <f t="shared" si="26"/>
        <v>3907.5679532897093</v>
      </c>
      <c r="AO71" s="53">
        <f t="shared" si="27"/>
        <v>4015.9980222151553</v>
      </c>
      <c r="AP71" s="53">
        <f t="shared" si="28"/>
        <v>3357.7833274680443</v>
      </c>
      <c r="AQ71" s="53">
        <f t="shared" si="29"/>
        <v>3157.6806213146629</v>
      </c>
      <c r="AR71" s="203">
        <f t="shared" si="30"/>
        <v>2969.8099051770255</v>
      </c>
      <c r="AY71" s="3"/>
    </row>
    <row r="72" spans="1:51">
      <c r="A72" s="54"/>
      <c r="B72" s="43">
        <f>'13. Desinvesteringen'!B356</f>
        <v>337</v>
      </c>
      <c r="C72" s="54"/>
      <c r="D72" s="54"/>
      <c r="E72" s="54"/>
      <c r="F72" s="48">
        <f>'5. Input GAW-waarde desinv.'!D32</f>
        <v>22545.342886393813</v>
      </c>
      <c r="G72" s="187">
        <f>'13. Desinvesteringen'!D356</f>
        <v>1991</v>
      </c>
      <c r="H72" s="187">
        <f>'13. Desinvesteringen'!G356</f>
        <v>2022</v>
      </c>
      <c r="I72" s="43" t="str">
        <f>'13. Desinvesteringen'!C356</f>
        <v>01 Regionale leidingen</v>
      </c>
      <c r="J72" s="176">
        <f>'13. Desinvesteringen'!F356</f>
        <v>0</v>
      </c>
      <c r="K72" s="44">
        <f>_xlfn.XLOOKUP(I72,'3. Input (des)investeringen '!$B$11:$B$81,'3. Input (des)investeringen '!$E$11:$E$81)</f>
        <v>1</v>
      </c>
      <c r="L72" s="54"/>
      <c r="M72" s="44">
        <f>_xlfn.XLOOKUP(I72,'3. Input (des)investeringen '!$B$11:$B$81,'3. Input (des)investeringen '!$D$11:$D$81,0)</f>
        <v>55</v>
      </c>
      <c r="N72" s="44">
        <f t="shared" si="9"/>
        <v>24.5</v>
      </c>
      <c r="P72" s="49">
        <f t="shared" si="10"/>
        <v>1076.6551500849291</v>
      </c>
      <c r="Q72" s="49">
        <f t="shared" si="10"/>
        <v>1019.5265094681778</v>
      </c>
      <c r="R72" s="49">
        <f t="shared" si="10"/>
        <v>965.42918447598879</v>
      </c>
      <c r="S72" s="49">
        <f t="shared" si="10"/>
        <v>914.20232978950764</v>
      </c>
      <c r="T72" s="103">
        <f t="shared" si="10"/>
        <v>865.69363473945202</v>
      </c>
      <c r="V72" s="49">
        <f t="shared" si="11"/>
        <v>92.02180769956658</v>
      </c>
      <c r="W72" s="49">
        <f t="shared" si="12"/>
        <v>92.021807699566594</v>
      </c>
      <c r="X72" s="49">
        <f t="shared" si="13"/>
        <v>92.021807699566594</v>
      </c>
      <c r="Y72" s="49">
        <f t="shared" si="14"/>
        <v>92.021807699566594</v>
      </c>
      <c r="Z72" s="103">
        <f t="shared" si="15"/>
        <v>92.021807699566594</v>
      </c>
      <c r="AB72" s="49">
        <f t="shared" si="16"/>
        <v>1168.6769577844957</v>
      </c>
      <c r="AC72" s="49">
        <f t="shared" si="17"/>
        <v>1111.5483171677445</v>
      </c>
      <c r="AD72" s="49">
        <f t="shared" si="18"/>
        <v>1057.4509921755555</v>
      </c>
      <c r="AE72" s="49">
        <f t="shared" si="19"/>
        <v>1006.2241374890742</v>
      </c>
      <c r="AF72" s="103">
        <f t="shared" si="20"/>
        <v>957.7154424390186</v>
      </c>
      <c r="AH72" s="49">
        <f t="shared" si="21"/>
        <v>21376.665928609316</v>
      </c>
      <c r="AI72" s="49">
        <f t="shared" si="22"/>
        <v>20265.117611441572</v>
      </c>
      <c r="AJ72" s="49">
        <f t="shared" si="23"/>
        <v>19207.666619266016</v>
      </c>
      <c r="AK72" s="49">
        <f t="shared" si="24"/>
        <v>18201.442481776943</v>
      </c>
      <c r="AL72" s="103">
        <f t="shared" si="25"/>
        <v>17243.727039337926</v>
      </c>
      <c r="AN72" s="53">
        <f t="shared" si="26"/>
        <v>2045.1202608574777</v>
      </c>
      <c r="AO72" s="53">
        <f t="shared" si="27"/>
        <v>2145.0693153512648</v>
      </c>
      <c r="AP72" s="53">
        <f t="shared" si="28"/>
        <v>1787.342323707664</v>
      </c>
      <c r="AQ72" s="53">
        <f t="shared" si="29"/>
        <v>1697.8789517965979</v>
      </c>
      <c r="AR72" s="203">
        <f t="shared" si="30"/>
        <v>1612.9770699338596</v>
      </c>
      <c r="AY72" s="3"/>
    </row>
    <row r="73" spans="1:51">
      <c r="A73" s="54"/>
      <c r="B73" s="43">
        <f>'13. Desinvesteringen'!B357</f>
        <v>338</v>
      </c>
      <c r="C73" s="54"/>
      <c r="D73" s="54"/>
      <c r="E73" s="54"/>
      <c r="F73" s="48">
        <f>'5. Input GAW-waarde desinv.'!D33</f>
        <v>91128.347042326975</v>
      </c>
      <c r="G73" s="187">
        <f>'13. Desinvesteringen'!D357</f>
        <v>1994</v>
      </c>
      <c r="H73" s="187">
        <f>'13. Desinvesteringen'!G357</f>
        <v>2022</v>
      </c>
      <c r="I73" s="43" t="str">
        <f>'13. Desinvesteringen'!C357</f>
        <v>01 Regionale leidingen</v>
      </c>
      <c r="J73" s="176">
        <f>'13. Desinvesteringen'!F357</f>
        <v>0</v>
      </c>
      <c r="K73" s="44">
        <f>_xlfn.XLOOKUP(I73,'3. Input (des)investeringen '!$B$11:$B$81,'3. Input (des)investeringen '!$E$11:$E$81)</f>
        <v>1</v>
      </c>
      <c r="L73" s="54"/>
      <c r="M73" s="44">
        <f>_xlfn.XLOOKUP(I73,'3. Input (des)investeringen '!$B$11:$B$81,'3. Input (des)investeringen '!$D$11:$D$81,0)</f>
        <v>55</v>
      </c>
      <c r="N73" s="44">
        <f t="shared" si="9"/>
        <v>27.5</v>
      </c>
      <c r="P73" s="49">
        <f t="shared" si="10"/>
        <v>3877.0969468917297</v>
      </c>
      <c r="Q73" s="49">
        <f t="shared" si="10"/>
        <v>3693.8160003113935</v>
      </c>
      <c r="R73" s="49">
        <f t="shared" si="10"/>
        <v>3519.1992439330365</v>
      </c>
      <c r="S73" s="49">
        <f t="shared" si="10"/>
        <v>3352.837097856202</v>
      </c>
      <c r="T73" s="103">
        <f t="shared" si="10"/>
        <v>3194.3393441393632</v>
      </c>
      <c r="V73" s="49">
        <f t="shared" si="11"/>
        <v>331.37580742664358</v>
      </c>
      <c r="W73" s="49">
        <f t="shared" si="12"/>
        <v>331.37580742664363</v>
      </c>
      <c r="X73" s="49">
        <f t="shared" si="13"/>
        <v>331.37580742664363</v>
      </c>
      <c r="Y73" s="49">
        <f t="shared" si="14"/>
        <v>331.37580742664363</v>
      </c>
      <c r="Z73" s="103">
        <f t="shared" si="15"/>
        <v>331.37580742664363</v>
      </c>
      <c r="AB73" s="49">
        <f t="shared" si="16"/>
        <v>4208.4727543183735</v>
      </c>
      <c r="AC73" s="49">
        <f t="shared" si="17"/>
        <v>4025.1918077380369</v>
      </c>
      <c r="AD73" s="49">
        <f t="shared" si="18"/>
        <v>3850.5750513596804</v>
      </c>
      <c r="AE73" s="49">
        <f t="shared" si="19"/>
        <v>3684.2129052828459</v>
      </c>
      <c r="AF73" s="103">
        <f t="shared" si="20"/>
        <v>3525.7151515660071</v>
      </c>
      <c r="AH73" s="49">
        <f t="shared" si="21"/>
        <v>86919.874288008607</v>
      </c>
      <c r="AI73" s="49">
        <f t="shared" si="22"/>
        <v>82894.682480270567</v>
      </c>
      <c r="AJ73" s="49">
        <f t="shared" si="23"/>
        <v>79044.10742891088</v>
      </c>
      <c r="AK73" s="49">
        <f t="shared" si="24"/>
        <v>75359.894523628027</v>
      </c>
      <c r="AL73" s="103">
        <f t="shared" si="25"/>
        <v>71834.179372062019</v>
      </c>
      <c r="AN73" s="53">
        <f t="shared" si="26"/>
        <v>7772.1876001267265</v>
      </c>
      <c r="AO73" s="53">
        <f t="shared" si="27"/>
        <v>8252.8206142318359</v>
      </c>
      <c r="AP73" s="53">
        <f t="shared" si="28"/>
        <v>6854.2511336582938</v>
      </c>
      <c r="AQ73" s="53">
        <f t="shared" si="29"/>
        <v>6547.888897180711</v>
      </c>
      <c r="AR73" s="203">
        <f t="shared" si="30"/>
        <v>6255.413967704364</v>
      </c>
      <c r="AY73" s="3"/>
    </row>
    <row r="74" spans="1:51">
      <c r="A74" s="54"/>
      <c r="B74" s="43">
        <f>'13. Desinvesteringen'!B358</f>
        <v>339</v>
      </c>
      <c r="C74" s="54"/>
      <c r="D74" s="54"/>
      <c r="E74" s="54"/>
      <c r="F74" s="48">
        <f>'5. Input GAW-waarde desinv.'!D34</f>
        <v>19475.506076320318</v>
      </c>
      <c r="G74" s="187">
        <f>'13. Desinvesteringen'!D358</f>
        <v>1995</v>
      </c>
      <c r="H74" s="187">
        <f>'13. Desinvesteringen'!G358</f>
        <v>2022</v>
      </c>
      <c r="I74" s="43" t="str">
        <f>'13. Desinvesteringen'!C358</f>
        <v>01 Regionale leidingen</v>
      </c>
      <c r="J74" s="176">
        <f>'13. Desinvesteringen'!F358</f>
        <v>0</v>
      </c>
      <c r="K74" s="44">
        <f>_xlfn.XLOOKUP(I74,'3. Input (des)investeringen '!$B$11:$B$81,'3. Input (des)investeringen '!$E$11:$E$81)</f>
        <v>1</v>
      </c>
      <c r="L74" s="54"/>
      <c r="M74" s="44">
        <f>_xlfn.XLOOKUP(I74,'3. Input (des)investeringen '!$B$11:$B$81,'3. Input (des)investeringen '!$D$11:$D$81,0)</f>
        <v>55</v>
      </c>
      <c r="N74" s="44">
        <f t="shared" si="9"/>
        <v>28.5</v>
      </c>
      <c r="P74" s="49">
        <f t="shared" si="10"/>
        <v>799.52077576472891</v>
      </c>
      <c r="Q74" s="49">
        <f t="shared" si="10"/>
        <v>763.05140704563598</v>
      </c>
      <c r="R74" s="49">
        <f t="shared" si="10"/>
        <v>728.24555339092285</v>
      </c>
      <c r="S74" s="49">
        <f t="shared" si="10"/>
        <v>695.02733516607361</v>
      </c>
      <c r="T74" s="103">
        <f t="shared" si="10"/>
        <v>663.3243339128843</v>
      </c>
      <c r="V74" s="49">
        <f t="shared" si="11"/>
        <v>68.335109039720422</v>
      </c>
      <c r="W74" s="49">
        <f t="shared" si="12"/>
        <v>68.335109039720422</v>
      </c>
      <c r="X74" s="49">
        <f t="shared" si="13"/>
        <v>68.335109039720422</v>
      </c>
      <c r="Y74" s="49">
        <f t="shared" si="14"/>
        <v>68.335109039720422</v>
      </c>
      <c r="Z74" s="103">
        <f t="shared" si="15"/>
        <v>68.335109039720422</v>
      </c>
      <c r="AB74" s="49">
        <f t="shared" si="16"/>
        <v>867.85588480444937</v>
      </c>
      <c r="AC74" s="49">
        <f t="shared" si="17"/>
        <v>831.38651608535645</v>
      </c>
      <c r="AD74" s="49">
        <f t="shared" si="18"/>
        <v>796.58066243064332</v>
      </c>
      <c r="AE74" s="49">
        <f t="shared" si="19"/>
        <v>763.36244420579408</v>
      </c>
      <c r="AF74" s="103">
        <f t="shared" si="20"/>
        <v>731.65944295260476</v>
      </c>
      <c r="AH74" s="49">
        <f t="shared" si="21"/>
        <v>18607.65019151587</v>
      </c>
      <c r="AI74" s="49">
        <f t="shared" si="22"/>
        <v>17776.263675430513</v>
      </c>
      <c r="AJ74" s="49">
        <f t="shared" si="23"/>
        <v>16979.683012999871</v>
      </c>
      <c r="AK74" s="49">
        <f t="shared" si="24"/>
        <v>16216.320568794077</v>
      </c>
      <c r="AL74" s="103">
        <f t="shared" si="25"/>
        <v>15484.661125841472</v>
      </c>
      <c r="AN74" s="53">
        <f t="shared" si="26"/>
        <v>1630.7695426566002</v>
      </c>
      <c r="AO74" s="53">
        <f t="shared" si="27"/>
        <v>1737.9759635323126</v>
      </c>
      <c r="AP74" s="53">
        <f t="shared" si="28"/>
        <v>1441.8086169246385</v>
      </c>
      <c r="AQ74" s="53">
        <f t="shared" si="29"/>
        <v>1379.5826258199691</v>
      </c>
      <c r="AR74" s="203">
        <f t="shared" si="30"/>
        <v>1320.0765657345805</v>
      </c>
      <c r="AY74" s="3"/>
    </row>
    <row r="75" spans="1:51">
      <c r="A75" s="54"/>
      <c r="B75" s="43">
        <f>'13. Desinvesteringen'!B359</f>
        <v>340</v>
      </c>
      <c r="C75" s="54"/>
      <c r="D75" s="54"/>
      <c r="E75" s="54"/>
      <c r="F75" s="48">
        <f>'5. Input GAW-waarde desinv.'!D35</f>
        <v>4265.7894840755598</v>
      </c>
      <c r="G75" s="187">
        <f>'13. Desinvesteringen'!D359</f>
        <v>1997</v>
      </c>
      <c r="H75" s="187">
        <f>'13. Desinvesteringen'!G359</f>
        <v>2022</v>
      </c>
      <c r="I75" s="43" t="str">
        <f>'13. Desinvesteringen'!C359</f>
        <v>01 Regionale leidingen</v>
      </c>
      <c r="J75" s="176">
        <f>'13. Desinvesteringen'!F359</f>
        <v>0</v>
      </c>
      <c r="K75" s="44">
        <f>_xlfn.XLOOKUP(I75,'3. Input (des)investeringen '!$B$11:$B$81,'3. Input (des)investeringen '!$E$11:$E$81)</f>
        <v>1</v>
      </c>
      <c r="L75" s="54"/>
      <c r="M75" s="44">
        <f>_xlfn.XLOOKUP(I75,'3. Input (des)investeringen '!$B$11:$B$81,'3. Input (des)investeringen '!$D$11:$D$81,0)</f>
        <v>55</v>
      </c>
      <c r="N75" s="44">
        <f t="shared" si="9"/>
        <v>30.5</v>
      </c>
      <c r="P75" s="49">
        <f t="shared" si="10"/>
        <v>163.63848184814444</v>
      </c>
      <c r="Q75" s="49">
        <f t="shared" si="10"/>
        <v>156.6637268841252</v>
      </c>
      <c r="R75" s="49">
        <f t="shared" si="10"/>
        <v>149.98625655791653</v>
      </c>
      <c r="S75" s="49">
        <f t="shared" si="10"/>
        <v>143.59339972102177</v>
      </c>
      <c r="T75" s="103">
        <f t="shared" si="10"/>
        <v>137.47302530668313</v>
      </c>
      <c r="V75" s="49">
        <f t="shared" si="11"/>
        <v>13.986195029755933</v>
      </c>
      <c r="W75" s="49">
        <f t="shared" si="12"/>
        <v>13.986195029755937</v>
      </c>
      <c r="X75" s="49">
        <f t="shared" si="13"/>
        <v>13.986195029755937</v>
      </c>
      <c r="Y75" s="49">
        <f t="shared" si="14"/>
        <v>13.986195029755937</v>
      </c>
      <c r="Z75" s="103">
        <f t="shared" si="15"/>
        <v>13.986195029755937</v>
      </c>
      <c r="AB75" s="49">
        <f t="shared" si="16"/>
        <v>177.62467687790036</v>
      </c>
      <c r="AC75" s="49">
        <f t="shared" si="17"/>
        <v>170.64992191388114</v>
      </c>
      <c r="AD75" s="49">
        <f t="shared" si="18"/>
        <v>163.97245158767248</v>
      </c>
      <c r="AE75" s="49">
        <f t="shared" si="19"/>
        <v>157.57959475077772</v>
      </c>
      <c r="AF75" s="103">
        <f t="shared" si="20"/>
        <v>151.45922033643907</v>
      </c>
      <c r="AH75" s="49">
        <f t="shared" si="21"/>
        <v>4088.1648071976597</v>
      </c>
      <c r="AI75" s="49">
        <f t="shared" si="22"/>
        <v>3917.5148852837783</v>
      </c>
      <c r="AJ75" s="49">
        <f t="shared" si="23"/>
        <v>3753.5424336961059</v>
      </c>
      <c r="AK75" s="49">
        <f t="shared" si="24"/>
        <v>3595.9628389453283</v>
      </c>
      <c r="AL75" s="103">
        <f t="shared" si="25"/>
        <v>3444.5036186088892</v>
      </c>
      <c r="AN75" s="53">
        <f t="shared" si="26"/>
        <v>345.23943397300445</v>
      </c>
      <c r="AO75" s="53">
        <f t="shared" si="27"/>
        <v>370.44318106335379</v>
      </c>
      <c r="AP75" s="53">
        <f t="shared" si="28"/>
        <v>306.60706406812449</v>
      </c>
      <c r="AQ75" s="53">
        <f t="shared" si="29"/>
        <v>294.22618263070018</v>
      </c>
      <c r="AR75" s="203">
        <f t="shared" si="30"/>
        <v>282.35035784357683</v>
      </c>
      <c r="AY75" s="3"/>
    </row>
    <row r="76" spans="1:51">
      <c r="A76" s="54"/>
      <c r="B76" s="43">
        <f>'13. Desinvesteringen'!B360</f>
        <v>341</v>
      </c>
      <c r="C76" s="54"/>
      <c r="D76" s="54"/>
      <c r="E76" s="54"/>
      <c r="F76" s="48">
        <f>'5. Input GAW-waarde desinv.'!D36</f>
        <v>6065.0353725967525</v>
      </c>
      <c r="G76" s="187">
        <f>'13. Desinvesteringen'!D360</f>
        <v>2001</v>
      </c>
      <c r="H76" s="187">
        <f>'13. Desinvesteringen'!G360</f>
        <v>2022</v>
      </c>
      <c r="I76" s="43" t="str">
        <f>'13. Desinvesteringen'!C360</f>
        <v>01 Regionale leidingen</v>
      </c>
      <c r="J76" s="176">
        <f>'13. Desinvesteringen'!F360</f>
        <v>0</v>
      </c>
      <c r="K76" s="44">
        <f>_xlfn.XLOOKUP(I76,'3. Input (des)investeringen '!$B$11:$B$81,'3. Input (des)investeringen '!$E$11:$E$81)</f>
        <v>1</v>
      </c>
      <c r="L76" s="54"/>
      <c r="M76" s="44">
        <f>_xlfn.XLOOKUP(I76,'3. Input (des)investeringen '!$B$11:$B$81,'3. Input (des)investeringen '!$D$11:$D$81,0)</f>
        <v>55</v>
      </c>
      <c r="N76" s="44">
        <f t="shared" si="9"/>
        <v>34.5</v>
      </c>
      <c r="P76" s="49">
        <f t="shared" si="10"/>
        <v>205.6838082880638</v>
      </c>
      <c r="Q76" s="49">
        <f t="shared" si="10"/>
        <v>197.93340391778895</v>
      </c>
      <c r="R76" s="49">
        <f t="shared" si="10"/>
        <v>190.47504377016213</v>
      </c>
      <c r="S76" s="49">
        <f t="shared" si="10"/>
        <v>183.29772328027195</v>
      </c>
      <c r="T76" s="103">
        <f t="shared" si="10"/>
        <v>176.39085254797183</v>
      </c>
      <c r="V76" s="49">
        <f t="shared" si="11"/>
        <v>17.579812674193487</v>
      </c>
      <c r="W76" s="49">
        <f t="shared" si="12"/>
        <v>17.579812674193487</v>
      </c>
      <c r="X76" s="49">
        <f t="shared" si="13"/>
        <v>17.579812674193487</v>
      </c>
      <c r="Y76" s="49">
        <f t="shared" si="14"/>
        <v>17.579812674193487</v>
      </c>
      <c r="Z76" s="103">
        <f t="shared" si="15"/>
        <v>17.579812674193487</v>
      </c>
      <c r="AB76" s="49">
        <f t="shared" si="16"/>
        <v>223.26362096225728</v>
      </c>
      <c r="AC76" s="49">
        <f t="shared" si="17"/>
        <v>215.51321659198243</v>
      </c>
      <c r="AD76" s="49">
        <f t="shared" si="18"/>
        <v>208.05485644435561</v>
      </c>
      <c r="AE76" s="49">
        <f t="shared" si="19"/>
        <v>200.87753595446543</v>
      </c>
      <c r="AF76" s="103">
        <f t="shared" si="20"/>
        <v>193.97066522216531</v>
      </c>
      <c r="AH76" s="49">
        <f t="shared" si="21"/>
        <v>5841.7717516344956</v>
      </c>
      <c r="AI76" s="49">
        <f t="shared" si="22"/>
        <v>5626.2585350425134</v>
      </c>
      <c r="AJ76" s="49">
        <f t="shared" si="23"/>
        <v>5418.2036785981581</v>
      </c>
      <c r="AK76" s="49">
        <f t="shared" si="24"/>
        <v>5217.3261426436929</v>
      </c>
      <c r="AL76" s="103">
        <f t="shared" si="25"/>
        <v>5023.3554774215272</v>
      </c>
      <c r="AN76" s="53">
        <f t="shared" si="26"/>
        <v>462.77626277927163</v>
      </c>
      <c r="AO76" s="53">
        <f t="shared" si="27"/>
        <v>502.45240187915061</v>
      </c>
      <c r="AP76" s="53">
        <f t="shared" si="28"/>
        <v>413.94659623108561</v>
      </c>
      <c r="AQ76" s="53">
        <f t="shared" si="29"/>
        <v>399.13592937492575</v>
      </c>
      <c r="AR76" s="203">
        <f t="shared" si="30"/>
        <v>384.85817336418336</v>
      </c>
      <c r="AY76" s="3"/>
    </row>
    <row r="77" spans="1:51">
      <c r="A77" s="54"/>
      <c r="B77" s="43">
        <f>'13. Desinvesteringen'!B361</f>
        <v>342</v>
      </c>
      <c r="C77" s="54"/>
      <c r="D77" s="54"/>
      <c r="E77" s="54"/>
      <c r="F77" s="48">
        <f>'5. Input GAW-waarde desinv.'!D37</f>
        <v>3963.0132452867715</v>
      </c>
      <c r="G77" s="187">
        <f>'13. Desinvesteringen'!D361</f>
        <v>2002</v>
      </c>
      <c r="H77" s="187">
        <f>'13. Desinvesteringen'!G361</f>
        <v>2022</v>
      </c>
      <c r="I77" s="43" t="str">
        <f>'13. Desinvesteringen'!C361</f>
        <v>01 Regionale leidingen</v>
      </c>
      <c r="J77" s="176">
        <f>'13. Desinvesteringen'!F361</f>
        <v>0</v>
      </c>
      <c r="K77" s="44">
        <f>_xlfn.XLOOKUP(I77,'3. Input (des)investeringen '!$B$11:$B$81,'3. Input (des)investeringen '!$E$11:$E$81)</f>
        <v>1</v>
      </c>
      <c r="L77" s="54"/>
      <c r="M77" s="44">
        <f>_xlfn.XLOOKUP(I77,'3. Input (des)investeringen '!$B$11:$B$81,'3. Input (des)investeringen '!$D$11:$D$81,0)</f>
        <v>55</v>
      </c>
      <c r="N77" s="44">
        <f t="shared" si="9"/>
        <v>35.5</v>
      </c>
      <c r="P77" s="49">
        <f t="shared" si="10"/>
        <v>130.61198583057811</v>
      </c>
      <c r="Q77" s="49">
        <f t="shared" si="10"/>
        <v>125.82901170157102</v>
      </c>
      <c r="R77" s="49">
        <f t="shared" si="10"/>
        <v>121.22118873785151</v>
      </c>
      <c r="S77" s="49">
        <f t="shared" si="10"/>
        <v>116.78210295308513</v>
      </c>
      <c r="T77" s="103">
        <f t="shared" si="10"/>
        <v>112.50557523931016</v>
      </c>
      <c r="V77" s="49">
        <f t="shared" si="11"/>
        <v>11.163417592357105</v>
      </c>
      <c r="W77" s="49">
        <f t="shared" si="12"/>
        <v>11.163417592357103</v>
      </c>
      <c r="X77" s="49">
        <f t="shared" si="13"/>
        <v>11.163417592357103</v>
      </c>
      <c r="Y77" s="49">
        <f t="shared" si="14"/>
        <v>11.163417592357103</v>
      </c>
      <c r="Z77" s="103">
        <f t="shared" si="15"/>
        <v>11.163417592357103</v>
      </c>
      <c r="AB77" s="49">
        <f t="shared" si="16"/>
        <v>141.7754034229352</v>
      </c>
      <c r="AC77" s="49">
        <f t="shared" si="17"/>
        <v>136.99242929392813</v>
      </c>
      <c r="AD77" s="49">
        <f t="shared" si="18"/>
        <v>132.38460633020861</v>
      </c>
      <c r="AE77" s="49">
        <f t="shared" si="19"/>
        <v>127.94552054544224</v>
      </c>
      <c r="AF77" s="103">
        <f t="shared" si="20"/>
        <v>123.66899283166727</v>
      </c>
      <c r="AH77" s="49">
        <f t="shared" si="21"/>
        <v>3821.2378418638364</v>
      </c>
      <c r="AI77" s="49">
        <f t="shared" si="22"/>
        <v>3684.2454125699082</v>
      </c>
      <c r="AJ77" s="49">
        <f t="shared" si="23"/>
        <v>3551.8608062396997</v>
      </c>
      <c r="AK77" s="49">
        <f t="shared" si="24"/>
        <v>3423.9152856942574</v>
      </c>
      <c r="AL77" s="103">
        <f t="shared" si="25"/>
        <v>3300.2462928625901</v>
      </c>
      <c r="AN77" s="53">
        <f t="shared" si="26"/>
        <v>298.44615493935248</v>
      </c>
      <c r="AO77" s="53">
        <f t="shared" si="27"/>
        <v>324.88894533499342</v>
      </c>
      <c r="AP77" s="53">
        <f t="shared" si="28"/>
        <v>267.35531696731721</v>
      </c>
      <c r="AQ77" s="53">
        <f t="shared" si="29"/>
        <v>258.05430140182398</v>
      </c>
      <c r="AR77" s="203">
        <f t="shared" si="30"/>
        <v>249.07835196044567</v>
      </c>
      <c r="AY77" s="3"/>
    </row>
    <row r="78" spans="1:51">
      <c r="A78" s="54"/>
      <c r="B78" s="43">
        <f>'13. Desinvesteringen'!B362</f>
        <v>343</v>
      </c>
      <c r="C78" s="54"/>
      <c r="D78" s="54"/>
      <c r="E78" s="54"/>
      <c r="F78" s="48">
        <f>'5. Input GAW-waarde desinv.'!D38</f>
        <v>99386.826026262308</v>
      </c>
      <c r="G78" s="187">
        <f>'13. Desinvesteringen'!D362</f>
        <v>2004</v>
      </c>
      <c r="H78" s="187">
        <f>'13. Desinvesteringen'!G362</f>
        <v>2022</v>
      </c>
      <c r="I78" s="43" t="str">
        <f>'13. Desinvesteringen'!C362</f>
        <v>01 Regionale leidingen</v>
      </c>
      <c r="J78" s="176">
        <f>'13. Desinvesteringen'!F362</f>
        <v>0</v>
      </c>
      <c r="K78" s="44">
        <f>_xlfn.XLOOKUP(I78,'3. Input (des)investeringen '!$B$11:$B$81,'3. Input (des)investeringen '!$E$11:$E$81)</f>
        <v>1</v>
      </c>
      <c r="L78" s="54"/>
      <c r="M78" s="44">
        <f>_xlfn.XLOOKUP(I78,'3. Input (des)investeringen '!$B$11:$B$81,'3. Input (des)investeringen '!$D$11:$D$81,0)</f>
        <v>55</v>
      </c>
      <c r="N78" s="44">
        <f t="shared" si="9"/>
        <v>37.5</v>
      </c>
      <c r="P78" s="49">
        <f t="shared" si="10"/>
        <v>3100.8689720193838</v>
      </c>
      <c r="Q78" s="49">
        <f t="shared" si="10"/>
        <v>2993.3721809893782</v>
      </c>
      <c r="R78" s="49">
        <f t="shared" si="10"/>
        <v>2889.6019453817466</v>
      </c>
      <c r="S78" s="49">
        <f t="shared" si="10"/>
        <v>2789.4290779418461</v>
      </c>
      <c r="T78" s="103">
        <f t="shared" si="10"/>
        <v>2692.7288699065289</v>
      </c>
      <c r="V78" s="49">
        <f t="shared" si="11"/>
        <v>265.03153607003281</v>
      </c>
      <c r="W78" s="49">
        <f t="shared" si="12"/>
        <v>265.03153607003281</v>
      </c>
      <c r="X78" s="49">
        <f t="shared" si="13"/>
        <v>265.03153607003281</v>
      </c>
      <c r="Y78" s="49">
        <f t="shared" si="14"/>
        <v>265.03153607003281</v>
      </c>
      <c r="Z78" s="103">
        <f t="shared" si="15"/>
        <v>265.03153607003281</v>
      </c>
      <c r="AB78" s="49">
        <f t="shared" si="16"/>
        <v>3365.9005080894167</v>
      </c>
      <c r="AC78" s="49">
        <f t="shared" si="17"/>
        <v>3258.4037170594111</v>
      </c>
      <c r="AD78" s="49">
        <f t="shared" si="18"/>
        <v>3154.6334814517795</v>
      </c>
      <c r="AE78" s="49">
        <f t="shared" si="19"/>
        <v>3054.460614011879</v>
      </c>
      <c r="AF78" s="103">
        <f t="shared" si="20"/>
        <v>2957.7604059765617</v>
      </c>
      <c r="AH78" s="49">
        <f t="shared" si="21"/>
        <v>96020.925518172895</v>
      </c>
      <c r="AI78" s="49">
        <f t="shared" si="22"/>
        <v>92762.521801113486</v>
      </c>
      <c r="AJ78" s="49">
        <f t="shared" si="23"/>
        <v>89607.88831966171</v>
      </c>
      <c r="AK78" s="49">
        <f t="shared" si="24"/>
        <v>86553.427705649825</v>
      </c>
      <c r="AL78" s="103">
        <f t="shared" si="25"/>
        <v>83595.667299673267</v>
      </c>
      <c r="AN78" s="53">
        <f t="shared" si="26"/>
        <v>7302.7584543345056</v>
      </c>
      <c r="AO78" s="53">
        <f t="shared" si="27"/>
        <v>7989.2923289161981</v>
      </c>
      <c r="AP78" s="53">
        <f t="shared" si="28"/>
        <v>6559.7332375989245</v>
      </c>
      <c r="AQ78" s="53">
        <f t="shared" si="29"/>
        <v>6343.4908668265725</v>
      </c>
      <c r="AR78" s="203">
        <f t="shared" si="30"/>
        <v>6134.3957633641458</v>
      </c>
      <c r="AY78" s="3"/>
    </row>
    <row r="79" spans="1:51">
      <c r="A79" s="54"/>
      <c r="B79" s="43">
        <f>'13. Desinvesteringen'!B363</f>
        <v>344</v>
      </c>
      <c r="C79" s="54"/>
      <c r="D79" s="54"/>
      <c r="E79" s="54"/>
      <c r="F79" s="48">
        <f>'5. Input GAW-waarde desinv.'!D39</f>
        <v>21724.935672167638</v>
      </c>
      <c r="G79" s="187">
        <f>'13. Desinvesteringen'!D363</f>
        <v>2005</v>
      </c>
      <c r="H79" s="187">
        <f>'13. Desinvesteringen'!G363</f>
        <v>2022</v>
      </c>
      <c r="I79" s="43" t="str">
        <f>'13. Desinvesteringen'!C363</f>
        <v>01 Regionale leidingen</v>
      </c>
      <c r="J79" s="176">
        <f>'13. Desinvesteringen'!F363</f>
        <v>0</v>
      </c>
      <c r="K79" s="44">
        <f>_xlfn.XLOOKUP(I79,'3. Input (des)investeringen '!$B$11:$B$81,'3. Input (des)investeringen '!$E$11:$E$81)</f>
        <v>1</v>
      </c>
      <c r="L79" s="54"/>
      <c r="M79" s="44">
        <f>_xlfn.XLOOKUP(I79,'3. Input (des)investeringen '!$B$11:$B$81,'3. Input (des)investeringen '!$D$11:$D$81,0)</f>
        <v>55</v>
      </c>
      <c r="N79" s="44">
        <f t="shared" si="9"/>
        <v>38.5</v>
      </c>
      <c r="P79" s="49">
        <f t="shared" si="10"/>
        <v>660.21233081652315</v>
      </c>
      <c r="Q79" s="49">
        <f t="shared" si="10"/>
        <v>637.91944691882236</v>
      </c>
      <c r="R79" s="49">
        <f t="shared" si="10"/>
        <v>616.37930975013478</v>
      </c>
      <c r="S79" s="49">
        <f t="shared" si="10"/>
        <v>595.56650188844196</v>
      </c>
      <c r="T79" s="103">
        <f t="shared" si="10"/>
        <v>575.45646416233865</v>
      </c>
      <c r="V79" s="49">
        <f t="shared" si="11"/>
        <v>56.428404343292577</v>
      </c>
      <c r="W79" s="49">
        <f t="shared" si="12"/>
        <v>56.428404343292563</v>
      </c>
      <c r="X79" s="49">
        <f t="shared" si="13"/>
        <v>56.428404343292563</v>
      </c>
      <c r="Y79" s="49">
        <f t="shared" si="14"/>
        <v>56.428404343292563</v>
      </c>
      <c r="Z79" s="103">
        <f t="shared" si="15"/>
        <v>56.428404343292563</v>
      </c>
      <c r="AB79" s="49">
        <f t="shared" si="16"/>
        <v>716.64073515981568</v>
      </c>
      <c r="AC79" s="49">
        <f t="shared" si="17"/>
        <v>694.34785126211489</v>
      </c>
      <c r="AD79" s="49">
        <f t="shared" si="18"/>
        <v>672.80771409342731</v>
      </c>
      <c r="AE79" s="49">
        <f t="shared" si="19"/>
        <v>651.99490623173449</v>
      </c>
      <c r="AF79" s="103">
        <f t="shared" si="20"/>
        <v>631.88486850563118</v>
      </c>
      <c r="AH79" s="49">
        <f t="shared" si="21"/>
        <v>21008.29493700782</v>
      </c>
      <c r="AI79" s="49">
        <f t="shared" si="22"/>
        <v>20313.947085745705</v>
      </c>
      <c r="AJ79" s="49">
        <f t="shared" si="23"/>
        <v>19641.13937165228</v>
      </c>
      <c r="AK79" s="49">
        <f t="shared" si="24"/>
        <v>18989.144465420544</v>
      </c>
      <c r="AL79" s="103">
        <f t="shared" si="25"/>
        <v>18357.259596914912</v>
      </c>
      <c r="AN79" s="53">
        <f t="shared" si="26"/>
        <v>1577.9808275771363</v>
      </c>
      <c r="AO79" s="53">
        <f t="shared" si="27"/>
        <v>1730.3591526351456</v>
      </c>
      <c r="AP79" s="53">
        <f t="shared" si="28"/>
        <v>1419.171010216214</v>
      </c>
      <c r="AQ79" s="53">
        <f t="shared" si="29"/>
        <v>1373.5823959177151</v>
      </c>
      <c r="AR79" s="203">
        <f t="shared" si="30"/>
        <v>1329.4607331883976</v>
      </c>
      <c r="AY79" s="3"/>
    </row>
    <row r="80" spans="1:51">
      <c r="A80" s="54"/>
      <c r="B80" s="43">
        <f>'13. Desinvesteringen'!B364</f>
        <v>345</v>
      </c>
      <c r="C80" s="54"/>
      <c r="D80" s="54"/>
      <c r="E80" s="54"/>
      <c r="F80" s="48">
        <f>'5. Input GAW-waarde desinv.'!D40</f>
        <v>354150.64233630133</v>
      </c>
      <c r="G80" s="187">
        <f>'13. Desinvesteringen'!D364</f>
        <v>2009</v>
      </c>
      <c r="H80" s="187">
        <f>'13. Desinvesteringen'!G364</f>
        <v>2022</v>
      </c>
      <c r="I80" s="43" t="str">
        <f>'13. Desinvesteringen'!C364</f>
        <v>01 Regionale leidingen</v>
      </c>
      <c r="J80" s="176">
        <f>'13. Desinvesteringen'!F364</f>
        <v>0</v>
      </c>
      <c r="K80" s="44">
        <f>_xlfn.XLOOKUP(I80,'3. Input (des)investeringen '!$B$11:$B$81,'3. Input (des)investeringen '!$E$11:$E$81)</f>
        <v>1</v>
      </c>
      <c r="L80" s="54"/>
      <c r="M80" s="44">
        <f>_xlfn.XLOOKUP(I80,'3. Input (des)investeringen '!$B$11:$B$81,'3. Input (des)investeringen '!$D$11:$D$81,0)</f>
        <v>55</v>
      </c>
      <c r="N80" s="44">
        <f t="shared" si="9"/>
        <v>42.5</v>
      </c>
      <c r="P80" s="49">
        <f t="shared" si="10"/>
        <v>9749.5588596111193</v>
      </c>
      <c r="Q80" s="49">
        <f t="shared" si="10"/>
        <v>9451.3370591994844</v>
      </c>
      <c r="R80" s="49">
        <f t="shared" si="10"/>
        <v>9162.2373373886767</v>
      </c>
      <c r="S80" s="49">
        <f t="shared" si="10"/>
        <v>8881.9806658920825</v>
      </c>
      <c r="T80" s="103">
        <f t="shared" si="10"/>
        <v>8610.2965514059724</v>
      </c>
      <c r="V80" s="49">
        <f t="shared" si="11"/>
        <v>833.29562902659154</v>
      </c>
      <c r="W80" s="49">
        <f t="shared" si="12"/>
        <v>833.29562902659154</v>
      </c>
      <c r="X80" s="49">
        <f t="shared" si="13"/>
        <v>833.29562902659154</v>
      </c>
      <c r="Y80" s="49">
        <f t="shared" si="14"/>
        <v>833.29562902659154</v>
      </c>
      <c r="Z80" s="103">
        <f t="shared" si="15"/>
        <v>833.29562902659154</v>
      </c>
      <c r="AB80" s="49">
        <f t="shared" si="16"/>
        <v>10582.854488637711</v>
      </c>
      <c r="AC80" s="49">
        <f t="shared" si="17"/>
        <v>10284.632688226076</v>
      </c>
      <c r="AD80" s="49">
        <f t="shared" si="18"/>
        <v>9995.5329664152687</v>
      </c>
      <c r="AE80" s="49">
        <f t="shared" si="19"/>
        <v>9715.2762949186745</v>
      </c>
      <c r="AF80" s="103">
        <f t="shared" si="20"/>
        <v>9443.5921804325644</v>
      </c>
      <c r="AH80" s="49">
        <f t="shared" si="21"/>
        <v>343567.78784766363</v>
      </c>
      <c r="AI80" s="49">
        <f t="shared" si="22"/>
        <v>333283.15515943756</v>
      </c>
      <c r="AJ80" s="49">
        <f t="shared" si="23"/>
        <v>323287.62219302228</v>
      </c>
      <c r="AK80" s="49">
        <f t="shared" si="24"/>
        <v>313572.34589810361</v>
      </c>
      <c r="AL80" s="103">
        <f t="shared" si="25"/>
        <v>304128.75371767103</v>
      </c>
      <c r="AN80" s="53">
        <f t="shared" si="26"/>
        <v>24669.133790391919</v>
      </c>
      <c r="AO80" s="53">
        <f t="shared" si="27"/>
        <v>27282.073601357391</v>
      </c>
      <c r="AP80" s="53">
        <f t="shared" si="28"/>
        <v>22280.462609750117</v>
      </c>
      <c r="AQ80" s="53">
        <f t="shared" si="29"/>
        <v>21631.025439046611</v>
      </c>
      <c r="AR80" s="203">
        <f t="shared" si="30"/>
        <v>21000.484821704064</v>
      </c>
      <c r="AY80" s="3"/>
    </row>
    <row r="81" spans="1:51">
      <c r="A81" s="54"/>
      <c r="B81" s="43">
        <f>'13. Desinvesteringen'!B365</f>
        <v>346</v>
      </c>
      <c r="C81" s="54"/>
      <c r="D81" s="54"/>
      <c r="E81" s="54"/>
      <c r="F81" s="48">
        <f>'5. Input GAW-waarde desinv.'!D41</f>
        <v>152476.71374613314</v>
      </c>
      <c r="G81" s="187">
        <f>'13. Desinvesteringen'!D365</f>
        <v>2010</v>
      </c>
      <c r="H81" s="187">
        <f>'13. Desinvesteringen'!G365</f>
        <v>2022</v>
      </c>
      <c r="I81" s="43" t="str">
        <f>'13. Desinvesteringen'!C365</f>
        <v>01 Regionale leidingen</v>
      </c>
      <c r="J81" s="176">
        <f>'13. Desinvesteringen'!F365</f>
        <v>0</v>
      </c>
      <c r="K81" s="44">
        <f>_xlfn.XLOOKUP(I81,'3. Input (des)investeringen '!$B$11:$B$81,'3. Input (des)investeringen '!$E$11:$E$81)</f>
        <v>1</v>
      </c>
      <c r="L81" s="54"/>
      <c r="M81" s="44">
        <f>_xlfn.XLOOKUP(I81,'3. Input (des)investeringen '!$B$11:$B$81,'3. Input (des)investeringen '!$D$11:$D$81,0)</f>
        <v>55</v>
      </c>
      <c r="N81" s="44">
        <f t="shared" si="9"/>
        <v>43.5</v>
      </c>
      <c r="P81" s="49">
        <f t="shared" si="10"/>
        <v>4101.0978179994436</v>
      </c>
      <c r="Q81" s="49">
        <f t="shared" si="10"/>
        <v>3978.5362740132528</v>
      </c>
      <c r="R81" s="49">
        <f t="shared" si="10"/>
        <v>3859.6374888128566</v>
      </c>
      <c r="S81" s="49">
        <f t="shared" si="10"/>
        <v>3744.2920006414374</v>
      </c>
      <c r="T81" s="103">
        <f t="shared" si="10"/>
        <v>3632.3936190130726</v>
      </c>
      <c r="V81" s="49">
        <f t="shared" si="11"/>
        <v>350.52118102559348</v>
      </c>
      <c r="W81" s="49">
        <f t="shared" si="12"/>
        <v>350.52118102559342</v>
      </c>
      <c r="X81" s="49">
        <f t="shared" si="13"/>
        <v>350.52118102559342</v>
      </c>
      <c r="Y81" s="49">
        <f t="shared" si="14"/>
        <v>350.52118102559342</v>
      </c>
      <c r="Z81" s="103">
        <f t="shared" si="15"/>
        <v>350.52118102559342</v>
      </c>
      <c r="AB81" s="49">
        <f t="shared" si="16"/>
        <v>4451.6189990250368</v>
      </c>
      <c r="AC81" s="49">
        <f t="shared" si="17"/>
        <v>4329.0574550388465</v>
      </c>
      <c r="AD81" s="49">
        <f t="shared" si="18"/>
        <v>4210.1586698384499</v>
      </c>
      <c r="AE81" s="49">
        <f t="shared" si="19"/>
        <v>4094.8131816670307</v>
      </c>
      <c r="AF81" s="103">
        <f t="shared" si="20"/>
        <v>3982.9148000386658</v>
      </c>
      <c r="AH81" s="49">
        <f t="shared" si="21"/>
        <v>148025.09474710812</v>
      </c>
      <c r="AI81" s="49">
        <f t="shared" si="22"/>
        <v>143696.03729206926</v>
      </c>
      <c r="AJ81" s="49">
        <f t="shared" si="23"/>
        <v>139485.87862223081</v>
      </c>
      <c r="AK81" s="49">
        <f t="shared" si="24"/>
        <v>135391.06544056378</v>
      </c>
      <c r="AL81" s="103">
        <f t="shared" si="25"/>
        <v>131408.1506405251</v>
      </c>
      <c r="AN81" s="53">
        <f t="shared" si="26"/>
        <v>10520.647883656471</v>
      </c>
      <c r="AO81" s="53">
        <f t="shared" si="27"/>
        <v>11657.555356934379</v>
      </c>
      <c r="AP81" s="53">
        <f t="shared" si="28"/>
        <v>9510.6220574832205</v>
      </c>
      <c r="AQ81" s="53">
        <f t="shared" si="29"/>
        <v>9239.6736684084535</v>
      </c>
      <c r="AR81" s="203">
        <f t="shared" si="30"/>
        <v>8976.424524378619</v>
      </c>
      <c r="AY81" s="3"/>
    </row>
    <row r="82" spans="1:51">
      <c r="A82" s="54"/>
      <c r="B82" s="43">
        <f>'13. Desinvesteringen'!B366</f>
        <v>347</v>
      </c>
      <c r="C82" s="54"/>
      <c r="D82" s="54"/>
      <c r="E82" s="54"/>
      <c r="F82" s="48">
        <f>'5. Input GAW-waarde desinv.'!D42</f>
        <v>56089.001773568591</v>
      </c>
      <c r="G82" s="187">
        <f>'13. Desinvesteringen'!D366</f>
        <v>2011</v>
      </c>
      <c r="H82" s="187">
        <f>'13. Desinvesteringen'!G366</f>
        <v>2022</v>
      </c>
      <c r="I82" s="43" t="str">
        <f>'13. Desinvesteringen'!C366</f>
        <v>01 Regionale leidingen</v>
      </c>
      <c r="J82" s="176">
        <f>'13. Desinvesteringen'!F366</f>
        <v>0</v>
      </c>
      <c r="K82" s="44">
        <f>_xlfn.XLOOKUP(I82,'3. Input (des)investeringen '!$B$11:$B$81,'3. Input (des)investeringen '!$E$11:$E$81)</f>
        <v>1</v>
      </c>
      <c r="L82" s="54"/>
      <c r="M82" s="44">
        <f>_xlfn.XLOOKUP(I82,'3. Input (des)investeringen '!$B$11:$B$81,'3. Input (des)investeringen '!$D$11:$D$81,0)</f>
        <v>55</v>
      </c>
      <c r="N82" s="44">
        <f t="shared" si="9"/>
        <v>44.5</v>
      </c>
      <c r="P82" s="49">
        <f t="shared" si="10"/>
        <v>1474.6995971927024</v>
      </c>
      <c r="Q82" s="49">
        <f t="shared" si="10"/>
        <v>1431.6184853646012</v>
      </c>
      <c r="R82" s="49">
        <f t="shared" si="10"/>
        <v>1389.7959228708037</v>
      </c>
      <c r="S82" s="49">
        <f t="shared" si="10"/>
        <v>1349.1951431015443</v>
      </c>
      <c r="T82" s="103">
        <f t="shared" si="10"/>
        <v>1309.7804535277912</v>
      </c>
      <c r="V82" s="49">
        <f t="shared" si="11"/>
        <v>126.04270061476089</v>
      </c>
      <c r="W82" s="49">
        <f t="shared" si="12"/>
        <v>126.04270061476089</v>
      </c>
      <c r="X82" s="49">
        <f t="shared" si="13"/>
        <v>126.04270061476089</v>
      </c>
      <c r="Y82" s="49">
        <f t="shared" si="14"/>
        <v>126.04270061476089</v>
      </c>
      <c r="Z82" s="103">
        <f t="shared" si="15"/>
        <v>126.04270061476089</v>
      </c>
      <c r="AB82" s="49">
        <f t="shared" si="16"/>
        <v>1600.7422978074633</v>
      </c>
      <c r="AC82" s="49">
        <f t="shared" si="17"/>
        <v>1557.661185979362</v>
      </c>
      <c r="AD82" s="49">
        <f t="shared" si="18"/>
        <v>1515.8386234855645</v>
      </c>
      <c r="AE82" s="49">
        <f t="shared" si="19"/>
        <v>1475.2378437163052</v>
      </c>
      <c r="AF82" s="103">
        <f t="shared" si="20"/>
        <v>1435.8231541425521</v>
      </c>
      <c r="AH82" s="49">
        <f t="shared" si="21"/>
        <v>54488.25947576113</v>
      </c>
      <c r="AI82" s="49">
        <f t="shared" si="22"/>
        <v>52930.598289781767</v>
      </c>
      <c r="AJ82" s="49">
        <f t="shared" si="23"/>
        <v>51414.759666296202</v>
      </c>
      <c r="AK82" s="49">
        <f t="shared" si="24"/>
        <v>49939.521822579896</v>
      </c>
      <c r="AL82" s="103">
        <f t="shared" si="25"/>
        <v>48503.698668437341</v>
      </c>
      <c r="AN82" s="53">
        <f t="shared" si="26"/>
        <v>3834.7609363136698</v>
      </c>
      <c r="AO82" s="53">
        <f t="shared" si="27"/>
        <v>4257.121698758232</v>
      </c>
      <c r="AP82" s="53">
        <f t="shared" si="28"/>
        <v>3469.5994908048201</v>
      </c>
      <c r="AQ82" s="53">
        <f t="shared" si="29"/>
        <v>3372.9396729743412</v>
      </c>
      <c r="AR82" s="203">
        <f t="shared" si="30"/>
        <v>3278.9637035431711</v>
      </c>
      <c r="AY82" s="3"/>
    </row>
    <row r="83" spans="1:51">
      <c r="A83" s="54"/>
      <c r="B83" s="43">
        <f>'13. Desinvesteringen'!B367</f>
        <v>348</v>
      </c>
      <c r="C83" s="54"/>
      <c r="D83" s="54"/>
      <c r="E83" s="54"/>
      <c r="F83" s="48">
        <f>'5. Input GAW-waarde desinv.'!D43</f>
        <v>89195.270846924876</v>
      </c>
      <c r="G83" s="187">
        <f>'13. Desinvesteringen'!D367</f>
        <v>2012</v>
      </c>
      <c r="H83" s="187">
        <f>'13. Desinvesteringen'!G367</f>
        <v>2022</v>
      </c>
      <c r="I83" s="43" t="str">
        <f>'13. Desinvesteringen'!C367</f>
        <v>01 Regionale leidingen</v>
      </c>
      <c r="J83" s="176">
        <f>'13. Desinvesteringen'!F367</f>
        <v>0</v>
      </c>
      <c r="K83" s="44">
        <f>_xlfn.XLOOKUP(I83,'3. Input (des)investeringen '!$B$11:$B$81,'3. Input (des)investeringen '!$E$11:$E$81)</f>
        <v>1</v>
      </c>
      <c r="L83" s="54"/>
      <c r="M83" s="44">
        <f>_xlfn.XLOOKUP(I83,'3. Input (des)investeringen '!$B$11:$B$81,'3. Input (des)investeringen '!$D$11:$D$81,0)</f>
        <v>55</v>
      </c>
      <c r="N83" s="44">
        <f t="shared" si="9"/>
        <v>45.5</v>
      </c>
      <c r="P83" s="49">
        <f t="shared" si="10"/>
        <v>2293.5926789209257</v>
      </c>
      <c r="Q83" s="49">
        <f t="shared" si="10"/>
        <v>2228.061459523185</v>
      </c>
      <c r="R83" s="49">
        <f t="shared" si="10"/>
        <v>2164.4025606796654</v>
      </c>
      <c r="S83" s="49">
        <f t="shared" si="10"/>
        <v>2102.5624875173889</v>
      </c>
      <c r="T83" s="103">
        <f t="shared" si="10"/>
        <v>2042.4892735883207</v>
      </c>
      <c r="V83" s="49">
        <f t="shared" si="11"/>
        <v>196.03356230093382</v>
      </c>
      <c r="W83" s="49">
        <f t="shared" si="12"/>
        <v>196.0335623009338</v>
      </c>
      <c r="X83" s="49">
        <f t="shared" si="13"/>
        <v>196.0335623009338</v>
      </c>
      <c r="Y83" s="49">
        <f t="shared" si="14"/>
        <v>196.0335623009338</v>
      </c>
      <c r="Z83" s="103">
        <f t="shared" si="15"/>
        <v>196.0335623009338</v>
      </c>
      <c r="AB83" s="49">
        <f t="shared" si="16"/>
        <v>2489.6262412218593</v>
      </c>
      <c r="AC83" s="49">
        <f t="shared" si="17"/>
        <v>2424.0950218241187</v>
      </c>
      <c r="AD83" s="49">
        <f t="shared" si="18"/>
        <v>2360.4361229805991</v>
      </c>
      <c r="AE83" s="49">
        <f t="shared" si="19"/>
        <v>2298.5960498183226</v>
      </c>
      <c r="AF83" s="103">
        <f t="shared" si="20"/>
        <v>2238.5228358892546</v>
      </c>
      <c r="AH83" s="49">
        <f t="shared" si="21"/>
        <v>86705.644605703012</v>
      </c>
      <c r="AI83" s="49">
        <f t="shared" si="22"/>
        <v>84281.549583878892</v>
      </c>
      <c r="AJ83" s="49">
        <f t="shared" si="23"/>
        <v>81921.113460898297</v>
      </c>
      <c r="AK83" s="49">
        <f t="shared" si="24"/>
        <v>79622.517411079971</v>
      </c>
      <c r="AL83" s="103">
        <f t="shared" si="25"/>
        <v>77383.994575190722</v>
      </c>
      <c r="AN83" s="53">
        <f t="shared" si="26"/>
        <v>6044.557670055683</v>
      </c>
      <c r="AO83" s="53">
        <f t="shared" si="27"/>
        <v>6722.4540506019421</v>
      </c>
      <c r="AP83" s="53">
        <f t="shared" si="28"/>
        <v>5473.4384344947339</v>
      </c>
      <c r="AQ83" s="53">
        <f t="shared" si="29"/>
        <v>5324.2517114393613</v>
      </c>
      <c r="AR83" s="203">
        <f t="shared" si="30"/>
        <v>5179.114629746502</v>
      </c>
      <c r="AY83" s="3"/>
    </row>
    <row r="84" spans="1:51">
      <c r="A84" s="54"/>
      <c r="B84" s="43">
        <f>'13. Desinvesteringen'!B368</f>
        <v>349</v>
      </c>
      <c r="C84" s="54"/>
      <c r="D84" s="54"/>
      <c r="E84" s="54"/>
      <c r="F84" s="48">
        <f>'5. Input GAW-waarde desinv.'!D44</f>
        <v>160239.08891040052</v>
      </c>
      <c r="G84" s="187">
        <f>'13. Desinvesteringen'!D368</f>
        <v>2013</v>
      </c>
      <c r="H84" s="187">
        <f>'13. Desinvesteringen'!G368</f>
        <v>2022</v>
      </c>
      <c r="I84" s="43" t="str">
        <f>'13. Desinvesteringen'!C368</f>
        <v>01 Regionale leidingen</v>
      </c>
      <c r="J84" s="176">
        <f>'13. Desinvesteringen'!F368</f>
        <v>0</v>
      </c>
      <c r="K84" s="44">
        <f>_xlfn.XLOOKUP(I84,'3. Input (des)investeringen '!$B$11:$B$81,'3. Input (des)investeringen '!$E$11:$E$81)</f>
        <v>1</v>
      </c>
      <c r="L84" s="54"/>
      <c r="M84" s="44">
        <f>_xlfn.XLOOKUP(I84,'3. Input (des)investeringen '!$B$11:$B$81,'3. Input (des)investeringen '!$D$11:$D$81,0)</f>
        <v>55</v>
      </c>
      <c r="N84" s="44">
        <f t="shared" si="9"/>
        <v>46.5</v>
      </c>
      <c r="P84" s="49">
        <f t="shared" ref="P84:T115" si="31">IF($M84&gt;0, IF(OR($G84&gt;P$49,$G84+$M84&lt;P$49),0,
VDB($F84,0,$N84,MAX(0,P$49-2022),MIN($N84,P$49-2021),$F$22,FALSE))*(1-$F$25), 0)</f>
        <v>4031.8222371004008</v>
      </c>
      <c r="Q84" s="49">
        <f t="shared" si="31"/>
        <v>3919.104626170712</v>
      </c>
      <c r="R84" s="49">
        <f t="shared" si="31"/>
        <v>3809.5382602777672</v>
      </c>
      <c r="S84" s="49">
        <f t="shared" si="31"/>
        <v>3703.0350400979587</v>
      </c>
      <c r="T84" s="103">
        <f t="shared" si="31"/>
        <v>3599.5093292995211</v>
      </c>
      <c r="V84" s="49">
        <f t="shared" si="11"/>
        <v>344.60019120516245</v>
      </c>
      <c r="W84" s="49">
        <f t="shared" si="12"/>
        <v>344.60019120516239</v>
      </c>
      <c r="X84" s="49">
        <f t="shared" si="13"/>
        <v>344.60019120516239</v>
      </c>
      <c r="Y84" s="49">
        <f t="shared" si="14"/>
        <v>344.60019120516239</v>
      </c>
      <c r="Z84" s="103">
        <f t="shared" si="15"/>
        <v>344.60019120516239</v>
      </c>
      <c r="AB84" s="49">
        <f t="shared" si="16"/>
        <v>4376.4224283055628</v>
      </c>
      <c r="AC84" s="49">
        <f t="shared" si="17"/>
        <v>4263.704817375874</v>
      </c>
      <c r="AD84" s="49">
        <f t="shared" si="18"/>
        <v>4154.1384514829297</v>
      </c>
      <c r="AE84" s="49">
        <f t="shared" si="19"/>
        <v>4047.6352313031211</v>
      </c>
      <c r="AF84" s="103">
        <f t="shared" si="20"/>
        <v>3944.1095205046836</v>
      </c>
      <c r="AH84" s="49">
        <f t="shared" si="21"/>
        <v>155862.66648209497</v>
      </c>
      <c r="AI84" s="49">
        <f t="shared" si="22"/>
        <v>151598.9616647191</v>
      </c>
      <c r="AJ84" s="49">
        <f t="shared" si="23"/>
        <v>147444.82321323617</v>
      </c>
      <c r="AK84" s="49">
        <f t="shared" si="24"/>
        <v>143397.18798193306</v>
      </c>
      <c r="AL84" s="103">
        <f t="shared" si="25"/>
        <v>139453.07846142838</v>
      </c>
      <c r="AN84" s="53">
        <f t="shared" si="26"/>
        <v>10766.791754071457</v>
      </c>
      <c r="AO84" s="53">
        <f t="shared" si="27"/>
        <v>11995.251862276547</v>
      </c>
      <c r="AP84" s="53">
        <f t="shared" si="28"/>
        <v>9757.0417335859038</v>
      </c>
      <c r="AQ84" s="53">
        <f t="shared" si="29"/>
        <v>9496.7283746165776</v>
      </c>
      <c r="AR84" s="203">
        <f t="shared" si="30"/>
        <v>9243.3265020389626</v>
      </c>
      <c r="AY84" s="3"/>
    </row>
    <row r="85" spans="1:51">
      <c r="A85" s="54"/>
      <c r="B85" s="43">
        <f>'13. Desinvesteringen'!B369</f>
        <v>350</v>
      </c>
      <c r="C85" s="54"/>
      <c r="D85" s="54"/>
      <c r="E85" s="54"/>
      <c r="F85" s="48">
        <f>'5. Input GAW-waarde desinv.'!D45</f>
        <v>0</v>
      </c>
      <c r="G85" s="187">
        <f>'13. Desinvesteringen'!D369</f>
        <v>1965</v>
      </c>
      <c r="H85" s="187">
        <f>'13. Desinvesteringen'!G369</f>
        <v>2022</v>
      </c>
      <c r="I85" s="43" t="str">
        <f>'13. Desinvesteringen'!C369</f>
        <v>02 Gasontvangststations</v>
      </c>
      <c r="J85" s="176">
        <f>'13. Desinvesteringen'!F369</f>
        <v>0</v>
      </c>
      <c r="K85" s="44">
        <f>_xlfn.XLOOKUP(I85,'3. Input (des)investeringen '!$B$11:$B$81,'3. Input (des)investeringen '!$E$11:$E$81)</f>
        <v>0</v>
      </c>
      <c r="L85" s="54"/>
      <c r="M85" s="44">
        <f>_xlfn.XLOOKUP(I85,'3. Input (des)investeringen '!$B$11:$B$81,'3. Input (des)investeringen '!$D$11:$D$81,0)</f>
        <v>30</v>
      </c>
      <c r="N85" s="44">
        <f t="shared" si="9"/>
        <v>0</v>
      </c>
      <c r="P85" s="49">
        <f t="shared" si="31"/>
        <v>0</v>
      </c>
      <c r="Q85" s="49">
        <f t="shared" si="31"/>
        <v>0</v>
      </c>
      <c r="R85" s="49">
        <f t="shared" si="31"/>
        <v>0</v>
      </c>
      <c r="S85" s="49">
        <f t="shared" si="31"/>
        <v>0</v>
      </c>
      <c r="T85" s="103">
        <f t="shared" si="31"/>
        <v>0</v>
      </c>
      <c r="V85" s="49">
        <f t="shared" si="11"/>
        <v>0</v>
      </c>
      <c r="W85" s="49">
        <f t="shared" si="12"/>
        <v>0</v>
      </c>
      <c r="X85" s="49">
        <f t="shared" si="13"/>
        <v>0</v>
      </c>
      <c r="Y85" s="49">
        <f t="shared" si="14"/>
        <v>0</v>
      </c>
      <c r="Z85" s="103">
        <f t="shared" si="15"/>
        <v>0</v>
      </c>
      <c r="AB85" s="49">
        <f t="shared" si="16"/>
        <v>0</v>
      </c>
      <c r="AC85" s="49">
        <f t="shared" si="17"/>
        <v>0</v>
      </c>
      <c r="AD85" s="49">
        <f t="shared" si="18"/>
        <v>0</v>
      </c>
      <c r="AE85" s="49">
        <f t="shared" si="19"/>
        <v>0</v>
      </c>
      <c r="AF85" s="103">
        <f t="shared" si="20"/>
        <v>0</v>
      </c>
      <c r="AH85" s="49">
        <f t="shared" si="21"/>
        <v>0</v>
      </c>
      <c r="AI85" s="49">
        <f t="shared" si="22"/>
        <v>0</v>
      </c>
      <c r="AJ85" s="49">
        <f t="shared" si="23"/>
        <v>0</v>
      </c>
      <c r="AK85" s="49">
        <f t="shared" si="24"/>
        <v>0</v>
      </c>
      <c r="AL85" s="103">
        <f t="shared" si="25"/>
        <v>0</v>
      </c>
      <c r="AN85" s="53">
        <f t="shared" si="26"/>
        <v>0</v>
      </c>
      <c r="AO85" s="53">
        <f t="shared" si="27"/>
        <v>0</v>
      </c>
      <c r="AP85" s="53">
        <f t="shared" si="28"/>
        <v>0</v>
      </c>
      <c r="AQ85" s="53">
        <f t="shared" si="29"/>
        <v>0</v>
      </c>
      <c r="AR85" s="203">
        <f t="shared" si="30"/>
        <v>0</v>
      </c>
      <c r="AY85" s="3"/>
    </row>
    <row r="86" spans="1:51">
      <c r="A86" s="54"/>
      <c r="B86" s="43">
        <f>'13. Desinvesteringen'!B370</f>
        <v>351</v>
      </c>
      <c r="C86" s="54"/>
      <c r="D86" s="54"/>
      <c r="E86" s="54"/>
      <c r="F86" s="48">
        <f>'5. Input GAW-waarde desinv.'!D46</f>
        <v>0</v>
      </c>
      <c r="G86" s="187">
        <f>'13. Desinvesteringen'!D370</f>
        <v>1966</v>
      </c>
      <c r="H86" s="187">
        <f>'13. Desinvesteringen'!G370</f>
        <v>2022</v>
      </c>
      <c r="I86" s="43" t="str">
        <f>'13. Desinvesteringen'!C370</f>
        <v>02 Gasontvangststations</v>
      </c>
      <c r="J86" s="176">
        <f>'13. Desinvesteringen'!F370</f>
        <v>0</v>
      </c>
      <c r="K86" s="44">
        <f>_xlfn.XLOOKUP(I86,'3. Input (des)investeringen '!$B$11:$B$81,'3. Input (des)investeringen '!$E$11:$E$81)</f>
        <v>0</v>
      </c>
      <c r="L86" s="54"/>
      <c r="M86" s="44">
        <f>_xlfn.XLOOKUP(I86,'3. Input (des)investeringen '!$B$11:$B$81,'3. Input (des)investeringen '!$D$11:$D$81,0)</f>
        <v>30</v>
      </c>
      <c r="N86" s="44">
        <f t="shared" si="9"/>
        <v>0</v>
      </c>
      <c r="P86" s="49">
        <f t="shared" si="31"/>
        <v>0</v>
      </c>
      <c r="Q86" s="49">
        <f t="shared" si="31"/>
        <v>0</v>
      </c>
      <c r="R86" s="49">
        <f t="shared" si="31"/>
        <v>0</v>
      </c>
      <c r="S86" s="49">
        <f t="shared" si="31"/>
        <v>0</v>
      </c>
      <c r="T86" s="103">
        <f t="shared" si="31"/>
        <v>0</v>
      </c>
      <c r="V86" s="49">
        <f t="shared" si="11"/>
        <v>0</v>
      </c>
      <c r="W86" s="49">
        <f t="shared" si="12"/>
        <v>0</v>
      </c>
      <c r="X86" s="49">
        <f t="shared" si="13"/>
        <v>0</v>
      </c>
      <c r="Y86" s="49">
        <f t="shared" si="14"/>
        <v>0</v>
      </c>
      <c r="Z86" s="103">
        <f t="shared" si="15"/>
        <v>0</v>
      </c>
      <c r="AB86" s="49">
        <f t="shared" si="16"/>
        <v>0</v>
      </c>
      <c r="AC86" s="49">
        <f t="shared" si="17"/>
        <v>0</v>
      </c>
      <c r="AD86" s="49">
        <f t="shared" si="18"/>
        <v>0</v>
      </c>
      <c r="AE86" s="49">
        <f t="shared" si="19"/>
        <v>0</v>
      </c>
      <c r="AF86" s="103">
        <f t="shared" si="20"/>
        <v>0</v>
      </c>
      <c r="AH86" s="49">
        <f t="shared" si="21"/>
        <v>0</v>
      </c>
      <c r="AI86" s="49">
        <f t="shared" si="22"/>
        <v>0</v>
      </c>
      <c r="AJ86" s="49">
        <f t="shared" si="23"/>
        <v>0</v>
      </c>
      <c r="AK86" s="49">
        <f t="shared" si="24"/>
        <v>0</v>
      </c>
      <c r="AL86" s="103">
        <f t="shared" si="25"/>
        <v>0</v>
      </c>
      <c r="AN86" s="53">
        <f t="shared" si="26"/>
        <v>0</v>
      </c>
      <c r="AO86" s="53">
        <f t="shared" si="27"/>
        <v>0</v>
      </c>
      <c r="AP86" s="53">
        <f t="shared" si="28"/>
        <v>0</v>
      </c>
      <c r="AQ86" s="53">
        <f t="shared" si="29"/>
        <v>0</v>
      </c>
      <c r="AR86" s="203">
        <f t="shared" si="30"/>
        <v>0</v>
      </c>
      <c r="AY86" s="3"/>
    </row>
    <row r="87" spans="1:51">
      <c r="A87" s="54"/>
      <c r="B87" s="43">
        <f>'13. Desinvesteringen'!B371</f>
        <v>352</v>
      </c>
      <c r="C87" s="54"/>
      <c r="D87" s="54"/>
      <c r="E87" s="54"/>
      <c r="F87" s="48">
        <f>'5. Input GAW-waarde desinv.'!D47</f>
        <v>0</v>
      </c>
      <c r="G87" s="187">
        <f>'13. Desinvesteringen'!D371</f>
        <v>1967</v>
      </c>
      <c r="H87" s="187">
        <f>'13. Desinvesteringen'!G371</f>
        <v>2022</v>
      </c>
      <c r="I87" s="43" t="str">
        <f>'13. Desinvesteringen'!C371</f>
        <v>02 Gasontvangststations</v>
      </c>
      <c r="J87" s="176">
        <f>'13. Desinvesteringen'!F371</f>
        <v>0</v>
      </c>
      <c r="K87" s="44">
        <f>_xlfn.XLOOKUP(I87,'3. Input (des)investeringen '!$B$11:$B$81,'3. Input (des)investeringen '!$E$11:$E$81)</f>
        <v>0</v>
      </c>
      <c r="L87" s="54"/>
      <c r="M87" s="44">
        <f>_xlfn.XLOOKUP(I87,'3. Input (des)investeringen '!$B$11:$B$81,'3. Input (des)investeringen '!$D$11:$D$81,0)</f>
        <v>30</v>
      </c>
      <c r="N87" s="44">
        <f t="shared" si="9"/>
        <v>0</v>
      </c>
      <c r="P87" s="49">
        <f t="shared" si="31"/>
        <v>0</v>
      </c>
      <c r="Q87" s="49">
        <f t="shared" si="31"/>
        <v>0</v>
      </c>
      <c r="R87" s="49">
        <f t="shared" si="31"/>
        <v>0</v>
      </c>
      <c r="S87" s="49">
        <f t="shared" si="31"/>
        <v>0</v>
      </c>
      <c r="T87" s="103">
        <f t="shared" si="31"/>
        <v>0</v>
      </c>
      <c r="V87" s="49">
        <f t="shared" si="11"/>
        <v>0</v>
      </c>
      <c r="W87" s="49">
        <f t="shared" si="12"/>
        <v>0</v>
      </c>
      <c r="X87" s="49">
        <f t="shared" si="13"/>
        <v>0</v>
      </c>
      <c r="Y87" s="49">
        <f t="shared" si="14"/>
        <v>0</v>
      </c>
      <c r="Z87" s="103">
        <f t="shared" si="15"/>
        <v>0</v>
      </c>
      <c r="AB87" s="49">
        <f t="shared" si="16"/>
        <v>0</v>
      </c>
      <c r="AC87" s="49">
        <f t="shared" si="17"/>
        <v>0</v>
      </c>
      <c r="AD87" s="49">
        <f t="shared" si="18"/>
        <v>0</v>
      </c>
      <c r="AE87" s="49">
        <f t="shared" si="19"/>
        <v>0</v>
      </c>
      <c r="AF87" s="103">
        <f t="shared" si="20"/>
        <v>0</v>
      </c>
      <c r="AH87" s="49">
        <f t="shared" si="21"/>
        <v>0</v>
      </c>
      <c r="AI87" s="49">
        <f t="shared" si="22"/>
        <v>0</v>
      </c>
      <c r="AJ87" s="49">
        <f t="shared" si="23"/>
        <v>0</v>
      </c>
      <c r="AK87" s="49">
        <f t="shared" si="24"/>
        <v>0</v>
      </c>
      <c r="AL87" s="103">
        <f t="shared" si="25"/>
        <v>0</v>
      </c>
      <c r="AN87" s="53">
        <f t="shared" si="26"/>
        <v>0</v>
      </c>
      <c r="AO87" s="53">
        <f t="shared" si="27"/>
        <v>0</v>
      </c>
      <c r="AP87" s="53">
        <f t="shared" si="28"/>
        <v>0</v>
      </c>
      <c r="AQ87" s="53">
        <f t="shared" si="29"/>
        <v>0</v>
      </c>
      <c r="AR87" s="203">
        <f t="shared" si="30"/>
        <v>0</v>
      </c>
      <c r="AY87" s="3"/>
    </row>
    <row r="88" spans="1:51">
      <c r="A88" s="54"/>
      <c r="B88" s="43">
        <f>'13. Desinvesteringen'!B372</f>
        <v>353</v>
      </c>
      <c r="C88" s="54"/>
      <c r="D88" s="54"/>
      <c r="E88" s="54"/>
      <c r="F88" s="48">
        <f>'5. Input GAW-waarde desinv.'!D48</f>
        <v>0</v>
      </c>
      <c r="G88" s="187">
        <f>'13. Desinvesteringen'!D372</f>
        <v>1968</v>
      </c>
      <c r="H88" s="187">
        <f>'13. Desinvesteringen'!G372</f>
        <v>2022</v>
      </c>
      <c r="I88" s="43" t="str">
        <f>'13. Desinvesteringen'!C372</f>
        <v>02 Gasontvangststations</v>
      </c>
      <c r="J88" s="176">
        <f>'13. Desinvesteringen'!F372</f>
        <v>0</v>
      </c>
      <c r="K88" s="44">
        <f>_xlfn.XLOOKUP(I88,'3. Input (des)investeringen '!$B$11:$B$81,'3. Input (des)investeringen '!$E$11:$E$81)</f>
        <v>0</v>
      </c>
      <c r="L88" s="54"/>
      <c r="M88" s="44">
        <f>_xlfn.XLOOKUP(I88,'3. Input (des)investeringen '!$B$11:$B$81,'3. Input (des)investeringen '!$D$11:$D$81,0)</f>
        <v>30</v>
      </c>
      <c r="N88" s="44">
        <f t="shared" si="9"/>
        <v>0</v>
      </c>
      <c r="P88" s="49">
        <f t="shared" si="31"/>
        <v>0</v>
      </c>
      <c r="Q88" s="49">
        <f t="shared" si="31"/>
        <v>0</v>
      </c>
      <c r="R88" s="49">
        <f t="shared" si="31"/>
        <v>0</v>
      </c>
      <c r="S88" s="49">
        <f t="shared" si="31"/>
        <v>0</v>
      </c>
      <c r="T88" s="103">
        <f t="shared" si="31"/>
        <v>0</v>
      </c>
      <c r="V88" s="49">
        <f t="shared" si="11"/>
        <v>0</v>
      </c>
      <c r="W88" s="49">
        <f t="shared" si="12"/>
        <v>0</v>
      </c>
      <c r="X88" s="49">
        <f t="shared" si="13"/>
        <v>0</v>
      </c>
      <c r="Y88" s="49">
        <f t="shared" si="14"/>
        <v>0</v>
      </c>
      <c r="Z88" s="103">
        <f t="shared" si="15"/>
        <v>0</v>
      </c>
      <c r="AB88" s="49">
        <f t="shared" si="16"/>
        <v>0</v>
      </c>
      <c r="AC88" s="49">
        <f t="shared" si="17"/>
        <v>0</v>
      </c>
      <c r="AD88" s="49">
        <f t="shared" si="18"/>
        <v>0</v>
      </c>
      <c r="AE88" s="49">
        <f t="shared" si="19"/>
        <v>0</v>
      </c>
      <c r="AF88" s="103">
        <f t="shared" si="20"/>
        <v>0</v>
      </c>
      <c r="AH88" s="49">
        <f t="shared" si="21"/>
        <v>0</v>
      </c>
      <c r="AI88" s="49">
        <f t="shared" si="22"/>
        <v>0</v>
      </c>
      <c r="AJ88" s="49">
        <f t="shared" si="23"/>
        <v>0</v>
      </c>
      <c r="AK88" s="49">
        <f t="shared" si="24"/>
        <v>0</v>
      </c>
      <c r="AL88" s="103">
        <f t="shared" si="25"/>
        <v>0</v>
      </c>
      <c r="AN88" s="53">
        <f t="shared" si="26"/>
        <v>0</v>
      </c>
      <c r="AO88" s="53">
        <f t="shared" si="27"/>
        <v>0</v>
      </c>
      <c r="AP88" s="53">
        <f t="shared" si="28"/>
        <v>0</v>
      </c>
      <c r="AQ88" s="53">
        <f t="shared" si="29"/>
        <v>0</v>
      </c>
      <c r="AR88" s="203">
        <f t="shared" si="30"/>
        <v>0</v>
      </c>
      <c r="AY88" s="3"/>
    </row>
    <row r="89" spans="1:51">
      <c r="A89" s="54"/>
      <c r="B89" s="43">
        <f>'13. Desinvesteringen'!B373</f>
        <v>354</v>
      </c>
      <c r="C89" s="54"/>
      <c r="D89" s="54"/>
      <c r="E89" s="54"/>
      <c r="F89" s="48">
        <f>'5. Input GAW-waarde desinv.'!D49</f>
        <v>0</v>
      </c>
      <c r="G89" s="187">
        <f>'13. Desinvesteringen'!D373</f>
        <v>1969</v>
      </c>
      <c r="H89" s="187">
        <f>'13. Desinvesteringen'!G373</f>
        <v>2022</v>
      </c>
      <c r="I89" s="43" t="str">
        <f>'13. Desinvesteringen'!C373</f>
        <v>02 Gasontvangststations</v>
      </c>
      <c r="J89" s="176">
        <f>'13. Desinvesteringen'!F373</f>
        <v>0</v>
      </c>
      <c r="K89" s="44">
        <f>_xlfn.XLOOKUP(I89,'3. Input (des)investeringen '!$B$11:$B$81,'3. Input (des)investeringen '!$E$11:$E$81)</f>
        <v>0</v>
      </c>
      <c r="L89" s="54"/>
      <c r="M89" s="44">
        <f>_xlfn.XLOOKUP(I89,'3. Input (des)investeringen '!$B$11:$B$81,'3. Input (des)investeringen '!$D$11:$D$81,0)</f>
        <v>30</v>
      </c>
      <c r="N89" s="44">
        <f t="shared" si="9"/>
        <v>0</v>
      </c>
      <c r="P89" s="49">
        <f t="shared" si="31"/>
        <v>0</v>
      </c>
      <c r="Q89" s="49">
        <f t="shared" si="31"/>
        <v>0</v>
      </c>
      <c r="R89" s="49">
        <f t="shared" si="31"/>
        <v>0</v>
      </c>
      <c r="S89" s="49">
        <f t="shared" si="31"/>
        <v>0</v>
      </c>
      <c r="T89" s="103">
        <f t="shared" si="31"/>
        <v>0</v>
      </c>
      <c r="V89" s="49">
        <f t="shared" si="11"/>
        <v>0</v>
      </c>
      <c r="W89" s="49">
        <f t="shared" si="12"/>
        <v>0</v>
      </c>
      <c r="X89" s="49">
        <f t="shared" si="13"/>
        <v>0</v>
      </c>
      <c r="Y89" s="49">
        <f t="shared" si="14"/>
        <v>0</v>
      </c>
      <c r="Z89" s="103">
        <f t="shared" si="15"/>
        <v>0</v>
      </c>
      <c r="AB89" s="49">
        <f t="shared" si="16"/>
        <v>0</v>
      </c>
      <c r="AC89" s="49">
        <f t="shared" si="17"/>
        <v>0</v>
      </c>
      <c r="AD89" s="49">
        <f t="shared" si="18"/>
        <v>0</v>
      </c>
      <c r="AE89" s="49">
        <f t="shared" si="19"/>
        <v>0</v>
      </c>
      <c r="AF89" s="103">
        <f t="shared" si="20"/>
        <v>0</v>
      </c>
      <c r="AH89" s="49">
        <f t="shared" si="21"/>
        <v>0</v>
      </c>
      <c r="AI89" s="49">
        <f t="shared" si="22"/>
        <v>0</v>
      </c>
      <c r="AJ89" s="49">
        <f t="shared" si="23"/>
        <v>0</v>
      </c>
      <c r="AK89" s="49">
        <f t="shared" si="24"/>
        <v>0</v>
      </c>
      <c r="AL89" s="103">
        <f t="shared" si="25"/>
        <v>0</v>
      </c>
      <c r="AN89" s="53">
        <f t="shared" si="26"/>
        <v>0</v>
      </c>
      <c r="AO89" s="53">
        <f t="shared" si="27"/>
        <v>0</v>
      </c>
      <c r="AP89" s="53">
        <f t="shared" si="28"/>
        <v>0</v>
      </c>
      <c r="AQ89" s="53">
        <f t="shared" si="29"/>
        <v>0</v>
      </c>
      <c r="AR89" s="203">
        <f t="shared" si="30"/>
        <v>0</v>
      </c>
      <c r="AY89" s="3"/>
    </row>
    <row r="90" spans="1:51">
      <c r="A90" s="54"/>
      <c r="B90" s="43">
        <f>'13. Desinvesteringen'!B374</f>
        <v>355</v>
      </c>
      <c r="C90" s="54"/>
      <c r="D90" s="54"/>
      <c r="E90" s="54"/>
      <c r="F90" s="48">
        <f>'5. Input GAW-waarde desinv.'!D50</f>
        <v>0</v>
      </c>
      <c r="G90" s="187">
        <f>'13. Desinvesteringen'!D374</f>
        <v>1970</v>
      </c>
      <c r="H90" s="187">
        <f>'13. Desinvesteringen'!G374</f>
        <v>2022</v>
      </c>
      <c r="I90" s="43" t="str">
        <f>'13. Desinvesteringen'!C374</f>
        <v>02 Gasontvangststations</v>
      </c>
      <c r="J90" s="176">
        <f>'13. Desinvesteringen'!F374</f>
        <v>0</v>
      </c>
      <c r="K90" s="44">
        <f>_xlfn.XLOOKUP(I90,'3. Input (des)investeringen '!$B$11:$B$81,'3. Input (des)investeringen '!$E$11:$E$81)</f>
        <v>0</v>
      </c>
      <c r="L90" s="54"/>
      <c r="M90" s="44">
        <f>_xlfn.XLOOKUP(I90,'3. Input (des)investeringen '!$B$11:$B$81,'3. Input (des)investeringen '!$D$11:$D$81,0)</f>
        <v>30</v>
      </c>
      <c r="N90" s="44">
        <f t="shared" si="9"/>
        <v>0</v>
      </c>
      <c r="P90" s="49">
        <f t="shared" si="31"/>
        <v>0</v>
      </c>
      <c r="Q90" s="49">
        <f t="shared" si="31"/>
        <v>0</v>
      </c>
      <c r="R90" s="49">
        <f t="shared" si="31"/>
        <v>0</v>
      </c>
      <c r="S90" s="49">
        <f t="shared" si="31"/>
        <v>0</v>
      </c>
      <c r="T90" s="103">
        <f t="shared" si="31"/>
        <v>0</v>
      </c>
      <c r="V90" s="49">
        <f t="shared" si="11"/>
        <v>0</v>
      </c>
      <c r="W90" s="49">
        <f t="shared" si="12"/>
        <v>0</v>
      </c>
      <c r="X90" s="49">
        <f t="shared" si="13"/>
        <v>0</v>
      </c>
      <c r="Y90" s="49">
        <f t="shared" si="14"/>
        <v>0</v>
      </c>
      <c r="Z90" s="103">
        <f t="shared" si="15"/>
        <v>0</v>
      </c>
      <c r="AB90" s="49">
        <f t="shared" si="16"/>
        <v>0</v>
      </c>
      <c r="AC90" s="49">
        <f t="shared" si="17"/>
        <v>0</v>
      </c>
      <c r="AD90" s="49">
        <f t="shared" si="18"/>
        <v>0</v>
      </c>
      <c r="AE90" s="49">
        <f t="shared" si="19"/>
        <v>0</v>
      </c>
      <c r="AF90" s="103">
        <f t="shared" si="20"/>
        <v>0</v>
      </c>
      <c r="AH90" s="49">
        <f t="shared" si="21"/>
        <v>0</v>
      </c>
      <c r="AI90" s="49">
        <f t="shared" si="22"/>
        <v>0</v>
      </c>
      <c r="AJ90" s="49">
        <f t="shared" si="23"/>
        <v>0</v>
      </c>
      <c r="AK90" s="49">
        <f t="shared" si="24"/>
        <v>0</v>
      </c>
      <c r="AL90" s="103">
        <f t="shared" si="25"/>
        <v>0</v>
      </c>
      <c r="AN90" s="53">
        <f t="shared" si="26"/>
        <v>0</v>
      </c>
      <c r="AO90" s="53">
        <f t="shared" si="27"/>
        <v>0</v>
      </c>
      <c r="AP90" s="53">
        <f t="shared" si="28"/>
        <v>0</v>
      </c>
      <c r="AQ90" s="53">
        <f t="shared" si="29"/>
        <v>0</v>
      </c>
      <c r="AR90" s="203">
        <f t="shared" si="30"/>
        <v>0</v>
      </c>
      <c r="AY90" s="3"/>
    </row>
    <row r="91" spans="1:51">
      <c r="A91" s="54"/>
      <c r="B91" s="43">
        <f>'13. Desinvesteringen'!B375</f>
        <v>356</v>
      </c>
      <c r="C91" s="54"/>
      <c r="D91" s="54"/>
      <c r="E91" s="54"/>
      <c r="F91" s="48">
        <f>'5. Input GAW-waarde desinv.'!D51</f>
        <v>0</v>
      </c>
      <c r="G91" s="187">
        <f>'13. Desinvesteringen'!D375</f>
        <v>1971</v>
      </c>
      <c r="H91" s="187">
        <f>'13. Desinvesteringen'!G375</f>
        <v>2022</v>
      </c>
      <c r="I91" s="43" t="str">
        <f>'13. Desinvesteringen'!C375</f>
        <v>02 Gasontvangststations</v>
      </c>
      <c r="J91" s="176">
        <f>'13. Desinvesteringen'!F375</f>
        <v>0</v>
      </c>
      <c r="K91" s="44">
        <f>_xlfn.XLOOKUP(I91,'3. Input (des)investeringen '!$B$11:$B$81,'3. Input (des)investeringen '!$E$11:$E$81)</f>
        <v>0</v>
      </c>
      <c r="L91" s="54"/>
      <c r="M91" s="44">
        <f>_xlfn.XLOOKUP(I91,'3. Input (des)investeringen '!$B$11:$B$81,'3. Input (des)investeringen '!$D$11:$D$81,0)</f>
        <v>30</v>
      </c>
      <c r="N91" s="44">
        <f t="shared" si="9"/>
        <v>0</v>
      </c>
      <c r="P91" s="49">
        <f t="shared" si="31"/>
        <v>0</v>
      </c>
      <c r="Q91" s="49">
        <f t="shared" si="31"/>
        <v>0</v>
      </c>
      <c r="R91" s="49">
        <f t="shared" si="31"/>
        <v>0</v>
      </c>
      <c r="S91" s="49">
        <f t="shared" si="31"/>
        <v>0</v>
      </c>
      <c r="T91" s="103">
        <f t="shared" si="31"/>
        <v>0</v>
      </c>
      <c r="V91" s="49">
        <f t="shared" si="11"/>
        <v>0</v>
      </c>
      <c r="W91" s="49">
        <f t="shared" si="12"/>
        <v>0</v>
      </c>
      <c r="X91" s="49">
        <f t="shared" si="13"/>
        <v>0</v>
      </c>
      <c r="Y91" s="49">
        <f t="shared" si="14"/>
        <v>0</v>
      </c>
      <c r="Z91" s="103">
        <f t="shared" si="15"/>
        <v>0</v>
      </c>
      <c r="AB91" s="49">
        <f t="shared" si="16"/>
        <v>0</v>
      </c>
      <c r="AC91" s="49">
        <f t="shared" si="17"/>
        <v>0</v>
      </c>
      <c r="AD91" s="49">
        <f t="shared" si="18"/>
        <v>0</v>
      </c>
      <c r="AE91" s="49">
        <f t="shared" si="19"/>
        <v>0</v>
      </c>
      <c r="AF91" s="103">
        <f t="shared" si="20"/>
        <v>0</v>
      </c>
      <c r="AH91" s="49">
        <f t="shared" si="21"/>
        <v>0</v>
      </c>
      <c r="AI91" s="49">
        <f t="shared" si="22"/>
        <v>0</v>
      </c>
      <c r="AJ91" s="49">
        <f t="shared" si="23"/>
        <v>0</v>
      </c>
      <c r="AK91" s="49">
        <f t="shared" si="24"/>
        <v>0</v>
      </c>
      <c r="AL91" s="103">
        <f t="shared" si="25"/>
        <v>0</v>
      </c>
      <c r="AN91" s="53">
        <f t="shared" si="26"/>
        <v>0</v>
      </c>
      <c r="AO91" s="53">
        <f t="shared" si="27"/>
        <v>0</v>
      </c>
      <c r="AP91" s="53">
        <f t="shared" si="28"/>
        <v>0</v>
      </c>
      <c r="AQ91" s="53">
        <f t="shared" si="29"/>
        <v>0</v>
      </c>
      <c r="AR91" s="203">
        <f t="shared" si="30"/>
        <v>0</v>
      </c>
      <c r="AY91" s="3"/>
    </row>
    <row r="92" spans="1:51">
      <c r="A92" s="54"/>
      <c r="B92" s="43">
        <f>'13. Desinvesteringen'!B376</f>
        <v>357</v>
      </c>
      <c r="C92" s="54"/>
      <c r="D92" s="54"/>
      <c r="E92" s="54"/>
      <c r="F92" s="48">
        <f>'5. Input GAW-waarde desinv.'!D52</f>
        <v>0</v>
      </c>
      <c r="G92" s="187">
        <f>'13. Desinvesteringen'!D376</f>
        <v>1972</v>
      </c>
      <c r="H92" s="187">
        <f>'13. Desinvesteringen'!G376</f>
        <v>2022</v>
      </c>
      <c r="I92" s="43" t="str">
        <f>'13. Desinvesteringen'!C376</f>
        <v>02 Gasontvangststations</v>
      </c>
      <c r="J92" s="176">
        <f>'13. Desinvesteringen'!F376</f>
        <v>0</v>
      </c>
      <c r="K92" s="44">
        <f>_xlfn.XLOOKUP(I92,'3. Input (des)investeringen '!$B$11:$B$81,'3. Input (des)investeringen '!$E$11:$E$81)</f>
        <v>0</v>
      </c>
      <c r="L92" s="54"/>
      <c r="M92" s="44">
        <f>_xlfn.XLOOKUP(I92,'3. Input (des)investeringen '!$B$11:$B$81,'3. Input (des)investeringen '!$D$11:$D$81,0)</f>
        <v>30</v>
      </c>
      <c r="N92" s="44">
        <f t="shared" si="9"/>
        <v>0</v>
      </c>
      <c r="P92" s="49">
        <f t="shared" si="31"/>
        <v>0</v>
      </c>
      <c r="Q92" s="49">
        <f t="shared" si="31"/>
        <v>0</v>
      </c>
      <c r="R92" s="49">
        <f t="shared" si="31"/>
        <v>0</v>
      </c>
      <c r="S92" s="49">
        <f t="shared" si="31"/>
        <v>0</v>
      </c>
      <c r="T92" s="103">
        <f t="shared" si="31"/>
        <v>0</v>
      </c>
      <c r="V92" s="49">
        <f t="shared" si="11"/>
        <v>0</v>
      </c>
      <c r="W92" s="49">
        <f t="shared" si="12"/>
        <v>0</v>
      </c>
      <c r="X92" s="49">
        <f t="shared" si="13"/>
        <v>0</v>
      </c>
      <c r="Y92" s="49">
        <f t="shared" si="14"/>
        <v>0</v>
      </c>
      <c r="Z92" s="103">
        <f t="shared" si="15"/>
        <v>0</v>
      </c>
      <c r="AB92" s="49">
        <f t="shared" si="16"/>
        <v>0</v>
      </c>
      <c r="AC92" s="49">
        <f t="shared" si="17"/>
        <v>0</v>
      </c>
      <c r="AD92" s="49">
        <f t="shared" si="18"/>
        <v>0</v>
      </c>
      <c r="AE92" s="49">
        <f t="shared" si="19"/>
        <v>0</v>
      </c>
      <c r="AF92" s="103">
        <f t="shared" si="20"/>
        <v>0</v>
      </c>
      <c r="AH92" s="49">
        <f t="shared" si="21"/>
        <v>0</v>
      </c>
      <c r="AI92" s="49">
        <f t="shared" si="22"/>
        <v>0</v>
      </c>
      <c r="AJ92" s="49">
        <f t="shared" si="23"/>
        <v>0</v>
      </c>
      <c r="AK92" s="49">
        <f t="shared" si="24"/>
        <v>0</v>
      </c>
      <c r="AL92" s="103">
        <f t="shared" si="25"/>
        <v>0</v>
      </c>
      <c r="AN92" s="53">
        <f t="shared" si="26"/>
        <v>0</v>
      </c>
      <c r="AO92" s="53">
        <f t="shared" si="27"/>
        <v>0</v>
      </c>
      <c r="AP92" s="53">
        <f t="shared" si="28"/>
        <v>0</v>
      </c>
      <c r="AQ92" s="53">
        <f t="shared" si="29"/>
        <v>0</v>
      </c>
      <c r="AR92" s="203">
        <f t="shared" si="30"/>
        <v>0</v>
      </c>
      <c r="AY92" s="3"/>
    </row>
    <row r="93" spans="1:51">
      <c r="A93" s="54"/>
      <c r="B93" s="43">
        <f>'13. Desinvesteringen'!B377</f>
        <v>358</v>
      </c>
      <c r="C93" s="54"/>
      <c r="D93" s="54"/>
      <c r="E93" s="54"/>
      <c r="F93" s="48">
        <f>'5. Input GAW-waarde desinv.'!D53</f>
        <v>0</v>
      </c>
      <c r="G93" s="187">
        <f>'13. Desinvesteringen'!D377</f>
        <v>1973</v>
      </c>
      <c r="H93" s="187">
        <f>'13. Desinvesteringen'!G377</f>
        <v>2022</v>
      </c>
      <c r="I93" s="43" t="str">
        <f>'13. Desinvesteringen'!C377</f>
        <v>02 Gasontvangststations</v>
      </c>
      <c r="J93" s="176">
        <f>'13. Desinvesteringen'!F377</f>
        <v>0</v>
      </c>
      <c r="K93" s="44">
        <f>_xlfn.XLOOKUP(I93,'3. Input (des)investeringen '!$B$11:$B$81,'3. Input (des)investeringen '!$E$11:$E$81)</f>
        <v>0</v>
      </c>
      <c r="L93" s="54"/>
      <c r="M93" s="44">
        <f>_xlfn.XLOOKUP(I93,'3. Input (des)investeringen '!$B$11:$B$81,'3. Input (des)investeringen '!$D$11:$D$81,0)</f>
        <v>30</v>
      </c>
      <c r="N93" s="44">
        <f t="shared" si="9"/>
        <v>0</v>
      </c>
      <c r="P93" s="49">
        <f t="shared" si="31"/>
        <v>0</v>
      </c>
      <c r="Q93" s="49">
        <f t="shared" si="31"/>
        <v>0</v>
      </c>
      <c r="R93" s="49">
        <f t="shared" si="31"/>
        <v>0</v>
      </c>
      <c r="S93" s="49">
        <f t="shared" si="31"/>
        <v>0</v>
      </c>
      <c r="T93" s="103">
        <f t="shared" si="31"/>
        <v>0</v>
      </c>
      <c r="V93" s="49">
        <f t="shared" si="11"/>
        <v>0</v>
      </c>
      <c r="W93" s="49">
        <f t="shared" si="12"/>
        <v>0</v>
      </c>
      <c r="X93" s="49">
        <f t="shared" si="13"/>
        <v>0</v>
      </c>
      <c r="Y93" s="49">
        <f t="shared" si="14"/>
        <v>0</v>
      </c>
      <c r="Z93" s="103">
        <f t="shared" si="15"/>
        <v>0</v>
      </c>
      <c r="AB93" s="49">
        <f t="shared" si="16"/>
        <v>0</v>
      </c>
      <c r="AC93" s="49">
        <f t="shared" si="17"/>
        <v>0</v>
      </c>
      <c r="AD93" s="49">
        <f t="shared" si="18"/>
        <v>0</v>
      </c>
      <c r="AE93" s="49">
        <f t="shared" si="19"/>
        <v>0</v>
      </c>
      <c r="AF93" s="103">
        <f t="shared" si="20"/>
        <v>0</v>
      </c>
      <c r="AH93" s="49">
        <f t="shared" si="21"/>
        <v>0</v>
      </c>
      <c r="AI93" s="49">
        <f t="shared" si="22"/>
        <v>0</v>
      </c>
      <c r="AJ93" s="49">
        <f t="shared" si="23"/>
        <v>0</v>
      </c>
      <c r="AK93" s="49">
        <f t="shared" si="24"/>
        <v>0</v>
      </c>
      <c r="AL93" s="103">
        <f t="shared" si="25"/>
        <v>0</v>
      </c>
      <c r="AN93" s="53">
        <f t="shared" si="26"/>
        <v>0</v>
      </c>
      <c r="AO93" s="53">
        <f t="shared" si="27"/>
        <v>0</v>
      </c>
      <c r="AP93" s="53">
        <f t="shared" si="28"/>
        <v>0</v>
      </c>
      <c r="AQ93" s="53">
        <f t="shared" si="29"/>
        <v>0</v>
      </c>
      <c r="AR93" s="203">
        <f t="shared" si="30"/>
        <v>0</v>
      </c>
      <c r="AY93" s="3"/>
    </row>
    <row r="94" spans="1:51">
      <c r="A94" s="54"/>
      <c r="B94" s="43">
        <f>'13. Desinvesteringen'!B378</f>
        <v>359</v>
      </c>
      <c r="C94" s="54"/>
      <c r="D94" s="54"/>
      <c r="E94" s="54"/>
      <c r="F94" s="48">
        <f>'5. Input GAW-waarde desinv.'!D54</f>
        <v>0</v>
      </c>
      <c r="G94" s="187">
        <f>'13. Desinvesteringen'!D378</f>
        <v>1974</v>
      </c>
      <c r="H94" s="187">
        <f>'13. Desinvesteringen'!G378</f>
        <v>2022</v>
      </c>
      <c r="I94" s="43" t="str">
        <f>'13. Desinvesteringen'!C378</f>
        <v>02 Gasontvangststations</v>
      </c>
      <c r="J94" s="176">
        <f>'13. Desinvesteringen'!F378</f>
        <v>0</v>
      </c>
      <c r="K94" s="44">
        <f>_xlfn.XLOOKUP(I94,'3. Input (des)investeringen '!$B$11:$B$81,'3. Input (des)investeringen '!$E$11:$E$81)</f>
        <v>0</v>
      </c>
      <c r="L94" s="54"/>
      <c r="M94" s="44">
        <f>_xlfn.XLOOKUP(I94,'3. Input (des)investeringen '!$B$11:$B$81,'3. Input (des)investeringen '!$D$11:$D$81,0)</f>
        <v>30</v>
      </c>
      <c r="N94" s="44">
        <f t="shared" si="9"/>
        <v>0</v>
      </c>
      <c r="P94" s="49">
        <f t="shared" si="31"/>
        <v>0</v>
      </c>
      <c r="Q94" s="49">
        <f t="shared" si="31"/>
        <v>0</v>
      </c>
      <c r="R94" s="49">
        <f t="shared" si="31"/>
        <v>0</v>
      </c>
      <c r="S94" s="49">
        <f t="shared" si="31"/>
        <v>0</v>
      </c>
      <c r="T94" s="103">
        <f t="shared" si="31"/>
        <v>0</v>
      </c>
      <c r="V94" s="49">
        <f t="shared" si="11"/>
        <v>0</v>
      </c>
      <c r="W94" s="49">
        <f t="shared" si="12"/>
        <v>0</v>
      </c>
      <c r="X94" s="49">
        <f t="shared" si="13"/>
        <v>0</v>
      </c>
      <c r="Y94" s="49">
        <f t="shared" si="14"/>
        <v>0</v>
      </c>
      <c r="Z94" s="103">
        <f t="shared" si="15"/>
        <v>0</v>
      </c>
      <c r="AB94" s="49">
        <f t="shared" si="16"/>
        <v>0</v>
      </c>
      <c r="AC94" s="49">
        <f t="shared" si="17"/>
        <v>0</v>
      </c>
      <c r="AD94" s="49">
        <f t="shared" si="18"/>
        <v>0</v>
      </c>
      <c r="AE94" s="49">
        <f t="shared" si="19"/>
        <v>0</v>
      </c>
      <c r="AF94" s="103">
        <f t="shared" si="20"/>
        <v>0</v>
      </c>
      <c r="AH94" s="49">
        <f t="shared" si="21"/>
        <v>0</v>
      </c>
      <c r="AI94" s="49">
        <f t="shared" si="22"/>
        <v>0</v>
      </c>
      <c r="AJ94" s="49">
        <f t="shared" si="23"/>
        <v>0</v>
      </c>
      <c r="AK94" s="49">
        <f t="shared" si="24"/>
        <v>0</v>
      </c>
      <c r="AL94" s="103">
        <f t="shared" si="25"/>
        <v>0</v>
      </c>
      <c r="AN94" s="53">
        <f t="shared" si="26"/>
        <v>0</v>
      </c>
      <c r="AO94" s="53">
        <f t="shared" si="27"/>
        <v>0</v>
      </c>
      <c r="AP94" s="53">
        <f t="shared" si="28"/>
        <v>0</v>
      </c>
      <c r="AQ94" s="53">
        <f t="shared" si="29"/>
        <v>0</v>
      </c>
      <c r="AR94" s="203">
        <f t="shared" si="30"/>
        <v>0</v>
      </c>
      <c r="AY94" s="3"/>
    </row>
    <row r="95" spans="1:51">
      <c r="A95" s="54"/>
      <c r="B95" s="43">
        <f>'13. Desinvesteringen'!B379</f>
        <v>360</v>
      </c>
      <c r="C95" s="54"/>
      <c r="D95" s="54"/>
      <c r="E95" s="54"/>
      <c r="F95" s="48">
        <f>'5. Input GAW-waarde desinv.'!D55</f>
        <v>0</v>
      </c>
      <c r="G95" s="187">
        <f>'13. Desinvesteringen'!D379</f>
        <v>1975</v>
      </c>
      <c r="H95" s="187">
        <f>'13. Desinvesteringen'!G379</f>
        <v>2022</v>
      </c>
      <c r="I95" s="43" t="str">
        <f>'13. Desinvesteringen'!C379</f>
        <v>02 Gasontvangststations</v>
      </c>
      <c r="J95" s="176">
        <f>'13. Desinvesteringen'!F379</f>
        <v>0</v>
      </c>
      <c r="K95" s="44">
        <f>_xlfn.XLOOKUP(I95,'3. Input (des)investeringen '!$B$11:$B$81,'3. Input (des)investeringen '!$E$11:$E$81)</f>
        <v>0</v>
      </c>
      <c r="L95" s="54"/>
      <c r="M95" s="44">
        <f>_xlfn.XLOOKUP(I95,'3. Input (des)investeringen '!$B$11:$B$81,'3. Input (des)investeringen '!$D$11:$D$81,0)</f>
        <v>30</v>
      </c>
      <c r="N95" s="44">
        <f t="shared" si="9"/>
        <v>0</v>
      </c>
      <c r="P95" s="49">
        <f t="shared" si="31"/>
        <v>0</v>
      </c>
      <c r="Q95" s="49">
        <f t="shared" si="31"/>
        <v>0</v>
      </c>
      <c r="R95" s="49">
        <f t="shared" si="31"/>
        <v>0</v>
      </c>
      <c r="S95" s="49">
        <f t="shared" si="31"/>
        <v>0</v>
      </c>
      <c r="T95" s="103">
        <f t="shared" si="31"/>
        <v>0</v>
      </c>
      <c r="V95" s="49">
        <f t="shared" si="11"/>
        <v>0</v>
      </c>
      <c r="W95" s="49">
        <f t="shared" si="12"/>
        <v>0</v>
      </c>
      <c r="X95" s="49">
        <f t="shared" si="13"/>
        <v>0</v>
      </c>
      <c r="Y95" s="49">
        <f t="shared" si="14"/>
        <v>0</v>
      </c>
      <c r="Z95" s="103">
        <f t="shared" si="15"/>
        <v>0</v>
      </c>
      <c r="AB95" s="49">
        <f t="shared" si="16"/>
        <v>0</v>
      </c>
      <c r="AC95" s="49">
        <f t="shared" si="17"/>
        <v>0</v>
      </c>
      <c r="AD95" s="49">
        <f t="shared" si="18"/>
        <v>0</v>
      </c>
      <c r="AE95" s="49">
        <f t="shared" si="19"/>
        <v>0</v>
      </c>
      <c r="AF95" s="103">
        <f t="shared" si="20"/>
        <v>0</v>
      </c>
      <c r="AH95" s="49">
        <f t="shared" si="21"/>
        <v>0</v>
      </c>
      <c r="AI95" s="49">
        <f t="shared" si="22"/>
        <v>0</v>
      </c>
      <c r="AJ95" s="49">
        <f t="shared" si="23"/>
        <v>0</v>
      </c>
      <c r="AK95" s="49">
        <f t="shared" si="24"/>
        <v>0</v>
      </c>
      <c r="AL95" s="103">
        <f t="shared" si="25"/>
        <v>0</v>
      </c>
      <c r="AN95" s="53">
        <f t="shared" si="26"/>
        <v>0</v>
      </c>
      <c r="AO95" s="53">
        <f t="shared" si="27"/>
        <v>0</v>
      </c>
      <c r="AP95" s="53">
        <f t="shared" si="28"/>
        <v>0</v>
      </c>
      <c r="AQ95" s="53">
        <f t="shared" si="29"/>
        <v>0</v>
      </c>
      <c r="AR95" s="203">
        <f t="shared" si="30"/>
        <v>0</v>
      </c>
      <c r="AY95" s="3"/>
    </row>
    <row r="96" spans="1:51">
      <c r="A96" s="54"/>
      <c r="B96" s="43">
        <f>'13. Desinvesteringen'!B380</f>
        <v>361</v>
      </c>
      <c r="C96" s="54"/>
      <c r="D96" s="54"/>
      <c r="E96" s="54"/>
      <c r="F96" s="48">
        <f>'5. Input GAW-waarde desinv.'!D56</f>
        <v>0</v>
      </c>
      <c r="G96" s="187">
        <f>'13. Desinvesteringen'!D380</f>
        <v>1976</v>
      </c>
      <c r="H96" s="187">
        <f>'13. Desinvesteringen'!G380</f>
        <v>2022</v>
      </c>
      <c r="I96" s="43" t="str">
        <f>'13. Desinvesteringen'!C380</f>
        <v>02 Gasontvangststations</v>
      </c>
      <c r="J96" s="176">
        <f>'13. Desinvesteringen'!F380</f>
        <v>0</v>
      </c>
      <c r="K96" s="44">
        <f>_xlfn.XLOOKUP(I96,'3. Input (des)investeringen '!$B$11:$B$81,'3. Input (des)investeringen '!$E$11:$E$81)</f>
        <v>0</v>
      </c>
      <c r="L96" s="54"/>
      <c r="M96" s="44">
        <f>_xlfn.XLOOKUP(I96,'3. Input (des)investeringen '!$B$11:$B$81,'3. Input (des)investeringen '!$D$11:$D$81,0)</f>
        <v>30</v>
      </c>
      <c r="N96" s="44">
        <f t="shared" si="9"/>
        <v>0</v>
      </c>
      <c r="P96" s="49">
        <f t="shared" si="31"/>
        <v>0</v>
      </c>
      <c r="Q96" s="49">
        <f t="shared" si="31"/>
        <v>0</v>
      </c>
      <c r="R96" s="49">
        <f t="shared" si="31"/>
        <v>0</v>
      </c>
      <c r="S96" s="49">
        <f t="shared" si="31"/>
        <v>0</v>
      </c>
      <c r="T96" s="103">
        <f t="shared" si="31"/>
        <v>0</v>
      </c>
      <c r="V96" s="49">
        <f t="shared" si="11"/>
        <v>0</v>
      </c>
      <c r="W96" s="49">
        <f t="shared" si="12"/>
        <v>0</v>
      </c>
      <c r="X96" s="49">
        <f t="shared" si="13"/>
        <v>0</v>
      </c>
      <c r="Y96" s="49">
        <f t="shared" si="14"/>
        <v>0</v>
      </c>
      <c r="Z96" s="103">
        <f t="shared" si="15"/>
        <v>0</v>
      </c>
      <c r="AB96" s="49">
        <f t="shared" si="16"/>
        <v>0</v>
      </c>
      <c r="AC96" s="49">
        <f t="shared" si="17"/>
        <v>0</v>
      </c>
      <c r="AD96" s="49">
        <f t="shared" si="18"/>
        <v>0</v>
      </c>
      <c r="AE96" s="49">
        <f t="shared" si="19"/>
        <v>0</v>
      </c>
      <c r="AF96" s="103">
        <f t="shared" si="20"/>
        <v>0</v>
      </c>
      <c r="AH96" s="49">
        <f t="shared" si="21"/>
        <v>0</v>
      </c>
      <c r="AI96" s="49">
        <f t="shared" si="22"/>
        <v>0</v>
      </c>
      <c r="AJ96" s="49">
        <f t="shared" si="23"/>
        <v>0</v>
      </c>
      <c r="AK96" s="49">
        <f t="shared" si="24"/>
        <v>0</v>
      </c>
      <c r="AL96" s="103">
        <f t="shared" si="25"/>
        <v>0</v>
      </c>
      <c r="AN96" s="53">
        <f t="shared" si="26"/>
        <v>0</v>
      </c>
      <c r="AO96" s="53">
        <f t="shared" si="27"/>
        <v>0</v>
      </c>
      <c r="AP96" s="53">
        <f t="shared" si="28"/>
        <v>0</v>
      </c>
      <c r="AQ96" s="53">
        <f t="shared" si="29"/>
        <v>0</v>
      </c>
      <c r="AR96" s="203">
        <f t="shared" si="30"/>
        <v>0</v>
      </c>
      <c r="AY96" s="3"/>
    </row>
    <row r="97" spans="1:51">
      <c r="A97" s="54"/>
      <c r="B97" s="43">
        <f>'13. Desinvesteringen'!B381</f>
        <v>362</v>
      </c>
      <c r="C97" s="54"/>
      <c r="D97" s="54"/>
      <c r="E97" s="54"/>
      <c r="F97" s="48">
        <f>'5. Input GAW-waarde desinv.'!D57</f>
        <v>0</v>
      </c>
      <c r="G97" s="187">
        <f>'13. Desinvesteringen'!D381</f>
        <v>1977</v>
      </c>
      <c r="H97" s="187">
        <f>'13. Desinvesteringen'!G381</f>
        <v>2022</v>
      </c>
      <c r="I97" s="43" t="str">
        <f>'13. Desinvesteringen'!C381</f>
        <v>02 Gasontvangststations</v>
      </c>
      <c r="J97" s="176">
        <f>'13. Desinvesteringen'!F381</f>
        <v>0</v>
      </c>
      <c r="K97" s="44">
        <f>_xlfn.XLOOKUP(I97,'3. Input (des)investeringen '!$B$11:$B$81,'3. Input (des)investeringen '!$E$11:$E$81)</f>
        <v>0</v>
      </c>
      <c r="L97" s="54"/>
      <c r="M97" s="44">
        <f>_xlfn.XLOOKUP(I97,'3. Input (des)investeringen '!$B$11:$B$81,'3. Input (des)investeringen '!$D$11:$D$81,0)</f>
        <v>30</v>
      </c>
      <c r="N97" s="44">
        <f t="shared" si="9"/>
        <v>0</v>
      </c>
      <c r="P97" s="49">
        <f t="shared" si="31"/>
        <v>0</v>
      </c>
      <c r="Q97" s="49">
        <f t="shared" si="31"/>
        <v>0</v>
      </c>
      <c r="R97" s="49">
        <f t="shared" si="31"/>
        <v>0</v>
      </c>
      <c r="S97" s="49">
        <f t="shared" si="31"/>
        <v>0</v>
      </c>
      <c r="T97" s="103">
        <f t="shared" si="31"/>
        <v>0</v>
      </c>
      <c r="V97" s="49">
        <f t="shared" si="11"/>
        <v>0</v>
      </c>
      <c r="W97" s="49">
        <f t="shared" si="12"/>
        <v>0</v>
      </c>
      <c r="X97" s="49">
        <f t="shared" si="13"/>
        <v>0</v>
      </c>
      <c r="Y97" s="49">
        <f t="shared" si="14"/>
        <v>0</v>
      </c>
      <c r="Z97" s="103">
        <f t="shared" si="15"/>
        <v>0</v>
      </c>
      <c r="AB97" s="49">
        <f t="shared" si="16"/>
        <v>0</v>
      </c>
      <c r="AC97" s="49">
        <f t="shared" si="17"/>
        <v>0</v>
      </c>
      <c r="AD97" s="49">
        <f t="shared" si="18"/>
        <v>0</v>
      </c>
      <c r="AE97" s="49">
        <f t="shared" si="19"/>
        <v>0</v>
      </c>
      <c r="AF97" s="103">
        <f t="shared" si="20"/>
        <v>0</v>
      </c>
      <c r="AH97" s="49">
        <f t="shared" si="21"/>
        <v>0</v>
      </c>
      <c r="AI97" s="49">
        <f t="shared" si="22"/>
        <v>0</v>
      </c>
      <c r="AJ97" s="49">
        <f t="shared" si="23"/>
        <v>0</v>
      </c>
      <c r="AK97" s="49">
        <f t="shared" si="24"/>
        <v>0</v>
      </c>
      <c r="AL97" s="103">
        <f t="shared" si="25"/>
        <v>0</v>
      </c>
      <c r="AN97" s="53">
        <f t="shared" si="26"/>
        <v>0</v>
      </c>
      <c r="AO97" s="53">
        <f t="shared" si="27"/>
        <v>0</v>
      </c>
      <c r="AP97" s="53">
        <f t="shared" si="28"/>
        <v>0</v>
      </c>
      <c r="AQ97" s="53">
        <f t="shared" si="29"/>
        <v>0</v>
      </c>
      <c r="AR97" s="203">
        <f t="shared" si="30"/>
        <v>0</v>
      </c>
      <c r="AY97" s="3"/>
    </row>
    <row r="98" spans="1:51">
      <c r="A98" s="54"/>
      <c r="B98" s="43">
        <f>'13. Desinvesteringen'!B382</f>
        <v>363</v>
      </c>
      <c r="C98" s="54"/>
      <c r="D98" s="54"/>
      <c r="E98" s="54"/>
      <c r="F98" s="48">
        <f>'5. Input GAW-waarde desinv.'!D58</f>
        <v>0</v>
      </c>
      <c r="G98" s="187">
        <f>'13. Desinvesteringen'!D382</f>
        <v>1979</v>
      </c>
      <c r="H98" s="187">
        <f>'13. Desinvesteringen'!G382</f>
        <v>2022</v>
      </c>
      <c r="I98" s="43" t="str">
        <f>'13. Desinvesteringen'!C382</f>
        <v>02 Gasontvangststations</v>
      </c>
      <c r="J98" s="176">
        <f>'13. Desinvesteringen'!F382</f>
        <v>0</v>
      </c>
      <c r="K98" s="44">
        <f>_xlfn.XLOOKUP(I98,'3. Input (des)investeringen '!$B$11:$B$81,'3. Input (des)investeringen '!$E$11:$E$81)</f>
        <v>0</v>
      </c>
      <c r="L98" s="54"/>
      <c r="M98" s="44">
        <f>_xlfn.XLOOKUP(I98,'3. Input (des)investeringen '!$B$11:$B$81,'3. Input (des)investeringen '!$D$11:$D$81,0)</f>
        <v>30</v>
      </c>
      <c r="N98" s="44">
        <f t="shared" si="9"/>
        <v>0</v>
      </c>
      <c r="P98" s="49">
        <f t="shared" si="31"/>
        <v>0</v>
      </c>
      <c r="Q98" s="49">
        <f t="shared" si="31"/>
        <v>0</v>
      </c>
      <c r="R98" s="49">
        <f t="shared" si="31"/>
        <v>0</v>
      </c>
      <c r="S98" s="49">
        <f t="shared" si="31"/>
        <v>0</v>
      </c>
      <c r="T98" s="103">
        <f t="shared" si="31"/>
        <v>0</v>
      </c>
      <c r="V98" s="49">
        <f t="shared" si="11"/>
        <v>0</v>
      </c>
      <c r="W98" s="49">
        <f t="shared" si="12"/>
        <v>0</v>
      </c>
      <c r="X98" s="49">
        <f t="shared" si="13"/>
        <v>0</v>
      </c>
      <c r="Y98" s="49">
        <f t="shared" si="14"/>
        <v>0</v>
      </c>
      <c r="Z98" s="103">
        <f t="shared" si="15"/>
        <v>0</v>
      </c>
      <c r="AB98" s="49">
        <f t="shared" si="16"/>
        <v>0</v>
      </c>
      <c r="AC98" s="49">
        <f t="shared" si="17"/>
        <v>0</v>
      </c>
      <c r="AD98" s="49">
        <f t="shared" si="18"/>
        <v>0</v>
      </c>
      <c r="AE98" s="49">
        <f t="shared" si="19"/>
        <v>0</v>
      </c>
      <c r="AF98" s="103">
        <f t="shared" si="20"/>
        <v>0</v>
      </c>
      <c r="AH98" s="49">
        <f t="shared" si="21"/>
        <v>0</v>
      </c>
      <c r="AI98" s="49">
        <f t="shared" si="22"/>
        <v>0</v>
      </c>
      <c r="AJ98" s="49">
        <f t="shared" si="23"/>
        <v>0</v>
      </c>
      <c r="AK98" s="49">
        <f t="shared" si="24"/>
        <v>0</v>
      </c>
      <c r="AL98" s="103">
        <f t="shared" si="25"/>
        <v>0</v>
      </c>
      <c r="AN98" s="53">
        <f t="shared" si="26"/>
        <v>0</v>
      </c>
      <c r="AO98" s="53">
        <f t="shared" si="27"/>
        <v>0</v>
      </c>
      <c r="AP98" s="53">
        <f t="shared" si="28"/>
        <v>0</v>
      </c>
      <c r="AQ98" s="53">
        <f t="shared" si="29"/>
        <v>0</v>
      </c>
      <c r="AR98" s="203">
        <f t="shared" si="30"/>
        <v>0</v>
      </c>
      <c r="AY98" s="3"/>
    </row>
    <row r="99" spans="1:51">
      <c r="A99" s="54"/>
      <c r="B99" s="43">
        <f>'13. Desinvesteringen'!B383</f>
        <v>364</v>
      </c>
      <c r="C99" s="54"/>
      <c r="D99" s="54"/>
      <c r="E99" s="54"/>
      <c r="F99" s="48">
        <f>'5. Input GAW-waarde desinv.'!D59</f>
        <v>0</v>
      </c>
      <c r="G99" s="187">
        <f>'13. Desinvesteringen'!D383</f>
        <v>1980</v>
      </c>
      <c r="H99" s="187">
        <f>'13. Desinvesteringen'!G383</f>
        <v>2022</v>
      </c>
      <c r="I99" s="43" t="str">
        <f>'13. Desinvesteringen'!C383</f>
        <v>02 Gasontvangststations</v>
      </c>
      <c r="J99" s="176">
        <f>'13. Desinvesteringen'!F383</f>
        <v>0</v>
      </c>
      <c r="K99" s="44">
        <f>_xlfn.XLOOKUP(I99,'3. Input (des)investeringen '!$B$11:$B$81,'3. Input (des)investeringen '!$E$11:$E$81)</f>
        <v>0</v>
      </c>
      <c r="L99" s="54"/>
      <c r="M99" s="44">
        <f>_xlfn.XLOOKUP(I99,'3. Input (des)investeringen '!$B$11:$B$81,'3. Input (des)investeringen '!$D$11:$D$81,0)</f>
        <v>30</v>
      </c>
      <c r="N99" s="44">
        <f t="shared" si="9"/>
        <v>0</v>
      </c>
      <c r="P99" s="49">
        <f t="shared" si="31"/>
        <v>0</v>
      </c>
      <c r="Q99" s="49">
        <f t="shared" si="31"/>
        <v>0</v>
      </c>
      <c r="R99" s="49">
        <f t="shared" si="31"/>
        <v>0</v>
      </c>
      <c r="S99" s="49">
        <f t="shared" si="31"/>
        <v>0</v>
      </c>
      <c r="T99" s="103">
        <f t="shared" si="31"/>
        <v>0</v>
      </c>
      <c r="V99" s="49">
        <f t="shared" si="11"/>
        <v>0</v>
      </c>
      <c r="W99" s="49">
        <f t="shared" si="12"/>
        <v>0</v>
      </c>
      <c r="X99" s="49">
        <f t="shared" si="13"/>
        <v>0</v>
      </c>
      <c r="Y99" s="49">
        <f t="shared" si="14"/>
        <v>0</v>
      </c>
      <c r="Z99" s="103">
        <f t="shared" si="15"/>
        <v>0</v>
      </c>
      <c r="AB99" s="49">
        <f t="shared" si="16"/>
        <v>0</v>
      </c>
      <c r="AC99" s="49">
        <f t="shared" si="17"/>
        <v>0</v>
      </c>
      <c r="AD99" s="49">
        <f t="shared" si="18"/>
        <v>0</v>
      </c>
      <c r="AE99" s="49">
        <f t="shared" si="19"/>
        <v>0</v>
      </c>
      <c r="AF99" s="103">
        <f t="shared" si="20"/>
        <v>0</v>
      </c>
      <c r="AH99" s="49">
        <f t="shared" si="21"/>
        <v>0</v>
      </c>
      <c r="AI99" s="49">
        <f t="shared" si="22"/>
        <v>0</v>
      </c>
      <c r="AJ99" s="49">
        <f t="shared" si="23"/>
        <v>0</v>
      </c>
      <c r="AK99" s="49">
        <f t="shared" si="24"/>
        <v>0</v>
      </c>
      <c r="AL99" s="103">
        <f t="shared" si="25"/>
        <v>0</v>
      </c>
      <c r="AN99" s="53">
        <f t="shared" si="26"/>
        <v>0</v>
      </c>
      <c r="AO99" s="53">
        <f t="shared" si="27"/>
        <v>0</v>
      </c>
      <c r="AP99" s="53">
        <f t="shared" si="28"/>
        <v>0</v>
      </c>
      <c r="AQ99" s="53">
        <f t="shared" si="29"/>
        <v>0</v>
      </c>
      <c r="AR99" s="203">
        <f t="shared" si="30"/>
        <v>0</v>
      </c>
      <c r="AY99" s="3"/>
    </row>
    <row r="100" spans="1:51">
      <c r="A100" s="54"/>
      <c r="B100" s="43">
        <f>'13. Desinvesteringen'!B384</f>
        <v>365</v>
      </c>
      <c r="C100" s="54"/>
      <c r="D100" s="54"/>
      <c r="E100" s="54"/>
      <c r="F100" s="48">
        <f>'5. Input GAW-waarde desinv.'!D60</f>
        <v>0</v>
      </c>
      <c r="G100" s="187">
        <f>'13. Desinvesteringen'!D384</f>
        <v>1981</v>
      </c>
      <c r="H100" s="187">
        <f>'13. Desinvesteringen'!G384</f>
        <v>2022</v>
      </c>
      <c r="I100" s="43" t="str">
        <f>'13. Desinvesteringen'!C384</f>
        <v>02 Gasontvangststations</v>
      </c>
      <c r="J100" s="176">
        <f>'13. Desinvesteringen'!F384</f>
        <v>0</v>
      </c>
      <c r="K100" s="44">
        <f>_xlfn.XLOOKUP(I100,'3. Input (des)investeringen '!$B$11:$B$81,'3. Input (des)investeringen '!$E$11:$E$81)</f>
        <v>0</v>
      </c>
      <c r="L100" s="54"/>
      <c r="M100" s="44">
        <f>_xlfn.XLOOKUP(I100,'3. Input (des)investeringen '!$B$11:$B$81,'3. Input (des)investeringen '!$D$11:$D$81,0)</f>
        <v>30</v>
      </c>
      <c r="N100" s="44">
        <f t="shared" si="9"/>
        <v>0</v>
      </c>
      <c r="P100" s="49">
        <f t="shared" si="31"/>
        <v>0</v>
      </c>
      <c r="Q100" s="49">
        <f t="shared" si="31"/>
        <v>0</v>
      </c>
      <c r="R100" s="49">
        <f t="shared" si="31"/>
        <v>0</v>
      </c>
      <c r="S100" s="49">
        <f t="shared" si="31"/>
        <v>0</v>
      </c>
      <c r="T100" s="103">
        <f t="shared" si="31"/>
        <v>0</v>
      </c>
      <c r="V100" s="49">
        <f t="shared" si="11"/>
        <v>0</v>
      </c>
      <c r="W100" s="49">
        <f t="shared" si="12"/>
        <v>0</v>
      </c>
      <c r="X100" s="49">
        <f t="shared" si="13"/>
        <v>0</v>
      </c>
      <c r="Y100" s="49">
        <f t="shared" si="14"/>
        <v>0</v>
      </c>
      <c r="Z100" s="103">
        <f t="shared" si="15"/>
        <v>0</v>
      </c>
      <c r="AB100" s="49">
        <f t="shared" si="16"/>
        <v>0</v>
      </c>
      <c r="AC100" s="49">
        <f t="shared" si="17"/>
        <v>0</v>
      </c>
      <c r="AD100" s="49">
        <f t="shared" si="18"/>
        <v>0</v>
      </c>
      <c r="AE100" s="49">
        <f t="shared" si="19"/>
        <v>0</v>
      </c>
      <c r="AF100" s="103">
        <f t="shared" si="20"/>
        <v>0</v>
      </c>
      <c r="AH100" s="49">
        <f t="shared" si="21"/>
        <v>0</v>
      </c>
      <c r="AI100" s="49">
        <f t="shared" si="22"/>
        <v>0</v>
      </c>
      <c r="AJ100" s="49">
        <f t="shared" si="23"/>
        <v>0</v>
      </c>
      <c r="AK100" s="49">
        <f t="shared" si="24"/>
        <v>0</v>
      </c>
      <c r="AL100" s="103">
        <f t="shared" si="25"/>
        <v>0</v>
      </c>
      <c r="AN100" s="53">
        <f t="shared" si="26"/>
        <v>0</v>
      </c>
      <c r="AO100" s="53">
        <f t="shared" si="27"/>
        <v>0</v>
      </c>
      <c r="AP100" s="53">
        <f t="shared" si="28"/>
        <v>0</v>
      </c>
      <c r="AQ100" s="53">
        <f t="shared" si="29"/>
        <v>0</v>
      </c>
      <c r="AR100" s="203">
        <f t="shared" si="30"/>
        <v>0</v>
      </c>
      <c r="AY100" s="3"/>
    </row>
    <row r="101" spans="1:51">
      <c r="A101" s="54"/>
      <c r="B101" s="43">
        <f>'13. Desinvesteringen'!B385</f>
        <v>366</v>
      </c>
      <c r="C101" s="54"/>
      <c r="D101" s="54"/>
      <c r="E101" s="54"/>
      <c r="F101" s="48">
        <f>'5. Input GAW-waarde desinv.'!D61</f>
        <v>0</v>
      </c>
      <c r="G101" s="187">
        <f>'13. Desinvesteringen'!D385</f>
        <v>1982</v>
      </c>
      <c r="H101" s="187">
        <f>'13. Desinvesteringen'!G385</f>
        <v>2022</v>
      </c>
      <c r="I101" s="43" t="str">
        <f>'13. Desinvesteringen'!C385</f>
        <v>02 Gasontvangststations</v>
      </c>
      <c r="J101" s="176">
        <f>'13. Desinvesteringen'!F385</f>
        <v>0</v>
      </c>
      <c r="K101" s="44">
        <f>_xlfn.XLOOKUP(I101,'3. Input (des)investeringen '!$B$11:$B$81,'3. Input (des)investeringen '!$E$11:$E$81)</f>
        <v>0</v>
      </c>
      <c r="L101" s="54"/>
      <c r="M101" s="44">
        <f>_xlfn.XLOOKUP(I101,'3. Input (des)investeringen '!$B$11:$B$81,'3. Input (des)investeringen '!$D$11:$D$81,0)</f>
        <v>30</v>
      </c>
      <c r="N101" s="44">
        <f t="shared" si="9"/>
        <v>0</v>
      </c>
      <c r="P101" s="49">
        <f t="shared" si="31"/>
        <v>0</v>
      </c>
      <c r="Q101" s="49">
        <f t="shared" si="31"/>
        <v>0</v>
      </c>
      <c r="R101" s="49">
        <f t="shared" si="31"/>
        <v>0</v>
      </c>
      <c r="S101" s="49">
        <f t="shared" si="31"/>
        <v>0</v>
      </c>
      <c r="T101" s="103">
        <f t="shared" si="31"/>
        <v>0</v>
      </c>
      <c r="V101" s="49">
        <f t="shared" si="11"/>
        <v>0</v>
      </c>
      <c r="W101" s="49">
        <f t="shared" si="12"/>
        <v>0</v>
      </c>
      <c r="X101" s="49">
        <f t="shared" si="13"/>
        <v>0</v>
      </c>
      <c r="Y101" s="49">
        <f t="shared" si="14"/>
        <v>0</v>
      </c>
      <c r="Z101" s="103">
        <f t="shared" si="15"/>
        <v>0</v>
      </c>
      <c r="AB101" s="49">
        <f t="shared" si="16"/>
        <v>0</v>
      </c>
      <c r="AC101" s="49">
        <f t="shared" si="17"/>
        <v>0</v>
      </c>
      <c r="AD101" s="49">
        <f t="shared" si="18"/>
        <v>0</v>
      </c>
      <c r="AE101" s="49">
        <f t="shared" si="19"/>
        <v>0</v>
      </c>
      <c r="AF101" s="103">
        <f t="shared" si="20"/>
        <v>0</v>
      </c>
      <c r="AH101" s="49">
        <f t="shared" si="21"/>
        <v>0</v>
      </c>
      <c r="AI101" s="49">
        <f t="shared" si="22"/>
        <v>0</v>
      </c>
      <c r="AJ101" s="49">
        <f t="shared" si="23"/>
        <v>0</v>
      </c>
      <c r="AK101" s="49">
        <f t="shared" si="24"/>
        <v>0</v>
      </c>
      <c r="AL101" s="103">
        <f t="shared" si="25"/>
        <v>0</v>
      </c>
      <c r="AN101" s="53">
        <f t="shared" si="26"/>
        <v>0</v>
      </c>
      <c r="AO101" s="53">
        <f t="shared" si="27"/>
        <v>0</v>
      </c>
      <c r="AP101" s="53">
        <f t="shared" si="28"/>
        <v>0</v>
      </c>
      <c r="AQ101" s="53">
        <f t="shared" si="29"/>
        <v>0</v>
      </c>
      <c r="AR101" s="203">
        <f t="shared" si="30"/>
        <v>0</v>
      </c>
      <c r="AY101" s="3"/>
    </row>
    <row r="102" spans="1:51">
      <c r="A102" s="54"/>
      <c r="B102" s="43">
        <f>'13. Desinvesteringen'!B386</f>
        <v>367</v>
      </c>
      <c r="C102" s="54"/>
      <c r="D102" s="54"/>
      <c r="E102" s="54"/>
      <c r="F102" s="48">
        <f>'5. Input GAW-waarde desinv.'!D62</f>
        <v>0</v>
      </c>
      <c r="G102" s="187">
        <f>'13. Desinvesteringen'!D386</f>
        <v>1984</v>
      </c>
      <c r="H102" s="187">
        <f>'13. Desinvesteringen'!G386</f>
        <v>2022</v>
      </c>
      <c r="I102" s="43" t="str">
        <f>'13. Desinvesteringen'!C386</f>
        <v>02 Gasontvangststations</v>
      </c>
      <c r="J102" s="176">
        <f>'13. Desinvesteringen'!F386</f>
        <v>0</v>
      </c>
      <c r="K102" s="44">
        <f>_xlfn.XLOOKUP(I102,'3. Input (des)investeringen '!$B$11:$B$81,'3. Input (des)investeringen '!$E$11:$E$81)</f>
        <v>0</v>
      </c>
      <c r="L102" s="54"/>
      <c r="M102" s="44">
        <f>_xlfn.XLOOKUP(I102,'3. Input (des)investeringen '!$B$11:$B$81,'3. Input (des)investeringen '!$D$11:$D$81,0)</f>
        <v>30</v>
      </c>
      <c r="N102" s="44">
        <f t="shared" si="9"/>
        <v>0</v>
      </c>
      <c r="P102" s="49">
        <f t="shared" si="31"/>
        <v>0</v>
      </c>
      <c r="Q102" s="49">
        <f t="shared" si="31"/>
        <v>0</v>
      </c>
      <c r="R102" s="49">
        <f t="shared" si="31"/>
        <v>0</v>
      </c>
      <c r="S102" s="49">
        <f t="shared" si="31"/>
        <v>0</v>
      </c>
      <c r="T102" s="103">
        <f t="shared" si="31"/>
        <v>0</v>
      </c>
      <c r="V102" s="49">
        <f t="shared" si="11"/>
        <v>0</v>
      </c>
      <c r="W102" s="49">
        <f t="shared" si="12"/>
        <v>0</v>
      </c>
      <c r="X102" s="49">
        <f t="shared" si="13"/>
        <v>0</v>
      </c>
      <c r="Y102" s="49">
        <f t="shared" si="14"/>
        <v>0</v>
      </c>
      <c r="Z102" s="103">
        <f t="shared" si="15"/>
        <v>0</v>
      </c>
      <c r="AB102" s="49">
        <f t="shared" si="16"/>
        <v>0</v>
      </c>
      <c r="AC102" s="49">
        <f t="shared" si="17"/>
        <v>0</v>
      </c>
      <c r="AD102" s="49">
        <f t="shared" si="18"/>
        <v>0</v>
      </c>
      <c r="AE102" s="49">
        <f t="shared" si="19"/>
        <v>0</v>
      </c>
      <c r="AF102" s="103">
        <f t="shared" si="20"/>
        <v>0</v>
      </c>
      <c r="AH102" s="49">
        <f t="shared" si="21"/>
        <v>0</v>
      </c>
      <c r="AI102" s="49">
        <f t="shared" si="22"/>
        <v>0</v>
      </c>
      <c r="AJ102" s="49">
        <f t="shared" si="23"/>
        <v>0</v>
      </c>
      <c r="AK102" s="49">
        <f t="shared" si="24"/>
        <v>0</v>
      </c>
      <c r="AL102" s="103">
        <f t="shared" si="25"/>
        <v>0</v>
      </c>
      <c r="AN102" s="53">
        <f t="shared" si="26"/>
        <v>0</v>
      </c>
      <c r="AO102" s="53">
        <f t="shared" si="27"/>
        <v>0</v>
      </c>
      <c r="AP102" s="53">
        <f t="shared" si="28"/>
        <v>0</v>
      </c>
      <c r="AQ102" s="53">
        <f t="shared" si="29"/>
        <v>0</v>
      </c>
      <c r="AR102" s="203">
        <f t="shared" si="30"/>
        <v>0</v>
      </c>
      <c r="AY102" s="3"/>
    </row>
    <row r="103" spans="1:51">
      <c r="A103" s="54"/>
      <c r="B103" s="43">
        <f>'13. Desinvesteringen'!B387</f>
        <v>368</v>
      </c>
      <c r="C103" s="54"/>
      <c r="D103" s="54"/>
      <c r="E103" s="54"/>
      <c r="F103" s="48">
        <f>'5. Input GAW-waarde desinv.'!D63</f>
        <v>0</v>
      </c>
      <c r="G103" s="187">
        <f>'13. Desinvesteringen'!D387</f>
        <v>1989</v>
      </c>
      <c r="H103" s="187">
        <f>'13. Desinvesteringen'!G387</f>
        <v>2022</v>
      </c>
      <c r="I103" s="43" t="str">
        <f>'13. Desinvesteringen'!C387</f>
        <v>02 Gasontvangststations</v>
      </c>
      <c r="J103" s="176">
        <f>'13. Desinvesteringen'!F387</f>
        <v>0</v>
      </c>
      <c r="K103" s="44">
        <f>_xlfn.XLOOKUP(I103,'3. Input (des)investeringen '!$B$11:$B$81,'3. Input (des)investeringen '!$E$11:$E$81)</f>
        <v>0</v>
      </c>
      <c r="L103" s="54"/>
      <c r="M103" s="44">
        <f>_xlfn.XLOOKUP(I103,'3. Input (des)investeringen '!$B$11:$B$81,'3. Input (des)investeringen '!$D$11:$D$81,0)</f>
        <v>30</v>
      </c>
      <c r="N103" s="44">
        <f t="shared" si="9"/>
        <v>0</v>
      </c>
      <c r="P103" s="49">
        <f t="shared" si="31"/>
        <v>0</v>
      </c>
      <c r="Q103" s="49">
        <f t="shared" si="31"/>
        <v>0</v>
      </c>
      <c r="R103" s="49">
        <f t="shared" si="31"/>
        <v>0</v>
      </c>
      <c r="S103" s="49">
        <f t="shared" si="31"/>
        <v>0</v>
      </c>
      <c r="T103" s="103">
        <f t="shared" si="31"/>
        <v>0</v>
      </c>
      <c r="V103" s="49">
        <f t="shared" si="11"/>
        <v>0</v>
      </c>
      <c r="W103" s="49">
        <f t="shared" si="12"/>
        <v>0</v>
      </c>
      <c r="X103" s="49">
        <f t="shared" si="13"/>
        <v>0</v>
      </c>
      <c r="Y103" s="49">
        <f t="shared" si="14"/>
        <v>0</v>
      </c>
      <c r="Z103" s="103">
        <f t="shared" si="15"/>
        <v>0</v>
      </c>
      <c r="AB103" s="49">
        <f t="shared" si="16"/>
        <v>0</v>
      </c>
      <c r="AC103" s="49">
        <f t="shared" si="17"/>
        <v>0</v>
      </c>
      <c r="AD103" s="49">
        <f t="shared" si="18"/>
        <v>0</v>
      </c>
      <c r="AE103" s="49">
        <f t="shared" si="19"/>
        <v>0</v>
      </c>
      <c r="AF103" s="103">
        <f t="shared" si="20"/>
        <v>0</v>
      </c>
      <c r="AH103" s="49">
        <f t="shared" si="21"/>
        <v>0</v>
      </c>
      <c r="AI103" s="49">
        <f t="shared" si="22"/>
        <v>0</v>
      </c>
      <c r="AJ103" s="49">
        <f t="shared" si="23"/>
        <v>0</v>
      </c>
      <c r="AK103" s="49">
        <f t="shared" si="24"/>
        <v>0</v>
      </c>
      <c r="AL103" s="103">
        <f t="shared" si="25"/>
        <v>0</v>
      </c>
      <c r="AN103" s="53">
        <f t="shared" si="26"/>
        <v>0</v>
      </c>
      <c r="AO103" s="53">
        <f t="shared" si="27"/>
        <v>0</v>
      </c>
      <c r="AP103" s="53">
        <f t="shared" si="28"/>
        <v>0</v>
      </c>
      <c r="AQ103" s="53">
        <f t="shared" si="29"/>
        <v>0</v>
      </c>
      <c r="AR103" s="203">
        <f t="shared" si="30"/>
        <v>0</v>
      </c>
      <c r="AY103" s="3"/>
    </row>
    <row r="104" spans="1:51">
      <c r="A104" s="54"/>
      <c r="B104" s="43">
        <f>'13. Desinvesteringen'!B388</f>
        <v>369</v>
      </c>
      <c r="C104" s="54"/>
      <c r="D104" s="54"/>
      <c r="E104" s="54"/>
      <c r="F104" s="48">
        <f>'5. Input GAW-waarde desinv.'!D64</f>
        <v>0</v>
      </c>
      <c r="G104" s="187">
        <f>'13. Desinvesteringen'!D388</f>
        <v>1990</v>
      </c>
      <c r="H104" s="187">
        <f>'13. Desinvesteringen'!G388</f>
        <v>2022</v>
      </c>
      <c r="I104" s="43" t="str">
        <f>'13. Desinvesteringen'!C388</f>
        <v>02 Gasontvangststations</v>
      </c>
      <c r="J104" s="176">
        <f>'13. Desinvesteringen'!F388</f>
        <v>0</v>
      </c>
      <c r="K104" s="44">
        <f>_xlfn.XLOOKUP(I104,'3. Input (des)investeringen '!$B$11:$B$81,'3. Input (des)investeringen '!$E$11:$E$81)</f>
        <v>0</v>
      </c>
      <c r="L104" s="54"/>
      <c r="M104" s="44">
        <f>_xlfn.XLOOKUP(I104,'3. Input (des)investeringen '!$B$11:$B$81,'3. Input (des)investeringen '!$D$11:$D$81,0)</f>
        <v>30</v>
      </c>
      <c r="N104" s="44">
        <f t="shared" si="9"/>
        <v>0</v>
      </c>
      <c r="P104" s="49">
        <f t="shared" si="31"/>
        <v>0</v>
      </c>
      <c r="Q104" s="49">
        <f t="shared" si="31"/>
        <v>0</v>
      </c>
      <c r="R104" s="49">
        <f t="shared" si="31"/>
        <v>0</v>
      </c>
      <c r="S104" s="49">
        <f t="shared" si="31"/>
        <v>0</v>
      </c>
      <c r="T104" s="103">
        <f t="shared" si="31"/>
        <v>0</v>
      </c>
      <c r="V104" s="49">
        <f t="shared" si="11"/>
        <v>0</v>
      </c>
      <c r="W104" s="49">
        <f t="shared" si="12"/>
        <v>0</v>
      </c>
      <c r="X104" s="49">
        <f t="shared" si="13"/>
        <v>0</v>
      </c>
      <c r="Y104" s="49">
        <f t="shared" si="14"/>
        <v>0</v>
      </c>
      <c r="Z104" s="103">
        <f t="shared" si="15"/>
        <v>0</v>
      </c>
      <c r="AB104" s="49">
        <f t="shared" si="16"/>
        <v>0</v>
      </c>
      <c r="AC104" s="49">
        <f t="shared" si="17"/>
        <v>0</v>
      </c>
      <c r="AD104" s="49">
        <f t="shared" si="18"/>
        <v>0</v>
      </c>
      <c r="AE104" s="49">
        <f t="shared" si="19"/>
        <v>0</v>
      </c>
      <c r="AF104" s="103">
        <f t="shared" si="20"/>
        <v>0</v>
      </c>
      <c r="AH104" s="49">
        <f t="shared" si="21"/>
        <v>0</v>
      </c>
      <c r="AI104" s="49">
        <f t="shared" si="22"/>
        <v>0</v>
      </c>
      <c r="AJ104" s="49">
        <f t="shared" si="23"/>
        <v>0</v>
      </c>
      <c r="AK104" s="49">
        <f t="shared" si="24"/>
        <v>0</v>
      </c>
      <c r="AL104" s="103">
        <f t="shared" si="25"/>
        <v>0</v>
      </c>
      <c r="AN104" s="53">
        <f t="shared" si="26"/>
        <v>0</v>
      </c>
      <c r="AO104" s="53">
        <f t="shared" si="27"/>
        <v>0</v>
      </c>
      <c r="AP104" s="53">
        <f t="shared" si="28"/>
        <v>0</v>
      </c>
      <c r="AQ104" s="53">
        <f t="shared" si="29"/>
        <v>0</v>
      </c>
      <c r="AR104" s="203">
        <f t="shared" si="30"/>
        <v>0</v>
      </c>
      <c r="AY104" s="3"/>
    </row>
    <row r="105" spans="1:51">
      <c r="A105" s="54"/>
      <c r="B105" s="43">
        <f>'13. Desinvesteringen'!B389</f>
        <v>370</v>
      </c>
      <c r="C105" s="54"/>
      <c r="D105" s="54"/>
      <c r="E105" s="54"/>
      <c r="F105" s="48">
        <f>'5. Input GAW-waarde desinv.'!D65</f>
        <v>0</v>
      </c>
      <c r="G105" s="187">
        <f>'13. Desinvesteringen'!D389</f>
        <v>1991</v>
      </c>
      <c r="H105" s="187">
        <f>'13. Desinvesteringen'!G389</f>
        <v>2022</v>
      </c>
      <c r="I105" s="43" t="str">
        <f>'13. Desinvesteringen'!C389</f>
        <v>02 Gasontvangststations</v>
      </c>
      <c r="J105" s="176">
        <f>'13. Desinvesteringen'!F389</f>
        <v>0</v>
      </c>
      <c r="K105" s="44">
        <f>_xlfn.XLOOKUP(I105,'3. Input (des)investeringen '!$B$11:$B$81,'3. Input (des)investeringen '!$E$11:$E$81)</f>
        <v>0</v>
      </c>
      <c r="L105" s="54"/>
      <c r="M105" s="44">
        <f>_xlfn.XLOOKUP(I105,'3. Input (des)investeringen '!$B$11:$B$81,'3. Input (des)investeringen '!$D$11:$D$81,0)</f>
        <v>30</v>
      </c>
      <c r="N105" s="44">
        <f t="shared" si="9"/>
        <v>0</v>
      </c>
      <c r="P105" s="49">
        <f t="shared" si="31"/>
        <v>0</v>
      </c>
      <c r="Q105" s="49">
        <f t="shared" si="31"/>
        <v>0</v>
      </c>
      <c r="R105" s="49">
        <f t="shared" si="31"/>
        <v>0</v>
      </c>
      <c r="S105" s="49">
        <f t="shared" si="31"/>
        <v>0</v>
      </c>
      <c r="T105" s="103">
        <f t="shared" si="31"/>
        <v>0</v>
      </c>
      <c r="V105" s="49">
        <f t="shared" si="11"/>
        <v>0</v>
      </c>
      <c r="W105" s="49">
        <f t="shared" si="12"/>
        <v>0</v>
      </c>
      <c r="X105" s="49">
        <f t="shared" si="13"/>
        <v>0</v>
      </c>
      <c r="Y105" s="49">
        <f t="shared" si="14"/>
        <v>0</v>
      </c>
      <c r="Z105" s="103">
        <f t="shared" si="15"/>
        <v>0</v>
      </c>
      <c r="AB105" s="49">
        <f t="shared" si="16"/>
        <v>0</v>
      </c>
      <c r="AC105" s="49">
        <f t="shared" si="17"/>
        <v>0</v>
      </c>
      <c r="AD105" s="49">
        <f t="shared" si="18"/>
        <v>0</v>
      </c>
      <c r="AE105" s="49">
        <f t="shared" si="19"/>
        <v>0</v>
      </c>
      <c r="AF105" s="103">
        <f t="shared" si="20"/>
        <v>0</v>
      </c>
      <c r="AH105" s="49">
        <f t="shared" si="21"/>
        <v>0</v>
      </c>
      <c r="AI105" s="49">
        <f t="shared" si="22"/>
        <v>0</v>
      </c>
      <c r="AJ105" s="49">
        <f t="shared" si="23"/>
        <v>0</v>
      </c>
      <c r="AK105" s="49">
        <f t="shared" si="24"/>
        <v>0</v>
      </c>
      <c r="AL105" s="103">
        <f t="shared" si="25"/>
        <v>0</v>
      </c>
      <c r="AN105" s="53">
        <f t="shared" si="26"/>
        <v>0</v>
      </c>
      <c r="AO105" s="53">
        <f t="shared" si="27"/>
        <v>0</v>
      </c>
      <c r="AP105" s="53">
        <f t="shared" si="28"/>
        <v>0</v>
      </c>
      <c r="AQ105" s="53">
        <f t="shared" si="29"/>
        <v>0</v>
      </c>
      <c r="AR105" s="203">
        <f t="shared" si="30"/>
        <v>0</v>
      </c>
      <c r="AY105" s="3"/>
    </row>
    <row r="106" spans="1:51">
      <c r="A106" s="54"/>
      <c r="B106" s="43">
        <f>'13. Desinvesteringen'!B390</f>
        <v>371</v>
      </c>
      <c r="C106" s="54"/>
      <c r="D106" s="54"/>
      <c r="E106" s="54"/>
      <c r="F106" s="48">
        <f>'5. Input GAW-waarde desinv.'!D66</f>
        <v>646.89002615775189</v>
      </c>
      <c r="G106" s="187">
        <f>'13. Desinvesteringen'!D390</f>
        <v>1992</v>
      </c>
      <c r="H106" s="187">
        <f>'13. Desinvesteringen'!G390</f>
        <v>2022</v>
      </c>
      <c r="I106" s="43" t="str">
        <f>'13. Desinvesteringen'!C390</f>
        <v>02 Gasontvangststations</v>
      </c>
      <c r="J106" s="176">
        <f>'13. Desinvesteringen'!F390</f>
        <v>0</v>
      </c>
      <c r="K106" s="44">
        <f>_xlfn.XLOOKUP(I106,'3. Input (des)investeringen '!$B$11:$B$81,'3. Input (des)investeringen '!$E$11:$E$81)</f>
        <v>0</v>
      </c>
      <c r="L106" s="54"/>
      <c r="M106" s="44">
        <f>_xlfn.XLOOKUP(I106,'3. Input (des)investeringen '!$B$11:$B$81,'3. Input (des)investeringen '!$D$11:$D$81,0)</f>
        <v>30</v>
      </c>
      <c r="N106" s="44">
        <f t="shared" si="9"/>
        <v>0.5</v>
      </c>
      <c r="P106" s="49">
        <f t="shared" si="31"/>
        <v>582.20102354197672</v>
      </c>
      <c r="Q106" s="49">
        <f t="shared" si="31"/>
        <v>0</v>
      </c>
      <c r="R106" s="49">
        <f t="shared" si="31"/>
        <v>0</v>
      </c>
      <c r="S106" s="49">
        <f t="shared" si="31"/>
        <v>0</v>
      </c>
      <c r="T106" s="103">
        <f t="shared" si="31"/>
        <v>0</v>
      </c>
      <c r="V106" s="49">
        <f t="shared" si="11"/>
        <v>64.689002615775195</v>
      </c>
      <c r="W106" s="49">
        <f t="shared" si="12"/>
        <v>0</v>
      </c>
      <c r="X106" s="49">
        <f t="shared" si="13"/>
        <v>0</v>
      </c>
      <c r="Y106" s="49">
        <f t="shared" si="14"/>
        <v>0</v>
      </c>
      <c r="Z106" s="103">
        <f t="shared" si="15"/>
        <v>0</v>
      </c>
      <c r="AB106" s="49">
        <f t="shared" si="16"/>
        <v>646.89002615775189</v>
      </c>
      <c r="AC106" s="49">
        <f t="shared" si="17"/>
        <v>0</v>
      </c>
      <c r="AD106" s="49">
        <f t="shared" si="18"/>
        <v>0</v>
      </c>
      <c r="AE106" s="49">
        <f t="shared" si="19"/>
        <v>0</v>
      </c>
      <c r="AF106" s="103">
        <f t="shared" si="20"/>
        <v>0</v>
      </c>
      <c r="AH106" s="49">
        <f t="shared" si="21"/>
        <v>0</v>
      </c>
      <c r="AI106" s="49">
        <f t="shared" si="22"/>
        <v>0</v>
      </c>
      <c r="AJ106" s="49">
        <f t="shared" si="23"/>
        <v>0</v>
      </c>
      <c r="AK106" s="49">
        <f t="shared" si="24"/>
        <v>0</v>
      </c>
      <c r="AL106" s="103">
        <f t="shared" si="25"/>
        <v>0</v>
      </c>
      <c r="AN106" s="53">
        <f t="shared" si="26"/>
        <v>646.89002615775189</v>
      </c>
      <c r="AO106" s="53">
        <f t="shared" si="27"/>
        <v>0</v>
      </c>
      <c r="AP106" s="53">
        <f t="shared" si="28"/>
        <v>0</v>
      </c>
      <c r="AQ106" s="53">
        <f t="shared" si="29"/>
        <v>0</v>
      </c>
      <c r="AR106" s="203">
        <f t="shared" si="30"/>
        <v>0</v>
      </c>
      <c r="AY106" s="3"/>
    </row>
    <row r="107" spans="1:51">
      <c r="A107" s="54"/>
      <c r="B107" s="43">
        <f>'13. Desinvesteringen'!B391</f>
        <v>372</v>
      </c>
      <c r="C107" s="54"/>
      <c r="D107" s="54"/>
      <c r="E107" s="54"/>
      <c r="F107" s="48">
        <f>'5. Input GAW-waarde desinv.'!D67</f>
        <v>1357.7574875549008</v>
      </c>
      <c r="G107" s="187">
        <f>'13. Desinvesteringen'!D391</f>
        <v>1993</v>
      </c>
      <c r="H107" s="187">
        <f>'13. Desinvesteringen'!G391</f>
        <v>2022</v>
      </c>
      <c r="I107" s="43" t="str">
        <f>'13. Desinvesteringen'!C391</f>
        <v>02 Gasontvangststations</v>
      </c>
      <c r="J107" s="176">
        <f>'13. Desinvesteringen'!F391</f>
        <v>0</v>
      </c>
      <c r="K107" s="44">
        <f>_xlfn.XLOOKUP(I107,'3. Input (des)investeringen '!$B$11:$B$81,'3. Input (des)investeringen '!$E$11:$E$81)</f>
        <v>0</v>
      </c>
      <c r="L107" s="54"/>
      <c r="M107" s="44">
        <f>_xlfn.XLOOKUP(I107,'3. Input (des)investeringen '!$B$11:$B$81,'3. Input (des)investeringen '!$D$11:$D$81,0)</f>
        <v>30</v>
      </c>
      <c r="N107" s="44">
        <f t="shared" si="9"/>
        <v>1.5</v>
      </c>
      <c r="P107" s="49">
        <f t="shared" si="31"/>
        <v>1059.0508402928226</v>
      </c>
      <c r="Q107" s="49">
        <f t="shared" si="31"/>
        <v>162.93089850658814</v>
      </c>
      <c r="R107" s="49">
        <f t="shared" si="31"/>
        <v>0</v>
      </c>
      <c r="S107" s="49">
        <f t="shared" si="31"/>
        <v>0</v>
      </c>
      <c r="T107" s="103">
        <f t="shared" si="31"/>
        <v>0</v>
      </c>
      <c r="V107" s="49">
        <f t="shared" si="11"/>
        <v>90.517165836993399</v>
      </c>
      <c r="W107" s="49">
        <f t="shared" si="12"/>
        <v>45.2585829184967</v>
      </c>
      <c r="X107" s="49">
        <f t="shared" si="13"/>
        <v>0</v>
      </c>
      <c r="Y107" s="49">
        <f t="shared" si="14"/>
        <v>0</v>
      </c>
      <c r="Z107" s="103">
        <f t="shared" si="15"/>
        <v>0</v>
      </c>
      <c r="AB107" s="49">
        <f t="shared" si="16"/>
        <v>1149.568006129816</v>
      </c>
      <c r="AC107" s="49">
        <f t="shared" si="17"/>
        <v>208.18948142508484</v>
      </c>
      <c r="AD107" s="49">
        <f t="shared" si="18"/>
        <v>0</v>
      </c>
      <c r="AE107" s="49">
        <f t="shared" si="19"/>
        <v>0</v>
      </c>
      <c r="AF107" s="103">
        <f t="shared" si="20"/>
        <v>0</v>
      </c>
      <c r="AH107" s="49">
        <f t="shared" si="21"/>
        <v>208.18948142508475</v>
      </c>
      <c r="AI107" s="49">
        <f t="shared" si="22"/>
        <v>0</v>
      </c>
      <c r="AJ107" s="49">
        <f t="shared" si="23"/>
        <v>0</v>
      </c>
      <c r="AK107" s="49">
        <f t="shared" si="24"/>
        <v>0</v>
      </c>
      <c r="AL107" s="103">
        <f t="shared" si="25"/>
        <v>0</v>
      </c>
      <c r="AN107" s="53">
        <f t="shared" si="26"/>
        <v>1158.1037748682445</v>
      </c>
      <c r="AO107" s="53">
        <f t="shared" si="27"/>
        <v>208.18948142508484</v>
      </c>
      <c r="AP107" s="53">
        <f t="shared" si="28"/>
        <v>0</v>
      </c>
      <c r="AQ107" s="53">
        <f t="shared" si="29"/>
        <v>0</v>
      </c>
      <c r="AR107" s="203">
        <f t="shared" si="30"/>
        <v>0</v>
      </c>
      <c r="AY107" s="3"/>
    </row>
    <row r="108" spans="1:51">
      <c r="A108" s="54"/>
      <c r="B108" s="43">
        <f>'13. Desinvesteringen'!B392</f>
        <v>373</v>
      </c>
      <c r="C108" s="54"/>
      <c r="D108" s="54"/>
      <c r="E108" s="54"/>
      <c r="F108" s="48">
        <f>'5. Input GAW-waarde desinv.'!D68</f>
        <v>7195.5569834638591</v>
      </c>
      <c r="G108" s="187">
        <f>'13. Desinvesteringen'!D392</f>
        <v>1994</v>
      </c>
      <c r="H108" s="187">
        <f>'13. Desinvesteringen'!G392</f>
        <v>2022</v>
      </c>
      <c r="I108" s="43" t="str">
        <f>'13. Desinvesteringen'!C392</f>
        <v>02 Gasontvangststations</v>
      </c>
      <c r="J108" s="176">
        <f>'13. Desinvesteringen'!F392</f>
        <v>0</v>
      </c>
      <c r="K108" s="44">
        <f>_xlfn.XLOOKUP(I108,'3. Input (des)investeringen '!$B$11:$B$81,'3. Input (des)investeringen '!$E$11:$E$81)</f>
        <v>0</v>
      </c>
      <c r="L108" s="54"/>
      <c r="M108" s="44">
        <f>_xlfn.XLOOKUP(I108,'3. Input (des)investeringen '!$B$11:$B$81,'3. Input (des)investeringen '!$D$11:$D$81,0)</f>
        <v>30</v>
      </c>
      <c r="N108" s="44">
        <f t="shared" si="9"/>
        <v>2.5</v>
      </c>
      <c r="P108" s="49">
        <f t="shared" si="31"/>
        <v>3367.5206682610865</v>
      </c>
      <c r="Q108" s="49">
        <f t="shared" si="31"/>
        <v>2072.3204112375911</v>
      </c>
      <c r="R108" s="49">
        <f t="shared" si="31"/>
        <v>1036.1602056187955</v>
      </c>
      <c r="S108" s="49">
        <f t="shared" si="31"/>
        <v>0</v>
      </c>
      <c r="T108" s="103">
        <f t="shared" si="31"/>
        <v>0</v>
      </c>
      <c r="V108" s="49">
        <f t="shared" si="11"/>
        <v>287.82227933855438</v>
      </c>
      <c r="W108" s="49">
        <f t="shared" si="12"/>
        <v>287.82227933855432</v>
      </c>
      <c r="X108" s="49">
        <f t="shared" si="13"/>
        <v>143.91113966927716</v>
      </c>
      <c r="Y108" s="49">
        <f t="shared" si="14"/>
        <v>0</v>
      </c>
      <c r="Z108" s="103">
        <f t="shared" si="15"/>
        <v>0</v>
      </c>
      <c r="AB108" s="49">
        <f t="shared" si="16"/>
        <v>3655.3429475996409</v>
      </c>
      <c r="AC108" s="49">
        <f t="shared" si="17"/>
        <v>2360.1426905761455</v>
      </c>
      <c r="AD108" s="49">
        <f t="shared" si="18"/>
        <v>1180.0713452880727</v>
      </c>
      <c r="AE108" s="49">
        <f t="shared" si="19"/>
        <v>0</v>
      </c>
      <c r="AF108" s="103">
        <f t="shared" si="20"/>
        <v>0</v>
      </c>
      <c r="AH108" s="49">
        <f t="shared" si="21"/>
        <v>3540.2140358642182</v>
      </c>
      <c r="AI108" s="49">
        <f t="shared" si="22"/>
        <v>1180.0713452880727</v>
      </c>
      <c r="AJ108" s="49">
        <f t="shared" si="23"/>
        <v>0</v>
      </c>
      <c r="AK108" s="49">
        <f t="shared" si="24"/>
        <v>0</v>
      </c>
      <c r="AL108" s="103">
        <f t="shared" si="25"/>
        <v>0</v>
      </c>
      <c r="AN108" s="53">
        <f t="shared" si="26"/>
        <v>3800.4917230700739</v>
      </c>
      <c r="AO108" s="53">
        <f t="shared" si="27"/>
        <v>2420.326329185837</v>
      </c>
      <c r="AP108" s="53">
        <f t="shared" si="28"/>
        <v>1180.0713452880727</v>
      </c>
      <c r="AQ108" s="53">
        <f t="shared" si="29"/>
        <v>0</v>
      </c>
      <c r="AR108" s="203">
        <f t="shared" si="30"/>
        <v>0</v>
      </c>
      <c r="AY108" s="3"/>
    </row>
    <row r="109" spans="1:51">
      <c r="A109" s="54"/>
      <c r="B109" s="43">
        <f>'13. Desinvesteringen'!B393</f>
        <v>374</v>
      </c>
      <c r="C109" s="54"/>
      <c r="D109" s="54"/>
      <c r="E109" s="54"/>
      <c r="F109" s="48">
        <f>'5. Input GAW-waarde desinv.'!D69</f>
        <v>11931.605633190833</v>
      </c>
      <c r="G109" s="187">
        <f>'13. Desinvesteringen'!D393</f>
        <v>1995</v>
      </c>
      <c r="H109" s="187">
        <f>'13. Desinvesteringen'!G393</f>
        <v>2022</v>
      </c>
      <c r="I109" s="43" t="str">
        <f>'13. Desinvesteringen'!C393</f>
        <v>02 Gasontvangststations</v>
      </c>
      <c r="J109" s="176">
        <f>'13. Desinvesteringen'!F393</f>
        <v>0</v>
      </c>
      <c r="K109" s="44">
        <f>_xlfn.XLOOKUP(I109,'3. Input (des)investeringen '!$B$11:$B$81,'3. Input (des)investeringen '!$E$11:$E$81)</f>
        <v>0</v>
      </c>
      <c r="L109" s="54"/>
      <c r="M109" s="44">
        <f>_xlfn.XLOOKUP(I109,'3. Input (des)investeringen '!$B$11:$B$81,'3. Input (des)investeringen '!$D$11:$D$81,0)</f>
        <v>30</v>
      </c>
      <c r="N109" s="44">
        <f t="shared" si="9"/>
        <v>3.5</v>
      </c>
      <c r="P109" s="49">
        <f t="shared" si="31"/>
        <v>3988.5653116666504</v>
      </c>
      <c r="Q109" s="49">
        <f t="shared" si="31"/>
        <v>2699.9519032820399</v>
      </c>
      <c r="R109" s="49">
        <f t="shared" si="31"/>
        <v>2699.9519032820399</v>
      </c>
      <c r="S109" s="49">
        <f t="shared" si="31"/>
        <v>1349.9759516410199</v>
      </c>
      <c r="T109" s="103">
        <f t="shared" si="31"/>
        <v>0</v>
      </c>
      <c r="V109" s="49">
        <f t="shared" si="11"/>
        <v>340.9030180911667</v>
      </c>
      <c r="W109" s="49">
        <f t="shared" si="12"/>
        <v>340.9030180911667</v>
      </c>
      <c r="X109" s="49">
        <f t="shared" si="13"/>
        <v>340.9030180911667</v>
      </c>
      <c r="Y109" s="49">
        <f t="shared" si="14"/>
        <v>170.45150904558335</v>
      </c>
      <c r="Z109" s="103">
        <f t="shared" si="15"/>
        <v>0</v>
      </c>
      <c r="AB109" s="49">
        <f t="shared" si="16"/>
        <v>4329.4683297578167</v>
      </c>
      <c r="AC109" s="49">
        <f t="shared" si="17"/>
        <v>3040.8549213732067</v>
      </c>
      <c r="AD109" s="49">
        <f t="shared" si="18"/>
        <v>3040.8549213732067</v>
      </c>
      <c r="AE109" s="49">
        <f t="shared" si="19"/>
        <v>1520.4274606866034</v>
      </c>
      <c r="AF109" s="103">
        <f t="shared" si="20"/>
        <v>0</v>
      </c>
      <c r="AH109" s="49">
        <f t="shared" si="21"/>
        <v>7602.1373034330163</v>
      </c>
      <c r="AI109" s="49">
        <f t="shared" si="22"/>
        <v>4561.2823820598096</v>
      </c>
      <c r="AJ109" s="49">
        <f t="shared" si="23"/>
        <v>1520.4274606866029</v>
      </c>
      <c r="AK109" s="49">
        <f t="shared" si="24"/>
        <v>0</v>
      </c>
      <c r="AL109" s="103">
        <f t="shared" si="25"/>
        <v>0</v>
      </c>
      <c r="AN109" s="53">
        <f t="shared" si="26"/>
        <v>4641.1559591985706</v>
      </c>
      <c r="AO109" s="53">
        <f t="shared" si="27"/>
        <v>3273.4803228582568</v>
      </c>
      <c r="AP109" s="53">
        <f t="shared" si="28"/>
        <v>3098.6311648792976</v>
      </c>
      <c r="AQ109" s="53">
        <f t="shared" si="29"/>
        <v>1520.4274606866034</v>
      </c>
      <c r="AR109" s="203">
        <f t="shared" si="30"/>
        <v>0</v>
      </c>
      <c r="AY109" s="3"/>
    </row>
    <row r="110" spans="1:51">
      <c r="A110" s="54"/>
      <c r="B110" s="43">
        <f>'13. Desinvesteringen'!B394</f>
        <v>375</v>
      </c>
      <c r="C110" s="54"/>
      <c r="D110" s="54"/>
      <c r="E110" s="54"/>
      <c r="F110" s="48">
        <f>'5. Input GAW-waarde desinv.'!D70</f>
        <v>4008.6360537194205</v>
      </c>
      <c r="G110" s="187">
        <f>'13. Desinvesteringen'!D394</f>
        <v>1996</v>
      </c>
      <c r="H110" s="187">
        <f>'13. Desinvesteringen'!G394</f>
        <v>2022</v>
      </c>
      <c r="I110" s="43" t="str">
        <f>'13. Desinvesteringen'!C394</f>
        <v>02 Gasontvangststations</v>
      </c>
      <c r="J110" s="176">
        <f>'13. Desinvesteringen'!F394</f>
        <v>0</v>
      </c>
      <c r="K110" s="44">
        <f>_xlfn.XLOOKUP(I110,'3. Input (des)investeringen '!$B$11:$B$81,'3. Input (des)investeringen '!$E$11:$E$81)</f>
        <v>0</v>
      </c>
      <c r="L110" s="54"/>
      <c r="M110" s="44">
        <f>_xlfn.XLOOKUP(I110,'3. Input (des)investeringen '!$B$11:$B$81,'3. Input (des)investeringen '!$D$11:$D$81,0)</f>
        <v>30</v>
      </c>
      <c r="N110" s="44">
        <f t="shared" si="9"/>
        <v>4.5</v>
      </c>
      <c r="P110" s="49">
        <f t="shared" si="31"/>
        <v>1042.2453739670493</v>
      </c>
      <c r="Q110" s="49">
        <f t="shared" si="31"/>
        <v>741.15226593212401</v>
      </c>
      <c r="R110" s="49">
        <f t="shared" si="31"/>
        <v>729.74992337932213</v>
      </c>
      <c r="S110" s="49">
        <f t="shared" si="31"/>
        <v>729.74992337932213</v>
      </c>
      <c r="T110" s="103">
        <f t="shared" si="31"/>
        <v>364.87496168966106</v>
      </c>
      <c r="V110" s="49">
        <f t="shared" si="11"/>
        <v>89.080801193764898</v>
      </c>
      <c r="W110" s="49">
        <f t="shared" si="12"/>
        <v>89.080801193764898</v>
      </c>
      <c r="X110" s="49">
        <f t="shared" si="13"/>
        <v>89.080801193764898</v>
      </c>
      <c r="Y110" s="49">
        <f t="shared" si="14"/>
        <v>89.080801193764898</v>
      </c>
      <c r="Z110" s="103">
        <f t="shared" si="15"/>
        <v>44.540400596882449</v>
      </c>
      <c r="AB110" s="49">
        <f t="shared" si="16"/>
        <v>1131.3261751608143</v>
      </c>
      <c r="AC110" s="49">
        <f t="shared" si="17"/>
        <v>830.23306712588897</v>
      </c>
      <c r="AD110" s="49">
        <f t="shared" si="18"/>
        <v>818.83072457308708</v>
      </c>
      <c r="AE110" s="49">
        <f t="shared" si="19"/>
        <v>818.83072457308708</v>
      </c>
      <c r="AF110" s="103">
        <f t="shared" si="20"/>
        <v>409.41536228654354</v>
      </c>
      <c r="AH110" s="49">
        <f t="shared" si="21"/>
        <v>2877.3098785586062</v>
      </c>
      <c r="AI110" s="49">
        <f t="shared" si="22"/>
        <v>2047.0768114327172</v>
      </c>
      <c r="AJ110" s="49">
        <f t="shared" si="23"/>
        <v>1228.2460868596302</v>
      </c>
      <c r="AK110" s="49">
        <f t="shared" si="24"/>
        <v>409.41536228654309</v>
      </c>
      <c r="AL110" s="103">
        <f t="shared" si="25"/>
        <v>0</v>
      </c>
      <c r="AN110" s="53">
        <f t="shared" si="26"/>
        <v>1249.2958801817172</v>
      </c>
      <c r="AO110" s="53">
        <f t="shared" si="27"/>
        <v>934.6339845089575</v>
      </c>
      <c r="AP110" s="53">
        <f t="shared" si="28"/>
        <v>865.50407587375298</v>
      </c>
      <c r="AQ110" s="53">
        <f t="shared" si="29"/>
        <v>834.38850833997571</v>
      </c>
      <c r="AR110" s="203">
        <f t="shared" si="30"/>
        <v>409.41536228654354</v>
      </c>
      <c r="AY110" s="3"/>
    </row>
    <row r="111" spans="1:51">
      <c r="A111" s="54"/>
      <c r="B111" s="43">
        <f>'13. Desinvesteringen'!B395</f>
        <v>376</v>
      </c>
      <c r="C111" s="54"/>
      <c r="D111" s="54"/>
      <c r="E111" s="54"/>
      <c r="F111" s="48">
        <f>'5. Input GAW-waarde desinv.'!D71</f>
        <v>4682.8462589200817</v>
      </c>
      <c r="G111" s="187">
        <f>'13. Desinvesteringen'!D395</f>
        <v>1997</v>
      </c>
      <c r="H111" s="187">
        <f>'13. Desinvesteringen'!G395</f>
        <v>2022</v>
      </c>
      <c r="I111" s="43" t="str">
        <f>'13. Desinvesteringen'!C395</f>
        <v>02 Gasontvangststations</v>
      </c>
      <c r="J111" s="176">
        <f>'13. Desinvesteringen'!F395</f>
        <v>0</v>
      </c>
      <c r="K111" s="44">
        <f>_xlfn.XLOOKUP(I111,'3. Input (des)investeringen '!$B$11:$B$81,'3. Input (des)investeringen '!$E$11:$E$81)</f>
        <v>0</v>
      </c>
      <c r="L111" s="54"/>
      <c r="M111" s="44">
        <f>_xlfn.XLOOKUP(I111,'3. Input (des)investeringen '!$B$11:$B$81,'3. Input (des)investeringen '!$D$11:$D$81,0)</f>
        <v>30</v>
      </c>
      <c r="N111" s="44">
        <f t="shared" si="9"/>
        <v>5.5</v>
      </c>
      <c r="P111" s="49">
        <f t="shared" si="31"/>
        <v>996.169113261181</v>
      </c>
      <c r="Q111" s="49">
        <f t="shared" si="31"/>
        <v>760.71095921762912</v>
      </c>
      <c r="R111" s="49">
        <f t="shared" si="31"/>
        <v>702.19473158550386</v>
      </c>
      <c r="S111" s="49">
        <f t="shared" si="31"/>
        <v>702.19473158550386</v>
      </c>
      <c r="T111" s="103">
        <f t="shared" si="31"/>
        <v>702.19473158550386</v>
      </c>
      <c r="V111" s="49">
        <f t="shared" si="11"/>
        <v>85.142659253092404</v>
      </c>
      <c r="W111" s="49">
        <f t="shared" si="12"/>
        <v>85.142659253092404</v>
      </c>
      <c r="X111" s="49">
        <f t="shared" si="13"/>
        <v>85.142659253092404</v>
      </c>
      <c r="Y111" s="49">
        <f t="shared" si="14"/>
        <v>85.142659253092404</v>
      </c>
      <c r="Z111" s="103">
        <f t="shared" si="15"/>
        <v>85.142659253092404</v>
      </c>
      <c r="AB111" s="49">
        <f t="shared" si="16"/>
        <v>1081.3117725142733</v>
      </c>
      <c r="AC111" s="49">
        <f t="shared" si="17"/>
        <v>845.85361847072159</v>
      </c>
      <c r="AD111" s="49">
        <f t="shared" si="18"/>
        <v>787.33739083859632</v>
      </c>
      <c r="AE111" s="49">
        <f t="shared" si="19"/>
        <v>787.33739083859632</v>
      </c>
      <c r="AF111" s="103">
        <f t="shared" si="20"/>
        <v>787.33739083859632</v>
      </c>
      <c r="AH111" s="49">
        <f t="shared" si="21"/>
        <v>3601.5344864058084</v>
      </c>
      <c r="AI111" s="49">
        <f t="shared" si="22"/>
        <v>2755.680867935087</v>
      </c>
      <c r="AJ111" s="49">
        <f t="shared" si="23"/>
        <v>1968.3434770964907</v>
      </c>
      <c r="AK111" s="49">
        <f t="shared" si="24"/>
        <v>1181.0060862578944</v>
      </c>
      <c r="AL111" s="103">
        <f t="shared" si="25"/>
        <v>393.66869541929805</v>
      </c>
      <c r="AN111" s="53">
        <f t="shared" si="26"/>
        <v>1228.9746864569115</v>
      </c>
      <c r="AO111" s="53">
        <f t="shared" si="27"/>
        <v>986.39334273541101</v>
      </c>
      <c r="AP111" s="53">
        <f t="shared" si="28"/>
        <v>862.13444296826299</v>
      </c>
      <c r="AQ111" s="53">
        <f t="shared" si="29"/>
        <v>832.21562211639628</v>
      </c>
      <c r="AR111" s="203">
        <f t="shared" si="30"/>
        <v>802.29680126452968</v>
      </c>
      <c r="AY111" s="3"/>
    </row>
    <row r="112" spans="1:51">
      <c r="A112" s="54"/>
      <c r="B112" s="43">
        <f>'13. Desinvesteringen'!B396</f>
        <v>377</v>
      </c>
      <c r="C112" s="54"/>
      <c r="D112" s="54"/>
      <c r="E112" s="54"/>
      <c r="F112" s="48">
        <f>'5. Input GAW-waarde desinv.'!D72</f>
        <v>4626.8552263726942</v>
      </c>
      <c r="G112" s="187">
        <f>'13. Desinvesteringen'!D396</f>
        <v>2000</v>
      </c>
      <c r="H112" s="187">
        <f>'13. Desinvesteringen'!G396</f>
        <v>2022</v>
      </c>
      <c r="I112" s="43" t="str">
        <f>'13. Desinvesteringen'!C396</f>
        <v>02 Gasontvangststations</v>
      </c>
      <c r="J112" s="176">
        <f>'13. Desinvesteringen'!F396</f>
        <v>0</v>
      </c>
      <c r="K112" s="44">
        <f>_xlfn.XLOOKUP(I112,'3. Input (des)investeringen '!$B$11:$B$81,'3. Input (des)investeringen '!$E$11:$E$81)</f>
        <v>0</v>
      </c>
      <c r="L112" s="54"/>
      <c r="M112" s="44">
        <f>_xlfn.XLOOKUP(I112,'3. Input (des)investeringen '!$B$11:$B$81,'3. Input (des)investeringen '!$D$11:$D$81,0)</f>
        <v>30</v>
      </c>
      <c r="N112" s="44">
        <f t="shared" si="9"/>
        <v>8.5</v>
      </c>
      <c r="P112" s="49">
        <f t="shared" si="31"/>
        <v>636.87301351247675</v>
      </c>
      <c r="Q112" s="49">
        <f t="shared" si="31"/>
        <v>539.46890556350968</v>
      </c>
      <c r="R112" s="49">
        <f t="shared" si="31"/>
        <v>459.66581302452897</v>
      </c>
      <c r="S112" s="49">
        <f t="shared" si="31"/>
        <v>459.66581302452897</v>
      </c>
      <c r="T112" s="103">
        <f t="shared" si="31"/>
        <v>459.66581302452897</v>
      </c>
      <c r="V112" s="49">
        <f t="shared" si="11"/>
        <v>54.433590898502281</v>
      </c>
      <c r="W112" s="49">
        <f t="shared" si="12"/>
        <v>54.433590898502295</v>
      </c>
      <c r="X112" s="49">
        <f t="shared" si="13"/>
        <v>54.433590898502295</v>
      </c>
      <c r="Y112" s="49">
        <f t="shared" si="14"/>
        <v>54.433590898502295</v>
      </c>
      <c r="Z112" s="103">
        <f t="shared" si="15"/>
        <v>54.433590898502295</v>
      </c>
      <c r="AB112" s="49">
        <f t="shared" si="16"/>
        <v>691.30660441097905</v>
      </c>
      <c r="AC112" s="49">
        <f t="shared" si="17"/>
        <v>593.90249646201198</v>
      </c>
      <c r="AD112" s="49">
        <f t="shared" si="18"/>
        <v>514.09940392303122</v>
      </c>
      <c r="AE112" s="49">
        <f t="shared" si="19"/>
        <v>514.09940392303122</v>
      </c>
      <c r="AF112" s="103">
        <f t="shared" si="20"/>
        <v>514.09940392303122</v>
      </c>
      <c r="AH112" s="49">
        <f t="shared" si="21"/>
        <v>3935.5486219617151</v>
      </c>
      <c r="AI112" s="49">
        <f t="shared" si="22"/>
        <v>3341.646125499703</v>
      </c>
      <c r="AJ112" s="49">
        <f t="shared" si="23"/>
        <v>2827.5467215766716</v>
      </c>
      <c r="AK112" s="49">
        <f t="shared" si="24"/>
        <v>2313.4473176536403</v>
      </c>
      <c r="AL112" s="103">
        <f t="shared" si="25"/>
        <v>1799.347913730609</v>
      </c>
      <c r="AN112" s="53">
        <f t="shared" si="26"/>
        <v>852.66409791140939</v>
      </c>
      <c r="AO112" s="53">
        <f t="shared" si="27"/>
        <v>764.32644886249682</v>
      </c>
      <c r="AP112" s="53">
        <f t="shared" si="28"/>
        <v>621.5461793429447</v>
      </c>
      <c r="AQ112" s="53">
        <f t="shared" si="29"/>
        <v>602.01040199386955</v>
      </c>
      <c r="AR112" s="203">
        <f t="shared" si="30"/>
        <v>582.4746246447944</v>
      </c>
      <c r="AY112" s="3"/>
    </row>
    <row r="113" spans="1:51">
      <c r="A113" s="54"/>
      <c r="B113" s="43">
        <f>'13. Desinvesteringen'!B397</f>
        <v>378</v>
      </c>
      <c r="C113" s="54"/>
      <c r="D113" s="54"/>
      <c r="E113" s="54"/>
      <c r="F113" s="48">
        <f>'5. Input GAW-waarde desinv.'!D73</f>
        <v>4611.6740310663999</v>
      </c>
      <c r="G113" s="187">
        <f>'13. Desinvesteringen'!D397</f>
        <v>2002</v>
      </c>
      <c r="H113" s="187">
        <f>'13. Desinvesteringen'!G397</f>
        <v>2022</v>
      </c>
      <c r="I113" s="43" t="str">
        <f>'13. Desinvesteringen'!C397</f>
        <v>02 Gasontvangststations</v>
      </c>
      <c r="J113" s="176">
        <f>'13. Desinvesteringen'!F397</f>
        <v>0</v>
      </c>
      <c r="K113" s="44">
        <f>_xlfn.XLOOKUP(I113,'3. Input (des)investeringen '!$B$11:$B$81,'3. Input (des)investeringen '!$E$11:$E$81)</f>
        <v>0</v>
      </c>
      <c r="L113" s="54"/>
      <c r="M113" s="44">
        <f>_xlfn.XLOOKUP(I113,'3. Input (des)investeringen '!$B$11:$B$81,'3. Input (des)investeringen '!$D$11:$D$81,0)</f>
        <v>30</v>
      </c>
      <c r="N113" s="44">
        <f t="shared" si="9"/>
        <v>10.5</v>
      </c>
      <c r="P113" s="49">
        <f t="shared" si="31"/>
        <v>513.8722491759703</v>
      </c>
      <c r="Q113" s="49">
        <f t="shared" si="31"/>
        <v>450.24997070656451</v>
      </c>
      <c r="R113" s="49">
        <f t="shared" si="31"/>
        <v>394.50473623813264</v>
      </c>
      <c r="S113" s="49">
        <f t="shared" si="31"/>
        <v>372.25062291187896</v>
      </c>
      <c r="T113" s="103">
        <f t="shared" si="31"/>
        <v>372.25062291187896</v>
      </c>
      <c r="V113" s="49">
        <f t="shared" si="11"/>
        <v>43.920705057775244</v>
      </c>
      <c r="W113" s="49">
        <f t="shared" si="12"/>
        <v>43.920705057775244</v>
      </c>
      <c r="X113" s="49">
        <f t="shared" si="13"/>
        <v>43.920705057775244</v>
      </c>
      <c r="Y113" s="49">
        <f t="shared" si="14"/>
        <v>43.920705057775244</v>
      </c>
      <c r="Z113" s="103">
        <f t="shared" si="15"/>
        <v>43.920705057775244</v>
      </c>
      <c r="AB113" s="49">
        <f t="shared" si="16"/>
        <v>557.79295423374549</v>
      </c>
      <c r="AC113" s="49">
        <f t="shared" si="17"/>
        <v>494.17067576433976</v>
      </c>
      <c r="AD113" s="49">
        <f t="shared" si="18"/>
        <v>438.42544129590789</v>
      </c>
      <c r="AE113" s="49">
        <f t="shared" si="19"/>
        <v>416.17132796965421</v>
      </c>
      <c r="AF113" s="103">
        <f t="shared" si="20"/>
        <v>416.17132796965421</v>
      </c>
      <c r="AH113" s="49">
        <f t="shared" si="21"/>
        <v>4053.8810768326543</v>
      </c>
      <c r="AI113" s="49">
        <f t="shared" si="22"/>
        <v>3559.7104010683147</v>
      </c>
      <c r="AJ113" s="49">
        <f t="shared" si="23"/>
        <v>3121.2849597724066</v>
      </c>
      <c r="AK113" s="49">
        <f t="shared" si="24"/>
        <v>2705.1136318027525</v>
      </c>
      <c r="AL113" s="103">
        <f t="shared" si="25"/>
        <v>2288.9423038330983</v>
      </c>
      <c r="AN113" s="53">
        <f t="shared" si="26"/>
        <v>724.00207838388428</v>
      </c>
      <c r="AO113" s="53">
        <f t="shared" si="27"/>
        <v>675.71590621882376</v>
      </c>
      <c r="AP113" s="53">
        <f t="shared" si="28"/>
        <v>557.03426976725927</v>
      </c>
      <c r="AQ113" s="53">
        <f t="shared" si="29"/>
        <v>518.96564597815882</v>
      </c>
      <c r="AR113" s="203">
        <f t="shared" si="30"/>
        <v>503.15113551531192</v>
      </c>
      <c r="AY113" s="3"/>
    </row>
    <row r="114" spans="1:51">
      <c r="A114" s="54"/>
      <c r="B114" s="43">
        <f>'13. Desinvesteringen'!B398</f>
        <v>379</v>
      </c>
      <c r="C114" s="54"/>
      <c r="D114" s="54"/>
      <c r="E114" s="54"/>
      <c r="F114" s="48">
        <f>'5. Input GAW-waarde desinv.'!D74</f>
        <v>19084.802391040361</v>
      </c>
      <c r="G114" s="187">
        <f>'13. Desinvesteringen'!D398</f>
        <v>2003</v>
      </c>
      <c r="H114" s="187">
        <f>'13. Desinvesteringen'!G398</f>
        <v>2022</v>
      </c>
      <c r="I114" s="43" t="str">
        <f>'13. Desinvesteringen'!C398</f>
        <v>02 Gasontvangststations</v>
      </c>
      <c r="J114" s="176">
        <f>'13. Desinvesteringen'!F398</f>
        <v>0</v>
      </c>
      <c r="K114" s="44">
        <f>_xlfn.XLOOKUP(I114,'3. Input (des)investeringen '!$B$11:$B$81,'3. Input (des)investeringen '!$E$11:$E$81)</f>
        <v>0</v>
      </c>
      <c r="L114" s="54"/>
      <c r="M114" s="44">
        <f>_xlfn.XLOOKUP(I114,'3. Input (des)investeringen '!$B$11:$B$81,'3. Input (des)investeringen '!$D$11:$D$81,0)</f>
        <v>30</v>
      </c>
      <c r="N114" s="44">
        <f t="shared" si="9"/>
        <v>11.5</v>
      </c>
      <c r="P114" s="49">
        <f t="shared" si="31"/>
        <v>1941.6711997841064</v>
      </c>
      <c r="Q114" s="49">
        <f t="shared" si="31"/>
        <v>1722.1779337215553</v>
      </c>
      <c r="R114" s="49">
        <f t="shared" si="31"/>
        <v>1527.4969499095535</v>
      </c>
      <c r="S114" s="49">
        <f t="shared" si="31"/>
        <v>1409.9971845318955</v>
      </c>
      <c r="T114" s="103">
        <f t="shared" si="31"/>
        <v>1409.9971845318955</v>
      </c>
      <c r="V114" s="49">
        <f t="shared" si="11"/>
        <v>165.95480340035098</v>
      </c>
      <c r="W114" s="49">
        <f t="shared" si="12"/>
        <v>165.95480340035098</v>
      </c>
      <c r="X114" s="49">
        <f t="shared" si="13"/>
        <v>165.95480340035098</v>
      </c>
      <c r="Y114" s="49">
        <f t="shared" si="14"/>
        <v>165.95480340035098</v>
      </c>
      <c r="Z114" s="103">
        <f t="shared" si="15"/>
        <v>165.95480340035098</v>
      </c>
      <c r="AB114" s="49">
        <f t="shared" si="16"/>
        <v>2107.6260031844572</v>
      </c>
      <c r="AC114" s="49">
        <f t="shared" si="17"/>
        <v>1888.1327371219063</v>
      </c>
      <c r="AD114" s="49">
        <f t="shared" si="18"/>
        <v>1693.4517533099045</v>
      </c>
      <c r="AE114" s="49">
        <f t="shared" si="19"/>
        <v>1575.9519879322465</v>
      </c>
      <c r="AF114" s="103">
        <f t="shared" si="20"/>
        <v>1575.9519879322465</v>
      </c>
      <c r="AH114" s="49">
        <f t="shared" si="21"/>
        <v>16977.176387855903</v>
      </c>
      <c r="AI114" s="49">
        <f t="shared" si="22"/>
        <v>15089.043650733996</v>
      </c>
      <c r="AJ114" s="49">
        <f t="shared" si="23"/>
        <v>13395.591897424092</v>
      </c>
      <c r="AK114" s="49">
        <f t="shared" si="24"/>
        <v>11819.639909491845</v>
      </c>
      <c r="AL114" s="103">
        <f t="shared" si="25"/>
        <v>10243.687921559598</v>
      </c>
      <c r="AN114" s="53">
        <f t="shared" si="26"/>
        <v>2803.6902350865494</v>
      </c>
      <c r="AO114" s="53">
        <f t="shared" si="27"/>
        <v>2657.6739633093403</v>
      </c>
      <c r="AP114" s="53">
        <f t="shared" si="28"/>
        <v>2202.4842454120198</v>
      </c>
      <c r="AQ114" s="53">
        <f t="shared" si="29"/>
        <v>2025.0983044929367</v>
      </c>
      <c r="AR114" s="203">
        <f t="shared" si="30"/>
        <v>1965.2121289515112</v>
      </c>
      <c r="AY114" s="3"/>
    </row>
    <row r="115" spans="1:51">
      <c r="A115" s="54"/>
      <c r="B115" s="43">
        <f>'13. Desinvesteringen'!B399</f>
        <v>380</v>
      </c>
      <c r="C115" s="54"/>
      <c r="D115" s="54"/>
      <c r="E115" s="54"/>
      <c r="F115" s="48">
        <f>'5. Input GAW-waarde desinv.'!D75</f>
        <v>7912.0882258856245</v>
      </c>
      <c r="G115" s="187">
        <f>'13. Desinvesteringen'!D399</f>
        <v>2005</v>
      </c>
      <c r="H115" s="187">
        <f>'13. Desinvesteringen'!G399</f>
        <v>2022</v>
      </c>
      <c r="I115" s="43" t="str">
        <f>'13. Desinvesteringen'!C399</f>
        <v>02 Gasontvangststations</v>
      </c>
      <c r="J115" s="176">
        <f>'13. Desinvesteringen'!F399</f>
        <v>0</v>
      </c>
      <c r="K115" s="44">
        <f>_xlfn.XLOOKUP(I115,'3. Input (des)investeringen '!$B$11:$B$81,'3. Input (des)investeringen '!$E$11:$E$81)</f>
        <v>0</v>
      </c>
      <c r="L115" s="54"/>
      <c r="M115" s="44">
        <f>_xlfn.XLOOKUP(I115,'3. Input (des)investeringen '!$B$11:$B$81,'3. Input (des)investeringen '!$D$11:$D$81,0)</f>
        <v>30</v>
      </c>
      <c r="N115" s="44">
        <f t="shared" si="9"/>
        <v>13.5</v>
      </c>
      <c r="P115" s="49">
        <f t="shared" si="31"/>
        <v>685.71431291008741</v>
      </c>
      <c r="Q115" s="49">
        <f t="shared" si="31"/>
        <v>619.68256425948641</v>
      </c>
      <c r="R115" s="49">
        <f t="shared" si="31"/>
        <v>560.00942844190638</v>
      </c>
      <c r="S115" s="49">
        <f t="shared" si="31"/>
        <v>506.082594591945</v>
      </c>
      <c r="T115" s="103">
        <f t="shared" si="31"/>
        <v>499.93584243090925</v>
      </c>
      <c r="V115" s="49">
        <f t="shared" si="11"/>
        <v>58.608060932486104</v>
      </c>
      <c r="W115" s="49">
        <f t="shared" si="12"/>
        <v>58.608060932486104</v>
      </c>
      <c r="X115" s="49">
        <f t="shared" si="13"/>
        <v>58.608060932486104</v>
      </c>
      <c r="Y115" s="49">
        <f t="shared" si="14"/>
        <v>58.608060932486104</v>
      </c>
      <c r="Z115" s="103">
        <f t="shared" si="15"/>
        <v>58.608060932486104</v>
      </c>
      <c r="AB115" s="49">
        <f t="shared" si="16"/>
        <v>744.32237384257348</v>
      </c>
      <c r="AC115" s="49">
        <f t="shared" si="17"/>
        <v>678.29062519197248</v>
      </c>
      <c r="AD115" s="49">
        <f t="shared" si="18"/>
        <v>618.61748937439245</v>
      </c>
      <c r="AE115" s="49">
        <f t="shared" si="19"/>
        <v>564.69065552443112</v>
      </c>
      <c r="AF115" s="103">
        <f t="shared" si="20"/>
        <v>558.54390336339532</v>
      </c>
      <c r="AH115" s="49">
        <f t="shared" si="21"/>
        <v>7167.7658520430514</v>
      </c>
      <c r="AI115" s="49">
        <f t="shared" si="22"/>
        <v>6489.4752268510792</v>
      </c>
      <c r="AJ115" s="49">
        <f t="shared" si="23"/>
        <v>5870.8577374766865</v>
      </c>
      <c r="AK115" s="49">
        <f t="shared" si="24"/>
        <v>5306.1670819522551</v>
      </c>
      <c r="AL115" s="103">
        <f t="shared" si="25"/>
        <v>4747.6231785888594</v>
      </c>
      <c r="AN115" s="53">
        <f t="shared" si="26"/>
        <v>1038.2007737763386</v>
      </c>
      <c r="AO115" s="53">
        <f t="shared" si="27"/>
        <v>1009.2538617613775</v>
      </c>
      <c r="AP115" s="53">
        <f t="shared" si="28"/>
        <v>841.71008339850653</v>
      </c>
      <c r="AQ115" s="53">
        <f t="shared" si="29"/>
        <v>766.32500463861675</v>
      </c>
      <c r="AR115" s="203">
        <f t="shared" si="30"/>
        <v>738.95358414977204</v>
      </c>
      <c r="AY115" s="3"/>
    </row>
    <row r="116" spans="1:51">
      <c r="A116" s="54"/>
      <c r="B116" s="43">
        <f>'13. Desinvesteringen'!B400</f>
        <v>381</v>
      </c>
      <c r="C116" s="54"/>
      <c r="D116" s="54"/>
      <c r="E116" s="54"/>
      <c r="F116" s="48">
        <f>'5. Input GAW-waarde desinv.'!D76</f>
        <v>204757.05379307119</v>
      </c>
      <c r="G116" s="187">
        <f>'13. Desinvesteringen'!D400</f>
        <v>2007</v>
      </c>
      <c r="H116" s="187">
        <f>'13. Desinvesteringen'!G400</f>
        <v>2022</v>
      </c>
      <c r="I116" s="43" t="str">
        <f>'13. Desinvesteringen'!C400</f>
        <v>02 Gasontvangststations</v>
      </c>
      <c r="J116" s="176">
        <f>'13. Desinvesteringen'!F400</f>
        <v>0</v>
      </c>
      <c r="K116" s="44">
        <f>_xlfn.XLOOKUP(I116,'3. Input (des)investeringen '!$B$11:$B$81,'3. Input (des)investeringen '!$E$11:$E$81)</f>
        <v>0</v>
      </c>
      <c r="L116" s="54"/>
      <c r="M116" s="44">
        <f>_xlfn.XLOOKUP(I116,'3. Input (des)investeringen '!$B$11:$B$81,'3. Input (des)investeringen '!$D$11:$D$81,0)</f>
        <v>30</v>
      </c>
      <c r="N116" s="44">
        <f t="shared" ref="N116:N142" si="32">IF($M116&gt;0, MAX(0,IF(G116&lt;2022,M116-2021+G116-0.5,M116)), 0)</f>
        <v>15.5</v>
      </c>
      <c r="P116" s="49">
        <f t="shared" ref="P116:T159" si="33">IF($M116&gt;0, IF(OR($G116&gt;P$49,$G116+$M116&lt;P$49),0,
VDB($F116,0,$N116,MAX(0,P$49-2022),MIN($N116,P$49-2021),$F$22,FALSE))*(1-$F$25), 0)</f>
        <v>15455.855028251181</v>
      </c>
      <c r="Q116" s="49">
        <f t="shared" si="33"/>
        <v>14159.557509752696</v>
      </c>
      <c r="R116" s="49">
        <f t="shared" si="33"/>
        <v>12971.981718612145</v>
      </c>
      <c r="S116" s="49">
        <f t="shared" si="33"/>
        <v>11884.009058341451</v>
      </c>
      <c r="T116" s="103">
        <f t="shared" si="33"/>
        <v>11287.821312939703</v>
      </c>
      <c r="V116" s="49">
        <f t="shared" ref="V116:V142" si="34">IF($M116&gt;0, IF(OR($G116&gt;V$49,$G116+$M116&lt;V$49),0,
VDB($F116,0,$N116,MAX(0,P$49-2022),MIN($N116,P$49-2021),1,FALSE))*$F$25, 0)</f>
        <v>1321.0132502778788</v>
      </c>
      <c r="W116" s="49">
        <f t="shared" ref="W116:W142" si="35">IF($M116&gt;0, IF(OR($G116&gt;W$49,$G116+$M116&lt;W$49),0,
VDB($F116,0,$N116,MAX(0,Q$49-2022),MIN($N116,Q$49-2021),1,FALSE))*$F$25, 0)</f>
        <v>1321.0132502778788</v>
      </c>
      <c r="X116" s="49">
        <f t="shared" ref="X116:X142" si="36">IF($M116&gt;0, IF(OR($G116&gt;X$49,$G116+$M116&lt;X$49),0,
VDB($F116,0,$N116,MAX(0,R$49-2022),MIN($N116,R$49-2021),1,FALSE))*$F$25, 0)</f>
        <v>1321.0132502778788</v>
      </c>
      <c r="Y116" s="49">
        <f t="shared" ref="Y116:Y142" si="37">IF($M116&gt;0, IF(OR($G116&gt;Y$49,$G116+$M116&lt;Y$49),0,
VDB($F116,0,$N116,MAX(0,S$49-2022),MIN($N116,S$49-2021),1,FALSE))*$F$25, 0)</f>
        <v>1321.0132502778788</v>
      </c>
      <c r="Z116" s="103">
        <f t="shared" ref="Z116:Z142" si="38">IF($M116&gt;0, IF(OR($G116&gt;Z$49,$G116+$M116&lt;Z$49),0,
VDB($F116,0,$N116,MAX(0,T$49-2022),MIN($N116,T$49-2021),1,FALSE))*$F$25, 0)</f>
        <v>1321.0132502778788</v>
      </c>
      <c r="AB116" s="49">
        <f t="shared" ref="AB116:AB142" si="39">P116+V116</f>
        <v>16776.868278529058</v>
      </c>
      <c r="AC116" s="49">
        <f t="shared" ref="AC116:AC142" si="40">Q116+W116</f>
        <v>15480.570760030576</v>
      </c>
      <c r="AD116" s="49">
        <f t="shared" ref="AD116:AD142" si="41">R116+X116</f>
        <v>14292.994968890023</v>
      </c>
      <c r="AE116" s="49">
        <f t="shared" ref="AE116:AE142" si="42">S116+Y116</f>
        <v>13205.022308619329</v>
      </c>
      <c r="AF116" s="103">
        <f t="shared" ref="AF116:AF142" si="43">T116+Z116</f>
        <v>12608.834563217581</v>
      </c>
      <c r="AH116" s="49">
        <f t="shared" ref="AH116:AH142" si="44">IF($M116&gt;0, IF($M116&gt;0,IF(OR($G116&gt;AH$49,$G116+$M116&lt;=AH$49),0,IF(AH$49=2022,$F116-AB116,AG116-AB116))), $F116)</f>
        <v>187980.18551454213</v>
      </c>
      <c r="AI116" s="49">
        <f t="shared" ref="AI116:AI142" si="45">IF($M116&gt;0, IF(OR($G116&gt;AI$49,$G116+$M116&lt;=AI$49),0,IF(AI$49=2022,$F116-AC116,AH116-AC116)), AH116)</f>
        <v>172499.61475451157</v>
      </c>
      <c r="AJ116" s="49">
        <f t="shared" ref="AJ116:AJ142" si="46">IF($M116&gt;0, IF(OR($G116&gt;AJ$49,$G116+$M116&lt;=AJ$49),0,IF(AJ$49=2022,$F116-AD116,AI116-AD116)), AI116)</f>
        <v>158206.61978562153</v>
      </c>
      <c r="AK116" s="49">
        <f t="shared" ref="AK116:AK142" si="47">IF($M116&gt;0, IF(OR($G116&gt;AK$49,$G116+$M116&lt;=AK$49),0,IF(AK$49=2022,$F116-AE116,AJ116-AE116)), AJ116)</f>
        <v>145001.59747700219</v>
      </c>
      <c r="AL116" s="103">
        <f t="shared" ref="AL116:AL142" si="48">IF($M116&gt;0, IF(OR($G116&gt;AL$49,$G116+$M116&lt;=AL$49),0,IF(AL$49=2022,$F116-AF116,AK116-AF116)), AK116)</f>
        <v>132392.76291378459</v>
      </c>
      <c r="AN116" s="53">
        <f t="shared" ref="AN116:AN142" si="49">(AB116+AH116*H$16)*IF($K116=1,$F$31,1)</f>
        <v>24484.055884625286</v>
      </c>
      <c r="AO116" s="53">
        <f t="shared" ref="AO116:AO142" si="50">(AC116+AI116*I$16)*IF($K116=1,$F$31,1)</f>
        <v>24278.051112510664</v>
      </c>
      <c r="AP116" s="53">
        <f t="shared" ref="AP116:AP142" si="51">(AD116+AJ116*J$16)*IF($K116=1,$F$31,1)</f>
        <v>20304.846520743642</v>
      </c>
      <c r="AQ116" s="53">
        <f t="shared" ref="AQ116:AQ142" si="52">(AE116+AK116*K$16)*IF($K116=1,$F$31,1)</f>
        <v>18715.08301274541</v>
      </c>
      <c r="AR116" s="203">
        <f t="shared" ref="AR116:AR142" si="53">(AF116+AL116*L$16)*IF($K116=1,$F$31,1)</f>
        <v>17639.759553941396</v>
      </c>
      <c r="AY116" s="3"/>
    </row>
    <row r="117" spans="1:51">
      <c r="A117" s="54"/>
      <c r="B117" s="43">
        <f>'13. Desinvesteringen'!B401</f>
        <v>382</v>
      </c>
      <c r="C117" s="54"/>
      <c r="D117" s="54"/>
      <c r="E117" s="54"/>
      <c r="F117" s="48">
        <f>'5. Input GAW-waarde desinv.'!D77</f>
        <v>114014.92388584625</v>
      </c>
      <c r="G117" s="187">
        <f>'13. Desinvesteringen'!D401</f>
        <v>2010</v>
      </c>
      <c r="H117" s="187">
        <f>'13. Desinvesteringen'!G401</f>
        <v>2022</v>
      </c>
      <c r="I117" s="43" t="str">
        <f>'13. Desinvesteringen'!C401</f>
        <v>02 Gasontvangststations</v>
      </c>
      <c r="J117" s="176">
        <f>'13. Desinvesteringen'!F401</f>
        <v>0</v>
      </c>
      <c r="K117" s="44">
        <f>_xlfn.XLOOKUP(I117,'3. Input (des)investeringen '!$B$11:$B$81,'3. Input (des)investeringen '!$E$11:$E$81)</f>
        <v>0</v>
      </c>
      <c r="L117" s="54"/>
      <c r="M117" s="44">
        <f>_xlfn.XLOOKUP(I117,'3. Input (des)investeringen '!$B$11:$B$81,'3. Input (des)investeringen '!$D$11:$D$81,0)</f>
        <v>30</v>
      </c>
      <c r="N117" s="44">
        <f t="shared" si="32"/>
        <v>18.5</v>
      </c>
      <c r="P117" s="49">
        <f t="shared" si="33"/>
        <v>7210.6735646724383</v>
      </c>
      <c r="Q117" s="49">
        <f t="shared" si="33"/>
        <v>6703.9775844522137</v>
      </c>
      <c r="R117" s="49">
        <f t="shared" si="33"/>
        <v>6232.887267706923</v>
      </c>
      <c r="S117" s="49">
        <f t="shared" si="33"/>
        <v>5794.9005948410313</v>
      </c>
      <c r="T117" s="103">
        <f t="shared" si="33"/>
        <v>5387.6913638522019</v>
      </c>
      <c r="V117" s="49">
        <f t="shared" si="34"/>
        <v>616.29688586943928</v>
      </c>
      <c r="W117" s="49">
        <f t="shared" si="35"/>
        <v>616.29688586943917</v>
      </c>
      <c r="X117" s="49">
        <f t="shared" si="36"/>
        <v>616.29688586943917</v>
      </c>
      <c r="Y117" s="49">
        <f t="shared" si="37"/>
        <v>616.29688586943917</v>
      </c>
      <c r="Z117" s="103">
        <f t="shared" si="38"/>
        <v>616.29688586943917</v>
      </c>
      <c r="AB117" s="49">
        <f t="shared" si="39"/>
        <v>7826.9704505418777</v>
      </c>
      <c r="AC117" s="49">
        <f t="shared" si="40"/>
        <v>7320.2744703216531</v>
      </c>
      <c r="AD117" s="49">
        <f t="shared" si="41"/>
        <v>6849.1841535763624</v>
      </c>
      <c r="AE117" s="49">
        <f t="shared" si="42"/>
        <v>6411.1974807104707</v>
      </c>
      <c r="AF117" s="103">
        <f t="shared" si="43"/>
        <v>6003.9882497216413</v>
      </c>
      <c r="AH117" s="49">
        <f t="shared" si="44"/>
        <v>106187.95343530437</v>
      </c>
      <c r="AI117" s="49">
        <f t="shared" si="45"/>
        <v>98867.678964982711</v>
      </c>
      <c r="AJ117" s="49">
        <f t="shared" si="46"/>
        <v>92018.494811406345</v>
      </c>
      <c r="AK117" s="49">
        <f t="shared" si="47"/>
        <v>85607.297330695874</v>
      </c>
      <c r="AL117" s="103">
        <f t="shared" si="48"/>
        <v>79603.309080974228</v>
      </c>
      <c r="AN117" s="53">
        <f t="shared" si="49"/>
        <v>12180.676541389357</v>
      </c>
      <c r="AO117" s="53">
        <f t="shared" si="50"/>
        <v>12362.526097535771</v>
      </c>
      <c r="AP117" s="53">
        <f t="shared" si="51"/>
        <v>10345.886956409804</v>
      </c>
      <c r="AQ117" s="53">
        <f t="shared" si="52"/>
        <v>9664.2747792769133</v>
      </c>
      <c r="AR117" s="203">
        <f t="shared" si="53"/>
        <v>9028.9139947986623</v>
      </c>
      <c r="AY117" s="3"/>
    </row>
    <row r="118" spans="1:51">
      <c r="A118" s="54"/>
      <c r="B118" s="43">
        <f>'13. Desinvesteringen'!B402</f>
        <v>383</v>
      </c>
      <c r="C118" s="54"/>
      <c r="D118" s="54"/>
      <c r="E118" s="54"/>
      <c r="F118" s="48">
        <f>'5. Input GAW-waarde desinv.'!D78</f>
        <v>32772.828513993481</v>
      </c>
      <c r="G118" s="187">
        <f>'13. Desinvesteringen'!D402</f>
        <v>2012</v>
      </c>
      <c r="H118" s="187">
        <f>'13. Desinvesteringen'!G402</f>
        <v>2022</v>
      </c>
      <c r="I118" s="43" t="str">
        <f>'13. Desinvesteringen'!C402</f>
        <v>02 Gasontvangststations</v>
      </c>
      <c r="J118" s="176">
        <f>'13. Desinvesteringen'!F402</f>
        <v>0</v>
      </c>
      <c r="K118" s="44">
        <f>_xlfn.XLOOKUP(I118,'3. Input (des)investeringen '!$B$11:$B$81,'3. Input (des)investeringen '!$E$11:$E$81)</f>
        <v>0</v>
      </c>
      <c r="L118" s="54"/>
      <c r="M118" s="44">
        <f>_xlfn.XLOOKUP(I118,'3. Input (des)investeringen '!$B$11:$B$81,'3. Input (des)investeringen '!$D$11:$D$81,0)</f>
        <v>30</v>
      </c>
      <c r="N118" s="44">
        <f t="shared" si="32"/>
        <v>20.5</v>
      </c>
      <c r="P118" s="49">
        <f t="shared" si="33"/>
        <v>1870.4492371401157</v>
      </c>
      <c r="Q118" s="49">
        <f t="shared" si="33"/>
        <v>1751.8353830775718</v>
      </c>
      <c r="R118" s="49">
        <f t="shared" si="33"/>
        <v>1640.7433831750918</v>
      </c>
      <c r="S118" s="49">
        <f t="shared" si="33"/>
        <v>1536.6962418030128</v>
      </c>
      <c r="T118" s="103">
        <f t="shared" si="33"/>
        <v>1439.247211835017</v>
      </c>
      <c r="V118" s="49">
        <f t="shared" si="34"/>
        <v>159.86745616582186</v>
      </c>
      <c r="W118" s="49">
        <f t="shared" si="35"/>
        <v>159.86745616582186</v>
      </c>
      <c r="X118" s="49">
        <f t="shared" si="36"/>
        <v>159.86745616582186</v>
      </c>
      <c r="Y118" s="49">
        <f t="shared" si="37"/>
        <v>159.86745616582186</v>
      </c>
      <c r="Z118" s="103">
        <f t="shared" si="38"/>
        <v>159.86745616582186</v>
      </c>
      <c r="AB118" s="49">
        <f t="shared" si="39"/>
        <v>2030.3166933059374</v>
      </c>
      <c r="AC118" s="49">
        <f t="shared" si="40"/>
        <v>1911.7028392433936</v>
      </c>
      <c r="AD118" s="49">
        <f t="shared" si="41"/>
        <v>1800.6108393409136</v>
      </c>
      <c r="AE118" s="49">
        <f t="shared" si="42"/>
        <v>1696.5636979688347</v>
      </c>
      <c r="AF118" s="103">
        <f t="shared" si="43"/>
        <v>1599.1146680008387</v>
      </c>
      <c r="AH118" s="49">
        <f t="shared" si="44"/>
        <v>30742.511820687545</v>
      </c>
      <c r="AI118" s="49">
        <f t="shared" si="45"/>
        <v>28830.808981444152</v>
      </c>
      <c r="AJ118" s="49">
        <f t="shared" si="46"/>
        <v>27030.19814210324</v>
      </c>
      <c r="AK118" s="49">
        <f t="shared" si="47"/>
        <v>25333.634444134404</v>
      </c>
      <c r="AL118" s="103">
        <f t="shared" si="48"/>
        <v>23734.519776133566</v>
      </c>
      <c r="AN118" s="53">
        <f t="shared" si="49"/>
        <v>3290.7596779541268</v>
      </c>
      <c r="AO118" s="53">
        <f t="shared" si="50"/>
        <v>3382.0740972970452</v>
      </c>
      <c r="AP118" s="53">
        <f t="shared" si="51"/>
        <v>2827.7583687408369</v>
      </c>
      <c r="AQ118" s="53">
        <f t="shared" si="52"/>
        <v>2659.2418068459419</v>
      </c>
      <c r="AR118" s="203">
        <f t="shared" si="53"/>
        <v>2501.0264194939141</v>
      </c>
      <c r="AY118" s="3"/>
    </row>
    <row r="119" spans="1:51">
      <c r="A119" s="54"/>
      <c r="B119" s="43">
        <f>'13. Desinvesteringen'!B403</f>
        <v>384</v>
      </c>
      <c r="C119" s="54"/>
      <c r="D119" s="54"/>
      <c r="E119" s="54"/>
      <c r="F119" s="48">
        <f>'5. Input GAW-waarde desinv.'!D79</f>
        <v>0</v>
      </c>
      <c r="G119" s="187">
        <f>'13. Desinvesteringen'!D403</f>
        <v>1980</v>
      </c>
      <c r="H119" s="187">
        <f>'13. Desinvesteringen'!G403</f>
        <v>2022</v>
      </c>
      <c r="I119" s="43" t="str">
        <f>'13. Desinvesteringen'!C403</f>
        <v>06 Utiliteitsgebouwen</v>
      </c>
      <c r="J119" s="176">
        <f>'13. Desinvesteringen'!F403</f>
        <v>0</v>
      </c>
      <c r="K119" s="44">
        <f>_xlfn.XLOOKUP(I119,'3. Input (des)investeringen '!$B$11:$B$81,'3. Input (des)investeringen '!$E$11:$E$81)</f>
        <v>0</v>
      </c>
      <c r="L119" s="54"/>
      <c r="M119" s="44">
        <f>_xlfn.XLOOKUP(I119,'3. Input (des)investeringen '!$B$11:$B$81,'3. Input (des)investeringen '!$D$11:$D$81,0)</f>
        <v>30</v>
      </c>
      <c r="N119" s="44">
        <f t="shared" si="32"/>
        <v>0</v>
      </c>
      <c r="P119" s="49">
        <f t="shared" si="33"/>
        <v>0</v>
      </c>
      <c r="Q119" s="49">
        <f t="shared" si="33"/>
        <v>0</v>
      </c>
      <c r="R119" s="49">
        <f t="shared" si="33"/>
        <v>0</v>
      </c>
      <c r="S119" s="49">
        <f t="shared" si="33"/>
        <v>0</v>
      </c>
      <c r="T119" s="103">
        <f t="shared" si="33"/>
        <v>0</v>
      </c>
      <c r="V119" s="49">
        <f t="shared" si="34"/>
        <v>0</v>
      </c>
      <c r="W119" s="49">
        <f t="shared" si="35"/>
        <v>0</v>
      </c>
      <c r="X119" s="49">
        <f t="shared" si="36"/>
        <v>0</v>
      </c>
      <c r="Y119" s="49">
        <f t="shared" si="37"/>
        <v>0</v>
      </c>
      <c r="Z119" s="103">
        <f t="shared" si="38"/>
        <v>0</v>
      </c>
      <c r="AB119" s="49">
        <f t="shared" si="39"/>
        <v>0</v>
      </c>
      <c r="AC119" s="49">
        <f t="shared" si="40"/>
        <v>0</v>
      </c>
      <c r="AD119" s="49">
        <f t="shared" si="41"/>
        <v>0</v>
      </c>
      <c r="AE119" s="49">
        <f t="shared" si="42"/>
        <v>0</v>
      </c>
      <c r="AF119" s="103">
        <f t="shared" si="43"/>
        <v>0</v>
      </c>
      <c r="AH119" s="49">
        <f t="shared" si="44"/>
        <v>0</v>
      </c>
      <c r="AI119" s="49">
        <f t="shared" si="45"/>
        <v>0</v>
      </c>
      <c r="AJ119" s="49">
        <f t="shared" si="46"/>
        <v>0</v>
      </c>
      <c r="AK119" s="49">
        <f t="shared" si="47"/>
        <v>0</v>
      </c>
      <c r="AL119" s="103">
        <f t="shared" si="48"/>
        <v>0</v>
      </c>
      <c r="AN119" s="53">
        <f t="shared" si="49"/>
        <v>0</v>
      </c>
      <c r="AO119" s="53">
        <f t="shared" si="50"/>
        <v>0</v>
      </c>
      <c r="AP119" s="53">
        <f t="shared" si="51"/>
        <v>0</v>
      </c>
      <c r="AQ119" s="53">
        <f t="shared" si="52"/>
        <v>0</v>
      </c>
      <c r="AR119" s="203">
        <f t="shared" si="53"/>
        <v>0</v>
      </c>
      <c r="AY119" s="3"/>
    </row>
    <row r="120" spans="1:51">
      <c r="A120" s="54"/>
      <c r="B120" s="43">
        <f>'13. Desinvesteringen'!B404</f>
        <v>385</v>
      </c>
      <c r="C120" s="54"/>
      <c r="D120" s="54"/>
      <c r="E120" s="54"/>
      <c r="F120" s="48">
        <f>'5. Input GAW-waarde desinv.'!D80</f>
        <v>0</v>
      </c>
      <c r="G120" s="187">
        <f>'13. Desinvesteringen'!D404</f>
        <v>1970</v>
      </c>
      <c r="H120" s="187">
        <f>'13. Desinvesteringen'!G404</f>
        <v>2022</v>
      </c>
      <c r="I120" s="43" t="str">
        <f>'13. Desinvesteringen'!C404</f>
        <v>15 Compressorstations (TT-BT-AT)</v>
      </c>
      <c r="J120" s="176">
        <f>'13. Desinvesteringen'!F404</f>
        <v>0</v>
      </c>
      <c r="K120" s="44">
        <f>_xlfn.XLOOKUP(I120,'3. Input (des)investeringen '!$B$11:$B$81,'3. Input (des)investeringen '!$E$11:$E$81)</f>
        <v>1</v>
      </c>
      <c r="L120" s="54"/>
      <c r="M120" s="44">
        <f>_xlfn.XLOOKUP(I120,'3. Input (des)investeringen '!$B$11:$B$81,'3. Input (des)investeringen '!$D$11:$D$81,0)</f>
        <v>30</v>
      </c>
      <c r="N120" s="44">
        <f t="shared" si="32"/>
        <v>0</v>
      </c>
      <c r="P120" s="49">
        <f t="shared" si="33"/>
        <v>0</v>
      </c>
      <c r="Q120" s="49">
        <f t="shared" si="33"/>
        <v>0</v>
      </c>
      <c r="R120" s="49">
        <f t="shared" si="33"/>
        <v>0</v>
      </c>
      <c r="S120" s="49">
        <f t="shared" si="33"/>
        <v>0</v>
      </c>
      <c r="T120" s="103">
        <f t="shared" si="33"/>
        <v>0</v>
      </c>
      <c r="V120" s="49">
        <f t="shared" si="34"/>
        <v>0</v>
      </c>
      <c r="W120" s="49">
        <f t="shared" si="35"/>
        <v>0</v>
      </c>
      <c r="X120" s="49">
        <f t="shared" si="36"/>
        <v>0</v>
      </c>
      <c r="Y120" s="49">
        <f t="shared" si="37"/>
        <v>0</v>
      </c>
      <c r="Z120" s="103">
        <f t="shared" si="38"/>
        <v>0</v>
      </c>
      <c r="AB120" s="49">
        <f t="shared" si="39"/>
        <v>0</v>
      </c>
      <c r="AC120" s="49">
        <f t="shared" si="40"/>
        <v>0</v>
      </c>
      <c r="AD120" s="49">
        <f t="shared" si="41"/>
        <v>0</v>
      </c>
      <c r="AE120" s="49">
        <f t="shared" si="42"/>
        <v>0</v>
      </c>
      <c r="AF120" s="103">
        <f t="shared" si="43"/>
        <v>0</v>
      </c>
      <c r="AH120" s="49">
        <f t="shared" si="44"/>
        <v>0</v>
      </c>
      <c r="AI120" s="49">
        <f t="shared" si="45"/>
        <v>0</v>
      </c>
      <c r="AJ120" s="49">
        <f t="shared" si="46"/>
        <v>0</v>
      </c>
      <c r="AK120" s="49">
        <f t="shared" si="47"/>
        <v>0</v>
      </c>
      <c r="AL120" s="103">
        <f t="shared" si="48"/>
        <v>0</v>
      </c>
      <c r="AN120" s="53">
        <f t="shared" si="49"/>
        <v>0</v>
      </c>
      <c r="AO120" s="53">
        <f t="shared" si="50"/>
        <v>0</v>
      </c>
      <c r="AP120" s="53">
        <f t="shared" si="51"/>
        <v>0</v>
      </c>
      <c r="AQ120" s="53">
        <f t="shared" si="52"/>
        <v>0</v>
      </c>
      <c r="AR120" s="203">
        <f t="shared" si="53"/>
        <v>0</v>
      </c>
      <c r="AY120" s="3"/>
    </row>
    <row r="121" spans="1:51">
      <c r="A121" s="54"/>
      <c r="B121" s="43">
        <f>'13. Desinvesteringen'!B405</f>
        <v>386</v>
      </c>
      <c r="C121" s="54"/>
      <c r="D121" s="54"/>
      <c r="E121" s="54"/>
      <c r="F121" s="48">
        <f>'5. Input GAW-waarde desinv.'!D81</f>
        <v>0</v>
      </c>
      <c r="G121" s="187">
        <f>'13. Desinvesteringen'!D405</f>
        <v>1971</v>
      </c>
      <c r="H121" s="187">
        <f>'13. Desinvesteringen'!G405</f>
        <v>2022</v>
      </c>
      <c r="I121" s="43" t="str">
        <f>'13. Desinvesteringen'!C405</f>
        <v>15 Compressorstations (TT-BT-AT)</v>
      </c>
      <c r="J121" s="176">
        <f>'13. Desinvesteringen'!F405</f>
        <v>0</v>
      </c>
      <c r="K121" s="44">
        <f>_xlfn.XLOOKUP(I121,'3. Input (des)investeringen '!$B$11:$B$81,'3. Input (des)investeringen '!$E$11:$E$81)</f>
        <v>1</v>
      </c>
      <c r="L121" s="54"/>
      <c r="M121" s="44">
        <f>_xlfn.XLOOKUP(I121,'3. Input (des)investeringen '!$B$11:$B$81,'3. Input (des)investeringen '!$D$11:$D$81,0)</f>
        <v>30</v>
      </c>
      <c r="N121" s="44">
        <f t="shared" si="32"/>
        <v>0</v>
      </c>
      <c r="P121" s="49">
        <f t="shared" si="33"/>
        <v>0</v>
      </c>
      <c r="Q121" s="49">
        <f t="shared" si="33"/>
        <v>0</v>
      </c>
      <c r="R121" s="49">
        <f t="shared" si="33"/>
        <v>0</v>
      </c>
      <c r="S121" s="49">
        <f t="shared" si="33"/>
        <v>0</v>
      </c>
      <c r="T121" s="103">
        <f t="shared" si="33"/>
        <v>0</v>
      </c>
      <c r="V121" s="49">
        <f t="shared" si="34"/>
        <v>0</v>
      </c>
      <c r="W121" s="49">
        <f t="shared" si="35"/>
        <v>0</v>
      </c>
      <c r="X121" s="49">
        <f t="shared" si="36"/>
        <v>0</v>
      </c>
      <c r="Y121" s="49">
        <f t="shared" si="37"/>
        <v>0</v>
      </c>
      <c r="Z121" s="103">
        <f t="shared" si="38"/>
        <v>0</v>
      </c>
      <c r="AB121" s="49">
        <f t="shared" si="39"/>
        <v>0</v>
      </c>
      <c r="AC121" s="49">
        <f t="shared" si="40"/>
        <v>0</v>
      </c>
      <c r="AD121" s="49">
        <f t="shared" si="41"/>
        <v>0</v>
      </c>
      <c r="AE121" s="49">
        <f t="shared" si="42"/>
        <v>0</v>
      </c>
      <c r="AF121" s="103">
        <f t="shared" si="43"/>
        <v>0</v>
      </c>
      <c r="AH121" s="49">
        <f t="shared" si="44"/>
        <v>0</v>
      </c>
      <c r="AI121" s="49">
        <f t="shared" si="45"/>
        <v>0</v>
      </c>
      <c r="AJ121" s="49">
        <f t="shared" si="46"/>
        <v>0</v>
      </c>
      <c r="AK121" s="49">
        <f t="shared" si="47"/>
        <v>0</v>
      </c>
      <c r="AL121" s="103">
        <f t="shared" si="48"/>
        <v>0</v>
      </c>
      <c r="AN121" s="53">
        <f t="shared" si="49"/>
        <v>0</v>
      </c>
      <c r="AO121" s="53">
        <f t="shared" si="50"/>
        <v>0</v>
      </c>
      <c r="AP121" s="53">
        <f t="shared" si="51"/>
        <v>0</v>
      </c>
      <c r="AQ121" s="53">
        <f t="shared" si="52"/>
        <v>0</v>
      </c>
      <c r="AR121" s="203">
        <f t="shared" si="53"/>
        <v>0</v>
      </c>
      <c r="AY121" s="3"/>
    </row>
    <row r="122" spans="1:51">
      <c r="A122" s="54"/>
      <c r="B122" s="43">
        <f>'13. Desinvesteringen'!B406</f>
        <v>387</v>
      </c>
      <c r="C122" s="54"/>
      <c r="D122" s="54"/>
      <c r="E122" s="54"/>
      <c r="F122" s="48">
        <f>'5. Input GAW-waarde desinv.'!D82</f>
        <v>0</v>
      </c>
      <c r="G122" s="187">
        <f>'13. Desinvesteringen'!D406</f>
        <v>1974</v>
      </c>
      <c r="H122" s="187">
        <f>'13. Desinvesteringen'!G406</f>
        <v>2022</v>
      </c>
      <c r="I122" s="43" t="str">
        <f>'13. Desinvesteringen'!C406</f>
        <v>15 Compressorstations (TT-BT-AT)</v>
      </c>
      <c r="J122" s="176">
        <f>'13. Desinvesteringen'!F406</f>
        <v>0</v>
      </c>
      <c r="K122" s="44">
        <f>_xlfn.XLOOKUP(I122,'3. Input (des)investeringen '!$B$11:$B$81,'3. Input (des)investeringen '!$E$11:$E$81)</f>
        <v>1</v>
      </c>
      <c r="L122" s="54"/>
      <c r="M122" s="44">
        <f>_xlfn.XLOOKUP(I122,'3. Input (des)investeringen '!$B$11:$B$81,'3. Input (des)investeringen '!$D$11:$D$81,0)</f>
        <v>30</v>
      </c>
      <c r="N122" s="44">
        <f t="shared" si="32"/>
        <v>0</v>
      </c>
      <c r="P122" s="49">
        <f t="shared" si="33"/>
        <v>0</v>
      </c>
      <c r="Q122" s="49">
        <f t="shared" si="33"/>
        <v>0</v>
      </c>
      <c r="R122" s="49">
        <f t="shared" si="33"/>
        <v>0</v>
      </c>
      <c r="S122" s="49">
        <f t="shared" si="33"/>
        <v>0</v>
      </c>
      <c r="T122" s="103">
        <f t="shared" si="33"/>
        <v>0</v>
      </c>
      <c r="V122" s="49">
        <f t="shared" si="34"/>
        <v>0</v>
      </c>
      <c r="W122" s="49">
        <f t="shared" si="35"/>
        <v>0</v>
      </c>
      <c r="X122" s="49">
        <f t="shared" si="36"/>
        <v>0</v>
      </c>
      <c r="Y122" s="49">
        <f t="shared" si="37"/>
        <v>0</v>
      </c>
      <c r="Z122" s="103">
        <f t="shared" si="38"/>
        <v>0</v>
      </c>
      <c r="AB122" s="49">
        <f t="shared" si="39"/>
        <v>0</v>
      </c>
      <c r="AC122" s="49">
        <f t="shared" si="40"/>
        <v>0</v>
      </c>
      <c r="AD122" s="49">
        <f t="shared" si="41"/>
        <v>0</v>
      </c>
      <c r="AE122" s="49">
        <f t="shared" si="42"/>
        <v>0</v>
      </c>
      <c r="AF122" s="103">
        <f t="shared" si="43"/>
        <v>0</v>
      </c>
      <c r="AH122" s="49">
        <f t="shared" si="44"/>
        <v>0</v>
      </c>
      <c r="AI122" s="49">
        <f t="shared" si="45"/>
        <v>0</v>
      </c>
      <c r="AJ122" s="49">
        <f t="shared" si="46"/>
        <v>0</v>
      </c>
      <c r="AK122" s="49">
        <f t="shared" si="47"/>
        <v>0</v>
      </c>
      <c r="AL122" s="103">
        <f t="shared" si="48"/>
        <v>0</v>
      </c>
      <c r="AN122" s="53">
        <f t="shared" si="49"/>
        <v>0</v>
      </c>
      <c r="AO122" s="53">
        <f t="shared" si="50"/>
        <v>0</v>
      </c>
      <c r="AP122" s="53">
        <f t="shared" si="51"/>
        <v>0</v>
      </c>
      <c r="AQ122" s="53">
        <f t="shared" si="52"/>
        <v>0</v>
      </c>
      <c r="AR122" s="203">
        <f t="shared" si="53"/>
        <v>0</v>
      </c>
      <c r="AY122" s="3"/>
    </row>
    <row r="123" spans="1:51">
      <c r="A123" s="54"/>
      <c r="B123" s="43">
        <f>'13. Desinvesteringen'!B407</f>
        <v>388</v>
      </c>
      <c r="C123" s="54"/>
      <c r="D123" s="54"/>
      <c r="E123" s="54"/>
      <c r="F123" s="48">
        <f>'5. Input GAW-waarde desinv.'!D83</f>
        <v>4540.0402775800039</v>
      </c>
      <c r="G123" s="187">
        <f>'13. Desinvesteringen'!D407</f>
        <v>1997</v>
      </c>
      <c r="H123" s="187">
        <f>'13. Desinvesteringen'!G407</f>
        <v>2022</v>
      </c>
      <c r="I123" s="43" t="str">
        <f>'13. Desinvesteringen'!C407</f>
        <v>15 Compressorstations (TT-BT-AT)</v>
      </c>
      <c r="J123" s="176">
        <f>'13. Desinvesteringen'!F407</f>
        <v>0</v>
      </c>
      <c r="K123" s="44">
        <f>_xlfn.XLOOKUP(I123,'3. Input (des)investeringen '!$B$11:$B$81,'3. Input (des)investeringen '!$E$11:$E$81)</f>
        <v>1</v>
      </c>
      <c r="L123" s="54"/>
      <c r="M123" s="44">
        <f>_xlfn.XLOOKUP(I123,'3. Input (des)investeringen '!$B$11:$B$81,'3. Input (des)investeringen '!$D$11:$D$81,0)</f>
        <v>30</v>
      </c>
      <c r="N123" s="44">
        <f t="shared" si="32"/>
        <v>5.5</v>
      </c>
      <c r="P123" s="49">
        <f t="shared" si="33"/>
        <v>965.79038632156448</v>
      </c>
      <c r="Q123" s="49">
        <f t="shared" si="33"/>
        <v>737.5126586455583</v>
      </c>
      <c r="R123" s="49">
        <f t="shared" si="33"/>
        <v>680.78091567282297</v>
      </c>
      <c r="S123" s="49">
        <f t="shared" si="33"/>
        <v>680.78091567282297</v>
      </c>
      <c r="T123" s="103">
        <f t="shared" si="33"/>
        <v>680.78091567282297</v>
      </c>
      <c r="V123" s="49">
        <f t="shared" si="34"/>
        <v>82.546186865090988</v>
      </c>
      <c r="W123" s="49">
        <f t="shared" si="35"/>
        <v>82.546186865090988</v>
      </c>
      <c r="X123" s="49">
        <f t="shared" si="36"/>
        <v>82.546186865090988</v>
      </c>
      <c r="Y123" s="49">
        <f t="shared" si="37"/>
        <v>82.546186865090988</v>
      </c>
      <c r="Z123" s="103">
        <f t="shared" si="38"/>
        <v>82.546186865090988</v>
      </c>
      <c r="AB123" s="49">
        <f t="shared" si="39"/>
        <v>1048.3365731866554</v>
      </c>
      <c r="AC123" s="49">
        <f t="shared" si="40"/>
        <v>820.05884551064923</v>
      </c>
      <c r="AD123" s="49">
        <f t="shared" si="41"/>
        <v>763.32710253791402</v>
      </c>
      <c r="AE123" s="49">
        <f t="shared" si="42"/>
        <v>763.32710253791402</v>
      </c>
      <c r="AF123" s="103">
        <f t="shared" si="43"/>
        <v>763.32710253791402</v>
      </c>
      <c r="AH123" s="49">
        <f t="shared" si="44"/>
        <v>3491.7037043933487</v>
      </c>
      <c r="AI123" s="49">
        <f t="shared" si="45"/>
        <v>2671.6448588826997</v>
      </c>
      <c r="AJ123" s="49">
        <f t="shared" si="46"/>
        <v>1908.3177563447857</v>
      </c>
      <c r="AK123" s="49">
        <f t="shared" si="47"/>
        <v>1144.9906538068717</v>
      </c>
      <c r="AL123" s="103">
        <f t="shared" si="48"/>
        <v>381.66355126895769</v>
      </c>
      <c r="AN123" s="53">
        <f t="shared" si="49"/>
        <v>1191.4964250667826</v>
      </c>
      <c r="AO123" s="53">
        <f t="shared" si="50"/>
        <v>956.31273331366697</v>
      </c>
      <c r="AP123" s="53">
        <f t="shared" si="51"/>
        <v>835.84317727901589</v>
      </c>
      <c r="AQ123" s="53">
        <f t="shared" si="52"/>
        <v>806.83674738257514</v>
      </c>
      <c r="AR123" s="203">
        <f t="shared" si="53"/>
        <v>777.83031748613439</v>
      </c>
      <c r="AY123" s="3"/>
    </row>
    <row r="124" spans="1:51">
      <c r="A124" s="54"/>
      <c r="B124" s="43">
        <f>'13. Desinvesteringen'!B408</f>
        <v>389</v>
      </c>
      <c r="C124" s="54"/>
      <c r="D124" s="54"/>
      <c r="E124" s="54"/>
      <c r="F124" s="48">
        <f>'5. Input GAW-waarde desinv.'!D84</f>
        <v>89847.095733059148</v>
      </c>
      <c r="G124" s="187">
        <f>'13. Desinvesteringen'!D408</f>
        <v>2011</v>
      </c>
      <c r="H124" s="187">
        <f>'13. Desinvesteringen'!G408</f>
        <v>2022</v>
      </c>
      <c r="I124" s="43" t="str">
        <f>'13. Desinvesteringen'!C408</f>
        <v>15 Compressorstations (TT-BT-AT)</v>
      </c>
      <c r="J124" s="176">
        <f>'13. Desinvesteringen'!F408</f>
        <v>0</v>
      </c>
      <c r="K124" s="44">
        <f>_xlfn.XLOOKUP(I124,'3. Input (des)investeringen '!$B$11:$B$81,'3. Input (des)investeringen '!$E$11:$E$81)</f>
        <v>1</v>
      </c>
      <c r="L124" s="54"/>
      <c r="M124" s="44">
        <f>_xlfn.XLOOKUP(I124,'3. Input (des)investeringen '!$B$11:$B$81,'3. Input (des)investeringen '!$D$11:$D$81,0)</f>
        <v>30</v>
      </c>
      <c r="N124" s="44">
        <f t="shared" si="32"/>
        <v>19.5</v>
      </c>
      <c r="P124" s="49">
        <f t="shared" si="33"/>
        <v>5390.8257439835488</v>
      </c>
      <c r="Q124" s="49">
        <f t="shared" si="33"/>
        <v>5031.437361051313</v>
      </c>
      <c r="R124" s="49">
        <f t="shared" si="33"/>
        <v>4696.0082036478907</v>
      </c>
      <c r="S124" s="49">
        <f t="shared" si="33"/>
        <v>4382.9409900713654</v>
      </c>
      <c r="T124" s="103">
        <f t="shared" si="33"/>
        <v>4090.7449240666087</v>
      </c>
      <c r="V124" s="49">
        <f t="shared" si="34"/>
        <v>460.75433709261108</v>
      </c>
      <c r="W124" s="49">
        <f t="shared" si="35"/>
        <v>460.75433709261108</v>
      </c>
      <c r="X124" s="49">
        <f t="shared" si="36"/>
        <v>460.75433709261108</v>
      </c>
      <c r="Y124" s="49">
        <f t="shared" si="37"/>
        <v>460.75433709261108</v>
      </c>
      <c r="Z124" s="103">
        <f t="shared" si="38"/>
        <v>460.75433709261108</v>
      </c>
      <c r="AB124" s="49">
        <f t="shared" si="39"/>
        <v>5851.5800810761602</v>
      </c>
      <c r="AC124" s="49">
        <f t="shared" si="40"/>
        <v>5492.1916981439244</v>
      </c>
      <c r="AD124" s="49">
        <f t="shared" si="41"/>
        <v>5156.7625407405021</v>
      </c>
      <c r="AE124" s="49">
        <f t="shared" si="42"/>
        <v>4843.6953271639768</v>
      </c>
      <c r="AF124" s="103">
        <f t="shared" si="43"/>
        <v>4551.4992611592197</v>
      </c>
      <c r="AH124" s="49">
        <f t="shared" si="44"/>
        <v>83995.515651982991</v>
      </c>
      <c r="AI124" s="49">
        <f t="shared" si="45"/>
        <v>78503.323953839063</v>
      </c>
      <c r="AJ124" s="49">
        <f t="shared" si="46"/>
        <v>73346.561413098563</v>
      </c>
      <c r="AK124" s="49">
        <f t="shared" si="47"/>
        <v>68502.866085934584</v>
      </c>
      <c r="AL124" s="103">
        <f t="shared" si="48"/>
        <v>63951.366824775367</v>
      </c>
      <c r="AN124" s="53">
        <f t="shared" si="49"/>
        <v>9295.3962228074633</v>
      </c>
      <c r="AO124" s="53">
        <f t="shared" si="50"/>
        <v>9495.8612197897164</v>
      </c>
      <c r="AP124" s="53">
        <f t="shared" si="51"/>
        <v>7943.9318744382472</v>
      </c>
      <c r="AQ124" s="53">
        <f t="shared" si="52"/>
        <v>7446.8042384294913</v>
      </c>
      <c r="AR124" s="203">
        <f t="shared" si="53"/>
        <v>6981.6512005006834</v>
      </c>
      <c r="AY124" s="3"/>
    </row>
    <row r="125" spans="1:51">
      <c r="A125" s="54"/>
      <c r="B125" s="43">
        <f>'13. Desinvesteringen'!B409</f>
        <v>390</v>
      </c>
      <c r="C125" s="54"/>
      <c r="D125" s="54"/>
      <c r="E125" s="54"/>
      <c r="F125" s="48">
        <f>'5. Input GAW-waarde desinv.'!D85</f>
        <v>0</v>
      </c>
      <c r="G125" s="187">
        <f>'13. Desinvesteringen'!D409</f>
        <v>1977</v>
      </c>
      <c r="H125" s="187">
        <f>'13. Desinvesteringen'!G409</f>
        <v>2022</v>
      </c>
      <c r="I125" s="43" t="str">
        <f>'13. Desinvesteringen'!C409</f>
        <v>16 LNG installaties</v>
      </c>
      <c r="J125" s="176">
        <f>'13. Desinvesteringen'!F409</f>
        <v>0</v>
      </c>
      <c r="K125" s="44">
        <f>_xlfn.XLOOKUP(I125,'3. Input (des)investeringen '!$B$11:$B$81,'3. Input (des)investeringen '!$E$11:$E$81)</f>
        <v>0</v>
      </c>
      <c r="L125" s="54"/>
      <c r="M125" s="44">
        <f>_xlfn.XLOOKUP(I125,'3. Input (des)investeringen '!$B$11:$B$81,'3. Input (des)investeringen '!$D$11:$D$81,0)</f>
        <v>30</v>
      </c>
      <c r="N125" s="44">
        <f t="shared" si="32"/>
        <v>0</v>
      </c>
      <c r="P125" s="49">
        <f t="shared" si="33"/>
        <v>0</v>
      </c>
      <c r="Q125" s="49">
        <f t="shared" si="33"/>
        <v>0</v>
      </c>
      <c r="R125" s="49">
        <f t="shared" si="33"/>
        <v>0</v>
      </c>
      <c r="S125" s="49">
        <f t="shared" si="33"/>
        <v>0</v>
      </c>
      <c r="T125" s="103">
        <f t="shared" si="33"/>
        <v>0</v>
      </c>
      <c r="V125" s="49">
        <f t="shared" si="34"/>
        <v>0</v>
      </c>
      <c r="W125" s="49">
        <f t="shared" si="35"/>
        <v>0</v>
      </c>
      <c r="X125" s="49">
        <f t="shared" si="36"/>
        <v>0</v>
      </c>
      <c r="Y125" s="49">
        <f t="shared" si="37"/>
        <v>0</v>
      </c>
      <c r="Z125" s="103">
        <f t="shared" si="38"/>
        <v>0</v>
      </c>
      <c r="AB125" s="49">
        <f t="shared" si="39"/>
        <v>0</v>
      </c>
      <c r="AC125" s="49">
        <f t="shared" si="40"/>
        <v>0</v>
      </c>
      <c r="AD125" s="49">
        <f t="shared" si="41"/>
        <v>0</v>
      </c>
      <c r="AE125" s="49">
        <f t="shared" si="42"/>
        <v>0</v>
      </c>
      <c r="AF125" s="103">
        <f t="shared" si="43"/>
        <v>0</v>
      </c>
      <c r="AH125" s="49">
        <f t="shared" si="44"/>
        <v>0</v>
      </c>
      <c r="AI125" s="49">
        <f t="shared" si="45"/>
        <v>0</v>
      </c>
      <c r="AJ125" s="49">
        <f t="shared" si="46"/>
        <v>0</v>
      </c>
      <c r="AK125" s="49">
        <f t="shared" si="47"/>
        <v>0</v>
      </c>
      <c r="AL125" s="103">
        <f t="shared" si="48"/>
        <v>0</v>
      </c>
      <c r="AN125" s="53">
        <f t="shared" si="49"/>
        <v>0</v>
      </c>
      <c r="AO125" s="53">
        <f t="shared" si="50"/>
        <v>0</v>
      </c>
      <c r="AP125" s="53">
        <f t="shared" si="51"/>
        <v>0</v>
      </c>
      <c r="AQ125" s="53">
        <f t="shared" si="52"/>
        <v>0</v>
      </c>
      <c r="AR125" s="203">
        <f t="shared" si="53"/>
        <v>0</v>
      </c>
      <c r="AY125" s="3"/>
    </row>
    <row r="126" spans="1:51">
      <c r="A126" s="54"/>
      <c r="B126" s="43">
        <f>'13. Desinvesteringen'!B410</f>
        <v>391</v>
      </c>
      <c r="C126" s="54"/>
      <c r="D126" s="54"/>
      <c r="E126" s="54"/>
      <c r="F126" s="48">
        <f>'5. Input GAW-waarde desinv.'!D86</f>
        <v>614953.64546122367</v>
      </c>
      <c r="G126" s="187">
        <f>'13. Desinvesteringen'!D410</f>
        <v>1998</v>
      </c>
      <c r="H126" s="187">
        <f>'13. Desinvesteringen'!G410</f>
        <v>2022</v>
      </c>
      <c r="I126" s="43" t="str">
        <f>'13. Desinvesteringen'!C410</f>
        <v>16 LNG installaties</v>
      </c>
      <c r="J126" s="176">
        <f>'13. Desinvesteringen'!F410</f>
        <v>0</v>
      </c>
      <c r="K126" s="44">
        <f>_xlfn.XLOOKUP(I126,'3. Input (des)investeringen '!$B$11:$B$81,'3. Input (des)investeringen '!$E$11:$E$81)</f>
        <v>0</v>
      </c>
      <c r="L126" s="54"/>
      <c r="M126" s="44">
        <f>_xlfn.XLOOKUP(I126,'3. Input (des)investeringen '!$B$11:$B$81,'3. Input (des)investeringen '!$D$11:$D$81,0)</f>
        <v>30</v>
      </c>
      <c r="N126" s="44">
        <f t="shared" si="32"/>
        <v>6.5</v>
      </c>
      <c r="P126" s="49">
        <f t="shared" si="33"/>
        <v>110691.65618302027</v>
      </c>
      <c r="Q126" s="49">
        <f t="shared" si="33"/>
        <v>88553.324946416207</v>
      </c>
      <c r="R126" s="49">
        <f t="shared" si="33"/>
        <v>78714.066619036632</v>
      </c>
      <c r="S126" s="49">
        <f t="shared" si="33"/>
        <v>78714.066619036632</v>
      </c>
      <c r="T126" s="103">
        <f t="shared" si="33"/>
        <v>78714.066619036632</v>
      </c>
      <c r="V126" s="49">
        <f t="shared" si="34"/>
        <v>9460.8253147880587</v>
      </c>
      <c r="W126" s="49">
        <f t="shared" si="35"/>
        <v>9460.8253147880569</v>
      </c>
      <c r="X126" s="49">
        <f t="shared" si="36"/>
        <v>9460.8253147880569</v>
      </c>
      <c r="Y126" s="49">
        <f t="shared" si="37"/>
        <v>9460.8253147880569</v>
      </c>
      <c r="Z126" s="103">
        <f t="shared" si="38"/>
        <v>9460.8253147880569</v>
      </c>
      <c r="AB126" s="49">
        <f t="shared" si="39"/>
        <v>120152.48149780833</v>
      </c>
      <c r="AC126" s="49">
        <f t="shared" si="40"/>
        <v>98014.150261204268</v>
      </c>
      <c r="AD126" s="49">
        <f t="shared" si="41"/>
        <v>88174.891933824692</v>
      </c>
      <c r="AE126" s="49">
        <f t="shared" si="42"/>
        <v>88174.891933824692</v>
      </c>
      <c r="AF126" s="103">
        <f t="shared" si="43"/>
        <v>88174.891933824692</v>
      </c>
      <c r="AH126" s="49">
        <f t="shared" si="44"/>
        <v>494801.16396341531</v>
      </c>
      <c r="AI126" s="49">
        <f t="shared" si="45"/>
        <v>396787.01370221103</v>
      </c>
      <c r="AJ126" s="49">
        <f t="shared" si="46"/>
        <v>308612.12176838634</v>
      </c>
      <c r="AK126" s="49">
        <f t="shared" si="47"/>
        <v>220437.22983456164</v>
      </c>
      <c r="AL126" s="103">
        <f t="shared" si="48"/>
        <v>132262.33790073695</v>
      </c>
      <c r="AN126" s="53">
        <f t="shared" si="49"/>
        <v>140439.32922030837</v>
      </c>
      <c r="AO126" s="53">
        <f t="shared" si="50"/>
        <v>118250.28796001703</v>
      </c>
      <c r="AP126" s="53">
        <f t="shared" si="51"/>
        <v>99902.152561023366</v>
      </c>
      <c r="AQ126" s="53">
        <f t="shared" si="52"/>
        <v>96551.506667538037</v>
      </c>
      <c r="AR126" s="203">
        <f t="shared" si="53"/>
        <v>93200.860774052693</v>
      </c>
      <c r="AY126" s="3"/>
    </row>
    <row r="127" spans="1:51">
      <c r="A127" s="54"/>
      <c r="B127" s="43">
        <f>'13. Desinvesteringen'!B411</f>
        <v>392</v>
      </c>
      <c r="C127" s="54"/>
      <c r="D127" s="54"/>
      <c r="E127" s="54"/>
      <c r="F127" s="48">
        <f>'5. Input GAW-waarde desinv.'!D87</f>
        <v>61437.139832305947</v>
      </c>
      <c r="G127" s="187">
        <f>'13. Desinvesteringen'!D411</f>
        <v>2019</v>
      </c>
      <c r="H127" s="187">
        <f>'13. Desinvesteringen'!G411</f>
        <v>2022</v>
      </c>
      <c r="I127" s="43" t="str">
        <f>'13. Desinvesteringen'!C411</f>
        <v>17 Mengstations</v>
      </c>
      <c r="J127" s="176">
        <f>'13. Desinvesteringen'!F411</f>
        <v>0</v>
      </c>
      <c r="K127" s="44">
        <f>_xlfn.XLOOKUP(I127,'3. Input (des)investeringen '!$B$11:$B$81,'3. Input (des)investeringen '!$E$11:$E$81)</f>
        <v>0</v>
      </c>
      <c r="L127" s="54"/>
      <c r="M127" s="44">
        <f>_xlfn.XLOOKUP(I127,'3. Input (des)investeringen '!$B$11:$B$81,'3. Input (des)investeringen '!$D$11:$D$81,0)</f>
        <v>30</v>
      </c>
      <c r="N127" s="44">
        <f t="shared" si="32"/>
        <v>27.5</v>
      </c>
      <c r="P127" s="49">
        <f t="shared" si="33"/>
        <v>2613.8710401381077</v>
      </c>
      <c r="Q127" s="49">
        <f t="shared" si="33"/>
        <v>2490.3062273315791</v>
      </c>
      <c r="R127" s="49">
        <f t="shared" si="33"/>
        <v>2372.5826602213592</v>
      </c>
      <c r="S127" s="49">
        <f t="shared" si="33"/>
        <v>2260.4242071927129</v>
      </c>
      <c r="T127" s="103">
        <f t="shared" si="33"/>
        <v>2153.5677901254212</v>
      </c>
      <c r="V127" s="49">
        <f t="shared" si="34"/>
        <v>223.40778120838527</v>
      </c>
      <c r="W127" s="49">
        <f t="shared" si="35"/>
        <v>223.40778120838527</v>
      </c>
      <c r="X127" s="49">
        <f t="shared" si="36"/>
        <v>223.40778120838527</v>
      </c>
      <c r="Y127" s="49">
        <f t="shared" si="37"/>
        <v>223.40778120838527</v>
      </c>
      <c r="Z127" s="103">
        <f t="shared" si="38"/>
        <v>223.40778120838527</v>
      </c>
      <c r="AB127" s="49">
        <f t="shared" si="39"/>
        <v>2837.2788213464928</v>
      </c>
      <c r="AC127" s="49">
        <f t="shared" si="40"/>
        <v>2713.7140085399642</v>
      </c>
      <c r="AD127" s="49">
        <f t="shared" si="41"/>
        <v>2595.9904414297444</v>
      </c>
      <c r="AE127" s="49">
        <f t="shared" si="42"/>
        <v>2483.831988401098</v>
      </c>
      <c r="AF127" s="103">
        <f t="shared" si="43"/>
        <v>2376.9755713338063</v>
      </c>
      <c r="AH127" s="49">
        <f t="shared" si="44"/>
        <v>58599.861010959452</v>
      </c>
      <c r="AI127" s="49">
        <f t="shared" si="45"/>
        <v>55886.147002419486</v>
      </c>
      <c r="AJ127" s="49">
        <f t="shared" si="46"/>
        <v>53290.156560989744</v>
      </c>
      <c r="AK127" s="49">
        <f t="shared" si="47"/>
        <v>50806.324572588645</v>
      </c>
      <c r="AL127" s="103">
        <f t="shared" si="48"/>
        <v>48429.349001254835</v>
      </c>
      <c r="AN127" s="53">
        <f t="shared" si="49"/>
        <v>5239.8731227958306</v>
      </c>
      <c r="AO127" s="53">
        <f t="shared" si="50"/>
        <v>5563.9075056633574</v>
      </c>
      <c r="AP127" s="53">
        <f t="shared" si="51"/>
        <v>4621.0163907473543</v>
      </c>
      <c r="AQ127" s="53">
        <f t="shared" si="52"/>
        <v>4414.4723221594668</v>
      </c>
      <c r="AR127" s="203">
        <f t="shared" si="53"/>
        <v>4217.2908333814903</v>
      </c>
      <c r="AY127" s="3"/>
    </row>
    <row r="128" spans="1:51">
      <c r="A128" s="54"/>
      <c r="B128" s="43">
        <f>'13. Desinvesteringen'!B412</f>
        <v>393</v>
      </c>
      <c r="C128" s="54"/>
      <c r="D128" s="54"/>
      <c r="E128" s="54"/>
      <c r="F128" s="48">
        <f>'5. Input GAW-waarde desinv.'!D88</f>
        <v>0</v>
      </c>
      <c r="G128" s="187">
        <f>'13. Desinvesteringen'!D412</f>
        <v>1964</v>
      </c>
      <c r="H128" s="187">
        <f>'13. Desinvesteringen'!G412</f>
        <v>2022</v>
      </c>
      <c r="I128" s="43" t="str">
        <f>'13. Desinvesteringen'!C412</f>
        <v>21 Hoofdtransportleiding</v>
      </c>
      <c r="J128" s="176">
        <f>'13. Desinvesteringen'!F412</f>
        <v>0</v>
      </c>
      <c r="K128" s="44">
        <f>_xlfn.XLOOKUP(I128,'3. Input (des)investeringen '!$B$11:$B$81,'3. Input (des)investeringen '!$E$11:$E$81)</f>
        <v>1</v>
      </c>
      <c r="L128" s="54"/>
      <c r="M128" s="44">
        <f>_xlfn.XLOOKUP(I128,'3. Input (des)investeringen '!$B$11:$B$81,'3. Input (des)investeringen '!$D$11:$D$81,0)</f>
        <v>55</v>
      </c>
      <c r="N128" s="44">
        <f t="shared" si="32"/>
        <v>0</v>
      </c>
      <c r="P128" s="49">
        <f t="shared" si="33"/>
        <v>0</v>
      </c>
      <c r="Q128" s="49">
        <f t="shared" si="33"/>
        <v>0</v>
      </c>
      <c r="R128" s="49">
        <f t="shared" si="33"/>
        <v>0</v>
      </c>
      <c r="S128" s="49">
        <f t="shared" si="33"/>
        <v>0</v>
      </c>
      <c r="T128" s="103">
        <f t="shared" si="33"/>
        <v>0</v>
      </c>
      <c r="V128" s="49">
        <f t="shared" si="34"/>
        <v>0</v>
      </c>
      <c r="W128" s="49">
        <f t="shared" si="35"/>
        <v>0</v>
      </c>
      <c r="X128" s="49">
        <f t="shared" si="36"/>
        <v>0</v>
      </c>
      <c r="Y128" s="49">
        <f t="shared" si="37"/>
        <v>0</v>
      </c>
      <c r="Z128" s="103">
        <f t="shared" si="38"/>
        <v>0</v>
      </c>
      <c r="AB128" s="49">
        <f t="shared" si="39"/>
        <v>0</v>
      </c>
      <c r="AC128" s="49">
        <f t="shared" si="40"/>
        <v>0</v>
      </c>
      <c r="AD128" s="49">
        <f t="shared" si="41"/>
        <v>0</v>
      </c>
      <c r="AE128" s="49">
        <f t="shared" si="42"/>
        <v>0</v>
      </c>
      <c r="AF128" s="103">
        <f t="shared" si="43"/>
        <v>0</v>
      </c>
      <c r="AH128" s="49">
        <f t="shared" si="44"/>
        <v>0</v>
      </c>
      <c r="AI128" s="49">
        <f t="shared" si="45"/>
        <v>0</v>
      </c>
      <c r="AJ128" s="49">
        <f t="shared" si="46"/>
        <v>0</v>
      </c>
      <c r="AK128" s="49">
        <f t="shared" si="47"/>
        <v>0</v>
      </c>
      <c r="AL128" s="103">
        <f t="shared" si="48"/>
        <v>0</v>
      </c>
      <c r="AN128" s="53">
        <f t="shared" si="49"/>
        <v>0</v>
      </c>
      <c r="AO128" s="53">
        <f t="shared" si="50"/>
        <v>0</v>
      </c>
      <c r="AP128" s="53">
        <f t="shared" si="51"/>
        <v>0</v>
      </c>
      <c r="AQ128" s="53">
        <f t="shared" si="52"/>
        <v>0</v>
      </c>
      <c r="AR128" s="203">
        <f t="shared" si="53"/>
        <v>0</v>
      </c>
      <c r="AY128" s="3"/>
    </row>
    <row r="129" spans="1:51">
      <c r="A129" s="54"/>
      <c r="B129" s="43">
        <f>'13. Desinvesteringen'!B413</f>
        <v>394</v>
      </c>
      <c r="C129" s="54"/>
      <c r="D129" s="54"/>
      <c r="E129" s="54"/>
      <c r="F129" s="48">
        <f>'5. Input GAW-waarde desinv.'!D89</f>
        <v>27710.301790765967</v>
      </c>
      <c r="G129" s="187">
        <f>'13. Desinvesteringen'!D413</f>
        <v>1977</v>
      </c>
      <c r="H129" s="187">
        <f>'13. Desinvesteringen'!G413</f>
        <v>2022</v>
      </c>
      <c r="I129" s="43" t="str">
        <f>'13. Desinvesteringen'!C413</f>
        <v>21 Hoofdtransportleiding</v>
      </c>
      <c r="J129" s="176">
        <f>'13. Desinvesteringen'!F413</f>
        <v>0</v>
      </c>
      <c r="K129" s="44">
        <f>_xlfn.XLOOKUP(I129,'3. Input (des)investeringen '!$B$11:$B$81,'3. Input (des)investeringen '!$E$11:$E$81)</f>
        <v>1</v>
      </c>
      <c r="L129" s="54"/>
      <c r="M129" s="44">
        <f>_xlfn.XLOOKUP(I129,'3. Input (des)investeringen '!$B$11:$B$81,'3. Input (des)investeringen '!$D$11:$D$81,0)</f>
        <v>55</v>
      </c>
      <c r="N129" s="44">
        <f t="shared" si="32"/>
        <v>10.5</v>
      </c>
      <c r="P129" s="49">
        <f t="shared" si="33"/>
        <v>3087.7193423996364</v>
      </c>
      <c r="Q129" s="49">
        <f t="shared" si="33"/>
        <v>2705.4302809596816</v>
      </c>
      <c r="R129" s="49">
        <f t="shared" si="33"/>
        <v>2370.4722461741972</v>
      </c>
      <c r="S129" s="49">
        <f t="shared" si="33"/>
        <v>2236.7532989541141</v>
      </c>
      <c r="T129" s="103">
        <f t="shared" si="33"/>
        <v>2236.7532989541141</v>
      </c>
      <c r="V129" s="49">
        <f t="shared" si="34"/>
        <v>263.90763610253305</v>
      </c>
      <c r="W129" s="49">
        <f t="shared" si="35"/>
        <v>263.90763610253305</v>
      </c>
      <c r="X129" s="49">
        <f t="shared" si="36"/>
        <v>263.90763610253305</v>
      </c>
      <c r="Y129" s="49">
        <f t="shared" si="37"/>
        <v>263.90763610253305</v>
      </c>
      <c r="Z129" s="103">
        <f t="shared" si="38"/>
        <v>263.90763610253305</v>
      </c>
      <c r="AB129" s="49">
        <f t="shared" si="39"/>
        <v>3351.6269785021695</v>
      </c>
      <c r="AC129" s="49">
        <f t="shared" si="40"/>
        <v>2969.3379170622147</v>
      </c>
      <c r="AD129" s="49">
        <f t="shared" si="41"/>
        <v>2634.3798822767303</v>
      </c>
      <c r="AE129" s="49">
        <f t="shared" si="42"/>
        <v>2500.6609350566473</v>
      </c>
      <c r="AF129" s="103">
        <f t="shared" si="43"/>
        <v>2500.6609350566473</v>
      </c>
      <c r="AH129" s="49">
        <f t="shared" si="44"/>
        <v>24358.674812263798</v>
      </c>
      <c r="AI129" s="49">
        <f t="shared" si="45"/>
        <v>21389.336895201584</v>
      </c>
      <c r="AJ129" s="49">
        <f t="shared" si="46"/>
        <v>18754.957012924853</v>
      </c>
      <c r="AK129" s="49">
        <f t="shared" si="47"/>
        <v>16254.296077868206</v>
      </c>
      <c r="AL129" s="103">
        <f t="shared" si="48"/>
        <v>13753.635142811559</v>
      </c>
      <c r="AN129" s="53">
        <f t="shared" si="49"/>
        <v>4350.3326458049851</v>
      </c>
      <c r="AO129" s="53">
        <f t="shared" si="50"/>
        <v>4060.1940987174958</v>
      </c>
      <c r="AP129" s="53">
        <f t="shared" si="51"/>
        <v>3347.0682487678746</v>
      </c>
      <c r="AQ129" s="53">
        <f t="shared" si="52"/>
        <v>3118.324186015639</v>
      </c>
      <c r="AR129" s="203">
        <f t="shared" si="53"/>
        <v>3023.2990704834865</v>
      </c>
      <c r="AY129" s="3"/>
    </row>
    <row r="130" spans="1:51">
      <c r="A130" s="54"/>
      <c r="B130" s="43">
        <f>'13. Desinvesteringen'!B414</f>
        <v>395</v>
      </c>
      <c r="C130" s="54"/>
      <c r="D130" s="54"/>
      <c r="E130" s="54"/>
      <c r="F130" s="48">
        <f>'5. Input GAW-waarde desinv.'!D90</f>
        <v>9353.7976978691713</v>
      </c>
      <c r="G130" s="187">
        <f>'13. Desinvesteringen'!D414</f>
        <v>1978</v>
      </c>
      <c r="H130" s="187">
        <f>'13. Desinvesteringen'!G414</f>
        <v>2022</v>
      </c>
      <c r="I130" s="43" t="str">
        <f>'13. Desinvesteringen'!C414</f>
        <v>21 Hoofdtransportleiding</v>
      </c>
      <c r="J130" s="176">
        <f>'13. Desinvesteringen'!F414</f>
        <v>0</v>
      </c>
      <c r="K130" s="44">
        <f>_xlfn.XLOOKUP(I130,'3. Input (des)investeringen '!$B$11:$B$81,'3. Input (des)investeringen '!$E$11:$E$81)</f>
        <v>1</v>
      </c>
      <c r="L130" s="54"/>
      <c r="M130" s="44">
        <f>_xlfn.XLOOKUP(I130,'3. Input (des)investeringen '!$B$11:$B$81,'3. Input (des)investeringen '!$D$11:$D$81,0)</f>
        <v>55</v>
      </c>
      <c r="N130" s="44">
        <f t="shared" si="32"/>
        <v>11.5</v>
      </c>
      <c r="P130" s="49">
        <f t="shared" si="33"/>
        <v>951.64724404408094</v>
      </c>
      <c r="Q130" s="49">
        <f t="shared" si="33"/>
        <v>844.06972949996748</v>
      </c>
      <c r="R130" s="49">
        <f t="shared" si="33"/>
        <v>748.65315138257984</v>
      </c>
      <c r="S130" s="49">
        <f t="shared" si="33"/>
        <v>691.06444743007376</v>
      </c>
      <c r="T130" s="103">
        <f t="shared" si="33"/>
        <v>691.06444743007376</v>
      </c>
      <c r="V130" s="49">
        <f t="shared" si="34"/>
        <v>81.33737128581889</v>
      </c>
      <c r="W130" s="49">
        <f t="shared" si="35"/>
        <v>81.33737128581889</v>
      </c>
      <c r="X130" s="49">
        <f t="shared" si="36"/>
        <v>81.33737128581889</v>
      </c>
      <c r="Y130" s="49">
        <f t="shared" si="37"/>
        <v>81.33737128581889</v>
      </c>
      <c r="Z130" s="103">
        <f t="shared" si="38"/>
        <v>81.33737128581889</v>
      </c>
      <c r="AB130" s="49">
        <f t="shared" si="39"/>
        <v>1032.9846153298997</v>
      </c>
      <c r="AC130" s="49">
        <f t="shared" si="40"/>
        <v>925.40710078578638</v>
      </c>
      <c r="AD130" s="49">
        <f t="shared" si="41"/>
        <v>829.99052266839874</v>
      </c>
      <c r="AE130" s="49">
        <f t="shared" si="42"/>
        <v>772.40181871589266</v>
      </c>
      <c r="AF130" s="103">
        <f t="shared" si="43"/>
        <v>772.40181871589266</v>
      </c>
      <c r="AH130" s="49">
        <f t="shared" si="44"/>
        <v>8320.8130825392709</v>
      </c>
      <c r="AI130" s="49">
        <f t="shared" si="45"/>
        <v>7395.4059817534844</v>
      </c>
      <c r="AJ130" s="49">
        <f t="shared" si="46"/>
        <v>6565.4154590850858</v>
      </c>
      <c r="AK130" s="49">
        <f t="shared" si="47"/>
        <v>5793.0136403691931</v>
      </c>
      <c r="AL130" s="103">
        <f t="shared" si="48"/>
        <v>5020.6118216533005</v>
      </c>
      <c r="AN130" s="53">
        <f t="shared" si="49"/>
        <v>1374.1379517140099</v>
      </c>
      <c r="AO130" s="53">
        <f t="shared" si="50"/>
        <v>1302.572805855214</v>
      </c>
      <c r="AP130" s="53">
        <f t="shared" si="51"/>
        <v>1079.4763101136321</v>
      </c>
      <c r="AQ130" s="53">
        <f t="shared" si="52"/>
        <v>992.53633704992194</v>
      </c>
      <c r="AR130" s="203">
        <f t="shared" si="53"/>
        <v>963.18506793871802</v>
      </c>
      <c r="AY130" s="3"/>
    </row>
    <row r="131" spans="1:51">
      <c r="A131" s="54"/>
      <c r="B131" s="43">
        <f>'13. Desinvesteringen'!B415</f>
        <v>396</v>
      </c>
      <c r="C131" s="54"/>
      <c r="D131" s="54"/>
      <c r="E131" s="54"/>
      <c r="F131" s="48">
        <f>'5. Input GAW-waarde desinv.'!D91</f>
        <v>27670.188323616749</v>
      </c>
      <c r="G131" s="187">
        <f>'13. Desinvesteringen'!D415</f>
        <v>1983</v>
      </c>
      <c r="H131" s="187">
        <f>'13. Desinvesteringen'!G415</f>
        <v>2022</v>
      </c>
      <c r="I131" s="43" t="str">
        <f>'13. Desinvesteringen'!C415</f>
        <v>21 Hoofdtransportleiding</v>
      </c>
      <c r="J131" s="176">
        <f>'13. Desinvesteringen'!F415</f>
        <v>0</v>
      </c>
      <c r="K131" s="44">
        <f>_xlfn.XLOOKUP(I131,'3. Input (des)investeringen '!$B$11:$B$81,'3. Input (des)investeringen '!$E$11:$E$81)</f>
        <v>1</v>
      </c>
      <c r="L131" s="54"/>
      <c r="M131" s="44">
        <f>_xlfn.XLOOKUP(I131,'3. Input (des)investeringen '!$B$11:$B$81,'3. Input (des)investeringen '!$D$11:$D$81,0)</f>
        <v>55</v>
      </c>
      <c r="N131" s="44">
        <f t="shared" si="32"/>
        <v>16.5</v>
      </c>
      <c r="P131" s="49">
        <f t="shared" si="33"/>
        <v>1962.0678993110062</v>
      </c>
      <c r="Q131" s="49">
        <f t="shared" si="33"/>
        <v>1807.4807314865025</v>
      </c>
      <c r="R131" s="49">
        <f t="shared" si="33"/>
        <v>1665.0731587027176</v>
      </c>
      <c r="S131" s="49">
        <f t="shared" si="33"/>
        <v>1533.8855765018973</v>
      </c>
      <c r="T131" s="103">
        <f t="shared" si="33"/>
        <v>1434.7729700202362</v>
      </c>
      <c r="V131" s="49">
        <f t="shared" si="34"/>
        <v>167.69811105222274</v>
      </c>
      <c r="W131" s="49">
        <f t="shared" si="35"/>
        <v>167.69811105222271</v>
      </c>
      <c r="X131" s="49">
        <f t="shared" si="36"/>
        <v>167.69811105222271</v>
      </c>
      <c r="Y131" s="49">
        <f t="shared" si="37"/>
        <v>167.69811105222271</v>
      </c>
      <c r="Z131" s="103">
        <f t="shared" si="38"/>
        <v>167.69811105222271</v>
      </c>
      <c r="AB131" s="49">
        <f t="shared" si="39"/>
        <v>2129.7660103632288</v>
      </c>
      <c r="AC131" s="49">
        <f t="shared" si="40"/>
        <v>1975.1788425387251</v>
      </c>
      <c r="AD131" s="49">
        <f t="shared" si="41"/>
        <v>1832.7712697549402</v>
      </c>
      <c r="AE131" s="49">
        <f t="shared" si="42"/>
        <v>1701.5836875541199</v>
      </c>
      <c r="AF131" s="103">
        <f t="shared" si="43"/>
        <v>1602.4710810724589</v>
      </c>
      <c r="AH131" s="49">
        <f t="shared" si="44"/>
        <v>25540.422313253519</v>
      </c>
      <c r="AI131" s="49">
        <f t="shared" si="45"/>
        <v>23565.243470714795</v>
      </c>
      <c r="AJ131" s="49">
        <f t="shared" si="46"/>
        <v>21732.472200959855</v>
      </c>
      <c r="AK131" s="49">
        <f t="shared" si="47"/>
        <v>20030.888513405735</v>
      </c>
      <c r="AL131" s="103">
        <f t="shared" si="48"/>
        <v>18428.417432333277</v>
      </c>
      <c r="AN131" s="53">
        <f t="shared" si="49"/>
        <v>3176.9233252066233</v>
      </c>
      <c r="AO131" s="53">
        <f t="shared" si="50"/>
        <v>3177.0062595451795</v>
      </c>
      <c r="AP131" s="53">
        <f t="shared" si="51"/>
        <v>2658.6052133914145</v>
      </c>
      <c r="AQ131" s="53">
        <f t="shared" si="52"/>
        <v>2462.7574510635377</v>
      </c>
      <c r="AR131" s="203">
        <f t="shared" si="53"/>
        <v>2302.7509435011234</v>
      </c>
      <c r="AY131" s="3"/>
    </row>
    <row r="132" spans="1:51">
      <c r="A132" s="54"/>
      <c r="B132" s="43">
        <f>'13. Desinvesteringen'!B416</f>
        <v>397</v>
      </c>
      <c r="C132" s="54"/>
      <c r="D132" s="54"/>
      <c r="E132" s="54"/>
      <c r="F132" s="48">
        <f>'5. Input GAW-waarde desinv.'!D92</f>
        <v>65069.242178936642</v>
      </c>
      <c r="G132" s="187">
        <f>'13. Desinvesteringen'!D416</f>
        <v>1987</v>
      </c>
      <c r="H132" s="187">
        <f>'13. Desinvesteringen'!G416</f>
        <v>2022</v>
      </c>
      <c r="I132" s="43" t="str">
        <f>'13. Desinvesteringen'!C416</f>
        <v>21 Hoofdtransportleiding</v>
      </c>
      <c r="J132" s="176">
        <f>'13. Desinvesteringen'!F416</f>
        <v>0</v>
      </c>
      <c r="K132" s="44">
        <f>_xlfn.XLOOKUP(I132,'3. Input (des)investeringen '!$B$11:$B$81,'3. Input (des)investeringen '!$E$11:$E$81)</f>
        <v>1</v>
      </c>
      <c r="L132" s="54"/>
      <c r="M132" s="44">
        <f>_xlfn.XLOOKUP(I132,'3. Input (des)investeringen '!$B$11:$B$81,'3. Input (des)investeringen '!$D$11:$D$81,0)</f>
        <v>55</v>
      </c>
      <c r="N132" s="44">
        <f t="shared" si="32"/>
        <v>20.5</v>
      </c>
      <c r="P132" s="49">
        <f t="shared" si="33"/>
        <v>3713.7079682612616</v>
      </c>
      <c r="Q132" s="49">
        <f t="shared" si="33"/>
        <v>3478.2045361276209</v>
      </c>
      <c r="R132" s="49">
        <f t="shared" si="33"/>
        <v>3257.6354679829424</v>
      </c>
      <c r="S132" s="49">
        <f t="shared" si="33"/>
        <v>3051.0537065986582</v>
      </c>
      <c r="T132" s="103">
        <f t="shared" si="33"/>
        <v>2857.572252033865</v>
      </c>
      <c r="V132" s="49">
        <f t="shared" si="34"/>
        <v>317.41093745822758</v>
      </c>
      <c r="W132" s="49">
        <f t="shared" si="35"/>
        <v>317.41093745822758</v>
      </c>
      <c r="X132" s="49">
        <f t="shared" si="36"/>
        <v>317.41093745822758</v>
      </c>
      <c r="Y132" s="49">
        <f t="shared" si="37"/>
        <v>317.41093745822758</v>
      </c>
      <c r="Z132" s="103">
        <f t="shared" si="38"/>
        <v>317.41093745822758</v>
      </c>
      <c r="AB132" s="49">
        <f t="shared" si="39"/>
        <v>4031.1189057194892</v>
      </c>
      <c r="AC132" s="49">
        <f t="shared" si="40"/>
        <v>3795.6154735858486</v>
      </c>
      <c r="AD132" s="49">
        <f t="shared" si="41"/>
        <v>3575.04640544117</v>
      </c>
      <c r="AE132" s="49">
        <f t="shared" si="42"/>
        <v>3368.4646440568858</v>
      </c>
      <c r="AF132" s="103">
        <f t="shared" si="43"/>
        <v>3174.9831894920926</v>
      </c>
      <c r="AH132" s="49">
        <f t="shared" si="44"/>
        <v>61038.123273217156</v>
      </c>
      <c r="AI132" s="49">
        <f t="shared" si="45"/>
        <v>57242.507799631305</v>
      </c>
      <c r="AJ132" s="49">
        <f t="shared" si="46"/>
        <v>53667.461394190133</v>
      </c>
      <c r="AK132" s="49">
        <f t="shared" si="47"/>
        <v>50298.99675013325</v>
      </c>
      <c r="AL132" s="103">
        <f t="shared" si="48"/>
        <v>47124.013560641157</v>
      </c>
      <c r="AN132" s="53">
        <f t="shared" si="49"/>
        <v>6533.6819599213923</v>
      </c>
      <c r="AO132" s="53">
        <f t="shared" si="50"/>
        <v>6714.983371367045</v>
      </c>
      <c r="AP132" s="53">
        <f t="shared" si="51"/>
        <v>5614.4099384203946</v>
      </c>
      <c r="AQ132" s="53">
        <f t="shared" si="52"/>
        <v>5279.8265205619491</v>
      </c>
      <c r="AR132" s="203">
        <f t="shared" si="53"/>
        <v>4965.695704796457</v>
      </c>
      <c r="AY132" s="3"/>
    </row>
    <row r="133" spans="1:51">
      <c r="A133" s="54"/>
      <c r="B133" s="43">
        <f>'13. Desinvesteringen'!B417</f>
        <v>398</v>
      </c>
      <c r="C133" s="54"/>
      <c r="D133" s="54"/>
      <c r="E133" s="54"/>
      <c r="F133" s="48">
        <f>'5. Input GAW-waarde desinv.'!D93</f>
        <v>0</v>
      </c>
      <c r="G133" s="187">
        <f>'13. Desinvesteringen'!D417</f>
        <v>1964</v>
      </c>
      <c r="H133" s="187">
        <f>'13. Desinvesteringen'!G417</f>
        <v>2022</v>
      </c>
      <c r="I133" s="43" t="str">
        <f>'13. Desinvesteringen'!C417</f>
        <v>32 M&amp;R stations</v>
      </c>
      <c r="J133" s="176">
        <f>'13. Desinvesteringen'!F417</f>
        <v>0</v>
      </c>
      <c r="K133" s="44">
        <f>_xlfn.XLOOKUP(I133,'3. Input (des)investeringen '!$B$11:$B$81,'3. Input (des)investeringen '!$E$11:$E$81)</f>
        <v>1</v>
      </c>
      <c r="L133" s="54"/>
      <c r="M133" s="44">
        <f>_xlfn.XLOOKUP(I133,'3. Input (des)investeringen '!$B$11:$B$81,'3. Input (des)investeringen '!$D$11:$D$81,0)</f>
        <v>30</v>
      </c>
      <c r="N133" s="44">
        <f t="shared" si="32"/>
        <v>0</v>
      </c>
      <c r="P133" s="49">
        <f t="shared" si="33"/>
        <v>0</v>
      </c>
      <c r="Q133" s="49">
        <f t="shared" si="33"/>
        <v>0</v>
      </c>
      <c r="R133" s="49">
        <f t="shared" si="33"/>
        <v>0</v>
      </c>
      <c r="S133" s="49">
        <f t="shared" si="33"/>
        <v>0</v>
      </c>
      <c r="T133" s="103">
        <f t="shared" si="33"/>
        <v>0</v>
      </c>
      <c r="V133" s="49">
        <f t="shared" si="34"/>
        <v>0</v>
      </c>
      <c r="W133" s="49">
        <f t="shared" si="35"/>
        <v>0</v>
      </c>
      <c r="X133" s="49">
        <f t="shared" si="36"/>
        <v>0</v>
      </c>
      <c r="Y133" s="49">
        <f t="shared" si="37"/>
        <v>0</v>
      </c>
      <c r="Z133" s="103">
        <f t="shared" si="38"/>
        <v>0</v>
      </c>
      <c r="AB133" s="49">
        <f t="shared" si="39"/>
        <v>0</v>
      </c>
      <c r="AC133" s="49">
        <f t="shared" si="40"/>
        <v>0</v>
      </c>
      <c r="AD133" s="49">
        <f t="shared" si="41"/>
        <v>0</v>
      </c>
      <c r="AE133" s="49">
        <f t="shared" si="42"/>
        <v>0</v>
      </c>
      <c r="AF133" s="103">
        <f t="shared" si="43"/>
        <v>0</v>
      </c>
      <c r="AH133" s="49">
        <f t="shared" si="44"/>
        <v>0</v>
      </c>
      <c r="AI133" s="49">
        <f t="shared" si="45"/>
        <v>0</v>
      </c>
      <c r="AJ133" s="49">
        <f t="shared" si="46"/>
        <v>0</v>
      </c>
      <c r="AK133" s="49">
        <f t="shared" si="47"/>
        <v>0</v>
      </c>
      <c r="AL133" s="103">
        <f t="shared" si="48"/>
        <v>0</v>
      </c>
      <c r="AN133" s="53">
        <f t="shared" si="49"/>
        <v>0</v>
      </c>
      <c r="AO133" s="53">
        <f t="shared" si="50"/>
        <v>0</v>
      </c>
      <c r="AP133" s="53">
        <f t="shared" si="51"/>
        <v>0</v>
      </c>
      <c r="AQ133" s="53">
        <f t="shared" si="52"/>
        <v>0</v>
      </c>
      <c r="AR133" s="203">
        <f t="shared" si="53"/>
        <v>0</v>
      </c>
      <c r="AY133" s="3"/>
    </row>
    <row r="134" spans="1:51">
      <c r="A134" s="54"/>
      <c r="B134" s="43">
        <f>'13. Desinvesteringen'!B418</f>
        <v>399</v>
      </c>
      <c r="C134" s="54"/>
      <c r="D134" s="54"/>
      <c r="E134" s="54"/>
      <c r="F134" s="48">
        <f>'5. Input GAW-waarde desinv.'!D94</f>
        <v>0</v>
      </c>
      <c r="G134" s="187">
        <f>'13. Desinvesteringen'!D418</f>
        <v>1967</v>
      </c>
      <c r="H134" s="187">
        <f>'13. Desinvesteringen'!G418</f>
        <v>2022</v>
      </c>
      <c r="I134" s="43" t="str">
        <f>'13. Desinvesteringen'!C418</f>
        <v>32 M&amp;R stations</v>
      </c>
      <c r="J134" s="176">
        <f>'13. Desinvesteringen'!F418</f>
        <v>0</v>
      </c>
      <c r="K134" s="44">
        <f>_xlfn.XLOOKUP(I134,'3. Input (des)investeringen '!$B$11:$B$81,'3. Input (des)investeringen '!$E$11:$E$81)</f>
        <v>1</v>
      </c>
      <c r="L134" s="54"/>
      <c r="M134" s="44">
        <f>_xlfn.XLOOKUP(I134,'3. Input (des)investeringen '!$B$11:$B$81,'3. Input (des)investeringen '!$D$11:$D$81,0)</f>
        <v>30</v>
      </c>
      <c r="N134" s="44">
        <f t="shared" si="32"/>
        <v>0</v>
      </c>
      <c r="P134" s="49">
        <f t="shared" si="33"/>
        <v>0</v>
      </c>
      <c r="Q134" s="49">
        <f t="shared" si="33"/>
        <v>0</v>
      </c>
      <c r="R134" s="49">
        <f t="shared" si="33"/>
        <v>0</v>
      </c>
      <c r="S134" s="49">
        <f t="shared" si="33"/>
        <v>0</v>
      </c>
      <c r="T134" s="103">
        <f t="shared" si="33"/>
        <v>0</v>
      </c>
      <c r="V134" s="49">
        <f t="shared" si="34"/>
        <v>0</v>
      </c>
      <c r="W134" s="49">
        <f t="shared" si="35"/>
        <v>0</v>
      </c>
      <c r="X134" s="49">
        <f t="shared" si="36"/>
        <v>0</v>
      </c>
      <c r="Y134" s="49">
        <f t="shared" si="37"/>
        <v>0</v>
      </c>
      <c r="Z134" s="103">
        <f t="shared" si="38"/>
        <v>0</v>
      </c>
      <c r="AB134" s="49">
        <f t="shared" si="39"/>
        <v>0</v>
      </c>
      <c r="AC134" s="49">
        <f t="shared" si="40"/>
        <v>0</v>
      </c>
      <c r="AD134" s="49">
        <f t="shared" si="41"/>
        <v>0</v>
      </c>
      <c r="AE134" s="49">
        <f t="shared" si="42"/>
        <v>0</v>
      </c>
      <c r="AF134" s="103">
        <f t="shared" si="43"/>
        <v>0</v>
      </c>
      <c r="AH134" s="49">
        <f t="shared" si="44"/>
        <v>0</v>
      </c>
      <c r="AI134" s="49">
        <f t="shared" si="45"/>
        <v>0</v>
      </c>
      <c r="AJ134" s="49">
        <f t="shared" si="46"/>
        <v>0</v>
      </c>
      <c r="AK134" s="49">
        <f t="shared" si="47"/>
        <v>0</v>
      </c>
      <c r="AL134" s="103">
        <f t="shared" si="48"/>
        <v>0</v>
      </c>
      <c r="AN134" s="53">
        <f t="shared" si="49"/>
        <v>0</v>
      </c>
      <c r="AO134" s="53">
        <f t="shared" si="50"/>
        <v>0</v>
      </c>
      <c r="AP134" s="53">
        <f t="shared" si="51"/>
        <v>0</v>
      </c>
      <c r="AQ134" s="53">
        <f t="shared" si="52"/>
        <v>0</v>
      </c>
      <c r="AR134" s="203">
        <f t="shared" si="53"/>
        <v>0</v>
      </c>
      <c r="AY134" s="3"/>
    </row>
    <row r="135" spans="1:51">
      <c r="A135" s="54"/>
      <c r="B135" s="43">
        <f>'13. Desinvesteringen'!B419</f>
        <v>400</v>
      </c>
      <c r="C135" s="54"/>
      <c r="D135" s="54"/>
      <c r="E135" s="54"/>
      <c r="F135" s="48">
        <f>'5. Input GAW-waarde desinv.'!D95</f>
        <v>0</v>
      </c>
      <c r="G135" s="187">
        <f>'13. Desinvesteringen'!D419</f>
        <v>1968</v>
      </c>
      <c r="H135" s="187">
        <f>'13. Desinvesteringen'!G419</f>
        <v>2022</v>
      </c>
      <c r="I135" s="43" t="str">
        <f>'13. Desinvesteringen'!C419</f>
        <v>32 M&amp;R stations</v>
      </c>
      <c r="J135" s="176">
        <f>'13. Desinvesteringen'!F419</f>
        <v>0</v>
      </c>
      <c r="K135" s="44">
        <f>_xlfn.XLOOKUP(I135,'3. Input (des)investeringen '!$B$11:$B$81,'3. Input (des)investeringen '!$E$11:$E$81)</f>
        <v>1</v>
      </c>
      <c r="L135" s="54"/>
      <c r="M135" s="44">
        <f>_xlfn.XLOOKUP(I135,'3. Input (des)investeringen '!$B$11:$B$81,'3. Input (des)investeringen '!$D$11:$D$81,0)</f>
        <v>30</v>
      </c>
      <c r="N135" s="44">
        <f t="shared" si="32"/>
        <v>0</v>
      </c>
      <c r="P135" s="49">
        <f t="shared" si="33"/>
        <v>0</v>
      </c>
      <c r="Q135" s="49">
        <f t="shared" si="33"/>
        <v>0</v>
      </c>
      <c r="R135" s="49">
        <f t="shared" si="33"/>
        <v>0</v>
      </c>
      <c r="S135" s="49">
        <f t="shared" si="33"/>
        <v>0</v>
      </c>
      <c r="T135" s="103">
        <f t="shared" si="33"/>
        <v>0</v>
      </c>
      <c r="V135" s="49">
        <f t="shared" si="34"/>
        <v>0</v>
      </c>
      <c r="W135" s="49">
        <f t="shared" si="35"/>
        <v>0</v>
      </c>
      <c r="X135" s="49">
        <f t="shared" si="36"/>
        <v>0</v>
      </c>
      <c r="Y135" s="49">
        <f t="shared" si="37"/>
        <v>0</v>
      </c>
      <c r="Z135" s="103">
        <f t="shared" si="38"/>
        <v>0</v>
      </c>
      <c r="AB135" s="49">
        <f t="shared" si="39"/>
        <v>0</v>
      </c>
      <c r="AC135" s="49">
        <f t="shared" si="40"/>
        <v>0</v>
      </c>
      <c r="AD135" s="49">
        <f t="shared" si="41"/>
        <v>0</v>
      </c>
      <c r="AE135" s="49">
        <f t="shared" si="42"/>
        <v>0</v>
      </c>
      <c r="AF135" s="103">
        <f t="shared" si="43"/>
        <v>0</v>
      </c>
      <c r="AH135" s="49">
        <f t="shared" si="44"/>
        <v>0</v>
      </c>
      <c r="AI135" s="49">
        <f t="shared" si="45"/>
        <v>0</v>
      </c>
      <c r="AJ135" s="49">
        <f t="shared" si="46"/>
        <v>0</v>
      </c>
      <c r="AK135" s="49">
        <f t="shared" si="47"/>
        <v>0</v>
      </c>
      <c r="AL135" s="103">
        <f t="shared" si="48"/>
        <v>0</v>
      </c>
      <c r="AN135" s="53">
        <f t="shared" si="49"/>
        <v>0</v>
      </c>
      <c r="AO135" s="53">
        <f t="shared" si="50"/>
        <v>0</v>
      </c>
      <c r="AP135" s="53">
        <f t="shared" si="51"/>
        <v>0</v>
      </c>
      <c r="AQ135" s="53">
        <f t="shared" si="52"/>
        <v>0</v>
      </c>
      <c r="AR135" s="203">
        <f t="shared" si="53"/>
        <v>0</v>
      </c>
      <c r="AY135" s="3"/>
    </row>
    <row r="136" spans="1:51">
      <c r="A136" s="54"/>
      <c r="B136" s="43">
        <f>'13. Desinvesteringen'!B420</f>
        <v>401</v>
      </c>
      <c r="C136" s="54"/>
      <c r="D136" s="54"/>
      <c r="E136" s="54"/>
      <c r="F136" s="48">
        <f>'5. Input GAW-waarde desinv.'!D96</f>
        <v>0</v>
      </c>
      <c r="G136" s="187">
        <f>'13. Desinvesteringen'!D420</f>
        <v>1969</v>
      </c>
      <c r="H136" s="187">
        <f>'13. Desinvesteringen'!G420</f>
        <v>2022</v>
      </c>
      <c r="I136" s="43" t="str">
        <f>'13. Desinvesteringen'!C420</f>
        <v>32 M&amp;R stations</v>
      </c>
      <c r="J136" s="176">
        <f>'13. Desinvesteringen'!F420</f>
        <v>0</v>
      </c>
      <c r="K136" s="44">
        <f>_xlfn.XLOOKUP(I136,'3. Input (des)investeringen '!$B$11:$B$81,'3. Input (des)investeringen '!$E$11:$E$81)</f>
        <v>1</v>
      </c>
      <c r="L136" s="54"/>
      <c r="M136" s="44">
        <f>_xlfn.XLOOKUP(I136,'3. Input (des)investeringen '!$B$11:$B$81,'3. Input (des)investeringen '!$D$11:$D$81,0)</f>
        <v>30</v>
      </c>
      <c r="N136" s="44">
        <f t="shared" si="32"/>
        <v>0</v>
      </c>
      <c r="P136" s="49">
        <f t="shared" si="33"/>
        <v>0</v>
      </c>
      <c r="Q136" s="49">
        <f t="shared" si="33"/>
        <v>0</v>
      </c>
      <c r="R136" s="49">
        <f t="shared" si="33"/>
        <v>0</v>
      </c>
      <c r="S136" s="49">
        <f t="shared" si="33"/>
        <v>0</v>
      </c>
      <c r="T136" s="103">
        <f t="shared" si="33"/>
        <v>0</v>
      </c>
      <c r="V136" s="49">
        <f t="shared" si="34"/>
        <v>0</v>
      </c>
      <c r="W136" s="49">
        <f t="shared" si="35"/>
        <v>0</v>
      </c>
      <c r="X136" s="49">
        <f t="shared" si="36"/>
        <v>0</v>
      </c>
      <c r="Y136" s="49">
        <f t="shared" si="37"/>
        <v>0</v>
      </c>
      <c r="Z136" s="103">
        <f t="shared" si="38"/>
        <v>0</v>
      </c>
      <c r="AB136" s="49">
        <f t="shared" si="39"/>
        <v>0</v>
      </c>
      <c r="AC136" s="49">
        <f t="shared" si="40"/>
        <v>0</v>
      </c>
      <c r="AD136" s="49">
        <f t="shared" si="41"/>
        <v>0</v>
      </c>
      <c r="AE136" s="49">
        <f t="shared" si="42"/>
        <v>0</v>
      </c>
      <c r="AF136" s="103">
        <f t="shared" si="43"/>
        <v>0</v>
      </c>
      <c r="AH136" s="49">
        <f t="shared" si="44"/>
        <v>0</v>
      </c>
      <c r="AI136" s="49">
        <f t="shared" si="45"/>
        <v>0</v>
      </c>
      <c r="AJ136" s="49">
        <f t="shared" si="46"/>
        <v>0</v>
      </c>
      <c r="AK136" s="49">
        <f t="shared" si="47"/>
        <v>0</v>
      </c>
      <c r="AL136" s="103">
        <f t="shared" si="48"/>
        <v>0</v>
      </c>
      <c r="AN136" s="53">
        <f t="shared" si="49"/>
        <v>0</v>
      </c>
      <c r="AO136" s="53">
        <f t="shared" si="50"/>
        <v>0</v>
      </c>
      <c r="AP136" s="53">
        <f t="shared" si="51"/>
        <v>0</v>
      </c>
      <c r="AQ136" s="53">
        <f t="shared" si="52"/>
        <v>0</v>
      </c>
      <c r="AR136" s="203">
        <f t="shared" si="53"/>
        <v>0</v>
      </c>
      <c r="AY136" s="3"/>
    </row>
    <row r="137" spans="1:51">
      <c r="A137" s="54"/>
      <c r="B137" s="43">
        <f>'13. Desinvesteringen'!B421</f>
        <v>402</v>
      </c>
      <c r="C137" s="54"/>
      <c r="D137" s="54"/>
      <c r="E137" s="54"/>
      <c r="F137" s="48">
        <f>'5. Input GAW-waarde desinv.'!D97</f>
        <v>0</v>
      </c>
      <c r="G137" s="187">
        <f>'13. Desinvesteringen'!D421</f>
        <v>1972</v>
      </c>
      <c r="H137" s="187">
        <f>'13. Desinvesteringen'!G421</f>
        <v>2022</v>
      </c>
      <c r="I137" s="43" t="str">
        <f>'13. Desinvesteringen'!C421</f>
        <v>32 M&amp;R stations</v>
      </c>
      <c r="J137" s="176">
        <f>'13. Desinvesteringen'!F421</f>
        <v>0</v>
      </c>
      <c r="K137" s="44">
        <f>_xlfn.XLOOKUP(I137,'3. Input (des)investeringen '!$B$11:$B$81,'3. Input (des)investeringen '!$E$11:$E$81)</f>
        <v>1</v>
      </c>
      <c r="L137" s="54"/>
      <c r="M137" s="44">
        <f>_xlfn.XLOOKUP(I137,'3. Input (des)investeringen '!$B$11:$B$81,'3. Input (des)investeringen '!$D$11:$D$81,0)</f>
        <v>30</v>
      </c>
      <c r="N137" s="44">
        <f t="shared" si="32"/>
        <v>0</v>
      </c>
      <c r="P137" s="49">
        <f t="shared" si="33"/>
        <v>0</v>
      </c>
      <c r="Q137" s="49">
        <f t="shared" si="33"/>
        <v>0</v>
      </c>
      <c r="R137" s="49">
        <f t="shared" si="33"/>
        <v>0</v>
      </c>
      <c r="S137" s="49">
        <f t="shared" si="33"/>
        <v>0</v>
      </c>
      <c r="T137" s="103">
        <f t="shared" si="33"/>
        <v>0</v>
      </c>
      <c r="V137" s="49">
        <f t="shared" si="34"/>
        <v>0</v>
      </c>
      <c r="W137" s="49">
        <f t="shared" si="35"/>
        <v>0</v>
      </c>
      <c r="X137" s="49">
        <f t="shared" si="36"/>
        <v>0</v>
      </c>
      <c r="Y137" s="49">
        <f t="shared" si="37"/>
        <v>0</v>
      </c>
      <c r="Z137" s="103">
        <f t="shared" si="38"/>
        <v>0</v>
      </c>
      <c r="AB137" s="49">
        <f t="shared" si="39"/>
        <v>0</v>
      </c>
      <c r="AC137" s="49">
        <f t="shared" si="40"/>
        <v>0</v>
      </c>
      <c r="AD137" s="49">
        <f t="shared" si="41"/>
        <v>0</v>
      </c>
      <c r="AE137" s="49">
        <f t="shared" si="42"/>
        <v>0</v>
      </c>
      <c r="AF137" s="103">
        <f t="shared" si="43"/>
        <v>0</v>
      </c>
      <c r="AH137" s="49">
        <f t="shared" si="44"/>
        <v>0</v>
      </c>
      <c r="AI137" s="49">
        <f t="shared" si="45"/>
        <v>0</v>
      </c>
      <c r="AJ137" s="49">
        <f t="shared" si="46"/>
        <v>0</v>
      </c>
      <c r="AK137" s="49">
        <f t="shared" si="47"/>
        <v>0</v>
      </c>
      <c r="AL137" s="103">
        <f t="shared" si="48"/>
        <v>0</v>
      </c>
      <c r="AN137" s="53">
        <f t="shared" si="49"/>
        <v>0</v>
      </c>
      <c r="AO137" s="53">
        <f t="shared" si="50"/>
        <v>0</v>
      </c>
      <c r="AP137" s="53">
        <f t="shared" si="51"/>
        <v>0</v>
      </c>
      <c r="AQ137" s="53">
        <f t="shared" si="52"/>
        <v>0</v>
      </c>
      <c r="AR137" s="203">
        <f t="shared" si="53"/>
        <v>0</v>
      </c>
      <c r="AY137" s="3"/>
    </row>
    <row r="138" spans="1:51">
      <c r="A138" s="54"/>
      <c r="B138" s="43">
        <f>'13. Desinvesteringen'!B422</f>
        <v>403</v>
      </c>
      <c r="C138" s="54"/>
      <c r="D138" s="54"/>
      <c r="E138" s="54"/>
      <c r="F138" s="48">
        <f>'5. Input GAW-waarde desinv.'!D98</f>
        <v>0</v>
      </c>
      <c r="G138" s="187">
        <f>'13. Desinvesteringen'!D422</f>
        <v>1974</v>
      </c>
      <c r="H138" s="187">
        <f>'13. Desinvesteringen'!G422</f>
        <v>2022</v>
      </c>
      <c r="I138" s="43" t="str">
        <f>'13. Desinvesteringen'!C422</f>
        <v>32 M&amp;R stations</v>
      </c>
      <c r="J138" s="176">
        <f>'13. Desinvesteringen'!F422</f>
        <v>0</v>
      </c>
      <c r="K138" s="44">
        <f>_xlfn.XLOOKUP(I138,'3. Input (des)investeringen '!$B$11:$B$81,'3. Input (des)investeringen '!$E$11:$E$81)</f>
        <v>1</v>
      </c>
      <c r="L138" s="54"/>
      <c r="M138" s="44">
        <f>_xlfn.XLOOKUP(I138,'3. Input (des)investeringen '!$B$11:$B$81,'3. Input (des)investeringen '!$D$11:$D$81,0)</f>
        <v>30</v>
      </c>
      <c r="N138" s="44">
        <f t="shared" si="32"/>
        <v>0</v>
      </c>
      <c r="P138" s="49">
        <f t="shared" si="33"/>
        <v>0</v>
      </c>
      <c r="Q138" s="49">
        <f t="shared" si="33"/>
        <v>0</v>
      </c>
      <c r="R138" s="49">
        <f t="shared" si="33"/>
        <v>0</v>
      </c>
      <c r="S138" s="49">
        <f t="shared" si="33"/>
        <v>0</v>
      </c>
      <c r="T138" s="103">
        <f t="shared" si="33"/>
        <v>0</v>
      </c>
      <c r="V138" s="49">
        <f t="shared" si="34"/>
        <v>0</v>
      </c>
      <c r="W138" s="49">
        <f t="shared" si="35"/>
        <v>0</v>
      </c>
      <c r="X138" s="49">
        <f t="shared" si="36"/>
        <v>0</v>
      </c>
      <c r="Y138" s="49">
        <f t="shared" si="37"/>
        <v>0</v>
      </c>
      <c r="Z138" s="103">
        <f t="shared" si="38"/>
        <v>0</v>
      </c>
      <c r="AB138" s="49">
        <f t="shared" si="39"/>
        <v>0</v>
      </c>
      <c r="AC138" s="49">
        <f t="shared" si="40"/>
        <v>0</v>
      </c>
      <c r="AD138" s="49">
        <f t="shared" si="41"/>
        <v>0</v>
      </c>
      <c r="AE138" s="49">
        <f t="shared" si="42"/>
        <v>0</v>
      </c>
      <c r="AF138" s="103">
        <f t="shared" si="43"/>
        <v>0</v>
      </c>
      <c r="AH138" s="49">
        <f t="shared" si="44"/>
        <v>0</v>
      </c>
      <c r="AI138" s="49">
        <f t="shared" si="45"/>
        <v>0</v>
      </c>
      <c r="AJ138" s="49">
        <f t="shared" si="46"/>
        <v>0</v>
      </c>
      <c r="AK138" s="49">
        <f t="shared" si="47"/>
        <v>0</v>
      </c>
      <c r="AL138" s="103">
        <f t="shared" si="48"/>
        <v>0</v>
      </c>
      <c r="AN138" s="53">
        <f t="shared" si="49"/>
        <v>0</v>
      </c>
      <c r="AO138" s="53">
        <f t="shared" si="50"/>
        <v>0</v>
      </c>
      <c r="AP138" s="53">
        <f t="shared" si="51"/>
        <v>0</v>
      </c>
      <c r="AQ138" s="53">
        <f t="shared" si="52"/>
        <v>0</v>
      </c>
      <c r="AR138" s="203">
        <f t="shared" si="53"/>
        <v>0</v>
      </c>
      <c r="AY138" s="3"/>
    </row>
    <row r="139" spans="1:51">
      <c r="A139" s="54"/>
      <c r="B139" s="43">
        <f>'13. Desinvesteringen'!B423</f>
        <v>404</v>
      </c>
      <c r="C139" s="54"/>
      <c r="D139" s="54"/>
      <c r="E139" s="54"/>
      <c r="F139" s="48">
        <f>'5. Input GAW-waarde desinv.'!D99</f>
        <v>0</v>
      </c>
      <c r="G139" s="187">
        <f>'13. Desinvesteringen'!D423</f>
        <v>1978</v>
      </c>
      <c r="H139" s="187">
        <f>'13. Desinvesteringen'!G423</f>
        <v>2022</v>
      </c>
      <c r="I139" s="43" t="str">
        <f>'13. Desinvesteringen'!C423</f>
        <v>32 M&amp;R stations</v>
      </c>
      <c r="J139" s="176">
        <f>'13. Desinvesteringen'!F423</f>
        <v>0</v>
      </c>
      <c r="K139" s="44">
        <f>_xlfn.XLOOKUP(I139,'3. Input (des)investeringen '!$B$11:$B$81,'3. Input (des)investeringen '!$E$11:$E$81)</f>
        <v>1</v>
      </c>
      <c r="L139" s="54"/>
      <c r="M139" s="44">
        <f>_xlfn.XLOOKUP(I139,'3. Input (des)investeringen '!$B$11:$B$81,'3. Input (des)investeringen '!$D$11:$D$81,0)</f>
        <v>30</v>
      </c>
      <c r="N139" s="44">
        <f t="shared" si="32"/>
        <v>0</v>
      </c>
      <c r="P139" s="49">
        <f t="shared" si="33"/>
        <v>0</v>
      </c>
      <c r="Q139" s="49">
        <f t="shared" si="33"/>
        <v>0</v>
      </c>
      <c r="R139" s="49">
        <f t="shared" si="33"/>
        <v>0</v>
      </c>
      <c r="S139" s="49">
        <f t="shared" si="33"/>
        <v>0</v>
      </c>
      <c r="T139" s="103">
        <f t="shared" si="33"/>
        <v>0</v>
      </c>
      <c r="V139" s="49">
        <f t="shared" si="34"/>
        <v>0</v>
      </c>
      <c r="W139" s="49">
        <f t="shared" si="35"/>
        <v>0</v>
      </c>
      <c r="X139" s="49">
        <f t="shared" si="36"/>
        <v>0</v>
      </c>
      <c r="Y139" s="49">
        <f t="shared" si="37"/>
        <v>0</v>
      </c>
      <c r="Z139" s="103">
        <f t="shared" si="38"/>
        <v>0</v>
      </c>
      <c r="AB139" s="49">
        <f t="shared" si="39"/>
        <v>0</v>
      </c>
      <c r="AC139" s="49">
        <f t="shared" si="40"/>
        <v>0</v>
      </c>
      <c r="AD139" s="49">
        <f t="shared" si="41"/>
        <v>0</v>
      </c>
      <c r="AE139" s="49">
        <f t="shared" si="42"/>
        <v>0</v>
      </c>
      <c r="AF139" s="103">
        <f t="shared" si="43"/>
        <v>0</v>
      </c>
      <c r="AH139" s="49">
        <f t="shared" si="44"/>
        <v>0</v>
      </c>
      <c r="AI139" s="49">
        <f t="shared" si="45"/>
        <v>0</v>
      </c>
      <c r="AJ139" s="49">
        <f t="shared" si="46"/>
        <v>0</v>
      </c>
      <c r="AK139" s="49">
        <f t="shared" si="47"/>
        <v>0</v>
      </c>
      <c r="AL139" s="103">
        <f t="shared" si="48"/>
        <v>0</v>
      </c>
      <c r="AN139" s="53">
        <f t="shared" si="49"/>
        <v>0</v>
      </c>
      <c r="AO139" s="53">
        <f t="shared" si="50"/>
        <v>0</v>
      </c>
      <c r="AP139" s="53">
        <f t="shared" si="51"/>
        <v>0</v>
      </c>
      <c r="AQ139" s="53">
        <f t="shared" si="52"/>
        <v>0</v>
      </c>
      <c r="AR139" s="203">
        <f t="shared" si="53"/>
        <v>0</v>
      </c>
      <c r="AY139" s="3"/>
    </row>
    <row r="140" spans="1:51">
      <c r="A140" s="54"/>
      <c r="B140" s="43">
        <f>'13. Desinvesteringen'!B424</f>
        <v>405</v>
      </c>
      <c r="C140" s="54"/>
      <c r="D140" s="54"/>
      <c r="E140" s="54"/>
      <c r="F140" s="48">
        <f>'5. Input GAW-waarde desinv.'!D100</f>
        <v>3006.4882057138966</v>
      </c>
      <c r="G140" s="187">
        <f>'13. Desinvesteringen'!D424</f>
        <v>1995</v>
      </c>
      <c r="H140" s="187">
        <f>'13. Desinvesteringen'!G424</f>
        <v>2022</v>
      </c>
      <c r="I140" s="43" t="str">
        <f>'13. Desinvesteringen'!C424</f>
        <v>32 M&amp;R stations</v>
      </c>
      <c r="J140" s="176">
        <f>'13. Desinvesteringen'!F424</f>
        <v>0</v>
      </c>
      <c r="K140" s="44">
        <f>_xlfn.XLOOKUP(I140,'3. Input (des)investeringen '!$B$11:$B$81,'3. Input (des)investeringen '!$E$11:$E$81)</f>
        <v>1</v>
      </c>
      <c r="L140" s="54"/>
      <c r="M140" s="44">
        <f>_xlfn.XLOOKUP(I140,'3. Input (des)investeringen '!$B$11:$B$81,'3. Input (des)investeringen '!$D$11:$D$81,0)</f>
        <v>30</v>
      </c>
      <c r="N140" s="44">
        <f t="shared" si="32"/>
        <v>3.5</v>
      </c>
      <c r="P140" s="49">
        <f t="shared" si="33"/>
        <v>1005.0260573386455</v>
      </c>
      <c r="Q140" s="49">
        <f t="shared" si="33"/>
        <v>680.32533112154454</v>
      </c>
      <c r="R140" s="49">
        <f t="shared" si="33"/>
        <v>680.32533112154454</v>
      </c>
      <c r="S140" s="49">
        <f t="shared" si="33"/>
        <v>340.16266556077227</v>
      </c>
      <c r="T140" s="103">
        <f t="shared" si="33"/>
        <v>0</v>
      </c>
      <c r="V140" s="49">
        <f t="shared" si="34"/>
        <v>85.899663020397043</v>
      </c>
      <c r="W140" s="49">
        <f t="shared" si="35"/>
        <v>85.899663020397057</v>
      </c>
      <c r="X140" s="49">
        <f t="shared" si="36"/>
        <v>85.899663020397057</v>
      </c>
      <c r="Y140" s="49">
        <f t="shared" si="37"/>
        <v>42.949831510198528</v>
      </c>
      <c r="Z140" s="103">
        <f t="shared" si="38"/>
        <v>0</v>
      </c>
      <c r="AB140" s="49">
        <f t="shared" si="39"/>
        <v>1090.9257203590425</v>
      </c>
      <c r="AC140" s="49">
        <f t="shared" si="40"/>
        <v>766.22499414194158</v>
      </c>
      <c r="AD140" s="49">
        <f t="shared" si="41"/>
        <v>766.22499414194158</v>
      </c>
      <c r="AE140" s="49">
        <f t="shared" si="42"/>
        <v>383.11249707097079</v>
      </c>
      <c r="AF140" s="103">
        <f t="shared" si="43"/>
        <v>0</v>
      </c>
      <c r="AH140" s="49">
        <f t="shared" si="44"/>
        <v>1915.5624853548541</v>
      </c>
      <c r="AI140" s="49">
        <f t="shared" si="45"/>
        <v>1149.3374912129125</v>
      </c>
      <c r="AJ140" s="49">
        <f t="shared" si="46"/>
        <v>383.1124970709709</v>
      </c>
      <c r="AK140" s="49">
        <f t="shared" si="47"/>
        <v>0</v>
      </c>
      <c r="AL140" s="103">
        <f t="shared" si="48"/>
        <v>0</v>
      </c>
      <c r="AN140" s="53">
        <f t="shared" si="49"/>
        <v>1169.4637822585917</v>
      </c>
      <c r="AO140" s="53">
        <f t="shared" si="50"/>
        <v>824.84120619380008</v>
      </c>
      <c r="AP140" s="53">
        <f t="shared" si="51"/>
        <v>780.78326903063851</v>
      </c>
      <c r="AQ140" s="53">
        <f t="shared" si="52"/>
        <v>383.11249707097079</v>
      </c>
      <c r="AR140" s="203">
        <f t="shared" si="53"/>
        <v>0</v>
      </c>
      <c r="AY140" s="3"/>
    </row>
    <row r="141" spans="1:51">
      <c r="A141" s="54"/>
      <c r="B141" s="43">
        <f>'13. Desinvesteringen'!B425</f>
        <v>406</v>
      </c>
      <c r="C141" s="54"/>
      <c r="D141" s="54"/>
      <c r="E141" s="54"/>
      <c r="F141" s="48">
        <f>'5. Input GAW-waarde desinv.'!D101</f>
        <v>303439.87492153718</v>
      </c>
      <c r="G141" s="187">
        <f>'13. Desinvesteringen'!D425</f>
        <v>2012</v>
      </c>
      <c r="H141" s="187">
        <f>'13. Desinvesteringen'!G425</f>
        <v>2022</v>
      </c>
      <c r="I141" s="43" t="str">
        <f>'13. Desinvesteringen'!C425</f>
        <v>32 M&amp;R stations</v>
      </c>
      <c r="J141" s="176">
        <f>'13. Desinvesteringen'!F425</f>
        <v>0</v>
      </c>
      <c r="K141" s="44">
        <f>_xlfn.XLOOKUP(I141,'3. Input (des)investeringen '!$B$11:$B$81,'3. Input (des)investeringen '!$E$11:$E$81)</f>
        <v>1</v>
      </c>
      <c r="L141" s="54"/>
      <c r="M141" s="44">
        <f>_xlfn.XLOOKUP(I141,'3. Input (des)investeringen '!$B$11:$B$81,'3. Input (des)investeringen '!$D$11:$D$81,0)</f>
        <v>30</v>
      </c>
      <c r="N141" s="44">
        <f t="shared" si="32"/>
        <v>20.5</v>
      </c>
      <c r="P141" s="49">
        <f t="shared" si="33"/>
        <v>17318.275788204806</v>
      </c>
      <c r="Q141" s="49">
        <f t="shared" si="33"/>
        <v>16220.043665050354</v>
      </c>
      <c r="R141" s="49">
        <f t="shared" si="33"/>
        <v>15191.455530193502</v>
      </c>
      <c r="S141" s="49">
        <f t="shared" si="33"/>
        <v>14228.094935595866</v>
      </c>
      <c r="T141" s="103">
        <f t="shared" si="33"/>
        <v>13325.825500655641</v>
      </c>
      <c r="V141" s="49">
        <f t="shared" si="34"/>
        <v>1480.1945118123767</v>
      </c>
      <c r="W141" s="49">
        <f t="shared" si="35"/>
        <v>1480.1945118123765</v>
      </c>
      <c r="X141" s="49">
        <f t="shared" si="36"/>
        <v>1480.1945118123765</v>
      </c>
      <c r="Y141" s="49">
        <f t="shared" si="37"/>
        <v>1480.1945118123765</v>
      </c>
      <c r="Z141" s="103">
        <f t="shared" si="38"/>
        <v>1480.1945118123765</v>
      </c>
      <c r="AB141" s="49">
        <f t="shared" si="39"/>
        <v>18798.470300017183</v>
      </c>
      <c r="AC141" s="49">
        <f t="shared" si="40"/>
        <v>17700.238176862731</v>
      </c>
      <c r="AD141" s="49">
        <f t="shared" si="41"/>
        <v>16671.650042005876</v>
      </c>
      <c r="AE141" s="49">
        <f t="shared" si="42"/>
        <v>15708.289447408242</v>
      </c>
      <c r="AF141" s="103">
        <f t="shared" si="43"/>
        <v>14806.020012468018</v>
      </c>
      <c r="AH141" s="49">
        <f t="shared" si="44"/>
        <v>284641.40462152002</v>
      </c>
      <c r="AI141" s="49">
        <f t="shared" si="45"/>
        <v>266941.16644465731</v>
      </c>
      <c r="AJ141" s="49">
        <f t="shared" si="46"/>
        <v>250269.51640265144</v>
      </c>
      <c r="AK141" s="49">
        <f t="shared" si="47"/>
        <v>234561.22695524321</v>
      </c>
      <c r="AL141" s="103">
        <f t="shared" si="48"/>
        <v>219755.2069427752</v>
      </c>
      <c r="AN141" s="53">
        <f t="shared" si="49"/>
        <v>30468.767889499504</v>
      </c>
      <c r="AO141" s="53">
        <f t="shared" si="50"/>
        <v>31314.237665540255</v>
      </c>
      <c r="AP141" s="53">
        <f t="shared" si="51"/>
        <v>26181.891665306634</v>
      </c>
      <c r="AQ141" s="53">
        <f t="shared" si="52"/>
        <v>24621.616071707482</v>
      </c>
      <c r="AR141" s="203">
        <f t="shared" si="53"/>
        <v>23156.717876293475</v>
      </c>
      <c r="AY141" s="3"/>
    </row>
    <row r="142" spans="1:51">
      <c r="A142" s="54"/>
      <c r="B142" s="43">
        <f>'13. Desinvesteringen'!B426</f>
        <v>407</v>
      </c>
      <c r="C142" s="54"/>
      <c r="D142" s="54"/>
      <c r="E142" s="54"/>
      <c r="F142" s="48">
        <f>'5. Input GAW-waarde desinv.'!D102</f>
        <v>0</v>
      </c>
      <c r="G142" s="187">
        <f>'13. Desinvesteringen'!D426</f>
        <v>1986</v>
      </c>
      <c r="H142" s="187">
        <f>'13. Desinvesteringen'!G426</f>
        <v>2022</v>
      </c>
      <c r="I142" s="43" t="str">
        <f>'13. Desinvesteringen'!C426</f>
        <v>34 Reduceerstations</v>
      </c>
      <c r="J142" s="176">
        <f>'13. Desinvesteringen'!F426</f>
        <v>0</v>
      </c>
      <c r="K142" s="44">
        <f>_xlfn.XLOOKUP(I142,'3. Input (des)investeringen '!$B$11:$B$81,'3. Input (des)investeringen '!$E$11:$E$81)</f>
        <v>1</v>
      </c>
      <c r="L142" s="54"/>
      <c r="M142" s="44">
        <f>_xlfn.XLOOKUP(I142,'3. Input (des)investeringen '!$B$11:$B$81,'3. Input (des)investeringen '!$D$11:$D$81,0)</f>
        <v>30</v>
      </c>
      <c r="N142" s="44">
        <f t="shared" si="32"/>
        <v>0</v>
      </c>
      <c r="P142" s="49">
        <f t="shared" si="33"/>
        <v>0</v>
      </c>
      <c r="Q142" s="49">
        <f t="shared" si="33"/>
        <v>0</v>
      </c>
      <c r="R142" s="49">
        <f t="shared" si="33"/>
        <v>0</v>
      </c>
      <c r="S142" s="49">
        <f t="shared" si="33"/>
        <v>0</v>
      </c>
      <c r="T142" s="103">
        <f t="shared" si="33"/>
        <v>0</v>
      </c>
      <c r="V142" s="49">
        <f t="shared" si="34"/>
        <v>0</v>
      </c>
      <c r="W142" s="49">
        <f t="shared" si="35"/>
        <v>0</v>
      </c>
      <c r="X142" s="49">
        <f t="shared" si="36"/>
        <v>0</v>
      </c>
      <c r="Y142" s="49">
        <f t="shared" si="37"/>
        <v>0</v>
      </c>
      <c r="Z142" s="103">
        <f t="shared" si="38"/>
        <v>0</v>
      </c>
      <c r="AB142" s="49">
        <f t="shared" si="39"/>
        <v>0</v>
      </c>
      <c r="AC142" s="49">
        <f t="shared" si="40"/>
        <v>0</v>
      </c>
      <c r="AD142" s="49">
        <f t="shared" si="41"/>
        <v>0</v>
      </c>
      <c r="AE142" s="49">
        <f t="shared" si="42"/>
        <v>0</v>
      </c>
      <c r="AF142" s="103">
        <f t="shared" si="43"/>
        <v>0</v>
      </c>
      <c r="AH142" s="49">
        <f t="shared" si="44"/>
        <v>0</v>
      </c>
      <c r="AI142" s="49">
        <f t="shared" si="45"/>
        <v>0</v>
      </c>
      <c r="AJ142" s="49">
        <f t="shared" si="46"/>
        <v>0</v>
      </c>
      <c r="AK142" s="49">
        <f t="shared" si="47"/>
        <v>0</v>
      </c>
      <c r="AL142" s="103">
        <f t="shared" si="48"/>
        <v>0</v>
      </c>
      <c r="AN142" s="53">
        <f t="shared" si="49"/>
        <v>0</v>
      </c>
      <c r="AO142" s="53">
        <f t="shared" si="50"/>
        <v>0</v>
      </c>
      <c r="AP142" s="53">
        <f t="shared" si="51"/>
        <v>0</v>
      </c>
      <c r="AQ142" s="53">
        <f t="shared" si="52"/>
        <v>0</v>
      </c>
      <c r="AR142" s="203">
        <f t="shared" si="53"/>
        <v>0</v>
      </c>
      <c r="AY142" s="3"/>
    </row>
    <row r="143" spans="1:51">
      <c r="A143" s="239"/>
      <c r="B143" s="43">
        <f>'13. Desinvesteringen'!B427</f>
        <v>408</v>
      </c>
      <c r="C143" s="54"/>
      <c r="D143" s="54"/>
      <c r="E143" s="54"/>
      <c r="F143" s="48">
        <f>'5. Input GAW-waarde desinv.'!D103</f>
        <v>0</v>
      </c>
      <c r="G143" s="187">
        <f>'13. Desinvesteringen'!D427</f>
        <v>1954</v>
      </c>
      <c r="H143" s="187">
        <f>'13. Desinvesteringen'!G427</f>
        <v>2023</v>
      </c>
      <c r="I143" s="43" t="str">
        <f>'13. Desinvesteringen'!C427</f>
        <v>01 Regionale leidingen</v>
      </c>
      <c r="J143" s="176">
        <f>'13. Desinvesteringen'!F427</f>
        <v>0</v>
      </c>
      <c r="K143" s="44">
        <f>_xlfn.XLOOKUP(I143,'3. Input (des)investeringen '!$B$11:$B$81,'3. Input (des)investeringen '!$E$11:$E$81)</f>
        <v>1</v>
      </c>
      <c r="L143" s="54"/>
      <c r="M143" s="44">
        <f>_xlfn.XLOOKUP(I143,'3. Input (des)investeringen '!$B$11:$B$81,'3. Input (des)investeringen '!$D$11:$D$81,0)</f>
        <v>55</v>
      </c>
      <c r="N143" s="44">
        <f t="shared" ref="N143:N206" si="54">IF($M143&gt;0, MAX(0,IF(G143&lt;2022,M143-2021+G143-0.5,M143)), 0)</f>
        <v>0</v>
      </c>
      <c r="P143" s="49">
        <f t="shared" si="33"/>
        <v>0</v>
      </c>
      <c r="Q143" s="49">
        <f t="shared" si="33"/>
        <v>0</v>
      </c>
      <c r="R143" s="49">
        <f t="shared" si="33"/>
        <v>0</v>
      </c>
      <c r="S143" s="49">
        <f t="shared" si="33"/>
        <v>0</v>
      </c>
      <c r="T143" s="103">
        <f t="shared" si="33"/>
        <v>0</v>
      </c>
      <c r="V143" s="49">
        <f t="shared" ref="V143:V206" si="55">IF($M143&gt;0, IF(OR($G143&gt;V$49,$G143+$M143&lt;V$49),0,
VDB($F143,0,$N143,MAX(0,P$49-2022),MIN($N143,P$49-2021),1,FALSE))*$F$25, 0)</f>
        <v>0</v>
      </c>
      <c r="W143" s="49">
        <f t="shared" ref="W143:W206" si="56">IF($M143&gt;0, IF(OR($G143&gt;W$49,$G143+$M143&lt;W$49),0,
VDB($F143,0,$N143,MAX(0,Q$49-2022),MIN($N143,Q$49-2021),1,FALSE))*$F$25, 0)</f>
        <v>0</v>
      </c>
      <c r="X143" s="49">
        <f t="shared" ref="X143:X206" si="57">IF($M143&gt;0, IF(OR($G143&gt;X$49,$G143+$M143&lt;X$49),0,
VDB($F143,0,$N143,MAX(0,R$49-2022),MIN($N143,R$49-2021),1,FALSE))*$F$25, 0)</f>
        <v>0</v>
      </c>
      <c r="Y143" s="49">
        <f t="shared" ref="Y143:Y206" si="58">IF($M143&gt;0, IF(OR($G143&gt;Y$49,$G143+$M143&lt;Y$49),0,
VDB($F143,0,$N143,MAX(0,S$49-2022),MIN($N143,S$49-2021),1,FALSE))*$F$25, 0)</f>
        <v>0</v>
      </c>
      <c r="Z143" s="103">
        <f t="shared" ref="Z143:Z206" si="59">IF($M143&gt;0, IF(OR($G143&gt;Z$49,$G143+$M143&lt;Z$49),0,
VDB($F143,0,$N143,MAX(0,T$49-2022),MIN($N143,T$49-2021),1,FALSE))*$F$25, 0)</f>
        <v>0</v>
      </c>
      <c r="AB143" s="49">
        <f t="shared" ref="AB143:AB206" si="60">P143+V143</f>
        <v>0</v>
      </c>
      <c r="AC143" s="49">
        <f t="shared" ref="AC143:AC206" si="61">Q143+W143</f>
        <v>0</v>
      </c>
      <c r="AD143" s="49">
        <f t="shared" ref="AD143:AD206" si="62">R143+X143</f>
        <v>0</v>
      </c>
      <c r="AE143" s="49">
        <f t="shared" ref="AE143:AE206" si="63">S143+Y143</f>
        <v>0</v>
      </c>
      <c r="AF143" s="103">
        <f t="shared" ref="AF143:AF206" si="64">T143+Z143</f>
        <v>0</v>
      </c>
      <c r="AH143" s="49">
        <f t="shared" ref="AH143:AH206" si="65">IF($M143&gt;0, IF($M143&gt;0,IF(OR($G143&gt;AH$49,$G143+$M143&lt;=AH$49),0,IF(AH$49=2022,$F143-AB143,AG143-AB143))), $F143)</f>
        <v>0</v>
      </c>
      <c r="AI143" s="49">
        <f t="shared" ref="AI143:AI206" si="66">IF($M143&gt;0, IF(OR($G143&gt;AI$49,$G143+$M143&lt;=AI$49),0,IF(AI$49=2022,$F143-AC143,AH143-AC143)), AH143)</f>
        <v>0</v>
      </c>
      <c r="AJ143" s="49">
        <f t="shared" ref="AJ143:AJ206" si="67">IF($M143&gt;0, IF(OR($G143&gt;AJ$49,$G143+$M143&lt;=AJ$49),0,IF(AJ$49=2022,$F143-AD143,AI143-AD143)), AI143)</f>
        <v>0</v>
      </c>
      <c r="AK143" s="49">
        <f t="shared" ref="AK143:AK206" si="68">IF($M143&gt;0, IF(OR($G143&gt;AK$49,$G143+$M143&lt;=AK$49),0,IF(AK$49=2022,$F143-AE143,AJ143-AE143)), AJ143)</f>
        <v>0</v>
      </c>
      <c r="AL143" s="103">
        <f t="shared" ref="AL143:AL206" si="69">IF($M143&gt;0, IF(OR($G143&gt;AL$49,$G143+$M143&lt;=AL$49),0,IF(AL$49=2022,$F143-AF143,AK143-AF143)), AK143)</f>
        <v>0</v>
      </c>
      <c r="AN143" s="53">
        <f t="shared" ref="AN143:AN206" si="70">(AB143+AH143*H$16)*IF($K143=1,$F$31,1)</f>
        <v>0</v>
      </c>
      <c r="AO143" s="53">
        <f t="shared" ref="AO143:AO206" si="71">(AC143+AI143*I$16)*IF($K143=1,$F$31,1)</f>
        <v>0</v>
      </c>
      <c r="AP143" s="53">
        <f t="shared" ref="AP143:AP206" si="72">(AD143+AJ143*J$16)*IF($K143=1,$F$31,1)</f>
        <v>0</v>
      </c>
      <c r="AQ143" s="53">
        <f t="shared" ref="AQ143:AQ206" si="73">(AE143+AK143*K$16)*IF($K143=1,$F$31,1)</f>
        <v>0</v>
      </c>
      <c r="AR143" s="203">
        <f t="shared" ref="AR143:AR206" si="74">(AF143+AL143*L$16)*IF($K143=1,$F$31,1)</f>
        <v>0</v>
      </c>
      <c r="AY143" s="3"/>
    </row>
    <row r="144" spans="1:51">
      <c r="A144" s="239"/>
      <c r="B144" s="43">
        <f>'13. Desinvesteringen'!B428</f>
        <v>409</v>
      </c>
      <c r="C144" s="54"/>
      <c r="D144" s="54"/>
      <c r="E144" s="54"/>
      <c r="F144" s="48">
        <f>'5. Input GAW-waarde desinv.'!D104</f>
        <v>0</v>
      </c>
      <c r="G144" s="187">
        <f>'13. Desinvesteringen'!D428</f>
        <v>1955</v>
      </c>
      <c r="H144" s="187">
        <f>'13. Desinvesteringen'!G428</f>
        <v>2023</v>
      </c>
      <c r="I144" s="43" t="str">
        <f>'13. Desinvesteringen'!C428</f>
        <v>01 Regionale leidingen</v>
      </c>
      <c r="J144" s="176">
        <f>'13. Desinvesteringen'!F428</f>
        <v>0</v>
      </c>
      <c r="K144" s="44">
        <f>_xlfn.XLOOKUP(I144,'3. Input (des)investeringen '!$B$11:$B$81,'3. Input (des)investeringen '!$E$11:$E$81)</f>
        <v>1</v>
      </c>
      <c r="L144" s="54"/>
      <c r="M144" s="44">
        <f>_xlfn.XLOOKUP(I144,'3. Input (des)investeringen '!$B$11:$B$81,'3. Input (des)investeringen '!$D$11:$D$81,0)</f>
        <v>55</v>
      </c>
      <c r="N144" s="44">
        <f t="shared" si="54"/>
        <v>0</v>
      </c>
      <c r="P144" s="49">
        <f t="shared" si="33"/>
        <v>0</v>
      </c>
      <c r="Q144" s="49">
        <f t="shared" si="33"/>
        <v>0</v>
      </c>
      <c r="R144" s="49">
        <f t="shared" si="33"/>
        <v>0</v>
      </c>
      <c r="S144" s="49">
        <f t="shared" si="33"/>
        <v>0</v>
      </c>
      <c r="T144" s="103">
        <f t="shared" si="33"/>
        <v>0</v>
      </c>
      <c r="V144" s="49">
        <f t="shared" si="55"/>
        <v>0</v>
      </c>
      <c r="W144" s="49">
        <f t="shared" si="56"/>
        <v>0</v>
      </c>
      <c r="X144" s="49">
        <f t="shared" si="57"/>
        <v>0</v>
      </c>
      <c r="Y144" s="49">
        <f t="shared" si="58"/>
        <v>0</v>
      </c>
      <c r="Z144" s="103">
        <f t="shared" si="59"/>
        <v>0</v>
      </c>
      <c r="AB144" s="49">
        <f t="shared" si="60"/>
        <v>0</v>
      </c>
      <c r="AC144" s="49">
        <f t="shared" si="61"/>
        <v>0</v>
      </c>
      <c r="AD144" s="49">
        <f t="shared" si="62"/>
        <v>0</v>
      </c>
      <c r="AE144" s="49">
        <f t="shared" si="63"/>
        <v>0</v>
      </c>
      <c r="AF144" s="103">
        <f t="shared" si="64"/>
        <v>0</v>
      </c>
      <c r="AH144" s="49">
        <f t="shared" si="65"/>
        <v>0</v>
      </c>
      <c r="AI144" s="49">
        <f t="shared" si="66"/>
        <v>0</v>
      </c>
      <c r="AJ144" s="49">
        <f t="shared" si="67"/>
        <v>0</v>
      </c>
      <c r="AK144" s="49">
        <f t="shared" si="68"/>
        <v>0</v>
      </c>
      <c r="AL144" s="103">
        <f t="shared" si="69"/>
        <v>0</v>
      </c>
      <c r="AN144" s="53">
        <f t="shared" si="70"/>
        <v>0</v>
      </c>
      <c r="AO144" s="53">
        <f t="shared" si="71"/>
        <v>0</v>
      </c>
      <c r="AP144" s="53">
        <f t="shared" si="72"/>
        <v>0</v>
      </c>
      <c r="AQ144" s="53">
        <f t="shared" si="73"/>
        <v>0</v>
      </c>
      <c r="AR144" s="203">
        <f t="shared" si="74"/>
        <v>0</v>
      </c>
      <c r="AY144" s="3"/>
    </row>
    <row r="145" spans="1:51">
      <c r="A145" s="239"/>
      <c r="B145" s="43">
        <f>'13. Desinvesteringen'!B429</f>
        <v>410</v>
      </c>
      <c r="C145" s="54"/>
      <c r="D145" s="54"/>
      <c r="E145" s="54"/>
      <c r="F145" s="48">
        <f>'5. Input GAW-waarde desinv.'!D105</f>
        <v>0</v>
      </c>
      <c r="G145" s="187">
        <f>'13. Desinvesteringen'!D429</f>
        <v>1958</v>
      </c>
      <c r="H145" s="187">
        <f>'13. Desinvesteringen'!G429</f>
        <v>2023</v>
      </c>
      <c r="I145" s="43" t="str">
        <f>'13. Desinvesteringen'!C429</f>
        <v>01 Regionale leidingen</v>
      </c>
      <c r="J145" s="176">
        <f>'13. Desinvesteringen'!F429</f>
        <v>0</v>
      </c>
      <c r="K145" s="44">
        <f>_xlfn.XLOOKUP(I145,'3. Input (des)investeringen '!$B$11:$B$81,'3. Input (des)investeringen '!$E$11:$E$81)</f>
        <v>1</v>
      </c>
      <c r="L145" s="54"/>
      <c r="M145" s="44">
        <f>_xlfn.XLOOKUP(I145,'3. Input (des)investeringen '!$B$11:$B$81,'3. Input (des)investeringen '!$D$11:$D$81,0)</f>
        <v>55</v>
      </c>
      <c r="N145" s="44">
        <f t="shared" si="54"/>
        <v>0</v>
      </c>
      <c r="P145" s="49">
        <f t="shared" si="33"/>
        <v>0</v>
      </c>
      <c r="Q145" s="49">
        <f t="shared" si="33"/>
        <v>0</v>
      </c>
      <c r="R145" s="49">
        <f t="shared" si="33"/>
        <v>0</v>
      </c>
      <c r="S145" s="49">
        <f t="shared" si="33"/>
        <v>0</v>
      </c>
      <c r="T145" s="103">
        <f t="shared" si="33"/>
        <v>0</v>
      </c>
      <c r="V145" s="49">
        <f t="shared" si="55"/>
        <v>0</v>
      </c>
      <c r="W145" s="49">
        <f t="shared" si="56"/>
        <v>0</v>
      </c>
      <c r="X145" s="49">
        <f t="shared" si="57"/>
        <v>0</v>
      </c>
      <c r="Y145" s="49">
        <f t="shared" si="58"/>
        <v>0</v>
      </c>
      <c r="Z145" s="103">
        <f t="shared" si="59"/>
        <v>0</v>
      </c>
      <c r="AB145" s="49">
        <f t="shared" si="60"/>
        <v>0</v>
      </c>
      <c r="AC145" s="49">
        <f t="shared" si="61"/>
        <v>0</v>
      </c>
      <c r="AD145" s="49">
        <f t="shared" si="62"/>
        <v>0</v>
      </c>
      <c r="AE145" s="49">
        <f t="shared" si="63"/>
        <v>0</v>
      </c>
      <c r="AF145" s="103">
        <f t="shared" si="64"/>
        <v>0</v>
      </c>
      <c r="AH145" s="49">
        <f t="shared" si="65"/>
        <v>0</v>
      </c>
      <c r="AI145" s="49">
        <f t="shared" si="66"/>
        <v>0</v>
      </c>
      <c r="AJ145" s="49">
        <f t="shared" si="67"/>
        <v>0</v>
      </c>
      <c r="AK145" s="49">
        <f t="shared" si="68"/>
        <v>0</v>
      </c>
      <c r="AL145" s="103">
        <f t="shared" si="69"/>
        <v>0</v>
      </c>
      <c r="AN145" s="53">
        <f t="shared" si="70"/>
        <v>0</v>
      </c>
      <c r="AO145" s="53">
        <f t="shared" si="71"/>
        <v>0</v>
      </c>
      <c r="AP145" s="53">
        <f t="shared" si="72"/>
        <v>0</v>
      </c>
      <c r="AQ145" s="53">
        <f t="shared" si="73"/>
        <v>0</v>
      </c>
      <c r="AR145" s="203">
        <f t="shared" si="74"/>
        <v>0</v>
      </c>
      <c r="AY145" s="3"/>
    </row>
    <row r="146" spans="1:51">
      <c r="A146" s="239"/>
      <c r="B146" s="43">
        <f>'13. Desinvesteringen'!B430</f>
        <v>411</v>
      </c>
      <c r="C146" s="54"/>
      <c r="D146" s="54"/>
      <c r="E146" s="54"/>
      <c r="F146" s="48">
        <f>'5. Input GAW-waarde desinv.'!D106</f>
        <v>0</v>
      </c>
      <c r="G146" s="187">
        <f>'13. Desinvesteringen'!D430</f>
        <v>1959</v>
      </c>
      <c r="H146" s="187">
        <f>'13. Desinvesteringen'!G430</f>
        <v>2023</v>
      </c>
      <c r="I146" s="43" t="str">
        <f>'13. Desinvesteringen'!C430</f>
        <v>01 Regionale leidingen</v>
      </c>
      <c r="J146" s="176">
        <f>'13. Desinvesteringen'!F430</f>
        <v>0</v>
      </c>
      <c r="K146" s="44">
        <f>_xlfn.XLOOKUP(I146,'3. Input (des)investeringen '!$B$11:$B$81,'3. Input (des)investeringen '!$E$11:$E$81)</f>
        <v>1</v>
      </c>
      <c r="L146" s="54"/>
      <c r="M146" s="44">
        <f>_xlfn.XLOOKUP(I146,'3. Input (des)investeringen '!$B$11:$B$81,'3. Input (des)investeringen '!$D$11:$D$81,0)</f>
        <v>55</v>
      </c>
      <c r="N146" s="44">
        <f t="shared" si="54"/>
        <v>0</v>
      </c>
      <c r="P146" s="49">
        <f t="shared" si="33"/>
        <v>0</v>
      </c>
      <c r="Q146" s="49">
        <f t="shared" si="33"/>
        <v>0</v>
      </c>
      <c r="R146" s="49">
        <f t="shared" si="33"/>
        <v>0</v>
      </c>
      <c r="S146" s="49">
        <f t="shared" si="33"/>
        <v>0</v>
      </c>
      <c r="T146" s="103">
        <f t="shared" si="33"/>
        <v>0</v>
      </c>
      <c r="V146" s="49">
        <f t="shared" si="55"/>
        <v>0</v>
      </c>
      <c r="W146" s="49">
        <f t="shared" si="56"/>
        <v>0</v>
      </c>
      <c r="X146" s="49">
        <f t="shared" si="57"/>
        <v>0</v>
      </c>
      <c r="Y146" s="49">
        <f t="shared" si="58"/>
        <v>0</v>
      </c>
      <c r="Z146" s="103">
        <f t="shared" si="59"/>
        <v>0</v>
      </c>
      <c r="AB146" s="49">
        <f t="shared" si="60"/>
        <v>0</v>
      </c>
      <c r="AC146" s="49">
        <f t="shared" si="61"/>
        <v>0</v>
      </c>
      <c r="AD146" s="49">
        <f t="shared" si="62"/>
        <v>0</v>
      </c>
      <c r="AE146" s="49">
        <f t="shared" si="63"/>
        <v>0</v>
      </c>
      <c r="AF146" s="103">
        <f t="shared" si="64"/>
        <v>0</v>
      </c>
      <c r="AH146" s="49">
        <f t="shared" si="65"/>
        <v>0</v>
      </c>
      <c r="AI146" s="49">
        <f t="shared" si="66"/>
        <v>0</v>
      </c>
      <c r="AJ146" s="49">
        <f t="shared" si="67"/>
        <v>0</v>
      </c>
      <c r="AK146" s="49">
        <f t="shared" si="68"/>
        <v>0</v>
      </c>
      <c r="AL146" s="103">
        <f t="shared" si="69"/>
        <v>0</v>
      </c>
      <c r="AN146" s="53">
        <f t="shared" si="70"/>
        <v>0</v>
      </c>
      <c r="AO146" s="53">
        <f t="shared" si="71"/>
        <v>0</v>
      </c>
      <c r="AP146" s="53">
        <f t="shared" si="72"/>
        <v>0</v>
      </c>
      <c r="AQ146" s="53">
        <f t="shared" si="73"/>
        <v>0</v>
      </c>
      <c r="AR146" s="203">
        <f t="shared" si="74"/>
        <v>0</v>
      </c>
      <c r="AY146" s="3"/>
    </row>
    <row r="147" spans="1:51">
      <c r="A147" s="239"/>
      <c r="B147" s="43">
        <f>'13. Desinvesteringen'!B431</f>
        <v>412</v>
      </c>
      <c r="C147" s="54"/>
      <c r="D147" s="54"/>
      <c r="E147" s="54"/>
      <c r="F147" s="48">
        <f>'5. Input GAW-waarde desinv.'!D107</f>
        <v>0</v>
      </c>
      <c r="G147" s="187">
        <f>'13. Desinvesteringen'!D431</f>
        <v>1965</v>
      </c>
      <c r="H147" s="187">
        <f>'13. Desinvesteringen'!G431</f>
        <v>2023</v>
      </c>
      <c r="I147" s="43" t="str">
        <f>'13. Desinvesteringen'!C431</f>
        <v>01 Regionale leidingen</v>
      </c>
      <c r="J147" s="176">
        <f>'13. Desinvesteringen'!F431</f>
        <v>0</v>
      </c>
      <c r="K147" s="44">
        <f>_xlfn.XLOOKUP(I147,'3. Input (des)investeringen '!$B$11:$B$81,'3. Input (des)investeringen '!$E$11:$E$81)</f>
        <v>1</v>
      </c>
      <c r="L147" s="54"/>
      <c r="M147" s="44">
        <f>_xlfn.XLOOKUP(I147,'3. Input (des)investeringen '!$B$11:$B$81,'3. Input (des)investeringen '!$D$11:$D$81,0)</f>
        <v>55</v>
      </c>
      <c r="N147" s="44">
        <f t="shared" si="54"/>
        <v>0</v>
      </c>
      <c r="P147" s="49">
        <f t="shared" si="33"/>
        <v>0</v>
      </c>
      <c r="Q147" s="49">
        <f t="shared" si="33"/>
        <v>0</v>
      </c>
      <c r="R147" s="49">
        <f t="shared" si="33"/>
        <v>0</v>
      </c>
      <c r="S147" s="49">
        <f t="shared" si="33"/>
        <v>0</v>
      </c>
      <c r="T147" s="103">
        <f t="shared" si="33"/>
        <v>0</v>
      </c>
      <c r="V147" s="49">
        <f t="shared" si="55"/>
        <v>0</v>
      </c>
      <c r="W147" s="49">
        <f t="shared" si="56"/>
        <v>0</v>
      </c>
      <c r="X147" s="49">
        <f t="shared" si="57"/>
        <v>0</v>
      </c>
      <c r="Y147" s="49">
        <f t="shared" si="58"/>
        <v>0</v>
      </c>
      <c r="Z147" s="103">
        <f t="shared" si="59"/>
        <v>0</v>
      </c>
      <c r="AB147" s="49">
        <f t="shared" si="60"/>
        <v>0</v>
      </c>
      <c r="AC147" s="49">
        <f t="shared" si="61"/>
        <v>0</v>
      </c>
      <c r="AD147" s="49">
        <f t="shared" si="62"/>
        <v>0</v>
      </c>
      <c r="AE147" s="49">
        <f t="shared" si="63"/>
        <v>0</v>
      </c>
      <c r="AF147" s="103">
        <f t="shared" si="64"/>
        <v>0</v>
      </c>
      <c r="AH147" s="49">
        <f t="shared" si="65"/>
        <v>0</v>
      </c>
      <c r="AI147" s="49">
        <f t="shared" si="66"/>
        <v>0</v>
      </c>
      <c r="AJ147" s="49">
        <f t="shared" si="67"/>
        <v>0</v>
      </c>
      <c r="AK147" s="49">
        <f t="shared" si="68"/>
        <v>0</v>
      </c>
      <c r="AL147" s="103">
        <f t="shared" si="69"/>
        <v>0</v>
      </c>
      <c r="AN147" s="53">
        <f t="shared" si="70"/>
        <v>0</v>
      </c>
      <c r="AO147" s="53">
        <f t="shared" si="71"/>
        <v>0</v>
      </c>
      <c r="AP147" s="53">
        <f t="shared" si="72"/>
        <v>0</v>
      </c>
      <c r="AQ147" s="53">
        <f t="shared" si="73"/>
        <v>0</v>
      </c>
      <c r="AR147" s="203">
        <f t="shared" si="74"/>
        <v>0</v>
      </c>
      <c r="AY147" s="3"/>
    </row>
    <row r="148" spans="1:51">
      <c r="A148" s="239"/>
      <c r="B148" s="43">
        <f>'13. Desinvesteringen'!B432</f>
        <v>413</v>
      </c>
      <c r="C148" s="54"/>
      <c r="D148" s="54"/>
      <c r="E148" s="54"/>
      <c r="F148" s="48">
        <f>'5. Input GAW-waarde desinv.'!D108</f>
        <v>0</v>
      </c>
      <c r="G148" s="187">
        <f>'13. Desinvesteringen'!D432</f>
        <v>1966</v>
      </c>
      <c r="H148" s="187">
        <f>'13. Desinvesteringen'!G432</f>
        <v>2023</v>
      </c>
      <c r="I148" s="43" t="str">
        <f>'13. Desinvesteringen'!C432</f>
        <v>01 Regionale leidingen</v>
      </c>
      <c r="J148" s="176">
        <f>'13. Desinvesteringen'!F432</f>
        <v>0</v>
      </c>
      <c r="K148" s="44">
        <f>_xlfn.XLOOKUP(I148,'3. Input (des)investeringen '!$B$11:$B$81,'3. Input (des)investeringen '!$E$11:$E$81)</f>
        <v>1</v>
      </c>
      <c r="L148" s="54"/>
      <c r="M148" s="44">
        <f>_xlfn.XLOOKUP(I148,'3. Input (des)investeringen '!$B$11:$B$81,'3. Input (des)investeringen '!$D$11:$D$81,0)</f>
        <v>55</v>
      </c>
      <c r="N148" s="44">
        <f t="shared" si="54"/>
        <v>0</v>
      </c>
      <c r="P148" s="49">
        <f t="shared" si="33"/>
        <v>0</v>
      </c>
      <c r="Q148" s="49">
        <f t="shared" si="33"/>
        <v>0</v>
      </c>
      <c r="R148" s="49">
        <f t="shared" si="33"/>
        <v>0</v>
      </c>
      <c r="S148" s="49">
        <f t="shared" si="33"/>
        <v>0</v>
      </c>
      <c r="T148" s="103">
        <f t="shared" si="33"/>
        <v>0</v>
      </c>
      <c r="V148" s="49">
        <f t="shared" si="55"/>
        <v>0</v>
      </c>
      <c r="W148" s="49">
        <f t="shared" si="56"/>
        <v>0</v>
      </c>
      <c r="X148" s="49">
        <f t="shared" si="57"/>
        <v>0</v>
      </c>
      <c r="Y148" s="49">
        <f t="shared" si="58"/>
        <v>0</v>
      </c>
      <c r="Z148" s="103">
        <f t="shared" si="59"/>
        <v>0</v>
      </c>
      <c r="AB148" s="49">
        <f t="shared" si="60"/>
        <v>0</v>
      </c>
      <c r="AC148" s="49">
        <f t="shared" si="61"/>
        <v>0</v>
      </c>
      <c r="AD148" s="49">
        <f t="shared" si="62"/>
        <v>0</v>
      </c>
      <c r="AE148" s="49">
        <f t="shared" si="63"/>
        <v>0</v>
      </c>
      <c r="AF148" s="103">
        <f t="shared" si="64"/>
        <v>0</v>
      </c>
      <c r="AH148" s="49">
        <f t="shared" si="65"/>
        <v>0</v>
      </c>
      <c r="AI148" s="49">
        <f t="shared" si="66"/>
        <v>0</v>
      </c>
      <c r="AJ148" s="49">
        <f t="shared" si="67"/>
        <v>0</v>
      </c>
      <c r="AK148" s="49">
        <f t="shared" si="68"/>
        <v>0</v>
      </c>
      <c r="AL148" s="103">
        <f t="shared" si="69"/>
        <v>0</v>
      </c>
      <c r="AN148" s="53">
        <f t="shared" si="70"/>
        <v>0</v>
      </c>
      <c r="AO148" s="53">
        <f t="shared" si="71"/>
        <v>0</v>
      </c>
      <c r="AP148" s="53">
        <f t="shared" si="72"/>
        <v>0</v>
      </c>
      <c r="AQ148" s="53">
        <f t="shared" si="73"/>
        <v>0</v>
      </c>
      <c r="AR148" s="203">
        <f t="shared" si="74"/>
        <v>0</v>
      </c>
      <c r="AY148" s="3"/>
    </row>
    <row r="149" spans="1:51">
      <c r="A149" s="239"/>
      <c r="B149" s="43">
        <f>'13. Desinvesteringen'!B433</f>
        <v>414</v>
      </c>
      <c r="C149" s="54"/>
      <c r="D149" s="54"/>
      <c r="E149" s="54"/>
      <c r="F149" s="48">
        <f>'5. Input GAW-waarde desinv.'!D109</f>
        <v>4066.6917785254955</v>
      </c>
      <c r="G149" s="187">
        <f>'13. Desinvesteringen'!D433</f>
        <v>1967</v>
      </c>
      <c r="H149" s="187">
        <f>'13. Desinvesteringen'!G433</f>
        <v>2023</v>
      </c>
      <c r="I149" s="43" t="str">
        <f>'13. Desinvesteringen'!C433</f>
        <v>01 Regionale leidingen</v>
      </c>
      <c r="J149" s="176">
        <f>'13. Desinvesteringen'!F433</f>
        <v>0</v>
      </c>
      <c r="K149" s="44">
        <f>_xlfn.XLOOKUP(I149,'3. Input (des)investeringen '!$B$11:$B$81,'3. Input (des)investeringen '!$E$11:$E$81)</f>
        <v>1</v>
      </c>
      <c r="L149" s="54"/>
      <c r="M149" s="44">
        <f>_xlfn.XLOOKUP(I149,'3. Input (des)investeringen '!$B$11:$B$81,'3. Input (des)investeringen '!$D$11:$D$81,0)</f>
        <v>55</v>
      </c>
      <c r="N149" s="44">
        <f t="shared" si="54"/>
        <v>0.5</v>
      </c>
      <c r="P149" s="49">
        <f t="shared" si="33"/>
        <v>3660.0226006729458</v>
      </c>
      <c r="Q149" s="49">
        <f t="shared" si="33"/>
        <v>0</v>
      </c>
      <c r="R149" s="49">
        <f t="shared" si="33"/>
        <v>0</v>
      </c>
      <c r="S149" s="49">
        <f t="shared" si="33"/>
        <v>0</v>
      </c>
      <c r="T149" s="103">
        <f t="shared" si="33"/>
        <v>0</v>
      </c>
      <c r="V149" s="49">
        <f t="shared" si="55"/>
        <v>406.66917785254958</v>
      </c>
      <c r="W149" s="49">
        <f t="shared" si="56"/>
        <v>0</v>
      </c>
      <c r="X149" s="49">
        <f t="shared" si="57"/>
        <v>0</v>
      </c>
      <c r="Y149" s="49">
        <f t="shared" si="58"/>
        <v>0</v>
      </c>
      <c r="Z149" s="103">
        <f t="shared" si="59"/>
        <v>0</v>
      </c>
      <c r="AB149" s="49">
        <f t="shared" si="60"/>
        <v>4066.6917785254955</v>
      </c>
      <c r="AC149" s="49">
        <f t="shared" si="61"/>
        <v>0</v>
      </c>
      <c r="AD149" s="49">
        <f t="shared" si="62"/>
        <v>0</v>
      </c>
      <c r="AE149" s="49">
        <f t="shared" si="63"/>
        <v>0</v>
      </c>
      <c r="AF149" s="103">
        <f t="shared" si="64"/>
        <v>0</v>
      </c>
      <c r="AH149" s="49">
        <f t="shared" si="65"/>
        <v>0</v>
      </c>
      <c r="AI149" s="49">
        <f t="shared" si="66"/>
        <v>0</v>
      </c>
      <c r="AJ149" s="49">
        <f t="shared" si="67"/>
        <v>0</v>
      </c>
      <c r="AK149" s="49">
        <f t="shared" si="68"/>
        <v>0</v>
      </c>
      <c r="AL149" s="103">
        <f t="shared" si="69"/>
        <v>0</v>
      </c>
      <c r="AN149" s="53">
        <f t="shared" si="70"/>
        <v>4066.6917785254955</v>
      </c>
      <c r="AO149" s="53">
        <f t="shared" si="71"/>
        <v>0</v>
      </c>
      <c r="AP149" s="53">
        <f t="shared" si="72"/>
        <v>0</v>
      </c>
      <c r="AQ149" s="53">
        <f t="shared" si="73"/>
        <v>0</v>
      </c>
      <c r="AR149" s="203">
        <f t="shared" si="74"/>
        <v>0</v>
      </c>
      <c r="AY149" s="3"/>
    </row>
    <row r="150" spans="1:51">
      <c r="A150" s="239"/>
      <c r="B150" s="43">
        <f>'13. Desinvesteringen'!B434</f>
        <v>415</v>
      </c>
      <c r="C150" s="54"/>
      <c r="D150" s="54"/>
      <c r="E150" s="54"/>
      <c r="F150" s="48">
        <f>'5. Input GAW-waarde desinv.'!D110</f>
        <v>72313.792532278865</v>
      </c>
      <c r="G150" s="187">
        <f>'13. Desinvesteringen'!D434</f>
        <v>1968</v>
      </c>
      <c r="H150" s="187">
        <f>'13. Desinvesteringen'!G434</f>
        <v>2023</v>
      </c>
      <c r="I150" s="43" t="str">
        <f>'13. Desinvesteringen'!C434</f>
        <v>01 Regionale leidingen</v>
      </c>
      <c r="J150" s="176">
        <f>'13. Desinvesteringen'!F434</f>
        <v>0</v>
      </c>
      <c r="K150" s="44">
        <f>_xlfn.XLOOKUP(I150,'3. Input (des)investeringen '!$B$11:$B$81,'3. Input (des)investeringen '!$E$11:$E$81)</f>
        <v>1</v>
      </c>
      <c r="L150" s="54"/>
      <c r="M150" s="44">
        <f>_xlfn.XLOOKUP(I150,'3. Input (des)investeringen '!$B$11:$B$81,'3. Input (des)investeringen '!$D$11:$D$81,0)</f>
        <v>55</v>
      </c>
      <c r="N150" s="44">
        <f t="shared" si="54"/>
        <v>1.5</v>
      </c>
      <c r="P150" s="49">
        <f t="shared" si="33"/>
        <v>56404.758175177521</v>
      </c>
      <c r="Q150" s="49">
        <f t="shared" si="33"/>
        <v>8677.6551038734615</v>
      </c>
      <c r="R150" s="49">
        <f t="shared" si="33"/>
        <v>0</v>
      </c>
      <c r="S150" s="49">
        <f t="shared" si="33"/>
        <v>0</v>
      </c>
      <c r="T150" s="103">
        <f t="shared" si="33"/>
        <v>0</v>
      </c>
      <c r="V150" s="49">
        <f t="shared" si="55"/>
        <v>4820.9195021519245</v>
      </c>
      <c r="W150" s="49">
        <f t="shared" si="56"/>
        <v>2410.4597510759627</v>
      </c>
      <c r="X150" s="49">
        <f t="shared" si="57"/>
        <v>0</v>
      </c>
      <c r="Y150" s="49">
        <f t="shared" si="58"/>
        <v>0</v>
      </c>
      <c r="Z150" s="103">
        <f t="shared" si="59"/>
        <v>0</v>
      </c>
      <c r="AB150" s="49">
        <f t="shared" si="60"/>
        <v>61225.677677329448</v>
      </c>
      <c r="AC150" s="49">
        <f t="shared" si="61"/>
        <v>11088.114854949425</v>
      </c>
      <c r="AD150" s="49">
        <f t="shared" si="62"/>
        <v>0</v>
      </c>
      <c r="AE150" s="49">
        <f t="shared" si="63"/>
        <v>0</v>
      </c>
      <c r="AF150" s="103">
        <f t="shared" si="64"/>
        <v>0</v>
      </c>
      <c r="AH150" s="49">
        <f t="shared" si="65"/>
        <v>11088.114854949417</v>
      </c>
      <c r="AI150" s="49">
        <f t="shared" si="66"/>
        <v>0</v>
      </c>
      <c r="AJ150" s="49">
        <f t="shared" si="67"/>
        <v>0</v>
      </c>
      <c r="AK150" s="49">
        <f t="shared" si="68"/>
        <v>0</v>
      </c>
      <c r="AL150" s="103">
        <f t="shared" si="69"/>
        <v>0</v>
      </c>
      <c r="AN150" s="53">
        <f t="shared" si="70"/>
        <v>61680.290386382374</v>
      </c>
      <c r="AO150" s="53">
        <f t="shared" si="71"/>
        <v>11088.114854949425</v>
      </c>
      <c r="AP150" s="53">
        <f t="shared" si="72"/>
        <v>0</v>
      </c>
      <c r="AQ150" s="53">
        <f t="shared" si="73"/>
        <v>0</v>
      </c>
      <c r="AR150" s="203">
        <f t="shared" si="74"/>
        <v>0</v>
      </c>
      <c r="AY150" s="3"/>
    </row>
    <row r="151" spans="1:51">
      <c r="A151" s="239"/>
      <c r="B151" s="43">
        <f>'13. Desinvesteringen'!B435</f>
        <v>416</v>
      </c>
      <c r="C151" s="54"/>
      <c r="D151" s="54"/>
      <c r="E151" s="54"/>
      <c r="F151" s="48">
        <f>'5. Input GAW-waarde desinv.'!D111</f>
        <v>39219.604478837689</v>
      </c>
      <c r="G151" s="187">
        <f>'13. Desinvesteringen'!D435</f>
        <v>1969</v>
      </c>
      <c r="H151" s="187">
        <f>'13. Desinvesteringen'!G435</f>
        <v>2023</v>
      </c>
      <c r="I151" s="43" t="str">
        <f>'13. Desinvesteringen'!C435</f>
        <v>01 Regionale leidingen</v>
      </c>
      <c r="J151" s="176">
        <f>'13. Desinvesteringen'!F435</f>
        <v>0</v>
      </c>
      <c r="K151" s="44">
        <f>_xlfn.XLOOKUP(I151,'3. Input (des)investeringen '!$B$11:$B$81,'3. Input (des)investeringen '!$E$11:$E$81)</f>
        <v>1</v>
      </c>
      <c r="L151" s="54"/>
      <c r="M151" s="44">
        <f>_xlfn.XLOOKUP(I151,'3. Input (des)investeringen '!$B$11:$B$81,'3. Input (des)investeringen '!$D$11:$D$81,0)</f>
        <v>55</v>
      </c>
      <c r="N151" s="44">
        <f t="shared" si="54"/>
        <v>2.5</v>
      </c>
      <c r="P151" s="49">
        <f t="shared" si="33"/>
        <v>18354.774896096042</v>
      </c>
      <c r="Q151" s="49">
        <f t="shared" si="33"/>
        <v>11295.246089905255</v>
      </c>
      <c r="R151" s="49">
        <f t="shared" si="33"/>
        <v>5647.6230449526274</v>
      </c>
      <c r="S151" s="49">
        <f t="shared" si="33"/>
        <v>0</v>
      </c>
      <c r="T151" s="103">
        <f t="shared" si="33"/>
        <v>0</v>
      </c>
      <c r="V151" s="49">
        <f t="shared" si="55"/>
        <v>1568.7841791535077</v>
      </c>
      <c r="W151" s="49">
        <f t="shared" si="56"/>
        <v>1568.7841791535075</v>
      </c>
      <c r="X151" s="49">
        <f t="shared" si="57"/>
        <v>784.39208957675373</v>
      </c>
      <c r="Y151" s="49">
        <f t="shared" si="58"/>
        <v>0</v>
      </c>
      <c r="Z151" s="103">
        <f t="shared" si="59"/>
        <v>0</v>
      </c>
      <c r="AB151" s="49">
        <f t="shared" si="60"/>
        <v>19923.559075249548</v>
      </c>
      <c r="AC151" s="49">
        <f t="shared" si="61"/>
        <v>12864.030269058763</v>
      </c>
      <c r="AD151" s="49">
        <f t="shared" si="62"/>
        <v>6432.0151345293816</v>
      </c>
      <c r="AE151" s="49">
        <f t="shared" si="63"/>
        <v>0</v>
      </c>
      <c r="AF151" s="103">
        <f t="shared" si="64"/>
        <v>0</v>
      </c>
      <c r="AH151" s="49">
        <f t="shared" si="65"/>
        <v>19296.045403588141</v>
      </c>
      <c r="AI151" s="49">
        <f t="shared" si="66"/>
        <v>6432.015134529378</v>
      </c>
      <c r="AJ151" s="49">
        <f t="shared" si="67"/>
        <v>0</v>
      </c>
      <c r="AK151" s="49">
        <f t="shared" si="68"/>
        <v>0</v>
      </c>
      <c r="AL151" s="103">
        <f t="shared" si="69"/>
        <v>0</v>
      </c>
      <c r="AN151" s="53">
        <f t="shared" si="70"/>
        <v>20714.696936796663</v>
      </c>
      <c r="AO151" s="53">
        <f t="shared" si="71"/>
        <v>13192.063040919762</v>
      </c>
      <c r="AP151" s="53">
        <f t="shared" si="72"/>
        <v>6432.0151345293816</v>
      </c>
      <c r="AQ151" s="53">
        <f t="shared" si="73"/>
        <v>0</v>
      </c>
      <c r="AR151" s="203">
        <f t="shared" si="74"/>
        <v>0</v>
      </c>
      <c r="AY151" s="3"/>
    </row>
    <row r="152" spans="1:51">
      <c r="A152" s="239"/>
      <c r="B152" s="43">
        <f>'13. Desinvesteringen'!B436</f>
        <v>417</v>
      </c>
      <c r="C152" s="54"/>
      <c r="D152" s="54"/>
      <c r="E152" s="54"/>
      <c r="F152" s="48">
        <f>'5. Input GAW-waarde desinv.'!D112</f>
        <v>69808.707803642814</v>
      </c>
      <c r="G152" s="187">
        <f>'13. Desinvesteringen'!D436</f>
        <v>1970</v>
      </c>
      <c r="H152" s="187">
        <f>'13. Desinvesteringen'!G436</f>
        <v>2023</v>
      </c>
      <c r="I152" s="43" t="str">
        <f>'13. Desinvesteringen'!C436</f>
        <v>01 Regionale leidingen</v>
      </c>
      <c r="J152" s="176">
        <f>'13. Desinvesteringen'!F436</f>
        <v>0</v>
      </c>
      <c r="K152" s="44">
        <f>_xlfn.XLOOKUP(I152,'3. Input (des)investeringen '!$B$11:$B$81,'3. Input (des)investeringen '!$E$11:$E$81)</f>
        <v>1</v>
      </c>
      <c r="L152" s="54"/>
      <c r="M152" s="44">
        <f>_xlfn.XLOOKUP(I152,'3. Input (des)investeringen '!$B$11:$B$81,'3. Input (des)investeringen '!$D$11:$D$81,0)</f>
        <v>55</v>
      </c>
      <c r="N152" s="44">
        <f t="shared" si="54"/>
        <v>3.5</v>
      </c>
      <c r="P152" s="49">
        <f t="shared" si="33"/>
        <v>23336.053751503456</v>
      </c>
      <c r="Q152" s="49">
        <f t="shared" si="33"/>
        <v>15796.71330871003</v>
      </c>
      <c r="R152" s="49">
        <f t="shared" si="33"/>
        <v>15796.71330871003</v>
      </c>
      <c r="S152" s="49">
        <f t="shared" si="33"/>
        <v>7898.3566543550151</v>
      </c>
      <c r="T152" s="103">
        <f t="shared" si="33"/>
        <v>0</v>
      </c>
      <c r="V152" s="49">
        <f t="shared" si="55"/>
        <v>1994.534508675509</v>
      </c>
      <c r="W152" s="49">
        <f t="shared" si="56"/>
        <v>1994.5345086755094</v>
      </c>
      <c r="X152" s="49">
        <f t="shared" si="57"/>
        <v>1994.5345086755094</v>
      </c>
      <c r="Y152" s="49">
        <f t="shared" si="58"/>
        <v>997.26725433775471</v>
      </c>
      <c r="Z152" s="103">
        <f t="shared" si="59"/>
        <v>0</v>
      </c>
      <c r="AB152" s="49">
        <f t="shared" si="60"/>
        <v>25330.588260178964</v>
      </c>
      <c r="AC152" s="49">
        <f t="shared" si="61"/>
        <v>17791.247817385538</v>
      </c>
      <c r="AD152" s="49">
        <f t="shared" si="62"/>
        <v>17791.247817385538</v>
      </c>
      <c r="AE152" s="49">
        <f t="shared" si="63"/>
        <v>8895.623908692769</v>
      </c>
      <c r="AF152" s="103">
        <f t="shared" si="64"/>
        <v>0</v>
      </c>
      <c r="AH152" s="49">
        <f t="shared" si="65"/>
        <v>44478.11954346385</v>
      </c>
      <c r="AI152" s="49">
        <f t="shared" si="66"/>
        <v>26686.871726078312</v>
      </c>
      <c r="AJ152" s="49">
        <f t="shared" si="67"/>
        <v>8895.6239086927744</v>
      </c>
      <c r="AK152" s="49">
        <f t="shared" si="68"/>
        <v>0</v>
      </c>
      <c r="AL152" s="103">
        <f t="shared" si="69"/>
        <v>0</v>
      </c>
      <c r="AN152" s="53">
        <f t="shared" si="70"/>
        <v>27154.191161460982</v>
      </c>
      <c r="AO152" s="53">
        <f t="shared" si="71"/>
        <v>19152.278275415531</v>
      </c>
      <c r="AP152" s="53">
        <f t="shared" si="72"/>
        <v>18129.281525915863</v>
      </c>
      <c r="AQ152" s="53">
        <f t="shared" si="73"/>
        <v>8895.623908692769</v>
      </c>
      <c r="AR152" s="203">
        <f t="shared" si="74"/>
        <v>0</v>
      </c>
      <c r="AY152" s="3"/>
    </row>
    <row r="153" spans="1:51">
      <c r="A153" s="239"/>
      <c r="B153" s="43">
        <f>'13. Desinvesteringen'!B437</f>
        <v>418</v>
      </c>
      <c r="C153" s="54"/>
      <c r="D153" s="54"/>
      <c r="E153" s="54"/>
      <c r="F153" s="48">
        <f>'5. Input GAW-waarde desinv.'!D113</f>
        <v>38586.635084201873</v>
      </c>
      <c r="G153" s="187">
        <f>'13. Desinvesteringen'!D437</f>
        <v>1971</v>
      </c>
      <c r="H153" s="187">
        <f>'13. Desinvesteringen'!G437</f>
        <v>2023</v>
      </c>
      <c r="I153" s="43" t="str">
        <f>'13. Desinvesteringen'!C437</f>
        <v>01 Regionale leidingen</v>
      </c>
      <c r="J153" s="176">
        <f>'13. Desinvesteringen'!F437</f>
        <v>0</v>
      </c>
      <c r="K153" s="44">
        <f>_xlfn.XLOOKUP(I153,'3. Input (des)investeringen '!$B$11:$B$81,'3. Input (des)investeringen '!$E$11:$E$81)</f>
        <v>1</v>
      </c>
      <c r="L153" s="54"/>
      <c r="M153" s="44">
        <f>_xlfn.XLOOKUP(I153,'3. Input (des)investeringen '!$B$11:$B$81,'3. Input (des)investeringen '!$D$11:$D$81,0)</f>
        <v>55</v>
      </c>
      <c r="N153" s="44">
        <f t="shared" si="54"/>
        <v>4.5</v>
      </c>
      <c r="P153" s="49">
        <f t="shared" si="33"/>
        <v>10032.525121892488</v>
      </c>
      <c r="Q153" s="49">
        <f t="shared" si="33"/>
        <v>7134.2400866791022</v>
      </c>
      <c r="R153" s="49">
        <f t="shared" si="33"/>
        <v>7024.4825468840381</v>
      </c>
      <c r="S153" s="49">
        <f t="shared" si="33"/>
        <v>7024.4825468840381</v>
      </c>
      <c r="T153" s="103">
        <f t="shared" si="33"/>
        <v>3512.2412734420191</v>
      </c>
      <c r="V153" s="49">
        <f t="shared" si="55"/>
        <v>857.48077964893059</v>
      </c>
      <c r="W153" s="49">
        <f t="shared" si="56"/>
        <v>857.48077964893059</v>
      </c>
      <c r="X153" s="49">
        <f t="shared" si="57"/>
        <v>857.48077964893059</v>
      </c>
      <c r="Y153" s="49">
        <f t="shared" si="58"/>
        <v>857.48077964893059</v>
      </c>
      <c r="Z153" s="103">
        <f t="shared" si="59"/>
        <v>428.7403898244653</v>
      </c>
      <c r="AB153" s="49">
        <f t="shared" si="60"/>
        <v>10890.005901541419</v>
      </c>
      <c r="AC153" s="49">
        <f t="shared" si="61"/>
        <v>7991.7208663280326</v>
      </c>
      <c r="AD153" s="49">
        <f t="shared" si="62"/>
        <v>7881.9633265329685</v>
      </c>
      <c r="AE153" s="49">
        <f t="shared" si="63"/>
        <v>7881.9633265329685</v>
      </c>
      <c r="AF153" s="103">
        <f t="shared" si="64"/>
        <v>3940.9816632664842</v>
      </c>
      <c r="AH153" s="49">
        <f t="shared" si="65"/>
        <v>27696.629182660454</v>
      </c>
      <c r="AI153" s="49">
        <f t="shared" si="66"/>
        <v>19704.908316332421</v>
      </c>
      <c r="AJ153" s="49">
        <f t="shared" si="67"/>
        <v>11822.944989799453</v>
      </c>
      <c r="AK153" s="49">
        <f t="shared" si="68"/>
        <v>3940.9816632664842</v>
      </c>
      <c r="AL153" s="103">
        <f t="shared" si="69"/>
        <v>0</v>
      </c>
      <c r="AN153" s="53">
        <f t="shared" si="70"/>
        <v>12025.567698030498</v>
      </c>
      <c r="AO153" s="53">
        <f t="shared" si="71"/>
        <v>8996.6711904609856</v>
      </c>
      <c r="AP153" s="53">
        <f t="shared" si="72"/>
        <v>8331.2352361453486</v>
      </c>
      <c r="AQ153" s="53">
        <f t="shared" si="73"/>
        <v>8031.7206297370949</v>
      </c>
      <c r="AR153" s="203">
        <f t="shared" si="74"/>
        <v>3940.9816632664842</v>
      </c>
      <c r="AY153" s="3"/>
    </row>
    <row r="154" spans="1:51">
      <c r="A154" s="239"/>
      <c r="B154" s="43">
        <f>'13. Desinvesteringen'!B438</f>
        <v>419</v>
      </c>
      <c r="C154" s="54"/>
      <c r="D154" s="54"/>
      <c r="E154" s="54"/>
      <c r="F154" s="48">
        <f>'5. Input GAW-waarde desinv.'!D114</f>
        <v>21904.077054372625</v>
      </c>
      <c r="G154" s="187">
        <f>'13. Desinvesteringen'!D438</f>
        <v>1972</v>
      </c>
      <c r="H154" s="187">
        <f>'13. Desinvesteringen'!G438</f>
        <v>2023</v>
      </c>
      <c r="I154" s="43" t="str">
        <f>'13. Desinvesteringen'!C438</f>
        <v>01 Regionale leidingen</v>
      </c>
      <c r="J154" s="176">
        <f>'13. Desinvesteringen'!F438</f>
        <v>0</v>
      </c>
      <c r="K154" s="44">
        <f>_xlfn.XLOOKUP(I154,'3. Input (des)investeringen '!$B$11:$B$81,'3. Input (des)investeringen '!$E$11:$E$81)</f>
        <v>1</v>
      </c>
      <c r="L154" s="54"/>
      <c r="M154" s="44">
        <f>_xlfn.XLOOKUP(I154,'3. Input (des)investeringen '!$B$11:$B$81,'3. Input (des)investeringen '!$D$11:$D$81,0)</f>
        <v>55</v>
      </c>
      <c r="N154" s="44">
        <f t="shared" si="54"/>
        <v>5.5</v>
      </c>
      <c r="P154" s="49">
        <f t="shared" si="33"/>
        <v>4659.594573384722</v>
      </c>
      <c r="Q154" s="49">
        <f t="shared" si="33"/>
        <v>3558.2358560392422</v>
      </c>
      <c r="R154" s="49">
        <f t="shared" si="33"/>
        <v>3284.5254055746855</v>
      </c>
      <c r="S154" s="49">
        <f t="shared" si="33"/>
        <v>3284.5254055746855</v>
      </c>
      <c r="T154" s="103">
        <f t="shared" si="33"/>
        <v>3284.5254055746855</v>
      </c>
      <c r="V154" s="49">
        <f t="shared" si="55"/>
        <v>398.25594644313867</v>
      </c>
      <c r="W154" s="49">
        <f t="shared" si="56"/>
        <v>398.25594644313867</v>
      </c>
      <c r="X154" s="49">
        <f t="shared" si="57"/>
        <v>398.25594644313867</v>
      </c>
      <c r="Y154" s="49">
        <f t="shared" si="58"/>
        <v>398.25594644313867</v>
      </c>
      <c r="Z154" s="103">
        <f t="shared" si="59"/>
        <v>398.25594644313867</v>
      </c>
      <c r="AB154" s="49">
        <f t="shared" si="60"/>
        <v>5057.8505198278608</v>
      </c>
      <c r="AC154" s="49">
        <f t="shared" si="61"/>
        <v>3956.491802482381</v>
      </c>
      <c r="AD154" s="49">
        <f t="shared" si="62"/>
        <v>3682.7813520178242</v>
      </c>
      <c r="AE154" s="49">
        <f t="shared" si="63"/>
        <v>3682.7813520178242</v>
      </c>
      <c r="AF154" s="103">
        <f t="shared" si="64"/>
        <v>3682.7813520178242</v>
      </c>
      <c r="AH154" s="49">
        <f t="shared" si="65"/>
        <v>16846.226534544763</v>
      </c>
      <c r="AI154" s="49">
        <f t="shared" si="66"/>
        <v>12889.734732062381</v>
      </c>
      <c r="AJ154" s="49">
        <f t="shared" si="67"/>
        <v>9206.953380044557</v>
      </c>
      <c r="AK154" s="49">
        <f t="shared" si="68"/>
        <v>5524.1720280267327</v>
      </c>
      <c r="AL154" s="103">
        <f t="shared" si="69"/>
        <v>1841.3906760089085</v>
      </c>
      <c r="AN154" s="53">
        <f t="shared" si="70"/>
        <v>5748.5458077441963</v>
      </c>
      <c r="AO154" s="53">
        <f t="shared" si="71"/>
        <v>4613.8682738175621</v>
      </c>
      <c r="AP154" s="53">
        <f t="shared" si="72"/>
        <v>4032.6455804595175</v>
      </c>
      <c r="AQ154" s="53">
        <f t="shared" si="73"/>
        <v>3892.6998890828399</v>
      </c>
      <c r="AR154" s="203">
        <f t="shared" si="74"/>
        <v>3752.7541977061628</v>
      </c>
      <c r="AY154" s="3"/>
    </row>
    <row r="155" spans="1:51">
      <c r="A155" s="239"/>
      <c r="B155" s="43">
        <f>'13. Desinvesteringen'!B439</f>
        <v>420</v>
      </c>
      <c r="C155" s="54"/>
      <c r="D155" s="54"/>
      <c r="E155" s="54"/>
      <c r="F155" s="48">
        <f>'5. Input GAW-waarde desinv.'!D115</f>
        <v>17162.736023996706</v>
      </c>
      <c r="G155" s="187">
        <f>'13. Desinvesteringen'!D439</f>
        <v>1973</v>
      </c>
      <c r="H155" s="187">
        <f>'13. Desinvesteringen'!G439</f>
        <v>2023</v>
      </c>
      <c r="I155" s="43" t="str">
        <f>'13. Desinvesteringen'!C439</f>
        <v>01 Regionale leidingen</v>
      </c>
      <c r="J155" s="176">
        <f>'13. Desinvesteringen'!F439</f>
        <v>0</v>
      </c>
      <c r="K155" s="44">
        <f>_xlfn.XLOOKUP(I155,'3. Input (des)investeringen '!$B$11:$B$81,'3. Input (des)investeringen '!$E$11:$E$81)</f>
        <v>1</v>
      </c>
      <c r="L155" s="54"/>
      <c r="M155" s="44">
        <f>_xlfn.XLOOKUP(I155,'3. Input (des)investeringen '!$B$11:$B$81,'3. Input (des)investeringen '!$D$11:$D$81,0)</f>
        <v>55</v>
      </c>
      <c r="N155" s="44">
        <f t="shared" si="54"/>
        <v>6.5</v>
      </c>
      <c r="P155" s="49">
        <f t="shared" si="33"/>
        <v>3089.2924843194073</v>
      </c>
      <c r="Q155" s="49">
        <f t="shared" si="33"/>
        <v>2471.4339874555258</v>
      </c>
      <c r="R155" s="49">
        <f t="shared" si="33"/>
        <v>2196.8302110715786</v>
      </c>
      <c r="S155" s="49">
        <f t="shared" si="33"/>
        <v>2196.8302110715786</v>
      </c>
      <c r="T155" s="103">
        <f t="shared" si="33"/>
        <v>2196.8302110715786</v>
      </c>
      <c r="V155" s="49">
        <f t="shared" si="55"/>
        <v>264.04209267687241</v>
      </c>
      <c r="W155" s="49">
        <f t="shared" si="56"/>
        <v>264.04209267687241</v>
      </c>
      <c r="X155" s="49">
        <f t="shared" si="57"/>
        <v>264.04209267687241</v>
      </c>
      <c r="Y155" s="49">
        <f t="shared" si="58"/>
        <v>264.04209267687241</v>
      </c>
      <c r="Z155" s="103">
        <f t="shared" si="59"/>
        <v>264.04209267687241</v>
      </c>
      <c r="AB155" s="49">
        <f t="shared" si="60"/>
        <v>3353.3345769962798</v>
      </c>
      <c r="AC155" s="49">
        <f t="shared" si="61"/>
        <v>2735.4760801323982</v>
      </c>
      <c r="AD155" s="49">
        <f t="shared" si="62"/>
        <v>2460.872303748451</v>
      </c>
      <c r="AE155" s="49">
        <f t="shared" si="63"/>
        <v>2460.872303748451</v>
      </c>
      <c r="AF155" s="103">
        <f t="shared" si="64"/>
        <v>2460.872303748451</v>
      </c>
      <c r="AH155" s="49">
        <f t="shared" si="65"/>
        <v>13809.401447000426</v>
      </c>
      <c r="AI155" s="49">
        <f t="shared" si="66"/>
        <v>11073.925366868029</v>
      </c>
      <c r="AJ155" s="49">
        <f t="shared" si="67"/>
        <v>8613.0530631195779</v>
      </c>
      <c r="AK155" s="49">
        <f t="shared" si="68"/>
        <v>6152.1807593711274</v>
      </c>
      <c r="AL155" s="103">
        <f t="shared" si="69"/>
        <v>3691.3084556226763</v>
      </c>
      <c r="AN155" s="53">
        <f t="shared" si="70"/>
        <v>3919.5200363232971</v>
      </c>
      <c r="AO155" s="53">
        <f t="shared" si="71"/>
        <v>3300.2462738426675</v>
      </c>
      <c r="AP155" s="53">
        <f t="shared" si="72"/>
        <v>2788.168320146995</v>
      </c>
      <c r="AQ155" s="53">
        <f t="shared" si="73"/>
        <v>2694.6551726045536</v>
      </c>
      <c r="AR155" s="203">
        <f t="shared" si="74"/>
        <v>2601.1420250621127</v>
      </c>
      <c r="AY155" s="3"/>
    </row>
    <row r="156" spans="1:51">
      <c r="A156" s="239"/>
      <c r="B156" s="43">
        <f>'13. Desinvesteringen'!B440</f>
        <v>421</v>
      </c>
      <c r="C156" s="54"/>
      <c r="D156" s="54"/>
      <c r="E156" s="54"/>
      <c r="F156" s="48">
        <f>'5. Input GAW-waarde desinv.'!D116</f>
        <v>2951.3714473540831</v>
      </c>
      <c r="G156" s="187">
        <f>'13. Desinvesteringen'!D440</f>
        <v>1985</v>
      </c>
      <c r="H156" s="187">
        <f>'13. Desinvesteringen'!G440</f>
        <v>2023</v>
      </c>
      <c r="I156" s="43" t="str">
        <f>'13. Desinvesteringen'!C440</f>
        <v>01 Regionale leidingen</v>
      </c>
      <c r="J156" s="176">
        <f>'13. Desinvesteringen'!F440</f>
        <v>0</v>
      </c>
      <c r="K156" s="44">
        <f>_xlfn.XLOOKUP(I156,'3. Input (des)investeringen '!$B$11:$B$81,'3. Input (des)investeringen '!$E$11:$E$81)</f>
        <v>1</v>
      </c>
      <c r="L156" s="54"/>
      <c r="M156" s="44">
        <f>_xlfn.XLOOKUP(I156,'3. Input (des)investeringen '!$B$11:$B$81,'3. Input (des)investeringen '!$D$11:$D$81,0)</f>
        <v>55</v>
      </c>
      <c r="N156" s="44">
        <f t="shared" si="54"/>
        <v>18.5</v>
      </c>
      <c r="P156" s="49">
        <f t="shared" si="33"/>
        <v>186.65430234617716</v>
      </c>
      <c r="Q156" s="49">
        <f t="shared" si="33"/>
        <v>173.53805407320257</v>
      </c>
      <c r="R156" s="49">
        <f t="shared" si="33"/>
        <v>161.34348811130184</v>
      </c>
      <c r="S156" s="49">
        <f t="shared" si="33"/>
        <v>150.00583759537253</v>
      </c>
      <c r="T156" s="103">
        <f t="shared" si="33"/>
        <v>139.46488684542743</v>
      </c>
      <c r="V156" s="49">
        <f t="shared" si="55"/>
        <v>15.953359174886936</v>
      </c>
      <c r="W156" s="49">
        <f t="shared" si="56"/>
        <v>15.953359174886936</v>
      </c>
      <c r="X156" s="49">
        <f t="shared" si="57"/>
        <v>15.953359174886936</v>
      </c>
      <c r="Y156" s="49">
        <f t="shared" si="58"/>
        <v>15.953359174886936</v>
      </c>
      <c r="Z156" s="103">
        <f t="shared" si="59"/>
        <v>15.953359174886936</v>
      </c>
      <c r="AB156" s="49">
        <f t="shared" si="60"/>
        <v>202.6076615210641</v>
      </c>
      <c r="AC156" s="49">
        <f t="shared" si="61"/>
        <v>189.49141324808951</v>
      </c>
      <c r="AD156" s="49">
        <f t="shared" si="62"/>
        <v>177.29684728618878</v>
      </c>
      <c r="AE156" s="49">
        <f t="shared" si="63"/>
        <v>165.95919677025947</v>
      </c>
      <c r="AF156" s="103">
        <f t="shared" si="64"/>
        <v>155.41824602031437</v>
      </c>
      <c r="AH156" s="49">
        <f t="shared" si="65"/>
        <v>2748.763785833019</v>
      </c>
      <c r="AI156" s="49">
        <f t="shared" si="66"/>
        <v>2559.2723725849296</v>
      </c>
      <c r="AJ156" s="49">
        <f t="shared" si="67"/>
        <v>2381.9755252987406</v>
      </c>
      <c r="AK156" s="49">
        <f t="shared" si="68"/>
        <v>2216.0163285284812</v>
      </c>
      <c r="AL156" s="103">
        <f t="shared" si="69"/>
        <v>2060.598082508167</v>
      </c>
      <c r="AN156" s="53">
        <f t="shared" si="70"/>
        <v>315.30697674021792</v>
      </c>
      <c r="AO156" s="53">
        <f t="shared" si="71"/>
        <v>320.01430424992088</v>
      </c>
      <c r="AP156" s="53">
        <f t="shared" si="72"/>
        <v>267.81191724754092</v>
      </c>
      <c r="AQ156" s="53">
        <f t="shared" si="73"/>
        <v>250.16781725434174</v>
      </c>
      <c r="AR156" s="203">
        <f t="shared" si="74"/>
        <v>233.72097315562473</v>
      </c>
      <c r="AY156" s="3"/>
    </row>
    <row r="157" spans="1:51">
      <c r="A157" s="239"/>
      <c r="B157" s="43">
        <f>'13. Desinvesteringen'!B441</f>
        <v>422</v>
      </c>
      <c r="C157" s="54"/>
      <c r="D157" s="54"/>
      <c r="E157" s="54"/>
      <c r="F157" s="48">
        <f>'5. Input GAW-waarde desinv.'!D117</f>
        <v>1042.7959463378704</v>
      </c>
      <c r="G157" s="187">
        <f>'13. Desinvesteringen'!D441</f>
        <v>1988</v>
      </c>
      <c r="H157" s="187">
        <f>'13. Desinvesteringen'!G441</f>
        <v>2023</v>
      </c>
      <c r="I157" s="43" t="str">
        <f>'13. Desinvesteringen'!C441</f>
        <v>01 Regionale leidingen</v>
      </c>
      <c r="J157" s="176">
        <f>'13. Desinvesteringen'!F441</f>
        <v>0</v>
      </c>
      <c r="K157" s="44">
        <f>_xlfn.XLOOKUP(I157,'3. Input (des)investeringen '!$B$11:$B$81,'3. Input (des)investeringen '!$E$11:$E$81)</f>
        <v>1</v>
      </c>
      <c r="L157" s="54"/>
      <c r="M157" s="44">
        <f>_xlfn.XLOOKUP(I157,'3. Input (des)investeringen '!$B$11:$B$81,'3. Input (des)investeringen '!$D$11:$D$81,0)</f>
        <v>55</v>
      </c>
      <c r="N157" s="44">
        <f t="shared" si="54"/>
        <v>21.5</v>
      </c>
      <c r="P157" s="49">
        <f t="shared" si="33"/>
        <v>56.747500335595738</v>
      </c>
      <c r="Q157" s="49">
        <f t="shared" si="33"/>
        <v>53.316256129257397</v>
      </c>
      <c r="R157" s="49">
        <f t="shared" si="33"/>
        <v>50.092482502837179</v>
      </c>
      <c r="S157" s="49">
        <f t="shared" si="33"/>
        <v>47.063634723595868</v>
      </c>
      <c r="T157" s="103">
        <f t="shared" si="33"/>
        <v>44.217926577517972</v>
      </c>
      <c r="V157" s="49">
        <f t="shared" si="55"/>
        <v>4.8502137038970723</v>
      </c>
      <c r="W157" s="49">
        <f t="shared" si="56"/>
        <v>4.8502137038970723</v>
      </c>
      <c r="X157" s="49">
        <f t="shared" si="57"/>
        <v>4.8502137038970723</v>
      </c>
      <c r="Y157" s="49">
        <f t="shared" si="58"/>
        <v>4.8502137038970723</v>
      </c>
      <c r="Z157" s="103">
        <f t="shared" si="59"/>
        <v>4.8502137038970723</v>
      </c>
      <c r="AB157" s="49">
        <f t="shared" si="60"/>
        <v>61.597714039492814</v>
      </c>
      <c r="AC157" s="49">
        <f t="shared" si="61"/>
        <v>58.166469833154466</v>
      </c>
      <c r="AD157" s="49">
        <f t="shared" si="62"/>
        <v>54.942696206734254</v>
      </c>
      <c r="AE157" s="49">
        <f t="shared" si="63"/>
        <v>51.913848427492937</v>
      </c>
      <c r="AF157" s="103">
        <f t="shared" si="64"/>
        <v>49.06814028141504</v>
      </c>
      <c r="AH157" s="49">
        <f t="shared" si="65"/>
        <v>981.19823229837766</v>
      </c>
      <c r="AI157" s="49">
        <f t="shared" si="66"/>
        <v>923.03176246522321</v>
      </c>
      <c r="AJ157" s="49">
        <f t="shared" si="67"/>
        <v>868.08906625848897</v>
      </c>
      <c r="AK157" s="49">
        <f t="shared" si="68"/>
        <v>816.17521783099608</v>
      </c>
      <c r="AL157" s="103">
        <f t="shared" si="69"/>
        <v>767.10707754958105</v>
      </c>
      <c r="AN157" s="53">
        <f t="shared" si="70"/>
        <v>101.8268415637263</v>
      </c>
      <c r="AO157" s="53">
        <f t="shared" si="71"/>
        <v>105.24108971888084</v>
      </c>
      <c r="AP157" s="53">
        <f t="shared" si="72"/>
        <v>87.930080724556831</v>
      </c>
      <c r="AQ157" s="53">
        <f t="shared" si="73"/>
        <v>82.928506705070788</v>
      </c>
      <c r="AR157" s="203">
        <f t="shared" si="74"/>
        <v>78.218209228299116</v>
      </c>
      <c r="AY157" s="3"/>
    </row>
    <row r="158" spans="1:51">
      <c r="A158" s="239"/>
      <c r="B158" s="43">
        <f>'13. Desinvesteringen'!B442</f>
        <v>423</v>
      </c>
      <c r="C158" s="54"/>
      <c r="D158" s="54"/>
      <c r="E158" s="54"/>
      <c r="F158" s="48">
        <f>'5. Input GAW-waarde desinv.'!D118</f>
        <v>1583.1020339233444</v>
      </c>
      <c r="G158" s="187">
        <f>'13. Desinvesteringen'!D442</f>
        <v>1989</v>
      </c>
      <c r="H158" s="187">
        <f>'13. Desinvesteringen'!G442</f>
        <v>2023</v>
      </c>
      <c r="I158" s="43" t="str">
        <f>'13. Desinvesteringen'!C442</f>
        <v>01 Regionale leidingen</v>
      </c>
      <c r="J158" s="176">
        <f>'13. Desinvesteringen'!F442</f>
        <v>0</v>
      </c>
      <c r="K158" s="44">
        <f>_xlfn.XLOOKUP(I158,'3. Input (des)investeringen '!$B$11:$B$81,'3. Input (des)investeringen '!$E$11:$E$81)</f>
        <v>1</v>
      </c>
      <c r="L158" s="54"/>
      <c r="M158" s="44">
        <f>_xlfn.XLOOKUP(I158,'3. Input (des)investeringen '!$B$11:$B$81,'3. Input (des)investeringen '!$D$11:$D$81,0)</f>
        <v>55</v>
      </c>
      <c r="N158" s="44">
        <f t="shared" si="54"/>
        <v>22.5</v>
      </c>
      <c r="P158" s="49">
        <f t="shared" si="33"/>
        <v>82.321305764013914</v>
      </c>
      <c r="Q158" s="49">
        <f t="shared" si="33"/>
        <v>77.564963653204231</v>
      </c>
      <c r="R158" s="49">
        <f t="shared" si="33"/>
        <v>73.083432419907979</v>
      </c>
      <c r="S158" s="49">
        <f t="shared" si="33"/>
        <v>68.860834102313291</v>
      </c>
      <c r="T158" s="103">
        <f t="shared" si="33"/>
        <v>64.882208131957412</v>
      </c>
      <c r="V158" s="49">
        <f t="shared" si="55"/>
        <v>7.0360090396593087</v>
      </c>
      <c r="W158" s="49">
        <f t="shared" si="56"/>
        <v>7.0360090396593087</v>
      </c>
      <c r="X158" s="49">
        <f t="shared" si="57"/>
        <v>7.0360090396593087</v>
      </c>
      <c r="Y158" s="49">
        <f t="shared" si="58"/>
        <v>7.0360090396593087</v>
      </c>
      <c r="Z158" s="103">
        <f t="shared" si="59"/>
        <v>7.0360090396593087</v>
      </c>
      <c r="AB158" s="49">
        <f t="shared" si="60"/>
        <v>89.357314803673219</v>
      </c>
      <c r="AC158" s="49">
        <f t="shared" si="61"/>
        <v>84.600972692863536</v>
      </c>
      <c r="AD158" s="49">
        <f t="shared" si="62"/>
        <v>80.119441459567284</v>
      </c>
      <c r="AE158" s="49">
        <f t="shared" si="63"/>
        <v>75.896843141972596</v>
      </c>
      <c r="AF158" s="103">
        <f t="shared" si="64"/>
        <v>71.918217171616718</v>
      </c>
      <c r="AH158" s="49">
        <f t="shared" si="65"/>
        <v>1493.7447191196711</v>
      </c>
      <c r="AI158" s="49">
        <f t="shared" si="66"/>
        <v>1409.1437464268076</v>
      </c>
      <c r="AJ158" s="49">
        <f t="shared" si="67"/>
        <v>1329.0243049672404</v>
      </c>
      <c r="AK158" s="49">
        <f t="shared" si="68"/>
        <v>1253.1274618252678</v>
      </c>
      <c r="AL158" s="103">
        <f t="shared" si="69"/>
        <v>1181.209244653651</v>
      </c>
      <c r="AN158" s="53">
        <f t="shared" si="70"/>
        <v>150.60084828757974</v>
      </c>
      <c r="AO158" s="53">
        <f t="shared" si="71"/>
        <v>156.46730376063073</v>
      </c>
      <c r="AP158" s="53">
        <f t="shared" si="72"/>
        <v>130.62236504832242</v>
      </c>
      <c r="AQ158" s="53">
        <f t="shared" si="73"/>
        <v>123.51568669133277</v>
      </c>
      <c r="AR158" s="203">
        <f t="shared" si="74"/>
        <v>116.80416846845546</v>
      </c>
      <c r="AY158" s="3"/>
    </row>
    <row r="159" spans="1:51">
      <c r="A159" s="239"/>
      <c r="B159" s="43">
        <f>'13. Desinvesteringen'!B443</f>
        <v>424</v>
      </c>
      <c r="C159" s="54"/>
      <c r="D159" s="54"/>
      <c r="E159" s="54"/>
      <c r="F159" s="48">
        <f>'5. Input GAW-waarde desinv.'!D119</f>
        <v>7373.2798573001292</v>
      </c>
      <c r="G159" s="187">
        <f>'13. Desinvesteringen'!D443</f>
        <v>1992</v>
      </c>
      <c r="H159" s="187">
        <f>'13. Desinvesteringen'!G443</f>
        <v>2023</v>
      </c>
      <c r="I159" s="43" t="str">
        <f>'13. Desinvesteringen'!C443</f>
        <v>01 Regionale leidingen</v>
      </c>
      <c r="J159" s="176">
        <f>'13. Desinvesteringen'!F443</f>
        <v>0</v>
      </c>
      <c r="K159" s="44">
        <f>_xlfn.XLOOKUP(I159,'3. Input (des)investeringen '!$B$11:$B$81,'3. Input (des)investeringen '!$E$11:$E$81)</f>
        <v>1</v>
      </c>
      <c r="L159" s="54"/>
      <c r="M159" s="44">
        <f>_xlfn.XLOOKUP(I159,'3. Input (des)investeringen '!$B$11:$B$81,'3. Input (des)investeringen '!$D$11:$D$81,0)</f>
        <v>55</v>
      </c>
      <c r="N159" s="44">
        <f t="shared" si="54"/>
        <v>25.5</v>
      </c>
      <c r="P159" s="49">
        <f t="shared" si="33"/>
        <v>338.3034287467118</v>
      </c>
      <c r="Q159" s="49">
        <f t="shared" si="33"/>
        <v>321.05658728119317</v>
      </c>
      <c r="R159" s="49">
        <f t="shared" si="33"/>
        <v>304.68899655705394</v>
      </c>
      <c r="S159" s="49">
        <f t="shared" si="33"/>
        <v>289.15583202669433</v>
      </c>
      <c r="T159" s="103">
        <f t="shared" si="33"/>
        <v>274.41455431552953</v>
      </c>
      <c r="V159" s="49">
        <f t="shared" si="55"/>
        <v>28.914822969804433</v>
      </c>
      <c r="W159" s="49">
        <f t="shared" si="56"/>
        <v>28.914822969804433</v>
      </c>
      <c r="X159" s="49">
        <f t="shared" si="57"/>
        <v>28.914822969804433</v>
      </c>
      <c r="Y159" s="49">
        <f t="shared" si="58"/>
        <v>28.914822969804433</v>
      </c>
      <c r="Z159" s="103">
        <f t="shared" si="59"/>
        <v>28.914822969804433</v>
      </c>
      <c r="AB159" s="49">
        <f t="shared" si="60"/>
        <v>367.21825171651625</v>
      </c>
      <c r="AC159" s="49">
        <f t="shared" si="61"/>
        <v>349.97141025099762</v>
      </c>
      <c r="AD159" s="49">
        <f t="shared" si="62"/>
        <v>333.60381952685839</v>
      </c>
      <c r="AE159" s="49">
        <f t="shared" si="63"/>
        <v>318.07065499649877</v>
      </c>
      <c r="AF159" s="103">
        <f t="shared" si="64"/>
        <v>303.32937728533398</v>
      </c>
      <c r="AH159" s="49">
        <f t="shared" si="65"/>
        <v>7006.0616055836126</v>
      </c>
      <c r="AI159" s="49">
        <f t="shared" si="66"/>
        <v>6656.0901953326147</v>
      </c>
      <c r="AJ159" s="49">
        <f t="shared" si="67"/>
        <v>6322.4863758057563</v>
      </c>
      <c r="AK159" s="49">
        <f t="shared" si="68"/>
        <v>6004.4157208092574</v>
      </c>
      <c r="AL159" s="103">
        <f t="shared" si="69"/>
        <v>5701.0863435239235</v>
      </c>
      <c r="AN159" s="53">
        <f t="shared" si="70"/>
        <v>654.4667775454443</v>
      </c>
      <c r="AO159" s="53">
        <f t="shared" si="71"/>
        <v>689.4320102129609</v>
      </c>
      <c r="AP159" s="53">
        <f t="shared" si="72"/>
        <v>573.85830180747712</v>
      </c>
      <c r="AQ159" s="53">
        <f t="shared" si="73"/>
        <v>546.23845238725062</v>
      </c>
      <c r="AR159" s="203">
        <f t="shared" si="74"/>
        <v>519.97065833924307</v>
      </c>
      <c r="AY159" s="3"/>
    </row>
    <row r="160" spans="1:51">
      <c r="A160" s="239"/>
      <c r="B160" s="43">
        <f>'13. Desinvesteringen'!B444</f>
        <v>425</v>
      </c>
      <c r="C160" s="54"/>
      <c r="D160" s="54"/>
      <c r="E160" s="54"/>
      <c r="F160" s="48">
        <f>'5. Input GAW-waarde desinv.'!D120</f>
        <v>138596.0081293541</v>
      </c>
      <c r="G160" s="187">
        <f>'13. Desinvesteringen'!D444</f>
        <v>1993</v>
      </c>
      <c r="H160" s="187">
        <f>'13. Desinvesteringen'!G444</f>
        <v>2023</v>
      </c>
      <c r="I160" s="43" t="str">
        <f>'13. Desinvesteringen'!C444</f>
        <v>01 Regionale leidingen</v>
      </c>
      <c r="J160" s="176">
        <f>'13. Desinvesteringen'!F444</f>
        <v>0</v>
      </c>
      <c r="K160" s="44">
        <f>_xlfn.XLOOKUP(I160,'3. Input (des)investeringen '!$B$11:$B$81,'3. Input (des)investeringen '!$E$11:$E$81)</f>
        <v>1</v>
      </c>
      <c r="L160" s="54"/>
      <c r="M160" s="44">
        <f>_xlfn.XLOOKUP(I160,'3. Input (des)investeringen '!$B$11:$B$81,'3. Input (des)investeringen '!$D$11:$D$81,0)</f>
        <v>55</v>
      </c>
      <c r="N160" s="44">
        <f t="shared" si="54"/>
        <v>26.5</v>
      </c>
      <c r="P160" s="49">
        <f t="shared" ref="P160:T210" si="75">IF($M160&gt;0, IF(OR($G160&gt;P$49,$G160+$M160&lt;P$49),0,
VDB($F160,0,$N160,MAX(0,P$49-2022),MIN($N160,P$49-2021),$F$22,FALSE))*(1-$F$25), 0)</f>
        <v>6119.1445098620497</v>
      </c>
      <c r="Q160" s="49">
        <f t="shared" si="75"/>
        <v>5818.9600622084399</v>
      </c>
      <c r="R160" s="49">
        <f t="shared" si="75"/>
        <v>5533.5016440623658</v>
      </c>
      <c r="S160" s="49">
        <f t="shared" si="75"/>
        <v>5262.0468464291171</v>
      </c>
      <c r="T160" s="103">
        <f t="shared" si="75"/>
        <v>5003.9086992458024</v>
      </c>
      <c r="V160" s="49">
        <f t="shared" si="55"/>
        <v>523.00380426171364</v>
      </c>
      <c r="W160" s="49">
        <f t="shared" si="56"/>
        <v>523.00380426171353</v>
      </c>
      <c r="X160" s="49">
        <f t="shared" si="57"/>
        <v>523.00380426171353</v>
      </c>
      <c r="Y160" s="49">
        <f t="shared" si="58"/>
        <v>523.00380426171353</v>
      </c>
      <c r="Z160" s="103">
        <f t="shared" si="59"/>
        <v>523.00380426171353</v>
      </c>
      <c r="AB160" s="49">
        <f t="shared" si="60"/>
        <v>6642.1483141237632</v>
      </c>
      <c r="AC160" s="49">
        <f t="shared" si="61"/>
        <v>6341.9638664701533</v>
      </c>
      <c r="AD160" s="49">
        <f t="shared" si="62"/>
        <v>6056.5054483240792</v>
      </c>
      <c r="AE160" s="49">
        <f t="shared" si="63"/>
        <v>5785.0506506908305</v>
      </c>
      <c r="AF160" s="103">
        <f t="shared" si="64"/>
        <v>5526.9125035075158</v>
      </c>
      <c r="AH160" s="49">
        <f t="shared" si="65"/>
        <v>131953.85981523033</v>
      </c>
      <c r="AI160" s="49">
        <f t="shared" si="66"/>
        <v>125611.89594876018</v>
      </c>
      <c r="AJ160" s="49">
        <f t="shared" si="67"/>
        <v>119555.3905004361</v>
      </c>
      <c r="AK160" s="49">
        <f t="shared" si="68"/>
        <v>113770.33984974527</v>
      </c>
      <c r="AL160" s="103">
        <f t="shared" si="69"/>
        <v>108243.42734623776</v>
      </c>
      <c r="AN160" s="53">
        <f t="shared" si="70"/>
        <v>12052.256566548207</v>
      </c>
      <c r="AO160" s="53">
        <f t="shared" si="71"/>
        <v>12748.170559856922</v>
      </c>
      <c r="AP160" s="53">
        <f t="shared" si="72"/>
        <v>10599.610287340651</v>
      </c>
      <c r="AQ160" s="53">
        <f t="shared" si="73"/>
        <v>10108.32356498115</v>
      </c>
      <c r="AR160" s="203">
        <f t="shared" si="74"/>
        <v>9640.16274266455</v>
      </c>
      <c r="AY160" s="3"/>
    </row>
    <row r="161" spans="1:51">
      <c r="A161" s="239"/>
      <c r="B161" s="43">
        <f>'13. Desinvesteringen'!B445</f>
        <v>426</v>
      </c>
      <c r="C161" s="54"/>
      <c r="D161" s="54"/>
      <c r="E161" s="54"/>
      <c r="F161" s="48">
        <f>'5. Input GAW-waarde desinv.'!D121</f>
        <v>0</v>
      </c>
      <c r="G161" s="187">
        <f>'13. Desinvesteringen'!D445</f>
        <v>1998</v>
      </c>
      <c r="H161" s="187">
        <f>'13. Desinvesteringen'!G445</f>
        <v>2023</v>
      </c>
      <c r="I161" s="43" t="str">
        <f>'13. Desinvesteringen'!C445</f>
        <v>01 Regionale leidingen</v>
      </c>
      <c r="J161" s="176">
        <f>'13. Desinvesteringen'!F445</f>
        <v>0</v>
      </c>
      <c r="K161" s="44">
        <f>_xlfn.XLOOKUP(I161,'3. Input (des)investeringen '!$B$11:$B$81,'3. Input (des)investeringen '!$E$11:$E$81)</f>
        <v>1</v>
      </c>
      <c r="L161" s="54"/>
      <c r="M161" s="44">
        <f>_xlfn.XLOOKUP(I161,'3. Input (des)investeringen '!$B$11:$B$81,'3. Input (des)investeringen '!$D$11:$D$81,0)</f>
        <v>55</v>
      </c>
      <c r="N161" s="44">
        <f t="shared" si="54"/>
        <v>31.5</v>
      </c>
      <c r="P161" s="49">
        <f t="shared" si="75"/>
        <v>0</v>
      </c>
      <c r="Q161" s="49">
        <f t="shared" si="75"/>
        <v>0</v>
      </c>
      <c r="R161" s="49">
        <f t="shared" si="75"/>
        <v>0</v>
      </c>
      <c r="S161" s="49">
        <f t="shared" si="75"/>
        <v>0</v>
      </c>
      <c r="T161" s="103">
        <f t="shared" si="75"/>
        <v>0</v>
      </c>
      <c r="V161" s="49">
        <f t="shared" si="55"/>
        <v>0</v>
      </c>
      <c r="W161" s="49">
        <f t="shared" si="56"/>
        <v>0</v>
      </c>
      <c r="X161" s="49">
        <f t="shared" si="57"/>
        <v>0</v>
      </c>
      <c r="Y161" s="49">
        <f t="shared" si="58"/>
        <v>0</v>
      </c>
      <c r="Z161" s="103">
        <f t="shared" si="59"/>
        <v>0</v>
      </c>
      <c r="AB161" s="49">
        <f t="shared" si="60"/>
        <v>0</v>
      </c>
      <c r="AC161" s="49">
        <f t="shared" si="61"/>
        <v>0</v>
      </c>
      <c r="AD161" s="49">
        <f t="shared" si="62"/>
        <v>0</v>
      </c>
      <c r="AE161" s="49">
        <f t="shared" si="63"/>
        <v>0</v>
      </c>
      <c r="AF161" s="103">
        <f t="shared" si="64"/>
        <v>0</v>
      </c>
      <c r="AH161" s="49">
        <f t="shared" si="65"/>
        <v>0</v>
      </c>
      <c r="AI161" s="49">
        <f t="shared" si="66"/>
        <v>0</v>
      </c>
      <c r="AJ161" s="49">
        <f t="shared" si="67"/>
        <v>0</v>
      </c>
      <c r="AK161" s="49">
        <f t="shared" si="68"/>
        <v>0</v>
      </c>
      <c r="AL161" s="103">
        <f t="shared" si="69"/>
        <v>0</v>
      </c>
      <c r="AN161" s="53">
        <f t="shared" si="70"/>
        <v>0</v>
      </c>
      <c r="AO161" s="53">
        <f t="shared" si="71"/>
        <v>0</v>
      </c>
      <c r="AP161" s="53">
        <f t="shared" si="72"/>
        <v>0</v>
      </c>
      <c r="AQ161" s="53">
        <f t="shared" si="73"/>
        <v>0</v>
      </c>
      <c r="AR161" s="203">
        <f t="shared" si="74"/>
        <v>0</v>
      </c>
      <c r="AY161" s="3"/>
    </row>
    <row r="162" spans="1:51">
      <c r="A162" s="239"/>
      <c r="B162" s="43">
        <f>'13. Desinvesteringen'!B446</f>
        <v>427</v>
      </c>
      <c r="C162" s="54"/>
      <c r="D162" s="54"/>
      <c r="E162" s="54"/>
      <c r="F162" s="48">
        <f>'5. Input GAW-waarde desinv.'!D122</f>
        <v>30711.765477463152</v>
      </c>
      <c r="G162" s="187">
        <f>'13. Desinvesteringen'!D446</f>
        <v>1999</v>
      </c>
      <c r="H162" s="187">
        <f>'13. Desinvesteringen'!G446</f>
        <v>2023</v>
      </c>
      <c r="I162" s="43" t="str">
        <f>'13. Desinvesteringen'!C446</f>
        <v>01 Regionale leidingen</v>
      </c>
      <c r="J162" s="176">
        <f>'13. Desinvesteringen'!F446</f>
        <v>0</v>
      </c>
      <c r="K162" s="44">
        <f>_xlfn.XLOOKUP(I162,'3. Input (des)investeringen '!$B$11:$B$81,'3. Input (des)investeringen '!$E$11:$E$81)</f>
        <v>1</v>
      </c>
      <c r="L162" s="54"/>
      <c r="M162" s="44">
        <f>_xlfn.XLOOKUP(I162,'3. Input (des)investeringen '!$B$11:$B$81,'3. Input (des)investeringen '!$D$11:$D$81,0)</f>
        <v>55</v>
      </c>
      <c r="N162" s="44">
        <f t="shared" si="54"/>
        <v>32.5</v>
      </c>
      <c r="P162" s="49">
        <f t="shared" si="75"/>
        <v>1105.6235571886737</v>
      </c>
      <c r="Q162" s="49">
        <f t="shared" si="75"/>
        <v>1061.3986149011266</v>
      </c>
      <c r="R162" s="49">
        <f t="shared" si="75"/>
        <v>1018.9426703050815</v>
      </c>
      <c r="S162" s="49">
        <f t="shared" si="75"/>
        <v>978.18496349287818</v>
      </c>
      <c r="T162" s="103">
        <f t="shared" si="75"/>
        <v>939.05756495316314</v>
      </c>
      <c r="V162" s="49">
        <f t="shared" si="55"/>
        <v>94.497739930655868</v>
      </c>
      <c r="W162" s="49">
        <f t="shared" si="56"/>
        <v>94.497739930655868</v>
      </c>
      <c r="X162" s="49">
        <f t="shared" si="57"/>
        <v>94.497739930655868</v>
      </c>
      <c r="Y162" s="49">
        <f t="shared" si="58"/>
        <v>94.497739930655868</v>
      </c>
      <c r="Z162" s="103">
        <f t="shared" si="59"/>
        <v>94.497739930655868</v>
      </c>
      <c r="AB162" s="49">
        <f t="shared" si="60"/>
        <v>1200.1212971193295</v>
      </c>
      <c r="AC162" s="49">
        <f t="shared" si="61"/>
        <v>1155.8963548317824</v>
      </c>
      <c r="AD162" s="49">
        <f t="shared" si="62"/>
        <v>1113.4404102357373</v>
      </c>
      <c r="AE162" s="49">
        <f t="shared" si="63"/>
        <v>1072.6827034235341</v>
      </c>
      <c r="AF162" s="103">
        <f t="shared" si="64"/>
        <v>1033.555304883819</v>
      </c>
      <c r="AH162" s="49">
        <f t="shared" si="65"/>
        <v>29511.644180343821</v>
      </c>
      <c r="AI162" s="49">
        <f t="shared" si="66"/>
        <v>28355.747825512037</v>
      </c>
      <c r="AJ162" s="49">
        <f t="shared" si="67"/>
        <v>27242.3074152763</v>
      </c>
      <c r="AK162" s="49">
        <f t="shared" si="68"/>
        <v>26169.624711852764</v>
      </c>
      <c r="AL162" s="103">
        <f t="shared" si="69"/>
        <v>25136.069406968945</v>
      </c>
      <c r="AN162" s="53">
        <f t="shared" si="70"/>
        <v>2410.0987085134261</v>
      </c>
      <c r="AO162" s="53">
        <f t="shared" si="71"/>
        <v>2602.0394939328962</v>
      </c>
      <c r="AP162" s="53">
        <f t="shared" si="72"/>
        <v>2148.6480920162367</v>
      </c>
      <c r="AQ162" s="53">
        <f t="shared" si="73"/>
        <v>2067.1284424739392</v>
      </c>
      <c r="AR162" s="203">
        <f t="shared" si="74"/>
        <v>1988.7259423486389</v>
      </c>
      <c r="AY162" s="3"/>
    </row>
    <row r="163" spans="1:51">
      <c r="A163" s="239"/>
      <c r="B163" s="43">
        <f>'13. Desinvesteringen'!B447</f>
        <v>428</v>
      </c>
      <c r="C163" s="54"/>
      <c r="D163" s="54"/>
      <c r="E163" s="54"/>
      <c r="F163" s="48">
        <f>'5. Input GAW-waarde desinv.'!D123</f>
        <v>13771.568761085329</v>
      </c>
      <c r="G163" s="187">
        <f>'13. Desinvesteringen'!D447</f>
        <v>2002</v>
      </c>
      <c r="H163" s="187">
        <f>'13. Desinvesteringen'!G447</f>
        <v>2023</v>
      </c>
      <c r="I163" s="43" t="str">
        <f>'13. Desinvesteringen'!C447</f>
        <v>01 Regionale leidingen</v>
      </c>
      <c r="J163" s="176">
        <f>'13. Desinvesteringen'!F447</f>
        <v>0</v>
      </c>
      <c r="K163" s="44">
        <f>_xlfn.XLOOKUP(I163,'3. Input (des)investeringen '!$B$11:$B$81,'3. Input (des)investeringen '!$E$11:$E$81)</f>
        <v>1</v>
      </c>
      <c r="L163" s="54"/>
      <c r="M163" s="44">
        <f>_xlfn.XLOOKUP(I163,'3. Input (des)investeringen '!$B$11:$B$81,'3. Input (des)investeringen '!$D$11:$D$81,0)</f>
        <v>55</v>
      </c>
      <c r="N163" s="44">
        <f t="shared" si="54"/>
        <v>35.5</v>
      </c>
      <c r="P163" s="49">
        <f t="shared" si="75"/>
        <v>453.87987184422076</v>
      </c>
      <c r="Q163" s="49">
        <f t="shared" si="75"/>
        <v>437.25891879077034</v>
      </c>
      <c r="R163" s="49">
        <f t="shared" si="75"/>
        <v>421.24662035617882</v>
      </c>
      <c r="S163" s="49">
        <f t="shared" si="75"/>
        <v>405.82068777975536</v>
      </c>
      <c r="T163" s="103">
        <f t="shared" si="75"/>
        <v>390.9596485089474</v>
      </c>
      <c r="V163" s="49">
        <f t="shared" si="55"/>
        <v>38.79315143967699</v>
      </c>
      <c r="W163" s="49">
        <f t="shared" si="56"/>
        <v>38.79315143967699</v>
      </c>
      <c r="X163" s="49">
        <f t="shared" si="57"/>
        <v>38.79315143967699</v>
      </c>
      <c r="Y163" s="49">
        <f t="shared" si="58"/>
        <v>38.79315143967699</v>
      </c>
      <c r="Z163" s="103">
        <f t="shared" si="59"/>
        <v>38.79315143967699</v>
      </c>
      <c r="AB163" s="49">
        <f t="shared" si="60"/>
        <v>492.67302328389775</v>
      </c>
      <c r="AC163" s="49">
        <f t="shared" si="61"/>
        <v>476.05207023044733</v>
      </c>
      <c r="AD163" s="49">
        <f t="shared" si="62"/>
        <v>460.03977179585581</v>
      </c>
      <c r="AE163" s="49">
        <f t="shared" si="63"/>
        <v>444.61383921943235</v>
      </c>
      <c r="AF163" s="103">
        <f t="shared" si="64"/>
        <v>429.75279994862439</v>
      </c>
      <c r="AH163" s="49">
        <f t="shared" si="65"/>
        <v>13278.895737801431</v>
      </c>
      <c r="AI163" s="49">
        <f t="shared" si="66"/>
        <v>12802.843667570984</v>
      </c>
      <c r="AJ163" s="49">
        <f t="shared" si="67"/>
        <v>12342.803895775127</v>
      </c>
      <c r="AK163" s="49">
        <f t="shared" si="68"/>
        <v>11898.190056555695</v>
      </c>
      <c r="AL163" s="103">
        <f t="shared" si="69"/>
        <v>11468.437256607071</v>
      </c>
      <c r="AN163" s="53">
        <f t="shared" si="70"/>
        <v>1037.1077485337564</v>
      </c>
      <c r="AO163" s="53">
        <f t="shared" si="71"/>
        <v>1128.9970972765675</v>
      </c>
      <c r="AP163" s="53">
        <f t="shared" si="72"/>
        <v>929.06631983531065</v>
      </c>
      <c r="AQ163" s="53">
        <f t="shared" si="73"/>
        <v>896.7450613685487</v>
      </c>
      <c r="AR163" s="203">
        <f t="shared" si="74"/>
        <v>865.55341569969301</v>
      </c>
      <c r="AY163" s="3"/>
    </row>
    <row r="164" spans="1:51">
      <c r="A164" s="239"/>
      <c r="B164" s="43">
        <f>'13. Desinvesteringen'!B448</f>
        <v>429</v>
      </c>
      <c r="C164" s="54"/>
      <c r="D164" s="54"/>
      <c r="E164" s="54"/>
      <c r="F164" s="48">
        <f>'5. Input GAW-waarde desinv.'!D124</f>
        <v>38953.348948547842</v>
      </c>
      <c r="G164" s="187">
        <f>'13. Desinvesteringen'!D448</f>
        <v>2004</v>
      </c>
      <c r="H164" s="187">
        <f>'13. Desinvesteringen'!G448</f>
        <v>2023</v>
      </c>
      <c r="I164" s="43" t="str">
        <f>'13. Desinvesteringen'!C448</f>
        <v>01 Regionale leidingen</v>
      </c>
      <c r="J164" s="176">
        <f>'13. Desinvesteringen'!F448</f>
        <v>0</v>
      </c>
      <c r="K164" s="44">
        <f>_xlfn.XLOOKUP(I164,'3. Input (des)investeringen '!$B$11:$B$81,'3. Input (des)investeringen '!$E$11:$E$81)</f>
        <v>1</v>
      </c>
      <c r="L164" s="54"/>
      <c r="M164" s="44">
        <f>_xlfn.XLOOKUP(I164,'3. Input (des)investeringen '!$B$11:$B$81,'3. Input (des)investeringen '!$D$11:$D$81,0)</f>
        <v>55</v>
      </c>
      <c r="N164" s="44">
        <f t="shared" si="54"/>
        <v>37.5</v>
      </c>
      <c r="P164" s="49">
        <f t="shared" si="75"/>
        <v>1215.3444871946926</v>
      </c>
      <c r="Q164" s="49">
        <f t="shared" si="75"/>
        <v>1173.2125449719433</v>
      </c>
      <c r="R164" s="49">
        <f t="shared" si="75"/>
        <v>1132.5411767462494</v>
      </c>
      <c r="S164" s="49">
        <f t="shared" si="75"/>
        <v>1093.2797492857128</v>
      </c>
      <c r="T164" s="103">
        <f t="shared" si="75"/>
        <v>1055.379384643808</v>
      </c>
      <c r="V164" s="49">
        <f t="shared" si="55"/>
        <v>103.8755971961276</v>
      </c>
      <c r="W164" s="49">
        <f t="shared" si="56"/>
        <v>103.87559719612757</v>
      </c>
      <c r="X164" s="49">
        <f t="shared" si="57"/>
        <v>103.87559719612757</v>
      </c>
      <c r="Y164" s="49">
        <f t="shared" si="58"/>
        <v>103.87559719612757</v>
      </c>
      <c r="Z164" s="103">
        <f t="shared" si="59"/>
        <v>103.87559719612757</v>
      </c>
      <c r="AB164" s="49">
        <f t="shared" si="60"/>
        <v>1319.2200843908201</v>
      </c>
      <c r="AC164" s="49">
        <f t="shared" si="61"/>
        <v>1277.0881421680708</v>
      </c>
      <c r="AD164" s="49">
        <f t="shared" si="62"/>
        <v>1236.4167739423769</v>
      </c>
      <c r="AE164" s="49">
        <f t="shared" si="63"/>
        <v>1197.1553464818403</v>
      </c>
      <c r="AF164" s="103">
        <f t="shared" si="64"/>
        <v>1159.2549818399355</v>
      </c>
      <c r="AH164" s="49">
        <f t="shared" si="65"/>
        <v>37634.128864157021</v>
      </c>
      <c r="AI164" s="49">
        <f t="shared" si="66"/>
        <v>36357.040721988953</v>
      </c>
      <c r="AJ164" s="49">
        <f t="shared" si="67"/>
        <v>35120.623948046574</v>
      </c>
      <c r="AK164" s="49">
        <f t="shared" si="68"/>
        <v>33923.468601564731</v>
      </c>
      <c r="AL164" s="103">
        <f t="shared" si="69"/>
        <v>32764.213619724796</v>
      </c>
      <c r="AN164" s="53">
        <f t="shared" si="70"/>
        <v>2862.2193678212579</v>
      </c>
      <c r="AO164" s="53">
        <f t="shared" si="71"/>
        <v>3131.2972189895072</v>
      </c>
      <c r="AP164" s="53">
        <f t="shared" si="72"/>
        <v>2571.0004839681469</v>
      </c>
      <c r="AQ164" s="53">
        <f t="shared" si="73"/>
        <v>2486.2471533413</v>
      </c>
      <c r="AR164" s="203">
        <f t="shared" si="74"/>
        <v>2404.2950993894774</v>
      </c>
      <c r="AY164" s="3"/>
    </row>
    <row r="165" spans="1:51">
      <c r="A165" s="239"/>
      <c r="B165" s="43">
        <f>'13. Desinvesteringen'!B449</f>
        <v>430</v>
      </c>
      <c r="C165" s="54"/>
      <c r="D165" s="54"/>
      <c r="E165" s="54"/>
      <c r="F165" s="48">
        <f>'5. Input GAW-waarde desinv.'!D125</f>
        <v>49700.604054063915</v>
      </c>
      <c r="G165" s="187">
        <f>'13. Desinvesteringen'!D449</f>
        <v>2005</v>
      </c>
      <c r="H165" s="187">
        <f>'13. Desinvesteringen'!G449</f>
        <v>2023</v>
      </c>
      <c r="I165" s="43" t="str">
        <f>'13. Desinvesteringen'!C449</f>
        <v>01 Regionale leidingen</v>
      </c>
      <c r="J165" s="176">
        <f>'13. Desinvesteringen'!F449</f>
        <v>0</v>
      </c>
      <c r="K165" s="44">
        <f>_xlfn.XLOOKUP(I165,'3. Input (des)investeringen '!$B$11:$B$81,'3. Input (des)investeringen '!$E$11:$E$81)</f>
        <v>1</v>
      </c>
      <c r="L165" s="54"/>
      <c r="M165" s="44">
        <f>_xlfn.XLOOKUP(I165,'3. Input (des)investeringen '!$B$11:$B$81,'3. Input (des)investeringen '!$D$11:$D$81,0)</f>
        <v>55</v>
      </c>
      <c r="N165" s="44">
        <f t="shared" si="54"/>
        <v>38.5</v>
      </c>
      <c r="P165" s="49">
        <f t="shared" si="75"/>
        <v>1510.3819933312932</v>
      </c>
      <c r="Q165" s="49">
        <f t="shared" si="75"/>
        <v>1459.3820818681586</v>
      </c>
      <c r="R165" s="49">
        <f t="shared" si="75"/>
        <v>1410.1042453375455</v>
      </c>
      <c r="S165" s="49">
        <f t="shared" si="75"/>
        <v>1362.4903357547191</v>
      </c>
      <c r="T165" s="103">
        <f t="shared" si="75"/>
        <v>1316.4841685733909</v>
      </c>
      <c r="V165" s="49">
        <f t="shared" si="55"/>
        <v>129.09247806250369</v>
      </c>
      <c r="W165" s="49">
        <f t="shared" si="56"/>
        <v>129.09247806250369</v>
      </c>
      <c r="X165" s="49">
        <f t="shared" si="57"/>
        <v>129.09247806250369</v>
      </c>
      <c r="Y165" s="49">
        <f t="shared" si="58"/>
        <v>129.09247806250369</v>
      </c>
      <c r="Z165" s="103">
        <f t="shared" si="59"/>
        <v>129.09247806250369</v>
      </c>
      <c r="AB165" s="49">
        <f t="shared" si="60"/>
        <v>1639.4744713937969</v>
      </c>
      <c r="AC165" s="49">
        <f t="shared" si="61"/>
        <v>1588.4745599306623</v>
      </c>
      <c r="AD165" s="49">
        <f t="shared" si="62"/>
        <v>1539.1967234000492</v>
      </c>
      <c r="AE165" s="49">
        <f t="shared" si="63"/>
        <v>1491.5828138172228</v>
      </c>
      <c r="AF165" s="103">
        <f t="shared" si="64"/>
        <v>1445.5766466358946</v>
      </c>
      <c r="AH165" s="49">
        <f t="shared" si="65"/>
        <v>48061.129582670117</v>
      </c>
      <c r="AI165" s="49">
        <f t="shared" si="66"/>
        <v>46472.655022739455</v>
      </c>
      <c r="AJ165" s="49">
        <f t="shared" si="67"/>
        <v>44933.458299339407</v>
      </c>
      <c r="AK165" s="49">
        <f t="shared" si="68"/>
        <v>43441.875485522185</v>
      </c>
      <c r="AL165" s="103">
        <f t="shared" si="69"/>
        <v>41996.298838886287</v>
      </c>
      <c r="AN165" s="53">
        <f t="shared" si="70"/>
        <v>3609.9807842832715</v>
      </c>
      <c r="AO165" s="53">
        <f t="shared" si="71"/>
        <v>3958.579966090374</v>
      </c>
      <c r="AP165" s="53">
        <f t="shared" si="72"/>
        <v>3246.6681387749468</v>
      </c>
      <c r="AQ165" s="53">
        <f t="shared" si="73"/>
        <v>3142.3740822670661</v>
      </c>
      <c r="AR165" s="203">
        <f t="shared" si="74"/>
        <v>3041.4360025135734</v>
      </c>
      <c r="AY165" s="3"/>
    </row>
    <row r="166" spans="1:51">
      <c r="A166" s="239"/>
      <c r="B166" s="43">
        <f>'13. Desinvesteringen'!B450</f>
        <v>431</v>
      </c>
      <c r="C166" s="54"/>
      <c r="D166" s="54"/>
      <c r="E166" s="54"/>
      <c r="F166" s="48">
        <f>'5. Input GAW-waarde desinv.'!D126</f>
        <v>9176.6384417978097</v>
      </c>
      <c r="G166" s="187">
        <f>'13. Desinvesteringen'!D450</f>
        <v>2006</v>
      </c>
      <c r="H166" s="187">
        <f>'13. Desinvesteringen'!G450</f>
        <v>2023</v>
      </c>
      <c r="I166" s="43" t="str">
        <f>'13. Desinvesteringen'!C450</f>
        <v>01 Regionale leidingen</v>
      </c>
      <c r="J166" s="176">
        <f>'13. Desinvesteringen'!F450</f>
        <v>0</v>
      </c>
      <c r="K166" s="44">
        <f>_xlfn.XLOOKUP(I166,'3. Input (des)investeringen '!$B$11:$B$81,'3. Input (des)investeringen '!$E$11:$E$81)</f>
        <v>1</v>
      </c>
      <c r="L166" s="54"/>
      <c r="M166" s="44">
        <f>_xlfn.XLOOKUP(I166,'3. Input (des)investeringen '!$B$11:$B$81,'3. Input (des)investeringen '!$D$11:$D$81,0)</f>
        <v>55</v>
      </c>
      <c r="N166" s="44">
        <f t="shared" si="54"/>
        <v>39.5</v>
      </c>
      <c r="P166" s="49">
        <f t="shared" si="75"/>
        <v>271.81435384565663</v>
      </c>
      <c r="Q166" s="49">
        <f t="shared" si="75"/>
        <v>262.86856498491352</v>
      </c>
      <c r="R166" s="49">
        <f t="shared" si="75"/>
        <v>254.21719449173912</v>
      </c>
      <c r="S166" s="49">
        <f t="shared" si="75"/>
        <v>245.85055264770722</v>
      </c>
      <c r="T166" s="103">
        <f t="shared" si="75"/>
        <v>237.75926863651688</v>
      </c>
      <c r="V166" s="49">
        <f t="shared" si="55"/>
        <v>23.231996055184329</v>
      </c>
      <c r="W166" s="49">
        <f t="shared" si="56"/>
        <v>23.231996055184329</v>
      </c>
      <c r="X166" s="49">
        <f t="shared" si="57"/>
        <v>23.231996055184329</v>
      </c>
      <c r="Y166" s="49">
        <f t="shared" si="58"/>
        <v>23.231996055184329</v>
      </c>
      <c r="Z166" s="103">
        <f t="shared" si="59"/>
        <v>23.231996055184329</v>
      </c>
      <c r="AB166" s="49">
        <f t="shared" si="60"/>
        <v>295.04634990084094</v>
      </c>
      <c r="AC166" s="49">
        <f t="shared" si="61"/>
        <v>286.10056104009783</v>
      </c>
      <c r="AD166" s="49">
        <f t="shared" si="62"/>
        <v>277.44919054692343</v>
      </c>
      <c r="AE166" s="49">
        <f t="shared" si="63"/>
        <v>269.08254870289153</v>
      </c>
      <c r="AF166" s="103">
        <f t="shared" si="64"/>
        <v>260.99126469170119</v>
      </c>
      <c r="AH166" s="49">
        <f t="shared" si="65"/>
        <v>8881.5920918969696</v>
      </c>
      <c r="AI166" s="49">
        <f t="shared" si="66"/>
        <v>8595.4915308568725</v>
      </c>
      <c r="AJ166" s="49">
        <f t="shared" si="67"/>
        <v>8318.0423403099485</v>
      </c>
      <c r="AK166" s="49">
        <f t="shared" si="68"/>
        <v>8048.959791607057</v>
      </c>
      <c r="AL166" s="103">
        <f t="shared" si="69"/>
        <v>7787.9685269153561</v>
      </c>
      <c r="AN166" s="53">
        <f t="shared" si="70"/>
        <v>659.19162566861678</v>
      </c>
      <c r="AO166" s="53">
        <f t="shared" si="71"/>
        <v>724.47062911379828</v>
      </c>
      <c r="AP166" s="53">
        <f t="shared" si="72"/>
        <v>593.53479947870142</v>
      </c>
      <c r="AQ166" s="53">
        <f t="shared" si="73"/>
        <v>574.9430207839597</v>
      </c>
      <c r="AR166" s="203">
        <f t="shared" si="74"/>
        <v>556.93406871448474</v>
      </c>
      <c r="AY166" s="3"/>
    </row>
    <row r="167" spans="1:51">
      <c r="A167" s="239"/>
      <c r="B167" s="43">
        <f>'13. Desinvesteringen'!B451</f>
        <v>432</v>
      </c>
      <c r="C167" s="54"/>
      <c r="D167" s="54"/>
      <c r="E167" s="54"/>
      <c r="F167" s="48">
        <f>'5. Input GAW-waarde desinv.'!D127</f>
        <v>350173.006424536</v>
      </c>
      <c r="G167" s="187">
        <f>'13. Desinvesteringen'!D451</f>
        <v>2009</v>
      </c>
      <c r="H167" s="187">
        <f>'13. Desinvesteringen'!G451</f>
        <v>2023</v>
      </c>
      <c r="I167" s="43" t="str">
        <f>'13. Desinvesteringen'!C451</f>
        <v>01 Regionale leidingen</v>
      </c>
      <c r="J167" s="176">
        <f>'13. Desinvesteringen'!F451</f>
        <v>0</v>
      </c>
      <c r="K167" s="44">
        <f>_xlfn.XLOOKUP(I167,'3. Input (des)investeringen '!$B$11:$B$81,'3. Input (des)investeringen '!$E$11:$E$81)</f>
        <v>1</v>
      </c>
      <c r="L167" s="54"/>
      <c r="M167" s="44">
        <f>_xlfn.XLOOKUP(I167,'3. Input (des)investeringen '!$B$11:$B$81,'3. Input (des)investeringen '!$D$11:$D$81,0)</f>
        <v>55</v>
      </c>
      <c r="N167" s="44">
        <f t="shared" si="54"/>
        <v>42.5</v>
      </c>
      <c r="P167" s="49">
        <f t="shared" si="75"/>
        <v>9640.0568827460502</v>
      </c>
      <c r="Q167" s="49">
        <f t="shared" si="75"/>
        <v>9345.1845545679353</v>
      </c>
      <c r="R167" s="49">
        <f t="shared" si="75"/>
        <v>9059.3318505458592</v>
      </c>
      <c r="S167" s="49">
        <f t="shared" si="75"/>
        <v>8782.2228762938666</v>
      </c>
      <c r="T167" s="103">
        <f t="shared" si="75"/>
        <v>8513.5901765484068</v>
      </c>
      <c r="V167" s="49">
        <f t="shared" si="55"/>
        <v>823.93648570479058</v>
      </c>
      <c r="W167" s="49">
        <f t="shared" si="56"/>
        <v>823.93648570479058</v>
      </c>
      <c r="X167" s="49">
        <f t="shared" si="57"/>
        <v>823.93648570479058</v>
      </c>
      <c r="Y167" s="49">
        <f t="shared" si="58"/>
        <v>823.93648570479058</v>
      </c>
      <c r="Z167" s="103">
        <f t="shared" si="59"/>
        <v>823.93648570479058</v>
      </c>
      <c r="AB167" s="49">
        <f t="shared" si="60"/>
        <v>10463.993368450841</v>
      </c>
      <c r="AC167" s="49">
        <f t="shared" si="61"/>
        <v>10169.121040272727</v>
      </c>
      <c r="AD167" s="49">
        <f t="shared" si="62"/>
        <v>9883.2683362506505</v>
      </c>
      <c r="AE167" s="49">
        <f t="shared" si="63"/>
        <v>9606.1593619986579</v>
      </c>
      <c r="AF167" s="103">
        <f t="shared" si="64"/>
        <v>9337.5266622531981</v>
      </c>
      <c r="AH167" s="49">
        <f t="shared" si="65"/>
        <v>339709.01305608515</v>
      </c>
      <c r="AI167" s="49">
        <f t="shared" si="66"/>
        <v>329539.89201581245</v>
      </c>
      <c r="AJ167" s="49">
        <f t="shared" si="67"/>
        <v>319656.62367956177</v>
      </c>
      <c r="AK167" s="49">
        <f t="shared" si="68"/>
        <v>310050.46431756311</v>
      </c>
      <c r="AL167" s="103">
        <f t="shared" si="69"/>
        <v>300712.93765530991</v>
      </c>
      <c r="AN167" s="53">
        <f t="shared" si="70"/>
        <v>24392.062903750331</v>
      </c>
      <c r="AO167" s="53">
        <f t="shared" si="71"/>
        <v>26975.65553307916</v>
      </c>
      <c r="AP167" s="53">
        <f t="shared" si="72"/>
        <v>22030.220036073995</v>
      </c>
      <c r="AQ167" s="53">
        <f t="shared" si="73"/>
        <v>21388.077006066058</v>
      </c>
      <c r="AR167" s="203">
        <f t="shared" si="74"/>
        <v>20764.618293154974</v>
      </c>
      <c r="AY167" s="3"/>
    </row>
    <row r="168" spans="1:51">
      <c r="A168" s="239"/>
      <c r="B168" s="43">
        <f>'13. Desinvesteringen'!B452</f>
        <v>433</v>
      </c>
      <c r="C168" s="54"/>
      <c r="D168" s="54"/>
      <c r="E168" s="54"/>
      <c r="F168" s="48">
        <f>'5. Input GAW-waarde desinv.'!D128</f>
        <v>16791.944833574824</v>
      </c>
      <c r="G168" s="187">
        <f>'13. Desinvesteringen'!D452</f>
        <v>2011</v>
      </c>
      <c r="H168" s="187">
        <f>'13. Desinvesteringen'!G452</f>
        <v>2023</v>
      </c>
      <c r="I168" s="43" t="str">
        <f>'13. Desinvesteringen'!C452</f>
        <v>01 Regionale leidingen</v>
      </c>
      <c r="J168" s="176">
        <f>'13. Desinvesteringen'!F452</f>
        <v>0</v>
      </c>
      <c r="K168" s="44">
        <f>_xlfn.XLOOKUP(I168,'3. Input (des)investeringen '!$B$11:$B$81,'3. Input (des)investeringen '!$E$11:$E$81)</f>
        <v>1</v>
      </c>
      <c r="L168" s="54"/>
      <c r="M168" s="44">
        <f>_xlfn.XLOOKUP(I168,'3. Input (des)investeringen '!$B$11:$B$81,'3. Input (des)investeringen '!$D$11:$D$81,0)</f>
        <v>55</v>
      </c>
      <c r="N168" s="44">
        <f t="shared" si="54"/>
        <v>44.5</v>
      </c>
      <c r="P168" s="49">
        <f t="shared" si="75"/>
        <v>441.49607764679877</v>
      </c>
      <c r="Q168" s="49">
        <f t="shared" si="75"/>
        <v>428.5984394234091</v>
      </c>
      <c r="R168" s="49">
        <f t="shared" si="75"/>
        <v>416.07758613688259</v>
      </c>
      <c r="S168" s="49">
        <f t="shared" si="75"/>
        <v>403.92251058681637</v>
      </c>
      <c r="T168" s="103">
        <f t="shared" si="75"/>
        <v>392.12252713147114</v>
      </c>
      <c r="V168" s="49">
        <f t="shared" si="55"/>
        <v>37.734707491179385</v>
      </c>
      <c r="W168" s="49">
        <f t="shared" si="56"/>
        <v>37.734707491179378</v>
      </c>
      <c r="X168" s="49">
        <f t="shared" si="57"/>
        <v>37.734707491179378</v>
      </c>
      <c r="Y168" s="49">
        <f t="shared" si="58"/>
        <v>37.734707491179378</v>
      </c>
      <c r="Z168" s="103">
        <f t="shared" si="59"/>
        <v>37.734707491179378</v>
      </c>
      <c r="AB168" s="49">
        <f t="shared" si="60"/>
        <v>479.23078513797816</v>
      </c>
      <c r="AC168" s="49">
        <f t="shared" si="61"/>
        <v>466.3331469145885</v>
      </c>
      <c r="AD168" s="49">
        <f t="shared" si="62"/>
        <v>453.81229362806198</v>
      </c>
      <c r="AE168" s="49">
        <f t="shared" si="63"/>
        <v>441.65721807799576</v>
      </c>
      <c r="AF168" s="103">
        <f t="shared" si="64"/>
        <v>429.85723462265054</v>
      </c>
      <c r="AH168" s="49">
        <f t="shared" si="65"/>
        <v>16312.714048436846</v>
      </c>
      <c r="AI168" s="49">
        <f t="shared" si="66"/>
        <v>15846.380901522258</v>
      </c>
      <c r="AJ168" s="49">
        <f t="shared" si="67"/>
        <v>15392.568607894196</v>
      </c>
      <c r="AK168" s="49">
        <f t="shared" si="68"/>
        <v>14950.911389816201</v>
      </c>
      <c r="AL168" s="103">
        <f t="shared" si="69"/>
        <v>14521.054155193551</v>
      </c>
      <c r="AN168" s="53">
        <f t="shared" si="70"/>
        <v>1148.052061123889</v>
      </c>
      <c r="AO168" s="53">
        <f t="shared" si="71"/>
        <v>1274.4985728922236</v>
      </c>
      <c r="AP168" s="53">
        <f t="shared" si="72"/>
        <v>1038.7299007280415</v>
      </c>
      <c r="AQ168" s="53">
        <f t="shared" si="73"/>
        <v>1009.7918508910113</v>
      </c>
      <c r="AR168" s="203">
        <f t="shared" si="74"/>
        <v>981.65729252000551</v>
      </c>
      <c r="AY168" s="3"/>
    </row>
    <row r="169" spans="1:51">
      <c r="A169" s="239"/>
      <c r="B169" s="43">
        <f>'13. Desinvesteringen'!B453</f>
        <v>434</v>
      </c>
      <c r="C169" s="54"/>
      <c r="D169" s="54"/>
      <c r="E169" s="54"/>
      <c r="F169" s="48">
        <f>'5. Input GAW-waarde desinv.'!D129</f>
        <v>368844.5346481328</v>
      </c>
      <c r="G169" s="187">
        <f>'13. Desinvesteringen'!D453</f>
        <v>2012</v>
      </c>
      <c r="H169" s="187">
        <f>'13. Desinvesteringen'!G453</f>
        <v>2023</v>
      </c>
      <c r="I169" s="43" t="str">
        <f>'13. Desinvesteringen'!C453</f>
        <v>01 Regionale leidingen</v>
      </c>
      <c r="J169" s="176">
        <f>'13. Desinvesteringen'!F453</f>
        <v>0</v>
      </c>
      <c r="K169" s="44">
        <f>_xlfn.XLOOKUP(I169,'3. Input (des)investeringen '!$B$11:$B$81,'3. Input (des)investeringen '!$E$11:$E$81)</f>
        <v>1</v>
      </c>
      <c r="L169" s="54"/>
      <c r="M169" s="44">
        <f>_xlfn.XLOOKUP(I169,'3. Input (des)investeringen '!$B$11:$B$81,'3. Input (des)investeringen '!$D$11:$D$81,0)</f>
        <v>55</v>
      </c>
      <c r="N169" s="44">
        <f t="shared" si="54"/>
        <v>45.5</v>
      </c>
      <c r="P169" s="49">
        <f t="shared" si="75"/>
        <v>9484.5737480948446</v>
      </c>
      <c r="Q169" s="49">
        <f t="shared" si="75"/>
        <v>9213.585926720707</v>
      </c>
      <c r="R169" s="49">
        <f t="shared" si="75"/>
        <v>8950.3406145286863</v>
      </c>
      <c r="S169" s="49">
        <f t="shared" si="75"/>
        <v>8694.6165969707254</v>
      </c>
      <c r="T169" s="103">
        <f t="shared" si="75"/>
        <v>8446.1989799144194</v>
      </c>
      <c r="V169" s="49">
        <f t="shared" si="55"/>
        <v>810.6473288969953</v>
      </c>
      <c r="W169" s="49">
        <f t="shared" si="56"/>
        <v>810.64732889699519</v>
      </c>
      <c r="X169" s="49">
        <f t="shared" si="57"/>
        <v>810.64732889699519</v>
      </c>
      <c r="Y169" s="49">
        <f t="shared" si="58"/>
        <v>810.64732889699519</v>
      </c>
      <c r="Z169" s="103">
        <f t="shared" si="59"/>
        <v>810.64732889699519</v>
      </c>
      <c r="AB169" s="49">
        <f t="shared" si="60"/>
        <v>10295.22107699184</v>
      </c>
      <c r="AC169" s="49">
        <f t="shared" si="61"/>
        <v>10024.233255617703</v>
      </c>
      <c r="AD169" s="49">
        <f t="shared" si="62"/>
        <v>9760.9879434256818</v>
      </c>
      <c r="AE169" s="49">
        <f t="shared" si="63"/>
        <v>9505.2639258677209</v>
      </c>
      <c r="AF169" s="103">
        <f t="shared" si="64"/>
        <v>9256.8463088114149</v>
      </c>
      <c r="AH169" s="49">
        <f t="shared" si="65"/>
        <v>358549.31357114099</v>
      </c>
      <c r="AI169" s="49">
        <f t="shared" si="66"/>
        <v>348525.08031552326</v>
      </c>
      <c r="AJ169" s="49">
        <f t="shared" si="67"/>
        <v>338764.0923720976</v>
      </c>
      <c r="AK169" s="49">
        <f t="shared" si="68"/>
        <v>329258.82844622986</v>
      </c>
      <c r="AL169" s="103">
        <f t="shared" si="69"/>
        <v>320001.98213741847</v>
      </c>
      <c r="AN169" s="53">
        <f t="shared" si="70"/>
        <v>24995.742933408619</v>
      </c>
      <c r="AO169" s="53">
        <f t="shared" si="71"/>
        <v>27799.012351709389</v>
      </c>
      <c r="AP169" s="53">
        <f t="shared" si="72"/>
        <v>22634.023453565391</v>
      </c>
      <c r="AQ169" s="53">
        <f t="shared" si="73"/>
        <v>22017.099406824454</v>
      </c>
      <c r="AR169" s="203">
        <f t="shared" si="74"/>
        <v>21416.921630033314</v>
      </c>
      <c r="AY169" s="3"/>
    </row>
    <row r="170" spans="1:51">
      <c r="A170" s="239"/>
      <c r="B170" s="43">
        <f>'13. Desinvesteringen'!B454</f>
        <v>435</v>
      </c>
      <c r="C170" s="54"/>
      <c r="D170" s="54"/>
      <c r="E170" s="54"/>
      <c r="F170" s="48">
        <f>'5. Input GAW-waarde desinv.'!D130</f>
        <v>0</v>
      </c>
      <c r="G170" s="187">
        <f>'13. Desinvesteringen'!D454</f>
        <v>1965</v>
      </c>
      <c r="H170" s="187">
        <f>'13. Desinvesteringen'!G454</f>
        <v>2023</v>
      </c>
      <c r="I170" s="43" t="str">
        <f>'13. Desinvesteringen'!C454</f>
        <v>02 Gasontvangststations</v>
      </c>
      <c r="J170" s="176">
        <f>'13. Desinvesteringen'!F454</f>
        <v>0</v>
      </c>
      <c r="K170" s="44">
        <f>_xlfn.XLOOKUP(I170,'3. Input (des)investeringen '!$B$11:$B$81,'3. Input (des)investeringen '!$E$11:$E$81)</f>
        <v>0</v>
      </c>
      <c r="L170" s="54"/>
      <c r="M170" s="44">
        <f>_xlfn.XLOOKUP(I170,'3. Input (des)investeringen '!$B$11:$B$81,'3. Input (des)investeringen '!$D$11:$D$81,0)</f>
        <v>30</v>
      </c>
      <c r="N170" s="44">
        <f t="shared" si="54"/>
        <v>0</v>
      </c>
      <c r="P170" s="49">
        <f t="shared" si="75"/>
        <v>0</v>
      </c>
      <c r="Q170" s="49">
        <f t="shared" si="75"/>
        <v>0</v>
      </c>
      <c r="R170" s="49">
        <f t="shared" si="75"/>
        <v>0</v>
      </c>
      <c r="S170" s="49">
        <f t="shared" si="75"/>
        <v>0</v>
      </c>
      <c r="T170" s="103">
        <f t="shared" si="75"/>
        <v>0</v>
      </c>
      <c r="V170" s="49">
        <f t="shared" si="55"/>
        <v>0</v>
      </c>
      <c r="W170" s="49">
        <f t="shared" si="56"/>
        <v>0</v>
      </c>
      <c r="X170" s="49">
        <f t="shared" si="57"/>
        <v>0</v>
      </c>
      <c r="Y170" s="49">
        <f t="shared" si="58"/>
        <v>0</v>
      </c>
      <c r="Z170" s="103">
        <f t="shared" si="59"/>
        <v>0</v>
      </c>
      <c r="AB170" s="49">
        <f t="shared" si="60"/>
        <v>0</v>
      </c>
      <c r="AC170" s="49">
        <f t="shared" si="61"/>
        <v>0</v>
      </c>
      <c r="AD170" s="49">
        <f t="shared" si="62"/>
        <v>0</v>
      </c>
      <c r="AE170" s="49">
        <f t="shared" si="63"/>
        <v>0</v>
      </c>
      <c r="AF170" s="103">
        <f t="shared" si="64"/>
        <v>0</v>
      </c>
      <c r="AH170" s="49">
        <f t="shared" si="65"/>
        <v>0</v>
      </c>
      <c r="AI170" s="49">
        <f t="shared" si="66"/>
        <v>0</v>
      </c>
      <c r="AJ170" s="49">
        <f t="shared" si="67"/>
        <v>0</v>
      </c>
      <c r="AK170" s="49">
        <f t="shared" si="68"/>
        <v>0</v>
      </c>
      <c r="AL170" s="103">
        <f t="shared" si="69"/>
        <v>0</v>
      </c>
      <c r="AN170" s="53">
        <f t="shared" si="70"/>
        <v>0</v>
      </c>
      <c r="AO170" s="53">
        <f t="shared" si="71"/>
        <v>0</v>
      </c>
      <c r="AP170" s="53">
        <f t="shared" si="72"/>
        <v>0</v>
      </c>
      <c r="AQ170" s="53">
        <f t="shared" si="73"/>
        <v>0</v>
      </c>
      <c r="AR170" s="203">
        <f t="shared" si="74"/>
        <v>0</v>
      </c>
      <c r="AY170" s="3"/>
    </row>
    <row r="171" spans="1:51">
      <c r="A171" s="239"/>
      <c r="B171" s="43">
        <f>'13. Desinvesteringen'!B455</f>
        <v>436</v>
      </c>
      <c r="C171" s="54"/>
      <c r="D171" s="54"/>
      <c r="E171" s="54"/>
      <c r="F171" s="48">
        <f>'5. Input GAW-waarde desinv.'!D131</f>
        <v>0</v>
      </c>
      <c r="G171" s="187">
        <f>'13. Desinvesteringen'!D455</f>
        <v>1966</v>
      </c>
      <c r="H171" s="187">
        <f>'13. Desinvesteringen'!G455</f>
        <v>2023</v>
      </c>
      <c r="I171" s="43" t="str">
        <f>'13. Desinvesteringen'!C455</f>
        <v>02 Gasontvangststations</v>
      </c>
      <c r="J171" s="176">
        <f>'13. Desinvesteringen'!F455</f>
        <v>0</v>
      </c>
      <c r="K171" s="44">
        <f>_xlfn.XLOOKUP(I171,'3. Input (des)investeringen '!$B$11:$B$81,'3. Input (des)investeringen '!$E$11:$E$81)</f>
        <v>0</v>
      </c>
      <c r="L171" s="54"/>
      <c r="M171" s="44">
        <f>_xlfn.XLOOKUP(I171,'3. Input (des)investeringen '!$B$11:$B$81,'3. Input (des)investeringen '!$D$11:$D$81,0)</f>
        <v>30</v>
      </c>
      <c r="N171" s="44">
        <f t="shared" si="54"/>
        <v>0</v>
      </c>
      <c r="P171" s="49">
        <f t="shared" si="75"/>
        <v>0</v>
      </c>
      <c r="Q171" s="49">
        <f t="shared" si="75"/>
        <v>0</v>
      </c>
      <c r="R171" s="49">
        <f t="shared" si="75"/>
        <v>0</v>
      </c>
      <c r="S171" s="49">
        <f t="shared" si="75"/>
        <v>0</v>
      </c>
      <c r="T171" s="103">
        <f t="shared" si="75"/>
        <v>0</v>
      </c>
      <c r="V171" s="49">
        <f t="shared" si="55"/>
        <v>0</v>
      </c>
      <c r="W171" s="49">
        <f t="shared" si="56"/>
        <v>0</v>
      </c>
      <c r="X171" s="49">
        <f t="shared" si="57"/>
        <v>0</v>
      </c>
      <c r="Y171" s="49">
        <f t="shared" si="58"/>
        <v>0</v>
      </c>
      <c r="Z171" s="103">
        <f t="shared" si="59"/>
        <v>0</v>
      </c>
      <c r="AB171" s="49">
        <f t="shared" si="60"/>
        <v>0</v>
      </c>
      <c r="AC171" s="49">
        <f t="shared" si="61"/>
        <v>0</v>
      </c>
      <c r="AD171" s="49">
        <f t="shared" si="62"/>
        <v>0</v>
      </c>
      <c r="AE171" s="49">
        <f t="shared" si="63"/>
        <v>0</v>
      </c>
      <c r="AF171" s="103">
        <f t="shared" si="64"/>
        <v>0</v>
      </c>
      <c r="AH171" s="49">
        <f t="shared" si="65"/>
        <v>0</v>
      </c>
      <c r="AI171" s="49">
        <f t="shared" si="66"/>
        <v>0</v>
      </c>
      <c r="AJ171" s="49">
        <f t="shared" si="67"/>
        <v>0</v>
      </c>
      <c r="AK171" s="49">
        <f t="shared" si="68"/>
        <v>0</v>
      </c>
      <c r="AL171" s="103">
        <f t="shared" si="69"/>
        <v>0</v>
      </c>
      <c r="AN171" s="53">
        <f t="shared" si="70"/>
        <v>0</v>
      </c>
      <c r="AO171" s="53">
        <f t="shared" si="71"/>
        <v>0</v>
      </c>
      <c r="AP171" s="53">
        <f t="shared" si="72"/>
        <v>0</v>
      </c>
      <c r="AQ171" s="53">
        <f t="shared" si="73"/>
        <v>0</v>
      </c>
      <c r="AR171" s="203">
        <f t="shared" si="74"/>
        <v>0</v>
      </c>
      <c r="AY171" s="3"/>
    </row>
    <row r="172" spans="1:51">
      <c r="A172" s="239"/>
      <c r="B172" s="43">
        <f>'13. Desinvesteringen'!B456</f>
        <v>437</v>
      </c>
      <c r="C172" s="54"/>
      <c r="D172" s="54"/>
      <c r="E172" s="54"/>
      <c r="F172" s="48">
        <f>'5. Input GAW-waarde desinv.'!D132</f>
        <v>0</v>
      </c>
      <c r="G172" s="187">
        <f>'13. Desinvesteringen'!D456</f>
        <v>1967</v>
      </c>
      <c r="H172" s="187">
        <f>'13. Desinvesteringen'!G456</f>
        <v>2023</v>
      </c>
      <c r="I172" s="43" t="str">
        <f>'13. Desinvesteringen'!C456</f>
        <v>02 Gasontvangststations</v>
      </c>
      <c r="J172" s="176">
        <f>'13. Desinvesteringen'!F456</f>
        <v>0</v>
      </c>
      <c r="K172" s="44">
        <f>_xlfn.XLOOKUP(I172,'3. Input (des)investeringen '!$B$11:$B$81,'3. Input (des)investeringen '!$E$11:$E$81)</f>
        <v>0</v>
      </c>
      <c r="L172" s="54"/>
      <c r="M172" s="44">
        <f>_xlfn.XLOOKUP(I172,'3. Input (des)investeringen '!$B$11:$B$81,'3. Input (des)investeringen '!$D$11:$D$81,0)</f>
        <v>30</v>
      </c>
      <c r="N172" s="44">
        <f t="shared" si="54"/>
        <v>0</v>
      </c>
      <c r="P172" s="49">
        <f t="shared" si="75"/>
        <v>0</v>
      </c>
      <c r="Q172" s="49">
        <f t="shared" si="75"/>
        <v>0</v>
      </c>
      <c r="R172" s="49">
        <f t="shared" si="75"/>
        <v>0</v>
      </c>
      <c r="S172" s="49">
        <f t="shared" si="75"/>
        <v>0</v>
      </c>
      <c r="T172" s="103">
        <f t="shared" si="75"/>
        <v>0</v>
      </c>
      <c r="V172" s="49">
        <f t="shared" si="55"/>
        <v>0</v>
      </c>
      <c r="W172" s="49">
        <f t="shared" si="56"/>
        <v>0</v>
      </c>
      <c r="X172" s="49">
        <f t="shared" si="57"/>
        <v>0</v>
      </c>
      <c r="Y172" s="49">
        <f t="shared" si="58"/>
        <v>0</v>
      </c>
      <c r="Z172" s="103">
        <f t="shared" si="59"/>
        <v>0</v>
      </c>
      <c r="AB172" s="49">
        <f t="shared" si="60"/>
        <v>0</v>
      </c>
      <c r="AC172" s="49">
        <f t="shared" si="61"/>
        <v>0</v>
      </c>
      <c r="AD172" s="49">
        <f t="shared" si="62"/>
        <v>0</v>
      </c>
      <c r="AE172" s="49">
        <f t="shared" si="63"/>
        <v>0</v>
      </c>
      <c r="AF172" s="103">
        <f t="shared" si="64"/>
        <v>0</v>
      </c>
      <c r="AH172" s="49">
        <f t="shared" si="65"/>
        <v>0</v>
      </c>
      <c r="AI172" s="49">
        <f t="shared" si="66"/>
        <v>0</v>
      </c>
      <c r="AJ172" s="49">
        <f t="shared" si="67"/>
        <v>0</v>
      </c>
      <c r="AK172" s="49">
        <f t="shared" si="68"/>
        <v>0</v>
      </c>
      <c r="AL172" s="103">
        <f t="shared" si="69"/>
        <v>0</v>
      </c>
      <c r="AN172" s="53">
        <f t="shared" si="70"/>
        <v>0</v>
      </c>
      <c r="AO172" s="53">
        <f t="shared" si="71"/>
        <v>0</v>
      </c>
      <c r="AP172" s="53">
        <f t="shared" si="72"/>
        <v>0</v>
      </c>
      <c r="AQ172" s="53">
        <f t="shared" si="73"/>
        <v>0</v>
      </c>
      <c r="AR172" s="203">
        <f t="shared" si="74"/>
        <v>0</v>
      </c>
      <c r="AY172" s="3"/>
    </row>
    <row r="173" spans="1:51">
      <c r="A173" s="239"/>
      <c r="B173" s="43">
        <f>'13. Desinvesteringen'!B457</f>
        <v>438</v>
      </c>
      <c r="C173" s="54"/>
      <c r="D173" s="54"/>
      <c r="E173" s="54"/>
      <c r="F173" s="48">
        <f>'5. Input GAW-waarde desinv.'!D133</f>
        <v>0</v>
      </c>
      <c r="G173" s="187">
        <f>'13. Desinvesteringen'!D457</f>
        <v>1968</v>
      </c>
      <c r="H173" s="187">
        <f>'13. Desinvesteringen'!G457</f>
        <v>2023</v>
      </c>
      <c r="I173" s="43" t="str">
        <f>'13. Desinvesteringen'!C457</f>
        <v>02 Gasontvangststations</v>
      </c>
      <c r="J173" s="176">
        <f>'13. Desinvesteringen'!F457</f>
        <v>0</v>
      </c>
      <c r="K173" s="44">
        <f>_xlfn.XLOOKUP(I173,'3. Input (des)investeringen '!$B$11:$B$81,'3. Input (des)investeringen '!$E$11:$E$81)</f>
        <v>0</v>
      </c>
      <c r="L173" s="54"/>
      <c r="M173" s="44">
        <f>_xlfn.XLOOKUP(I173,'3. Input (des)investeringen '!$B$11:$B$81,'3. Input (des)investeringen '!$D$11:$D$81,0)</f>
        <v>30</v>
      </c>
      <c r="N173" s="44">
        <f t="shared" si="54"/>
        <v>0</v>
      </c>
      <c r="P173" s="49">
        <f t="shared" si="75"/>
        <v>0</v>
      </c>
      <c r="Q173" s="49">
        <f t="shared" si="75"/>
        <v>0</v>
      </c>
      <c r="R173" s="49">
        <f t="shared" si="75"/>
        <v>0</v>
      </c>
      <c r="S173" s="49">
        <f t="shared" si="75"/>
        <v>0</v>
      </c>
      <c r="T173" s="103">
        <f t="shared" si="75"/>
        <v>0</v>
      </c>
      <c r="V173" s="49">
        <f t="shared" si="55"/>
        <v>0</v>
      </c>
      <c r="W173" s="49">
        <f t="shared" si="56"/>
        <v>0</v>
      </c>
      <c r="X173" s="49">
        <f t="shared" si="57"/>
        <v>0</v>
      </c>
      <c r="Y173" s="49">
        <f t="shared" si="58"/>
        <v>0</v>
      </c>
      <c r="Z173" s="103">
        <f t="shared" si="59"/>
        <v>0</v>
      </c>
      <c r="AB173" s="49">
        <f t="shared" si="60"/>
        <v>0</v>
      </c>
      <c r="AC173" s="49">
        <f t="shared" si="61"/>
        <v>0</v>
      </c>
      <c r="AD173" s="49">
        <f t="shared" si="62"/>
        <v>0</v>
      </c>
      <c r="AE173" s="49">
        <f t="shared" si="63"/>
        <v>0</v>
      </c>
      <c r="AF173" s="103">
        <f t="shared" si="64"/>
        <v>0</v>
      </c>
      <c r="AH173" s="49">
        <f t="shared" si="65"/>
        <v>0</v>
      </c>
      <c r="AI173" s="49">
        <f t="shared" si="66"/>
        <v>0</v>
      </c>
      <c r="AJ173" s="49">
        <f t="shared" si="67"/>
        <v>0</v>
      </c>
      <c r="AK173" s="49">
        <f t="shared" si="68"/>
        <v>0</v>
      </c>
      <c r="AL173" s="103">
        <f t="shared" si="69"/>
        <v>0</v>
      </c>
      <c r="AN173" s="53">
        <f t="shared" si="70"/>
        <v>0</v>
      </c>
      <c r="AO173" s="53">
        <f t="shared" si="71"/>
        <v>0</v>
      </c>
      <c r="AP173" s="53">
        <f t="shared" si="72"/>
        <v>0</v>
      </c>
      <c r="AQ173" s="53">
        <f t="shared" si="73"/>
        <v>0</v>
      </c>
      <c r="AR173" s="203">
        <f t="shared" si="74"/>
        <v>0</v>
      </c>
      <c r="AY173" s="3"/>
    </row>
    <row r="174" spans="1:51">
      <c r="A174" s="239"/>
      <c r="B174" s="43">
        <f>'13. Desinvesteringen'!B458</f>
        <v>439</v>
      </c>
      <c r="C174" s="54"/>
      <c r="D174" s="54"/>
      <c r="E174" s="54"/>
      <c r="F174" s="48">
        <f>'5. Input GAW-waarde desinv.'!D134</f>
        <v>0</v>
      </c>
      <c r="G174" s="187">
        <f>'13. Desinvesteringen'!D458</f>
        <v>1969</v>
      </c>
      <c r="H174" s="187">
        <f>'13. Desinvesteringen'!G458</f>
        <v>2023</v>
      </c>
      <c r="I174" s="43" t="str">
        <f>'13. Desinvesteringen'!C458</f>
        <v>02 Gasontvangststations</v>
      </c>
      <c r="J174" s="176">
        <f>'13. Desinvesteringen'!F458</f>
        <v>0</v>
      </c>
      <c r="K174" s="44">
        <f>_xlfn.XLOOKUP(I174,'3. Input (des)investeringen '!$B$11:$B$81,'3. Input (des)investeringen '!$E$11:$E$81)</f>
        <v>0</v>
      </c>
      <c r="L174" s="54"/>
      <c r="M174" s="44">
        <f>_xlfn.XLOOKUP(I174,'3. Input (des)investeringen '!$B$11:$B$81,'3. Input (des)investeringen '!$D$11:$D$81,0)</f>
        <v>30</v>
      </c>
      <c r="N174" s="44">
        <f t="shared" si="54"/>
        <v>0</v>
      </c>
      <c r="P174" s="49">
        <f t="shared" si="75"/>
        <v>0</v>
      </c>
      <c r="Q174" s="49">
        <f t="shared" si="75"/>
        <v>0</v>
      </c>
      <c r="R174" s="49">
        <f t="shared" si="75"/>
        <v>0</v>
      </c>
      <c r="S174" s="49">
        <f t="shared" si="75"/>
        <v>0</v>
      </c>
      <c r="T174" s="103">
        <f t="shared" si="75"/>
        <v>0</v>
      </c>
      <c r="V174" s="49">
        <f t="shared" si="55"/>
        <v>0</v>
      </c>
      <c r="W174" s="49">
        <f t="shared" si="56"/>
        <v>0</v>
      </c>
      <c r="X174" s="49">
        <f t="shared" si="57"/>
        <v>0</v>
      </c>
      <c r="Y174" s="49">
        <f t="shared" si="58"/>
        <v>0</v>
      </c>
      <c r="Z174" s="103">
        <f t="shared" si="59"/>
        <v>0</v>
      </c>
      <c r="AB174" s="49">
        <f t="shared" si="60"/>
        <v>0</v>
      </c>
      <c r="AC174" s="49">
        <f t="shared" si="61"/>
        <v>0</v>
      </c>
      <c r="AD174" s="49">
        <f t="shared" si="62"/>
        <v>0</v>
      </c>
      <c r="AE174" s="49">
        <f t="shared" si="63"/>
        <v>0</v>
      </c>
      <c r="AF174" s="103">
        <f t="shared" si="64"/>
        <v>0</v>
      </c>
      <c r="AH174" s="49">
        <f t="shared" si="65"/>
        <v>0</v>
      </c>
      <c r="AI174" s="49">
        <f t="shared" si="66"/>
        <v>0</v>
      </c>
      <c r="AJ174" s="49">
        <f t="shared" si="67"/>
        <v>0</v>
      </c>
      <c r="AK174" s="49">
        <f t="shared" si="68"/>
        <v>0</v>
      </c>
      <c r="AL174" s="103">
        <f t="shared" si="69"/>
        <v>0</v>
      </c>
      <c r="AN174" s="53">
        <f t="shared" si="70"/>
        <v>0</v>
      </c>
      <c r="AO174" s="53">
        <f t="shared" si="71"/>
        <v>0</v>
      </c>
      <c r="AP174" s="53">
        <f t="shared" si="72"/>
        <v>0</v>
      </c>
      <c r="AQ174" s="53">
        <f t="shared" si="73"/>
        <v>0</v>
      </c>
      <c r="AR174" s="203">
        <f t="shared" si="74"/>
        <v>0</v>
      </c>
      <c r="AY174" s="3"/>
    </row>
    <row r="175" spans="1:51">
      <c r="A175" s="239"/>
      <c r="B175" s="43">
        <f>'13. Desinvesteringen'!B459</f>
        <v>440</v>
      </c>
      <c r="C175" s="54"/>
      <c r="D175" s="54"/>
      <c r="E175" s="54"/>
      <c r="F175" s="48">
        <f>'5. Input GAW-waarde desinv.'!D135</f>
        <v>0</v>
      </c>
      <c r="G175" s="187">
        <f>'13. Desinvesteringen'!D459</f>
        <v>1970</v>
      </c>
      <c r="H175" s="187">
        <f>'13. Desinvesteringen'!G459</f>
        <v>2023</v>
      </c>
      <c r="I175" s="43" t="str">
        <f>'13. Desinvesteringen'!C459</f>
        <v>02 Gasontvangststations</v>
      </c>
      <c r="J175" s="176">
        <f>'13. Desinvesteringen'!F459</f>
        <v>0</v>
      </c>
      <c r="K175" s="44">
        <f>_xlfn.XLOOKUP(I175,'3. Input (des)investeringen '!$B$11:$B$81,'3. Input (des)investeringen '!$E$11:$E$81)</f>
        <v>0</v>
      </c>
      <c r="L175" s="54"/>
      <c r="M175" s="44">
        <f>_xlfn.XLOOKUP(I175,'3. Input (des)investeringen '!$B$11:$B$81,'3. Input (des)investeringen '!$D$11:$D$81,0)</f>
        <v>30</v>
      </c>
      <c r="N175" s="44">
        <f t="shared" si="54"/>
        <v>0</v>
      </c>
      <c r="P175" s="49">
        <f t="shared" si="75"/>
        <v>0</v>
      </c>
      <c r="Q175" s="49">
        <f t="shared" si="75"/>
        <v>0</v>
      </c>
      <c r="R175" s="49">
        <f t="shared" si="75"/>
        <v>0</v>
      </c>
      <c r="S175" s="49">
        <f t="shared" si="75"/>
        <v>0</v>
      </c>
      <c r="T175" s="103">
        <f t="shared" si="75"/>
        <v>0</v>
      </c>
      <c r="V175" s="49">
        <f t="shared" si="55"/>
        <v>0</v>
      </c>
      <c r="W175" s="49">
        <f t="shared" si="56"/>
        <v>0</v>
      </c>
      <c r="X175" s="49">
        <f t="shared" si="57"/>
        <v>0</v>
      </c>
      <c r="Y175" s="49">
        <f t="shared" si="58"/>
        <v>0</v>
      </c>
      <c r="Z175" s="103">
        <f t="shared" si="59"/>
        <v>0</v>
      </c>
      <c r="AB175" s="49">
        <f t="shared" si="60"/>
        <v>0</v>
      </c>
      <c r="AC175" s="49">
        <f t="shared" si="61"/>
        <v>0</v>
      </c>
      <c r="AD175" s="49">
        <f t="shared" si="62"/>
        <v>0</v>
      </c>
      <c r="AE175" s="49">
        <f t="shared" si="63"/>
        <v>0</v>
      </c>
      <c r="AF175" s="103">
        <f t="shared" si="64"/>
        <v>0</v>
      </c>
      <c r="AH175" s="49">
        <f t="shared" si="65"/>
        <v>0</v>
      </c>
      <c r="AI175" s="49">
        <f t="shared" si="66"/>
        <v>0</v>
      </c>
      <c r="AJ175" s="49">
        <f t="shared" si="67"/>
        <v>0</v>
      </c>
      <c r="AK175" s="49">
        <f t="shared" si="68"/>
        <v>0</v>
      </c>
      <c r="AL175" s="103">
        <f t="shared" si="69"/>
        <v>0</v>
      </c>
      <c r="AN175" s="53">
        <f t="shared" si="70"/>
        <v>0</v>
      </c>
      <c r="AO175" s="53">
        <f t="shared" si="71"/>
        <v>0</v>
      </c>
      <c r="AP175" s="53">
        <f t="shared" si="72"/>
        <v>0</v>
      </c>
      <c r="AQ175" s="53">
        <f t="shared" si="73"/>
        <v>0</v>
      </c>
      <c r="AR175" s="203">
        <f t="shared" si="74"/>
        <v>0</v>
      </c>
      <c r="AY175" s="3"/>
    </row>
    <row r="176" spans="1:51">
      <c r="A176" s="239"/>
      <c r="B176" s="43">
        <f>'13. Desinvesteringen'!B460</f>
        <v>441</v>
      </c>
      <c r="C176" s="54"/>
      <c r="D176" s="54"/>
      <c r="E176" s="54"/>
      <c r="F176" s="48">
        <f>'5. Input GAW-waarde desinv.'!D136</f>
        <v>0</v>
      </c>
      <c r="G176" s="187">
        <f>'13. Desinvesteringen'!D460</f>
        <v>1971</v>
      </c>
      <c r="H176" s="187">
        <f>'13. Desinvesteringen'!G460</f>
        <v>2023</v>
      </c>
      <c r="I176" s="43" t="str">
        <f>'13. Desinvesteringen'!C460</f>
        <v>02 Gasontvangststations</v>
      </c>
      <c r="J176" s="176">
        <f>'13. Desinvesteringen'!F460</f>
        <v>0</v>
      </c>
      <c r="K176" s="44">
        <f>_xlfn.XLOOKUP(I176,'3. Input (des)investeringen '!$B$11:$B$81,'3. Input (des)investeringen '!$E$11:$E$81)</f>
        <v>0</v>
      </c>
      <c r="L176" s="54"/>
      <c r="M176" s="44">
        <f>_xlfn.XLOOKUP(I176,'3. Input (des)investeringen '!$B$11:$B$81,'3. Input (des)investeringen '!$D$11:$D$81,0)</f>
        <v>30</v>
      </c>
      <c r="N176" s="44">
        <f t="shared" si="54"/>
        <v>0</v>
      </c>
      <c r="P176" s="49">
        <f t="shared" si="75"/>
        <v>0</v>
      </c>
      <c r="Q176" s="49">
        <f t="shared" si="75"/>
        <v>0</v>
      </c>
      <c r="R176" s="49">
        <f t="shared" si="75"/>
        <v>0</v>
      </c>
      <c r="S176" s="49">
        <f t="shared" si="75"/>
        <v>0</v>
      </c>
      <c r="T176" s="103">
        <f t="shared" si="75"/>
        <v>0</v>
      </c>
      <c r="V176" s="49">
        <f t="shared" si="55"/>
        <v>0</v>
      </c>
      <c r="W176" s="49">
        <f t="shared" si="56"/>
        <v>0</v>
      </c>
      <c r="X176" s="49">
        <f t="shared" si="57"/>
        <v>0</v>
      </c>
      <c r="Y176" s="49">
        <f t="shared" si="58"/>
        <v>0</v>
      </c>
      <c r="Z176" s="103">
        <f t="shared" si="59"/>
        <v>0</v>
      </c>
      <c r="AB176" s="49">
        <f t="shared" si="60"/>
        <v>0</v>
      </c>
      <c r="AC176" s="49">
        <f t="shared" si="61"/>
        <v>0</v>
      </c>
      <c r="AD176" s="49">
        <f t="shared" si="62"/>
        <v>0</v>
      </c>
      <c r="AE176" s="49">
        <f t="shared" si="63"/>
        <v>0</v>
      </c>
      <c r="AF176" s="103">
        <f t="shared" si="64"/>
        <v>0</v>
      </c>
      <c r="AH176" s="49">
        <f t="shared" si="65"/>
        <v>0</v>
      </c>
      <c r="AI176" s="49">
        <f t="shared" si="66"/>
        <v>0</v>
      </c>
      <c r="AJ176" s="49">
        <f t="shared" si="67"/>
        <v>0</v>
      </c>
      <c r="AK176" s="49">
        <f t="shared" si="68"/>
        <v>0</v>
      </c>
      <c r="AL176" s="103">
        <f t="shared" si="69"/>
        <v>0</v>
      </c>
      <c r="AN176" s="53">
        <f t="shared" si="70"/>
        <v>0</v>
      </c>
      <c r="AO176" s="53">
        <f t="shared" si="71"/>
        <v>0</v>
      </c>
      <c r="AP176" s="53">
        <f t="shared" si="72"/>
        <v>0</v>
      </c>
      <c r="AQ176" s="53">
        <f t="shared" si="73"/>
        <v>0</v>
      </c>
      <c r="AR176" s="203">
        <f t="shared" si="74"/>
        <v>0</v>
      </c>
      <c r="AY176" s="3"/>
    </row>
    <row r="177" spans="1:51">
      <c r="A177" s="239"/>
      <c r="B177" s="43">
        <f>'13. Desinvesteringen'!B461</f>
        <v>442</v>
      </c>
      <c r="C177" s="54"/>
      <c r="D177" s="54"/>
      <c r="E177" s="54"/>
      <c r="F177" s="48">
        <f>'5. Input GAW-waarde desinv.'!D137</f>
        <v>0</v>
      </c>
      <c r="G177" s="187">
        <f>'13. Desinvesteringen'!D461</f>
        <v>1972</v>
      </c>
      <c r="H177" s="187">
        <f>'13. Desinvesteringen'!G461</f>
        <v>2023</v>
      </c>
      <c r="I177" s="43" t="str">
        <f>'13. Desinvesteringen'!C461</f>
        <v>02 Gasontvangststations</v>
      </c>
      <c r="J177" s="176">
        <f>'13. Desinvesteringen'!F461</f>
        <v>0</v>
      </c>
      <c r="K177" s="44">
        <f>_xlfn.XLOOKUP(I177,'3. Input (des)investeringen '!$B$11:$B$81,'3. Input (des)investeringen '!$E$11:$E$81)</f>
        <v>0</v>
      </c>
      <c r="L177" s="54"/>
      <c r="M177" s="44">
        <f>_xlfn.XLOOKUP(I177,'3. Input (des)investeringen '!$B$11:$B$81,'3. Input (des)investeringen '!$D$11:$D$81,0)</f>
        <v>30</v>
      </c>
      <c r="N177" s="44">
        <f t="shared" si="54"/>
        <v>0</v>
      </c>
      <c r="P177" s="49">
        <f t="shared" si="75"/>
        <v>0</v>
      </c>
      <c r="Q177" s="49">
        <f t="shared" si="75"/>
        <v>0</v>
      </c>
      <c r="R177" s="49">
        <f t="shared" si="75"/>
        <v>0</v>
      </c>
      <c r="S177" s="49">
        <f t="shared" si="75"/>
        <v>0</v>
      </c>
      <c r="T177" s="103">
        <f t="shared" si="75"/>
        <v>0</v>
      </c>
      <c r="V177" s="49">
        <f t="shared" si="55"/>
        <v>0</v>
      </c>
      <c r="W177" s="49">
        <f t="shared" si="56"/>
        <v>0</v>
      </c>
      <c r="X177" s="49">
        <f t="shared" si="57"/>
        <v>0</v>
      </c>
      <c r="Y177" s="49">
        <f t="shared" si="58"/>
        <v>0</v>
      </c>
      <c r="Z177" s="103">
        <f t="shared" si="59"/>
        <v>0</v>
      </c>
      <c r="AB177" s="49">
        <f t="shared" si="60"/>
        <v>0</v>
      </c>
      <c r="AC177" s="49">
        <f t="shared" si="61"/>
        <v>0</v>
      </c>
      <c r="AD177" s="49">
        <f t="shared" si="62"/>
        <v>0</v>
      </c>
      <c r="AE177" s="49">
        <f t="shared" si="63"/>
        <v>0</v>
      </c>
      <c r="AF177" s="103">
        <f t="shared" si="64"/>
        <v>0</v>
      </c>
      <c r="AH177" s="49">
        <f t="shared" si="65"/>
        <v>0</v>
      </c>
      <c r="AI177" s="49">
        <f t="shared" si="66"/>
        <v>0</v>
      </c>
      <c r="AJ177" s="49">
        <f t="shared" si="67"/>
        <v>0</v>
      </c>
      <c r="AK177" s="49">
        <f t="shared" si="68"/>
        <v>0</v>
      </c>
      <c r="AL177" s="103">
        <f t="shared" si="69"/>
        <v>0</v>
      </c>
      <c r="AN177" s="53">
        <f t="shared" si="70"/>
        <v>0</v>
      </c>
      <c r="AO177" s="53">
        <f t="shared" si="71"/>
        <v>0</v>
      </c>
      <c r="AP177" s="53">
        <f t="shared" si="72"/>
        <v>0</v>
      </c>
      <c r="AQ177" s="53">
        <f t="shared" si="73"/>
        <v>0</v>
      </c>
      <c r="AR177" s="203">
        <f t="shared" si="74"/>
        <v>0</v>
      </c>
      <c r="AY177" s="3"/>
    </row>
    <row r="178" spans="1:51">
      <c r="A178" s="239"/>
      <c r="B178" s="43">
        <f>'13. Desinvesteringen'!B462</f>
        <v>443</v>
      </c>
      <c r="C178" s="54"/>
      <c r="D178" s="54"/>
      <c r="E178" s="54"/>
      <c r="F178" s="48">
        <f>'5. Input GAW-waarde desinv.'!D138</f>
        <v>0</v>
      </c>
      <c r="G178" s="187">
        <f>'13. Desinvesteringen'!D462</f>
        <v>1973</v>
      </c>
      <c r="H178" s="187">
        <f>'13. Desinvesteringen'!G462</f>
        <v>2023</v>
      </c>
      <c r="I178" s="43" t="str">
        <f>'13. Desinvesteringen'!C462</f>
        <v>02 Gasontvangststations</v>
      </c>
      <c r="J178" s="176">
        <f>'13. Desinvesteringen'!F462</f>
        <v>0</v>
      </c>
      <c r="K178" s="44">
        <f>_xlfn.XLOOKUP(I178,'3. Input (des)investeringen '!$B$11:$B$81,'3. Input (des)investeringen '!$E$11:$E$81)</f>
        <v>0</v>
      </c>
      <c r="L178" s="54"/>
      <c r="M178" s="44">
        <f>_xlfn.XLOOKUP(I178,'3. Input (des)investeringen '!$B$11:$B$81,'3. Input (des)investeringen '!$D$11:$D$81,0)</f>
        <v>30</v>
      </c>
      <c r="N178" s="44">
        <f t="shared" si="54"/>
        <v>0</v>
      </c>
      <c r="P178" s="49">
        <f t="shared" si="75"/>
        <v>0</v>
      </c>
      <c r="Q178" s="49">
        <f t="shared" si="75"/>
        <v>0</v>
      </c>
      <c r="R178" s="49">
        <f t="shared" si="75"/>
        <v>0</v>
      </c>
      <c r="S178" s="49">
        <f t="shared" si="75"/>
        <v>0</v>
      </c>
      <c r="T178" s="103">
        <f t="shared" si="75"/>
        <v>0</v>
      </c>
      <c r="V178" s="49">
        <f t="shared" si="55"/>
        <v>0</v>
      </c>
      <c r="W178" s="49">
        <f t="shared" si="56"/>
        <v>0</v>
      </c>
      <c r="X178" s="49">
        <f t="shared" si="57"/>
        <v>0</v>
      </c>
      <c r="Y178" s="49">
        <f t="shared" si="58"/>
        <v>0</v>
      </c>
      <c r="Z178" s="103">
        <f t="shared" si="59"/>
        <v>0</v>
      </c>
      <c r="AB178" s="49">
        <f t="shared" si="60"/>
        <v>0</v>
      </c>
      <c r="AC178" s="49">
        <f t="shared" si="61"/>
        <v>0</v>
      </c>
      <c r="AD178" s="49">
        <f t="shared" si="62"/>
        <v>0</v>
      </c>
      <c r="AE178" s="49">
        <f t="shared" si="63"/>
        <v>0</v>
      </c>
      <c r="AF178" s="103">
        <f t="shared" si="64"/>
        <v>0</v>
      </c>
      <c r="AH178" s="49">
        <f t="shared" si="65"/>
        <v>0</v>
      </c>
      <c r="AI178" s="49">
        <f t="shared" si="66"/>
        <v>0</v>
      </c>
      <c r="AJ178" s="49">
        <f t="shared" si="67"/>
        <v>0</v>
      </c>
      <c r="AK178" s="49">
        <f t="shared" si="68"/>
        <v>0</v>
      </c>
      <c r="AL178" s="103">
        <f t="shared" si="69"/>
        <v>0</v>
      </c>
      <c r="AN178" s="53">
        <f t="shared" si="70"/>
        <v>0</v>
      </c>
      <c r="AO178" s="53">
        <f t="shared" si="71"/>
        <v>0</v>
      </c>
      <c r="AP178" s="53">
        <f t="shared" si="72"/>
        <v>0</v>
      </c>
      <c r="AQ178" s="53">
        <f t="shared" si="73"/>
        <v>0</v>
      </c>
      <c r="AR178" s="203">
        <f t="shared" si="74"/>
        <v>0</v>
      </c>
      <c r="AY178" s="3"/>
    </row>
    <row r="179" spans="1:51">
      <c r="A179" s="239"/>
      <c r="B179" s="43">
        <f>'13. Desinvesteringen'!B463</f>
        <v>444</v>
      </c>
      <c r="C179" s="54"/>
      <c r="D179" s="54"/>
      <c r="E179" s="54"/>
      <c r="F179" s="48">
        <f>'5. Input GAW-waarde desinv.'!D139</f>
        <v>0</v>
      </c>
      <c r="G179" s="187">
        <f>'13. Desinvesteringen'!D463</f>
        <v>1974</v>
      </c>
      <c r="H179" s="187">
        <f>'13. Desinvesteringen'!G463</f>
        <v>2023</v>
      </c>
      <c r="I179" s="43" t="str">
        <f>'13. Desinvesteringen'!C463</f>
        <v>02 Gasontvangststations</v>
      </c>
      <c r="J179" s="176">
        <f>'13. Desinvesteringen'!F463</f>
        <v>0</v>
      </c>
      <c r="K179" s="44">
        <f>_xlfn.XLOOKUP(I179,'3. Input (des)investeringen '!$B$11:$B$81,'3. Input (des)investeringen '!$E$11:$E$81)</f>
        <v>0</v>
      </c>
      <c r="L179" s="54"/>
      <c r="M179" s="44">
        <f>_xlfn.XLOOKUP(I179,'3. Input (des)investeringen '!$B$11:$B$81,'3. Input (des)investeringen '!$D$11:$D$81,0)</f>
        <v>30</v>
      </c>
      <c r="N179" s="44">
        <f t="shared" si="54"/>
        <v>0</v>
      </c>
      <c r="P179" s="49">
        <f t="shared" si="75"/>
        <v>0</v>
      </c>
      <c r="Q179" s="49">
        <f t="shared" si="75"/>
        <v>0</v>
      </c>
      <c r="R179" s="49">
        <f t="shared" si="75"/>
        <v>0</v>
      </c>
      <c r="S179" s="49">
        <f t="shared" si="75"/>
        <v>0</v>
      </c>
      <c r="T179" s="103">
        <f t="shared" si="75"/>
        <v>0</v>
      </c>
      <c r="V179" s="49">
        <f t="shared" si="55"/>
        <v>0</v>
      </c>
      <c r="W179" s="49">
        <f t="shared" si="56"/>
        <v>0</v>
      </c>
      <c r="X179" s="49">
        <f t="shared" si="57"/>
        <v>0</v>
      </c>
      <c r="Y179" s="49">
        <f t="shared" si="58"/>
        <v>0</v>
      </c>
      <c r="Z179" s="103">
        <f t="shared" si="59"/>
        <v>0</v>
      </c>
      <c r="AB179" s="49">
        <f t="shared" si="60"/>
        <v>0</v>
      </c>
      <c r="AC179" s="49">
        <f t="shared" si="61"/>
        <v>0</v>
      </c>
      <c r="AD179" s="49">
        <f t="shared" si="62"/>
        <v>0</v>
      </c>
      <c r="AE179" s="49">
        <f t="shared" si="63"/>
        <v>0</v>
      </c>
      <c r="AF179" s="103">
        <f t="shared" si="64"/>
        <v>0</v>
      </c>
      <c r="AH179" s="49">
        <f t="shared" si="65"/>
        <v>0</v>
      </c>
      <c r="AI179" s="49">
        <f t="shared" si="66"/>
        <v>0</v>
      </c>
      <c r="AJ179" s="49">
        <f t="shared" si="67"/>
        <v>0</v>
      </c>
      <c r="AK179" s="49">
        <f t="shared" si="68"/>
        <v>0</v>
      </c>
      <c r="AL179" s="103">
        <f t="shared" si="69"/>
        <v>0</v>
      </c>
      <c r="AN179" s="53">
        <f t="shared" si="70"/>
        <v>0</v>
      </c>
      <c r="AO179" s="53">
        <f t="shared" si="71"/>
        <v>0</v>
      </c>
      <c r="AP179" s="53">
        <f t="shared" si="72"/>
        <v>0</v>
      </c>
      <c r="AQ179" s="53">
        <f t="shared" si="73"/>
        <v>0</v>
      </c>
      <c r="AR179" s="203">
        <f t="shared" si="74"/>
        <v>0</v>
      </c>
      <c r="AY179" s="3"/>
    </row>
    <row r="180" spans="1:51">
      <c r="A180" s="239"/>
      <c r="B180" s="43">
        <f>'13. Desinvesteringen'!B464</f>
        <v>445</v>
      </c>
      <c r="C180" s="54"/>
      <c r="D180" s="54"/>
      <c r="E180" s="54"/>
      <c r="F180" s="48">
        <f>'5. Input GAW-waarde desinv.'!D140</f>
        <v>0</v>
      </c>
      <c r="G180" s="187">
        <f>'13. Desinvesteringen'!D464</f>
        <v>1976</v>
      </c>
      <c r="H180" s="187">
        <f>'13. Desinvesteringen'!G464</f>
        <v>2023</v>
      </c>
      <c r="I180" s="43" t="str">
        <f>'13. Desinvesteringen'!C464</f>
        <v>02 Gasontvangststations</v>
      </c>
      <c r="J180" s="176">
        <f>'13. Desinvesteringen'!F464</f>
        <v>0</v>
      </c>
      <c r="K180" s="44">
        <f>_xlfn.XLOOKUP(I180,'3. Input (des)investeringen '!$B$11:$B$81,'3. Input (des)investeringen '!$E$11:$E$81)</f>
        <v>0</v>
      </c>
      <c r="L180" s="54"/>
      <c r="M180" s="44">
        <f>_xlfn.XLOOKUP(I180,'3. Input (des)investeringen '!$B$11:$B$81,'3. Input (des)investeringen '!$D$11:$D$81,0)</f>
        <v>30</v>
      </c>
      <c r="N180" s="44">
        <f t="shared" si="54"/>
        <v>0</v>
      </c>
      <c r="P180" s="49">
        <f t="shared" si="75"/>
        <v>0</v>
      </c>
      <c r="Q180" s="49">
        <f t="shared" si="75"/>
        <v>0</v>
      </c>
      <c r="R180" s="49">
        <f t="shared" si="75"/>
        <v>0</v>
      </c>
      <c r="S180" s="49">
        <f t="shared" si="75"/>
        <v>0</v>
      </c>
      <c r="T180" s="103">
        <f t="shared" si="75"/>
        <v>0</v>
      </c>
      <c r="V180" s="49">
        <f t="shared" si="55"/>
        <v>0</v>
      </c>
      <c r="W180" s="49">
        <f t="shared" si="56"/>
        <v>0</v>
      </c>
      <c r="X180" s="49">
        <f t="shared" si="57"/>
        <v>0</v>
      </c>
      <c r="Y180" s="49">
        <f t="shared" si="58"/>
        <v>0</v>
      </c>
      <c r="Z180" s="103">
        <f t="shared" si="59"/>
        <v>0</v>
      </c>
      <c r="AB180" s="49">
        <f t="shared" si="60"/>
        <v>0</v>
      </c>
      <c r="AC180" s="49">
        <f t="shared" si="61"/>
        <v>0</v>
      </c>
      <c r="AD180" s="49">
        <f t="shared" si="62"/>
        <v>0</v>
      </c>
      <c r="AE180" s="49">
        <f t="shared" si="63"/>
        <v>0</v>
      </c>
      <c r="AF180" s="103">
        <f t="shared" si="64"/>
        <v>0</v>
      </c>
      <c r="AH180" s="49">
        <f t="shared" si="65"/>
        <v>0</v>
      </c>
      <c r="AI180" s="49">
        <f t="shared" si="66"/>
        <v>0</v>
      </c>
      <c r="AJ180" s="49">
        <f t="shared" si="67"/>
        <v>0</v>
      </c>
      <c r="AK180" s="49">
        <f t="shared" si="68"/>
        <v>0</v>
      </c>
      <c r="AL180" s="103">
        <f t="shared" si="69"/>
        <v>0</v>
      </c>
      <c r="AN180" s="53">
        <f t="shared" si="70"/>
        <v>0</v>
      </c>
      <c r="AO180" s="53">
        <f t="shared" si="71"/>
        <v>0</v>
      </c>
      <c r="AP180" s="53">
        <f t="shared" si="72"/>
        <v>0</v>
      </c>
      <c r="AQ180" s="53">
        <f t="shared" si="73"/>
        <v>0</v>
      </c>
      <c r="AR180" s="203">
        <f t="shared" si="74"/>
        <v>0</v>
      </c>
      <c r="AY180" s="3"/>
    </row>
    <row r="181" spans="1:51">
      <c r="A181" s="239"/>
      <c r="B181" s="43">
        <f>'13. Desinvesteringen'!B465</f>
        <v>446</v>
      </c>
      <c r="C181" s="54"/>
      <c r="D181" s="54"/>
      <c r="E181" s="54"/>
      <c r="F181" s="48">
        <f>'5. Input GAW-waarde desinv.'!D141</f>
        <v>0</v>
      </c>
      <c r="G181" s="187">
        <f>'13. Desinvesteringen'!D465</f>
        <v>1979</v>
      </c>
      <c r="H181" s="187">
        <f>'13. Desinvesteringen'!G465</f>
        <v>2023</v>
      </c>
      <c r="I181" s="43" t="str">
        <f>'13. Desinvesteringen'!C465</f>
        <v>02 Gasontvangststations</v>
      </c>
      <c r="J181" s="176">
        <f>'13. Desinvesteringen'!F465</f>
        <v>0</v>
      </c>
      <c r="K181" s="44">
        <f>_xlfn.XLOOKUP(I181,'3. Input (des)investeringen '!$B$11:$B$81,'3. Input (des)investeringen '!$E$11:$E$81)</f>
        <v>0</v>
      </c>
      <c r="L181" s="54"/>
      <c r="M181" s="44">
        <f>_xlfn.XLOOKUP(I181,'3. Input (des)investeringen '!$B$11:$B$81,'3. Input (des)investeringen '!$D$11:$D$81,0)</f>
        <v>30</v>
      </c>
      <c r="N181" s="44">
        <f t="shared" si="54"/>
        <v>0</v>
      </c>
      <c r="P181" s="49">
        <f t="shared" si="75"/>
        <v>0</v>
      </c>
      <c r="Q181" s="49">
        <f t="shared" si="75"/>
        <v>0</v>
      </c>
      <c r="R181" s="49">
        <f t="shared" si="75"/>
        <v>0</v>
      </c>
      <c r="S181" s="49">
        <f t="shared" si="75"/>
        <v>0</v>
      </c>
      <c r="T181" s="103">
        <f t="shared" si="75"/>
        <v>0</v>
      </c>
      <c r="V181" s="49">
        <f t="shared" si="55"/>
        <v>0</v>
      </c>
      <c r="W181" s="49">
        <f t="shared" si="56"/>
        <v>0</v>
      </c>
      <c r="X181" s="49">
        <f t="shared" si="57"/>
        <v>0</v>
      </c>
      <c r="Y181" s="49">
        <f t="shared" si="58"/>
        <v>0</v>
      </c>
      <c r="Z181" s="103">
        <f t="shared" si="59"/>
        <v>0</v>
      </c>
      <c r="AB181" s="49">
        <f t="shared" si="60"/>
        <v>0</v>
      </c>
      <c r="AC181" s="49">
        <f t="shared" si="61"/>
        <v>0</v>
      </c>
      <c r="AD181" s="49">
        <f t="shared" si="62"/>
        <v>0</v>
      </c>
      <c r="AE181" s="49">
        <f t="shared" si="63"/>
        <v>0</v>
      </c>
      <c r="AF181" s="103">
        <f t="shared" si="64"/>
        <v>0</v>
      </c>
      <c r="AH181" s="49">
        <f t="shared" si="65"/>
        <v>0</v>
      </c>
      <c r="AI181" s="49">
        <f t="shared" si="66"/>
        <v>0</v>
      </c>
      <c r="AJ181" s="49">
        <f t="shared" si="67"/>
        <v>0</v>
      </c>
      <c r="AK181" s="49">
        <f t="shared" si="68"/>
        <v>0</v>
      </c>
      <c r="AL181" s="103">
        <f t="shared" si="69"/>
        <v>0</v>
      </c>
      <c r="AN181" s="53">
        <f t="shared" si="70"/>
        <v>0</v>
      </c>
      <c r="AO181" s="53">
        <f t="shared" si="71"/>
        <v>0</v>
      </c>
      <c r="AP181" s="53">
        <f t="shared" si="72"/>
        <v>0</v>
      </c>
      <c r="AQ181" s="53">
        <f t="shared" si="73"/>
        <v>0</v>
      </c>
      <c r="AR181" s="203">
        <f t="shared" si="74"/>
        <v>0</v>
      </c>
      <c r="AY181" s="3"/>
    </row>
    <row r="182" spans="1:51">
      <c r="A182" s="239"/>
      <c r="B182" s="43">
        <f>'13. Desinvesteringen'!B466</f>
        <v>447</v>
      </c>
      <c r="C182" s="54"/>
      <c r="D182" s="54"/>
      <c r="E182" s="54"/>
      <c r="F182" s="48">
        <f>'5. Input GAW-waarde desinv.'!D142</f>
        <v>0</v>
      </c>
      <c r="G182" s="187">
        <f>'13. Desinvesteringen'!D466</f>
        <v>1980</v>
      </c>
      <c r="H182" s="187">
        <f>'13. Desinvesteringen'!G466</f>
        <v>2023</v>
      </c>
      <c r="I182" s="43" t="str">
        <f>'13. Desinvesteringen'!C466</f>
        <v>02 Gasontvangststations</v>
      </c>
      <c r="J182" s="176">
        <f>'13. Desinvesteringen'!F466</f>
        <v>0</v>
      </c>
      <c r="K182" s="44">
        <f>_xlfn.XLOOKUP(I182,'3. Input (des)investeringen '!$B$11:$B$81,'3. Input (des)investeringen '!$E$11:$E$81)</f>
        <v>0</v>
      </c>
      <c r="L182" s="54"/>
      <c r="M182" s="44">
        <f>_xlfn.XLOOKUP(I182,'3. Input (des)investeringen '!$B$11:$B$81,'3. Input (des)investeringen '!$D$11:$D$81,0)</f>
        <v>30</v>
      </c>
      <c r="N182" s="44">
        <f t="shared" si="54"/>
        <v>0</v>
      </c>
      <c r="P182" s="49">
        <f t="shared" si="75"/>
        <v>0</v>
      </c>
      <c r="Q182" s="49">
        <f t="shared" si="75"/>
        <v>0</v>
      </c>
      <c r="R182" s="49">
        <f t="shared" si="75"/>
        <v>0</v>
      </c>
      <c r="S182" s="49">
        <f t="shared" si="75"/>
        <v>0</v>
      </c>
      <c r="T182" s="103">
        <f t="shared" si="75"/>
        <v>0</v>
      </c>
      <c r="V182" s="49">
        <f t="shared" si="55"/>
        <v>0</v>
      </c>
      <c r="W182" s="49">
        <f t="shared" si="56"/>
        <v>0</v>
      </c>
      <c r="X182" s="49">
        <f t="shared" si="57"/>
        <v>0</v>
      </c>
      <c r="Y182" s="49">
        <f t="shared" si="58"/>
        <v>0</v>
      </c>
      <c r="Z182" s="103">
        <f t="shared" si="59"/>
        <v>0</v>
      </c>
      <c r="AB182" s="49">
        <f t="shared" si="60"/>
        <v>0</v>
      </c>
      <c r="AC182" s="49">
        <f t="shared" si="61"/>
        <v>0</v>
      </c>
      <c r="AD182" s="49">
        <f t="shared" si="62"/>
        <v>0</v>
      </c>
      <c r="AE182" s="49">
        <f t="shared" si="63"/>
        <v>0</v>
      </c>
      <c r="AF182" s="103">
        <f t="shared" si="64"/>
        <v>0</v>
      </c>
      <c r="AH182" s="49">
        <f t="shared" si="65"/>
        <v>0</v>
      </c>
      <c r="AI182" s="49">
        <f t="shared" si="66"/>
        <v>0</v>
      </c>
      <c r="AJ182" s="49">
        <f t="shared" si="67"/>
        <v>0</v>
      </c>
      <c r="AK182" s="49">
        <f t="shared" si="68"/>
        <v>0</v>
      </c>
      <c r="AL182" s="103">
        <f t="shared" si="69"/>
        <v>0</v>
      </c>
      <c r="AN182" s="53">
        <f t="shared" si="70"/>
        <v>0</v>
      </c>
      <c r="AO182" s="53">
        <f t="shared" si="71"/>
        <v>0</v>
      </c>
      <c r="AP182" s="53">
        <f t="shared" si="72"/>
        <v>0</v>
      </c>
      <c r="AQ182" s="53">
        <f t="shared" si="73"/>
        <v>0</v>
      </c>
      <c r="AR182" s="203">
        <f t="shared" si="74"/>
        <v>0</v>
      </c>
      <c r="AY182" s="3"/>
    </row>
    <row r="183" spans="1:51">
      <c r="A183" s="239"/>
      <c r="B183" s="43">
        <f>'13. Desinvesteringen'!B467</f>
        <v>448</v>
      </c>
      <c r="C183" s="54"/>
      <c r="D183" s="54"/>
      <c r="E183" s="54"/>
      <c r="F183" s="48">
        <f>'5. Input GAW-waarde desinv.'!D143</f>
        <v>0</v>
      </c>
      <c r="G183" s="187">
        <f>'13. Desinvesteringen'!D467</f>
        <v>1983</v>
      </c>
      <c r="H183" s="187">
        <f>'13. Desinvesteringen'!G467</f>
        <v>2023</v>
      </c>
      <c r="I183" s="43" t="str">
        <f>'13. Desinvesteringen'!C467</f>
        <v>02 Gasontvangststations</v>
      </c>
      <c r="J183" s="176">
        <f>'13. Desinvesteringen'!F467</f>
        <v>0</v>
      </c>
      <c r="K183" s="44">
        <f>_xlfn.XLOOKUP(I183,'3. Input (des)investeringen '!$B$11:$B$81,'3. Input (des)investeringen '!$E$11:$E$81)</f>
        <v>0</v>
      </c>
      <c r="L183" s="54"/>
      <c r="M183" s="44">
        <f>_xlfn.XLOOKUP(I183,'3. Input (des)investeringen '!$B$11:$B$81,'3. Input (des)investeringen '!$D$11:$D$81,0)</f>
        <v>30</v>
      </c>
      <c r="N183" s="44">
        <f t="shared" si="54"/>
        <v>0</v>
      </c>
      <c r="P183" s="49">
        <f t="shared" si="75"/>
        <v>0</v>
      </c>
      <c r="Q183" s="49">
        <f t="shared" si="75"/>
        <v>0</v>
      </c>
      <c r="R183" s="49">
        <f t="shared" si="75"/>
        <v>0</v>
      </c>
      <c r="S183" s="49">
        <f t="shared" si="75"/>
        <v>0</v>
      </c>
      <c r="T183" s="103">
        <f t="shared" si="75"/>
        <v>0</v>
      </c>
      <c r="V183" s="49">
        <f t="shared" si="55"/>
        <v>0</v>
      </c>
      <c r="W183" s="49">
        <f t="shared" si="56"/>
        <v>0</v>
      </c>
      <c r="X183" s="49">
        <f t="shared" si="57"/>
        <v>0</v>
      </c>
      <c r="Y183" s="49">
        <f t="shared" si="58"/>
        <v>0</v>
      </c>
      <c r="Z183" s="103">
        <f t="shared" si="59"/>
        <v>0</v>
      </c>
      <c r="AB183" s="49">
        <f t="shared" si="60"/>
        <v>0</v>
      </c>
      <c r="AC183" s="49">
        <f t="shared" si="61"/>
        <v>0</v>
      </c>
      <c r="AD183" s="49">
        <f t="shared" si="62"/>
        <v>0</v>
      </c>
      <c r="AE183" s="49">
        <f t="shared" si="63"/>
        <v>0</v>
      </c>
      <c r="AF183" s="103">
        <f t="shared" si="64"/>
        <v>0</v>
      </c>
      <c r="AH183" s="49">
        <f t="shared" si="65"/>
        <v>0</v>
      </c>
      <c r="AI183" s="49">
        <f t="shared" si="66"/>
        <v>0</v>
      </c>
      <c r="AJ183" s="49">
        <f t="shared" si="67"/>
        <v>0</v>
      </c>
      <c r="AK183" s="49">
        <f t="shared" si="68"/>
        <v>0</v>
      </c>
      <c r="AL183" s="103">
        <f t="shared" si="69"/>
        <v>0</v>
      </c>
      <c r="AN183" s="53">
        <f t="shared" si="70"/>
        <v>0</v>
      </c>
      <c r="AO183" s="53">
        <f t="shared" si="71"/>
        <v>0</v>
      </c>
      <c r="AP183" s="53">
        <f t="shared" si="72"/>
        <v>0</v>
      </c>
      <c r="AQ183" s="53">
        <f t="shared" si="73"/>
        <v>0</v>
      </c>
      <c r="AR183" s="203">
        <f t="shared" si="74"/>
        <v>0</v>
      </c>
      <c r="AY183" s="3"/>
    </row>
    <row r="184" spans="1:51">
      <c r="A184" s="239"/>
      <c r="B184" s="43">
        <f>'13. Desinvesteringen'!B468</f>
        <v>449</v>
      </c>
      <c r="C184" s="54"/>
      <c r="D184" s="54"/>
      <c r="E184" s="54"/>
      <c r="F184" s="48">
        <f>'5. Input GAW-waarde desinv.'!D144</f>
        <v>0</v>
      </c>
      <c r="G184" s="187">
        <f>'13. Desinvesteringen'!D468</f>
        <v>1986</v>
      </c>
      <c r="H184" s="187">
        <f>'13. Desinvesteringen'!G468</f>
        <v>2023</v>
      </c>
      <c r="I184" s="43" t="str">
        <f>'13. Desinvesteringen'!C468</f>
        <v>02 Gasontvangststations</v>
      </c>
      <c r="J184" s="176">
        <f>'13. Desinvesteringen'!F468</f>
        <v>0</v>
      </c>
      <c r="K184" s="44">
        <f>_xlfn.XLOOKUP(I184,'3. Input (des)investeringen '!$B$11:$B$81,'3. Input (des)investeringen '!$E$11:$E$81)</f>
        <v>0</v>
      </c>
      <c r="L184" s="54"/>
      <c r="M184" s="44">
        <f>_xlfn.XLOOKUP(I184,'3. Input (des)investeringen '!$B$11:$B$81,'3. Input (des)investeringen '!$D$11:$D$81,0)</f>
        <v>30</v>
      </c>
      <c r="N184" s="44">
        <f t="shared" si="54"/>
        <v>0</v>
      </c>
      <c r="P184" s="49">
        <f t="shared" si="75"/>
        <v>0</v>
      </c>
      <c r="Q184" s="49">
        <f t="shared" si="75"/>
        <v>0</v>
      </c>
      <c r="R184" s="49">
        <f t="shared" si="75"/>
        <v>0</v>
      </c>
      <c r="S184" s="49">
        <f t="shared" si="75"/>
        <v>0</v>
      </c>
      <c r="T184" s="103">
        <f t="shared" si="75"/>
        <v>0</v>
      </c>
      <c r="V184" s="49">
        <f t="shared" si="55"/>
        <v>0</v>
      </c>
      <c r="W184" s="49">
        <f t="shared" si="56"/>
        <v>0</v>
      </c>
      <c r="X184" s="49">
        <f t="shared" si="57"/>
        <v>0</v>
      </c>
      <c r="Y184" s="49">
        <f t="shared" si="58"/>
        <v>0</v>
      </c>
      <c r="Z184" s="103">
        <f t="shared" si="59"/>
        <v>0</v>
      </c>
      <c r="AB184" s="49">
        <f t="shared" si="60"/>
        <v>0</v>
      </c>
      <c r="AC184" s="49">
        <f t="shared" si="61"/>
        <v>0</v>
      </c>
      <c r="AD184" s="49">
        <f t="shared" si="62"/>
        <v>0</v>
      </c>
      <c r="AE184" s="49">
        <f t="shared" si="63"/>
        <v>0</v>
      </c>
      <c r="AF184" s="103">
        <f t="shared" si="64"/>
        <v>0</v>
      </c>
      <c r="AH184" s="49">
        <f t="shared" si="65"/>
        <v>0</v>
      </c>
      <c r="AI184" s="49">
        <f t="shared" si="66"/>
        <v>0</v>
      </c>
      <c r="AJ184" s="49">
        <f t="shared" si="67"/>
        <v>0</v>
      </c>
      <c r="AK184" s="49">
        <f t="shared" si="68"/>
        <v>0</v>
      </c>
      <c r="AL184" s="103">
        <f t="shared" si="69"/>
        <v>0</v>
      </c>
      <c r="AN184" s="53">
        <f t="shared" si="70"/>
        <v>0</v>
      </c>
      <c r="AO184" s="53">
        <f t="shared" si="71"/>
        <v>0</v>
      </c>
      <c r="AP184" s="53">
        <f t="shared" si="72"/>
        <v>0</v>
      </c>
      <c r="AQ184" s="53">
        <f t="shared" si="73"/>
        <v>0</v>
      </c>
      <c r="AR184" s="203">
        <f t="shared" si="74"/>
        <v>0</v>
      </c>
      <c r="AY184" s="3"/>
    </row>
    <row r="185" spans="1:51">
      <c r="A185" s="239"/>
      <c r="B185" s="43">
        <f>'13. Desinvesteringen'!B469</f>
        <v>450</v>
      </c>
      <c r="C185" s="54"/>
      <c r="D185" s="54"/>
      <c r="E185" s="54"/>
      <c r="F185" s="48">
        <f>'5. Input GAW-waarde desinv.'!D145</f>
        <v>0</v>
      </c>
      <c r="G185" s="187">
        <f>'13. Desinvesteringen'!D469</f>
        <v>1990</v>
      </c>
      <c r="H185" s="187">
        <f>'13. Desinvesteringen'!G469</f>
        <v>2023</v>
      </c>
      <c r="I185" s="43" t="str">
        <f>'13. Desinvesteringen'!C469</f>
        <v>02 Gasontvangststations</v>
      </c>
      <c r="J185" s="176">
        <f>'13. Desinvesteringen'!F469</f>
        <v>0</v>
      </c>
      <c r="K185" s="44">
        <f>_xlfn.XLOOKUP(I185,'3. Input (des)investeringen '!$B$11:$B$81,'3. Input (des)investeringen '!$E$11:$E$81)</f>
        <v>0</v>
      </c>
      <c r="L185" s="54"/>
      <c r="M185" s="44">
        <f>_xlfn.XLOOKUP(I185,'3. Input (des)investeringen '!$B$11:$B$81,'3. Input (des)investeringen '!$D$11:$D$81,0)</f>
        <v>30</v>
      </c>
      <c r="N185" s="44">
        <f t="shared" si="54"/>
        <v>0</v>
      </c>
      <c r="P185" s="49">
        <f t="shared" si="75"/>
        <v>0</v>
      </c>
      <c r="Q185" s="49">
        <f t="shared" si="75"/>
        <v>0</v>
      </c>
      <c r="R185" s="49">
        <f t="shared" si="75"/>
        <v>0</v>
      </c>
      <c r="S185" s="49">
        <f t="shared" si="75"/>
        <v>0</v>
      </c>
      <c r="T185" s="103">
        <f t="shared" si="75"/>
        <v>0</v>
      </c>
      <c r="V185" s="49">
        <f t="shared" si="55"/>
        <v>0</v>
      </c>
      <c r="W185" s="49">
        <f t="shared" si="56"/>
        <v>0</v>
      </c>
      <c r="X185" s="49">
        <f t="shared" si="57"/>
        <v>0</v>
      </c>
      <c r="Y185" s="49">
        <f t="shared" si="58"/>
        <v>0</v>
      </c>
      <c r="Z185" s="103">
        <f t="shared" si="59"/>
        <v>0</v>
      </c>
      <c r="AB185" s="49">
        <f t="shared" si="60"/>
        <v>0</v>
      </c>
      <c r="AC185" s="49">
        <f t="shared" si="61"/>
        <v>0</v>
      </c>
      <c r="AD185" s="49">
        <f t="shared" si="62"/>
        <v>0</v>
      </c>
      <c r="AE185" s="49">
        <f t="shared" si="63"/>
        <v>0</v>
      </c>
      <c r="AF185" s="103">
        <f t="shared" si="64"/>
        <v>0</v>
      </c>
      <c r="AH185" s="49">
        <f t="shared" si="65"/>
        <v>0</v>
      </c>
      <c r="AI185" s="49">
        <f t="shared" si="66"/>
        <v>0</v>
      </c>
      <c r="AJ185" s="49">
        <f t="shared" si="67"/>
        <v>0</v>
      </c>
      <c r="AK185" s="49">
        <f t="shared" si="68"/>
        <v>0</v>
      </c>
      <c r="AL185" s="103">
        <f t="shared" si="69"/>
        <v>0</v>
      </c>
      <c r="AN185" s="53">
        <f t="shared" si="70"/>
        <v>0</v>
      </c>
      <c r="AO185" s="53">
        <f t="shared" si="71"/>
        <v>0</v>
      </c>
      <c r="AP185" s="53">
        <f t="shared" si="72"/>
        <v>0</v>
      </c>
      <c r="AQ185" s="53">
        <f t="shared" si="73"/>
        <v>0</v>
      </c>
      <c r="AR185" s="203">
        <f t="shared" si="74"/>
        <v>0</v>
      </c>
      <c r="AY185" s="3"/>
    </row>
    <row r="186" spans="1:51">
      <c r="A186" s="239"/>
      <c r="B186" s="43">
        <f>'13. Desinvesteringen'!B470</f>
        <v>451</v>
      </c>
      <c r="C186" s="54"/>
      <c r="D186" s="54"/>
      <c r="E186" s="54"/>
      <c r="F186" s="48">
        <f>'5. Input GAW-waarde desinv.'!D146</f>
        <v>192.7950154920913</v>
      </c>
      <c r="G186" s="187">
        <f>'13. Desinvesteringen'!D470</f>
        <v>1992</v>
      </c>
      <c r="H186" s="187">
        <f>'13. Desinvesteringen'!G470</f>
        <v>2023</v>
      </c>
      <c r="I186" s="43" t="str">
        <f>'13. Desinvesteringen'!C470</f>
        <v>02 Gasontvangststations</v>
      </c>
      <c r="J186" s="176">
        <f>'13. Desinvesteringen'!F470</f>
        <v>0</v>
      </c>
      <c r="K186" s="44">
        <f>_xlfn.XLOOKUP(I186,'3. Input (des)investeringen '!$B$11:$B$81,'3. Input (des)investeringen '!$E$11:$E$81)</f>
        <v>0</v>
      </c>
      <c r="L186" s="54"/>
      <c r="M186" s="44">
        <f>_xlfn.XLOOKUP(I186,'3. Input (des)investeringen '!$B$11:$B$81,'3. Input (des)investeringen '!$D$11:$D$81,0)</f>
        <v>30</v>
      </c>
      <c r="N186" s="44">
        <f t="shared" si="54"/>
        <v>0.5</v>
      </c>
      <c r="P186" s="49">
        <f t="shared" si="75"/>
        <v>173.51551394288217</v>
      </c>
      <c r="Q186" s="49">
        <f t="shared" si="75"/>
        <v>0</v>
      </c>
      <c r="R186" s="49">
        <f t="shared" si="75"/>
        <v>0</v>
      </c>
      <c r="S186" s="49">
        <f t="shared" si="75"/>
        <v>0</v>
      </c>
      <c r="T186" s="103">
        <f t="shared" si="75"/>
        <v>0</v>
      </c>
      <c r="V186" s="49">
        <f t="shared" si="55"/>
        <v>19.27950154920913</v>
      </c>
      <c r="W186" s="49">
        <f t="shared" si="56"/>
        <v>0</v>
      </c>
      <c r="X186" s="49">
        <f t="shared" si="57"/>
        <v>0</v>
      </c>
      <c r="Y186" s="49">
        <f t="shared" si="58"/>
        <v>0</v>
      </c>
      <c r="Z186" s="103">
        <f t="shared" si="59"/>
        <v>0</v>
      </c>
      <c r="AB186" s="49">
        <f t="shared" si="60"/>
        <v>192.7950154920913</v>
      </c>
      <c r="AC186" s="49">
        <f t="shared" si="61"/>
        <v>0</v>
      </c>
      <c r="AD186" s="49">
        <f t="shared" si="62"/>
        <v>0</v>
      </c>
      <c r="AE186" s="49">
        <f t="shared" si="63"/>
        <v>0</v>
      </c>
      <c r="AF186" s="103">
        <f t="shared" si="64"/>
        <v>0</v>
      </c>
      <c r="AH186" s="49">
        <f t="shared" si="65"/>
        <v>0</v>
      </c>
      <c r="AI186" s="49">
        <f t="shared" si="66"/>
        <v>0</v>
      </c>
      <c r="AJ186" s="49">
        <f t="shared" si="67"/>
        <v>0</v>
      </c>
      <c r="AK186" s="49">
        <f t="shared" si="68"/>
        <v>0</v>
      </c>
      <c r="AL186" s="103">
        <f t="shared" si="69"/>
        <v>0</v>
      </c>
      <c r="AN186" s="53">
        <f t="shared" si="70"/>
        <v>192.7950154920913</v>
      </c>
      <c r="AO186" s="53">
        <f t="shared" si="71"/>
        <v>0</v>
      </c>
      <c r="AP186" s="53">
        <f t="shared" si="72"/>
        <v>0</v>
      </c>
      <c r="AQ186" s="53">
        <f t="shared" si="73"/>
        <v>0</v>
      </c>
      <c r="AR186" s="203">
        <f t="shared" si="74"/>
        <v>0</v>
      </c>
      <c r="AY186" s="3"/>
    </row>
    <row r="187" spans="1:51">
      <c r="A187" s="239"/>
      <c r="B187" s="43">
        <f>'13. Desinvesteringen'!B471</f>
        <v>452</v>
      </c>
      <c r="C187" s="54"/>
      <c r="D187" s="54"/>
      <c r="E187" s="54"/>
      <c r="F187" s="48">
        <f>'5. Input GAW-waarde desinv.'!D147</f>
        <v>17486.319304522516</v>
      </c>
      <c r="G187" s="187">
        <f>'13. Desinvesteringen'!D471</f>
        <v>1993</v>
      </c>
      <c r="H187" s="187">
        <f>'13. Desinvesteringen'!G471</f>
        <v>2023</v>
      </c>
      <c r="I187" s="43" t="str">
        <f>'13. Desinvesteringen'!C471</f>
        <v>02 Gasontvangststations</v>
      </c>
      <c r="J187" s="176">
        <f>'13. Desinvesteringen'!F471</f>
        <v>0</v>
      </c>
      <c r="K187" s="44">
        <f>_xlfn.XLOOKUP(I187,'3. Input (des)investeringen '!$B$11:$B$81,'3. Input (des)investeringen '!$E$11:$E$81)</f>
        <v>0</v>
      </c>
      <c r="L187" s="54"/>
      <c r="M187" s="44">
        <f>_xlfn.XLOOKUP(I187,'3. Input (des)investeringen '!$B$11:$B$81,'3. Input (des)investeringen '!$D$11:$D$81,0)</f>
        <v>30</v>
      </c>
      <c r="N187" s="44">
        <f t="shared" si="54"/>
        <v>1.5</v>
      </c>
      <c r="P187" s="49">
        <f t="shared" si="75"/>
        <v>13639.329057527564</v>
      </c>
      <c r="Q187" s="49">
        <f t="shared" si="75"/>
        <v>2098.3583165427017</v>
      </c>
      <c r="R187" s="49">
        <f t="shared" si="75"/>
        <v>0</v>
      </c>
      <c r="S187" s="49">
        <f t="shared" si="75"/>
        <v>0</v>
      </c>
      <c r="T187" s="103">
        <f t="shared" si="75"/>
        <v>0</v>
      </c>
      <c r="V187" s="49">
        <f t="shared" si="55"/>
        <v>1165.7546203015011</v>
      </c>
      <c r="W187" s="49">
        <f t="shared" si="56"/>
        <v>582.87731015075065</v>
      </c>
      <c r="X187" s="49">
        <f t="shared" si="57"/>
        <v>0</v>
      </c>
      <c r="Y187" s="49">
        <f t="shared" si="58"/>
        <v>0</v>
      </c>
      <c r="Z187" s="103">
        <f t="shared" si="59"/>
        <v>0</v>
      </c>
      <c r="AB187" s="49">
        <f t="shared" si="60"/>
        <v>14805.083677829065</v>
      </c>
      <c r="AC187" s="49">
        <f t="shared" si="61"/>
        <v>2681.2356266934521</v>
      </c>
      <c r="AD187" s="49">
        <f t="shared" si="62"/>
        <v>0</v>
      </c>
      <c r="AE187" s="49">
        <f t="shared" si="63"/>
        <v>0</v>
      </c>
      <c r="AF187" s="103">
        <f t="shared" si="64"/>
        <v>0</v>
      </c>
      <c r="AH187" s="49">
        <f t="shared" si="65"/>
        <v>2681.2356266934512</v>
      </c>
      <c r="AI187" s="49">
        <f t="shared" si="66"/>
        <v>0</v>
      </c>
      <c r="AJ187" s="49">
        <f t="shared" si="67"/>
        <v>0</v>
      </c>
      <c r="AK187" s="49">
        <f t="shared" si="68"/>
        <v>0</v>
      </c>
      <c r="AL187" s="103">
        <f t="shared" si="69"/>
        <v>0</v>
      </c>
      <c r="AN187" s="53">
        <f t="shared" si="70"/>
        <v>14915.014338523497</v>
      </c>
      <c r="AO187" s="53">
        <f t="shared" si="71"/>
        <v>2681.2356266934521</v>
      </c>
      <c r="AP187" s="53">
        <f t="shared" si="72"/>
        <v>0</v>
      </c>
      <c r="AQ187" s="53">
        <f t="shared" si="73"/>
        <v>0</v>
      </c>
      <c r="AR187" s="203">
        <f t="shared" si="74"/>
        <v>0</v>
      </c>
      <c r="AY187" s="3"/>
    </row>
    <row r="188" spans="1:51">
      <c r="A188" s="239"/>
      <c r="B188" s="43">
        <f>'13. Desinvesteringen'!B472</f>
        <v>453</v>
      </c>
      <c r="C188" s="54"/>
      <c r="D188" s="54"/>
      <c r="E188" s="54"/>
      <c r="F188" s="48">
        <f>'5. Input GAW-waarde desinv.'!D148</f>
        <v>1732.4051614647706</v>
      </c>
      <c r="G188" s="187">
        <f>'13. Desinvesteringen'!D472</f>
        <v>1995</v>
      </c>
      <c r="H188" s="187">
        <f>'13. Desinvesteringen'!G472</f>
        <v>2023</v>
      </c>
      <c r="I188" s="43" t="str">
        <f>'13. Desinvesteringen'!C472</f>
        <v>02 Gasontvangststations</v>
      </c>
      <c r="J188" s="176">
        <f>'13. Desinvesteringen'!F472</f>
        <v>0</v>
      </c>
      <c r="K188" s="44">
        <f>_xlfn.XLOOKUP(I188,'3. Input (des)investeringen '!$B$11:$B$81,'3. Input (des)investeringen '!$E$11:$E$81)</f>
        <v>0</v>
      </c>
      <c r="L188" s="54"/>
      <c r="M188" s="44">
        <f>_xlfn.XLOOKUP(I188,'3. Input (des)investeringen '!$B$11:$B$81,'3. Input (des)investeringen '!$D$11:$D$81,0)</f>
        <v>30</v>
      </c>
      <c r="N188" s="44">
        <f t="shared" si="54"/>
        <v>3.5</v>
      </c>
      <c r="P188" s="49">
        <f t="shared" si="75"/>
        <v>579.11829683250903</v>
      </c>
      <c r="Q188" s="49">
        <f t="shared" si="75"/>
        <v>392.01853939431385</v>
      </c>
      <c r="R188" s="49">
        <f t="shared" si="75"/>
        <v>392.01853939431385</v>
      </c>
      <c r="S188" s="49">
        <f t="shared" si="75"/>
        <v>196.00926969715692</v>
      </c>
      <c r="T188" s="103">
        <f t="shared" si="75"/>
        <v>0</v>
      </c>
      <c r="V188" s="49">
        <f t="shared" si="55"/>
        <v>49.497290327564876</v>
      </c>
      <c r="W188" s="49">
        <f t="shared" si="56"/>
        <v>49.497290327564883</v>
      </c>
      <c r="X188" s="49">
        <f t="shared" si="57"/>
        <v>49.497290327564883</v>
      </c>
      <c r="Y188" s="49">
        <f t="shared" si="58"/>
        <v>24.748645163782442</v>
      </c>
      <c r="Z188" s="103">
        <f t="shared" si="59"/>
        <v>0</v>
      </c>
      <c r="AB188" s="49">
        <f t="shared" si="60"/>
        <v>628.61558716007391</v>
      </c>
      <c r="AC188" s="49">
        <f t="shared" si="61"/>
        <v>441.51582972187873</v>
      </c>
      <c r="AD188" s="49">
        <f t="shared" si="62"/>
        <v>441.51582972187873</v>
      </c>
      <c r="AE188" s="49">
        <f t="shared" si="63"/>
        <v>220.75791486093937</v>
      </c>
      <c r="AF188" s="103">
        <f t="shared" si="64"/>
        <v>0</v>
      </c>
      <c r="AH188" s="49">
        <f t="shared" si="65"/>
        <v>1103.7895743046965</v>
      </c>
      <c r="AI188" s="49">
        <f t="shared" si="66"/>
        <v>662.27374458281781</v>
      </c>
      <c r="AJ188" s="49">
        <f t="shared" si="67"/>
        <v>220.75791486093908</v>
      </c>
      <c r="AK188" s="49">
        <f t="shared" si="68"/>
        <v>0</v>
      </c>
      <c r="AL188" s="103">
        <f t="shared" si="69"/>
        <v>0</v>
      </c>
      <c r="AN188" s="53">
        <f t="shared" si="70"/>
        <v>673.87095970656651</v>
      </c>
      <c r="AO188" s="53">
        <f t="shared" si="71"/>
        <v>475.29179069560246</v>
      </c>
      <c r="AP188" s="53">
        <f t="shared" si="72"/>
        <v>449.90463048659444</v>
      </c>
      <c r="AQ188" s="53">
        <f t="shared" si="73"/>
        <v>220.75791486093937</v>
      </c>
      <c r="AR188" s="203">
        <f t="shared" si="74"/>
        <v>0</v>
      </c>
      <c r="AY188" s="3"/>
    </row>
    <row r="189" spans="1:51">
      <c r="A189" s="239"/>
      <c r="B189" s="43">
        <f>'13. Desinvesteringen'!B473</f>
        <v>454</v>
      </c>
      <c r="C189" s="54"/>
      <c r="D189" s="54"/>
      <c r="E189" s="54"/>
      <c r="F189" s="48">
        <f>'5. Input GAW-waarde desinv.'!D149</f>
        <v>2852.1763921840106</v>
      </c>
      <c r="G189" s="187">
        <f>'13. Desinvesteringen'!D473</f>
        <v>1997</v>
      </c>
      <c r="H189" s="187">
        <f>'13. Desinvesteringen'!G473</f>
        <v>2023</v>
      </c>
      <c r="I189" s="43" t="str">
        <f>'13. Desinvesteringen'!C473</f>
        <v>02 Gasontvangststations</v>
      </c>
      <c r="J189" s="176">
        <f>'13. Desinvesteringen'!F473</f>
        <v>0</v>
      </c>
      <c r="K189" s="44">
        <f>_xlfn.XLOOKUP(I189,'3. Input (des)investeringen '!$B$11:$B$81,'3. Input (des)investeringen '!$E$11:$E$81)</f>
        <v>0</v>
      </c>
      <c r="L189" s="54"/>
      <c r="M189" s="44">
        <f>_xlfn.XLOOKUP(I189,'3. Input (des)investeringen '!$B$11:$B$81,'3. Input (des)investeringen '!$D$11:$D$81,0)</f>
        <v>30</v>
      </c>
      <c r="N189" s="44">
        <f t="shared" si="54"/>
        <v>5.5</v>
      </c>
      <c r="P189" s="49">
        <f t="shared" si="75"/>
        <v>606.73570524641684</v>
      </c>
      <c r="Q189" s="49">
        <f t="shared" si="75"/>
        <v>463.32544764271825</v>
      </c>
      <c r="R189" s="49">
        <f t="shared" si="75"/>
        <v>427.68502859327839</v>
      </c>
      <c r="S189" s="49">
        <f t="shared" si="75"/>
        <v>427.68502859327839</v>
      </c>
      <c r="T189" s="103">
        <f t="shared" si="75"/>
        <v>427.68502859327839</v>
      </c>
      <c r="V189" s="49">
        <f t="shared" si="55"/>
        <v>51.85775258516383</v>
      </c>
      <c r="W189" s="49">
        <f t="shared" si="56"/>
        <v>51.85775258516383</v>
      </c>
      <c r="X189" s="49">
        <f t="shared" si="57"/>
        <v>51.85775258516383</v>
      </c>
      <c r="Y189" s="49">
        <f t="shared" si="58"/>
        <v>51.85775258516383</v>
      </c>
      <c r="Z189" s="103">
        <f t="shared" si="59"/>
        <v>51.85775258516383</v>
      </c>
      <c r="AB189" s="49">
        <f t="shared" si="60"/>
        <v>658.59345783158062</v>
      </c>
      <c r="AC189" s="49">
        <f t="shared" si="61"/>
        <v>515.18320022788203</v>
      </c>
      <c r="AD189" s="49">
        <f t="shared" si="62"/>
        <v>479.54278117844223</v>
      </c>
      <c r="AE189" s="49">
        <f t="shared" si="63"/>
        <v>479.54278117844223</v>
      </c>
      <c r="AF189" s="103">
        <f t="shared" si="64"/>
        <v>479.54278117844223</v>
      </c>
      <c r="AH189" s="49">
        <f t="shared" si="65"/>
        <v>2193.5829343524301</v>
      </c>
      <c r="AI189" s="49">
        <f t="shared" si="66"/>
        <v>1678.3997341245481</v>
      </c>
      <c r="AJ189" s="49">
        <f t="shared" si="67"/>
        <v>1198.8569529461058</v>
      </c>
      <c r="AK189" s="49">
        <f t="shared" si="68"/>
        <v>719.31417176766354</v>
      </c>
      <c r="AL189" s="103">
        <f t="shared" si="69"/>
        <v>239.77139058922131</v>
      </c>
      <c r="AN189" s="53">
        <f t="shared" si="70"/>
        <v>748.53035814003022</v>
      </c>
      <c r="AO189" s="53">
        <f t="shared" si="71"/>
        <v>600.78158666823401</v>
      </c>
      <c r="AP189" s="53">
        <f t="shared" si="72"/>
        <v>525.09934539039421</v>
      </c>
      <c r="AQ189" s="53">
        <f t="shared" si="73"/>
        <v>506.87671970561343</v>
      </c>
      <c r="AR189" s="203">
        <f t="shared" si="74"/>
        <v>488.65409402083264</v>
      </c>
      <c r="AY189" s="3"/>
    </row>
    <row r="190" spans="1:51">
      <c r="A190" s="239"/>
      <c r="B190" s="43">
        <f>'13. Desinvesteringen'!B474</f>
        <v>455</v>
      </c>
      <c r="C190" s="54"/>
      <c r="D190" s="54"/>
      <c r="E190" s="54"/>
      <c r="F190" s="48">
        <f>'5. Input GAW-waarde desinv.'!D150</f>
        <v>9316.2155574158933</v>
      </c>
      <c r="G190" s="187">
        <f>'13. Desinvesteringen'!D474</f>
        <v>2003</v>
      </c>
      <c r="H190" s="187">
        <f>'13. Desinvesteringen'!G474</f>
        <v>2023</v>
      </c>
      <c r="I190" s="43" t="str">
        <f>'13. Desinvesteringen'!C474</f>
        <v>02 Gasontvangststations</v>
      </c>
      <c r="J190" s="176">
        <f>'13. Desinvesteringen'!F474</f>
        <v>0</v>
      </c>
      <c r="K190" s="44">
        <f>_xlfn.XLOOKUP(I190,'3. Input (des)investeringen '!$B$11:$B$81,'3. Input (des)investeringen '!$E$11:$E$81)</f>
        <v>0</v>
      </c>
      <c r="L190" s="54"/>
      <c r="M190" s="44">
        <f>_xlfn.XLOOKUP(I190,'3. Input (des)investeringen '!$B$11:$B$81,'3. Input (des)investeringen '!$D$11:$D$81,0)</f>
        <v>30</v>
      </c>
      <c r="N190" s="44">
        <f t="shared" si="54"/>
        <v>11.5</v>
      </c>
      <c r="P190" s="49">
        <f t="shared" si="75"/>
        <v>947.82366975448656</v>
      </c>
      <c r="Q190" s="49">
        <f t="shared" si="75"/>
        <v>840.67838534745749</v>
      </c>
      <c r="R190" s="49">
        <f t="shared" si="75"/>
        <v>745.64517656904934</v>
      </c>
      <c r="S190" s="49">
        <f t="shared" si="75"/>
        <v>688.28785529450715</v>
      </c>
      <c r="T190" s="103">
        <f t="shared" si="75"/>
        <v>688.28785529450715</v>
      </c>
      <c r="V190" s="49">
        <f t="shared" si="55"/>
        <v>81.010570064486032</v>
      </c>
      <c r="W190" s="49">
        <f t="shared" si="56"/>
        <v>81.010570064486032</v>
      </c>
      <c r="X190" s="49">
        <f t="shared" si="57"/>
        <v>81.010570064486032</v>
      </c>
      <c r="Y190" s="49">
        <f t="shared" si="58"/>
        <v>81.010570064486032</v>
      </c>
      <c r="Z190" s="103">
        <f t="shared" si="59"/>
        <v>81.010570064486032</v>
      </c>
      <c r="AB190" s="49">
        <f t="shared" si="60"/>
        <v>1028.8342398189725</v>
      </c>
      <c r="AC190" s="49">
        <f t="shared" si="61"/>
        <v>921.68895541194354</v>
      </c>
      <c r="AD190" s="49">
        <f t="shared" si="62"/>
        <v>826.65574663353539</v>
      </c>
      <c r="AE190" s="49">
        <f t="shared" si="63"/>
        <v>769.2984253589932</v>
      </c>
      <c r="AF190" s="103">
        <f t="shared" si="64"/>
        <v>769.2984253589932</v>
      </c>
      <c r="AH190" s="49">
        <f t="shared" si="65"/>
        <v>8287.3813175969208</v>
      </c>
      <c r="AI190" s="49">
        <f t="shared" si="66"/>
        <v>7365.6923621849774</v>
      </c>
      <c r="AJ190" s="49">
        <f t="shared" si="67"/>
        <v>6539.0366155514421</v>
      </c>
      <c r="AK190" s="49">
        <f t="shared" si="68"/>
        <v>5769.7381901924491</v>
      </c>
      <c r="AL190" s="103">
        <f t="shared" si="69"/>
        <v>5000.4397648334561</v>
      </c>
      <c r="AN190" s="53">
        <f t="shared" si="70"/>
        <v>1368.6168738404463</v>
      </c>
      <c r="AO190" s="53">
        <f t="shared" si="71"/>
        <v>1297.3392658833773</v>
      </c>
      <c r="AP190" s="53">
        <f t="shared" si="72"/>
        <v>1075.1391380244902</v>
      </c>
      <c r="AQ190" s="53">
        <f t="shared" si="73"/>
        <v>988.54847658630626</v>
      </c>
      <c r="AR190" s="203">
        <f t="shared" si="74"/>
        <v>959.31513642266452</v>
      </c>
      <c r="AY190" s="3"/>
    </row>
    <row r="191" spans="1:51">
      <c r="A191" s="239"/>
      <c r="B191" s="43">
        <f>'13. Desinvesteringen'!B475</f>
        <v>456</v>
      </c>
      <c r="C191" s="54"/>
      <c r="D191" s="54"/>
      <c r="E191" s="54"/>
      <c r="F191" s="48">
        <f>'5. Input GAW-waarde desinv.'!D151</f>
        <v>14209.467414292769</v>
      </c>
      <c r="G191" s="187">
        <f>'13. Desinvesteringen'!D475</f>
        <v>2005</v>
      </c>
      <c r="H191" s="187">
        <f>'13. Desinvesteringen'!G475</f>
        <v>2023</v>
      </c>
      <c r="I191" s="43" t="str">
        <f>'13. Desinvesteringen'!C475</f>
        <v>02 Gasontvangststations</v>
      </c>
      <c r="J191" s="176">
        <f>'13. Desinvesteringen'!F475</f>
        <v>0</v>
      </c>
      <c r="K191" s="44">
        <f>_xlfn.XLOOKUP(I191,'3. Input (des)investeringen '!$B$11:$B$81,'3. Input (des)investeringen '!$E$11:$E$81)</f>
        <v>0</v>
      </c>
      <c r="L191" s="54"/>
      <c r="M191" s="44">
        <f>_xlfn.XLOOKUP(I191,'3. Input (des)investeringen '!$B$11:$B$81,'3. Input (des)investeringen '!$D$11:$D$81,0)</f>
        <v>30</v>
      </c>
      <c r="N191" s="44">
        <f t="shared" si="54"/>
        <v>13.5</v>
      </c>
      <c r="P191" s="49">
        <f t="shared" si="75"/>
        <v>1231.4871759053733</v>
      </c>
      <c r="Q191" s="49">
        <f t="shared" si="75"/>
        <v>1112.8995219293004</v>
      </c>
      <c r="R191" s="49">
        <f t="shared" si="75"/>
        <v>1005.73141981759</v>
      </c>
      <c r="S191" s="49">
        <f t="shared" si="75"/>
        <v>908.88320902034047</v>
      </c>
      <c r="T191" s="103">
        <f t="shared" si="75"/>
        <v>897.84414170430398</v>
      </c>
      <c r="V191" s="49">
        <f t="shared" si="55"/>
        <v>105.25531417994644</v>
      </c>
      <c r="W191" s="49">
        <f t="shared" si="56"/>
        <v>105.25531417994644</v>
      </c>
      <c r="X191" s="49">
        <f t="shared" si="57"/>
        <v>105.25531417994644</v>
      </c>
      <c r="Y191" s="49">
        <f t="shared" si="58"/>
        <v>105.25531417994644</v>
      </c>
      <c r="Z191" s="103">
        <f t="shared" si="59"/>
        <v>105.25531417994644</v>
      </c>
      <c r="AB191" s="49">
        <f t="shared" si="60"/>
        <v>1336.7424900853198</v>
      </c>
      <c r="AC191" s="49">
        <f t="shared" si="61"/>
        <v>1218.1548361092468</v>
      </c>
      <c r="AD191" s="49">
        <f t="shared" si="62"/>
        <v>1110.9867339975365</v>
      </c>
      <c r="AE191" s="49">
        <f t="shared" si="63"/>
        <v>1014.138523200287</v>
      </c>
      <c r="AF191" s="103">
        <f t="shared" si="64"/>
        <v>1003.0994558842505</v>
      </c>
      <c r="AH191" s="49">
        <f t="shared" si="65"/>
        <v>12872.724924207449</v>
      </c>
      <c r="AI191" s="49">
        <f t="shared" si="66"/>
        <v>11654.570088098202</v>
      </c>
      <c r="AJ191" s="49">
        <f t="shared" si="67"/>
        <v>10543.583354100665</v>
      </c>
      <c r="AK191" s="49">
        <f t="shared" si="68"/>
        <v>9529.4448309003783</v>
      </c>
      <c r="AL191" s="103">
        <f t="shared" si="69"/>
        <v>8526.3453750161279</v>
      </c>
      <c r="AN191" s="53">
        <f t="shared" si="70"/>
        <v>1864.5242119778252</v>
      </c>
      <c r="AO191" s="53">
        <f t="shared" si="71"/>
        <v>1812.5379106022551</v>
      </c>
      <c r="AP191" s="53">
        <f t="shared" si="72"/>
        <v>1511.6429014533617</v>
      </c>
      <c r="AQ191" s="53">
        <f t="shared" si="73"/>
        <v>1376.2574267745013</v>
      </c>
      <c r="AR191" s="203">
        <f t="shared" si="74"/>
        <v>1327.1005801348633</v>
      </c>
      <c r="AY191" s="3"/>
    </row>
    <row r="192" spans="1:51">
      <c r="A192" s="239"/>
      <c r="B192" s="43">
        <f>'13. Desinvesteringen'!B476</f>
        <v>457</v>
      </c>
      <c r="C192" s="54"/>
      <c r="D192" s="54"/>
      <c r="E192" s="54"/>
      <c r="F192" s="48">
        <f>'5. Input GAW-waarde desinv.'!D152</f>
        <v>37532.285815813477</v>
      </c>
      <c r="G192" s="187">
        <f>'13. Desinvesteringen'!D476</f>
        <v>2007</v>
      </c>
      <c r="H192" s="187">
        <f>'13. Desinvesteringen'!G476</f>
        <v>2023</v>
      </c>
      <c r="I192" s="43" t="str">
        <f>'13. Desinvesteringen'!C476</f>
        <v>02 Gasontvangststations</v>
      </c>
      <c r="J192" s="176">
        <f>'13. Desinvesteringen'!F476</f>
        <v>0</v>
      </c>
      <c r="K192" s="44">
        <f>_xlfn.XLOOKUP(I192,'3. Input (des)investeringen '!$B$11:$B$81,'3. Input (des)investeringen '!$E$11:$E$81)</f>
        <v>0</v>
      </c>
      <c r="L192" s="54"/>
      <c r="M192" s="44">
        <f>_xlfn.XLOOKUP(I192,'3. Input (des)investeringen '!$B$11:$B$81,'3. Input (des)investeringen '!$D$11:$D$81,0)</f>
        <v>30</v>
      </c>
      <c r="N192" s="44">
        <f t="shared" si="54"/>
        <v>15.5</v>
      </c>
      <c r="P192" s="49">
        <f t="shared" si="75"/>
        <v>2833.0822196452755</v>
      </c>
      <c r="Q192" s="49">
        <f t="shared" si="75"/>
        <v>2595.4688721911557</v>
      </c>
      <c r="R192" s="49">
        <f t="shared" si="75"/>
        <v>2377.7843861364136</v>
      </c>
      <c r="S192" s="49">
        <f t="shared" si="75"/>
        <v>2178.3573085894882</v>
      </c>
      <c r="T192" s="103">
        <f t="shared" si="75"/>
        <v>2069.0751693625907</v>
      </c>
      <c r="V192" s="49">
        <f t="shared" si="55"/>
        <v>242.14377945686115</v>
      </c>
      <c r="W192" s="49">
        <f t="shared" si="56"/>
        <v>242.14377945686113</v>
      </c>
      <c r="X192" s="49">
        <f t="shared" si="57"/>
        <v>242.14377945686113</v>
      </c>
      <c r="Y192" s="49">
        <f t="shared" si="58"/>
        <v>242.14377945686113</v>
      </c>
      <c r="Z192" s="103">
        <f t="shared" si="59"/>
        <v>242.14377945686113</v>
      </c>
      <c r="AB192" s="49">
        <f t="shared" si="60"/>
        <v>3075.2259991021365</v>
      </c>
      <c r="AC192" s="49">
        <f t="shared" si="61"/>
        <v>2837.6126516480167</v>
      </c>
      <c r="AD192" s="49">
        <f t="shared" si="62"/>
        <v>2619.9281655932746</v>
      </c>
      <c r="AE192" s="49">
        <f t="shared" si="63"/>
        <v>2420.5010880463492</v>
      </c>
      <c r="AF192" s="103">
        <f t="shared" si="64"/>
        <v>2311.2189488194517</v>
      </c>
      <c r="AH192" s="49">
        <f t="shared" si="65"/>
        <v>34457.059816711342</v>
      </c>
      <c r="AI192" s="49">
        <f t="shared" si="66"/>
        <v>31619.447165063324</v>
      </c>
      <c r="AJ192" s="49">
        <f t="shared" si="67"/>
        <v>28999.518999470049</v>
      </c>
      <c r="AK192" s="49">
        <f t="shared" si="68"/>
        <v>26579.0179114237</v>
      </c>
      <c r="AL192" s="103">
        <f t="shared" si="69"/>
        <v>24267.798962604247</v>
      </c>
      <c r="AN192" s="53">
        <f t="shared" si="70"/>
        <v>4487.9654515873017</v>
      </c>
      <c r="AO192" s="53">
        <f t="shared" si="71"/>
        <v>4450.2044570662456</v>
      </c>
      <c r="AP192" s="53">
        <f t="shared" si="72"/>
        <v>3721.9098875731361</v>
      </c>
      <c r="AQ192" s="53">
        <f t="shared" si="73"/>
        <v>3430.5037686804499</v>
      </c>
      <c r="AR192" s="203">
        <f t="shared" si="74"/>
        <v>3233.3953093984132</v>
      </c>
      <c r="AY192" s="3"/>
    </row>
    <row r="193" spans="1:51">
      <c r="A193" s="239"/>
      <c r="B193" s="43">
        <f>'13. Desinvesteringen'!B477</f>
        <v>458</v>
      </c>
      <c r="C193" s="54"/>
      <c r="D193" s="54"/>
      <c r="E193" s="54"/>
      <c r="F193" s="48">
        <f>'5. Input GAW-waarde desinv.'!D153</f>
        <v>18395.575662272393</v>
      </c>
      <c r="G193" s="187">
        <f>'13. Desinvesteringen'!D477</f>
        <v>2009</v>
      </c>
      <c r="H193" s="187">
        <f>'13. Desinvesteringen'!G477</f>
        <v>2023</v>
      </c>
      <c r="I193" s="43" t="str">
        <f>'13. Desinvesteringen'!C477</f>
        <v>02 Gasontvangststations</v>
      </c>
      <c r="J193" s="176">
        <f>'13. Desinvesteringen'!F477</f>
        <v>0</v>
      </c>
      <c r="K193" s="44">
        <f>_xlfn.XLOOKUP(I193,'3. Input (des)investeringen '!$B$11:$B$81,'3. Input (des)investeringen '!$E$11:$E$81)</f>
        <v>0</v>
      </c>
      <c r="L193" s="54"/>
      <c r="M193" s="44">
        <f>_xlfn.XLOOKUP(I193,'3. Input (des)investeringen '!$B$11:$B$81,'3. Input (des)investeringen '!$D$11:$D$81,0)</f>
        <v>30</v>
      </c>
      <c r="N193" s="44">
        <f t="shared" si="54"/>
        <v>17.5</v>
      </c>
      <c r="P193" s="49">
        <f t="shared" si="75"/>
        <v>1229.8756299919257</v>
      </c>
      <c r="Q193" s="49">
        <f t="shared" si="75"/>
        <v>1138.5134403353827</v>
      </c>
      <c r="R193" s="49">
        <f t="shared" si="75"/>
        <v>1053.9381561961827</v>
      </c>
      <c r="S193" s="49">
        <f t="shared" si="75"/>
        <v>975.64560745018071</v>
      </c>
      <c r="T193" s="103">
        <f t="shared" si="75"/>
        <v>903.16907661102437</v>
      </c>
      <c r="V193" s="49">
        <f t="shared" si="55"/>
        <v>105.1175752129851</v>
      </c>
      <c r="W193" s="49">
        <f t="shared" si="56"/>
        <v>105.11757521298512</v>
      </c>
      <c r="X193" s="49">
        <f t="shared" si="57"/>
        <v>105.11757521298512</v>
      </c>
      <c r="Y193" s="49">
        <f t="shared" si="58"/>
        <v>105.11757521298512</v>
      </c>
      <c r="Z193" s="103">
        <f t="shared" si="59"/>
        <v>105.11757521298512</v>
      </c>
      <c r="AB193" s="49">
        <f t="shared" si="60"/>
        <v>1334.9932052049107</v>
      </c>
      <c r="AC193" s="49">
        <f t="shared" si="61"/>
        <v>1243.6310155483679</v>
      </c>
      <c r="AD193" s="49">
        <f t="shared" si="62"/>
        <v>1159.0557314091679</v>
      </c>
      <c r="AE193" s="49">
        <f t="shared" si="63"/>
        <v>1080.7631826631659</v>
      </c>
      <c r="AF193" s="103">
        <f t="shared" si="64"/>
        <v>1008.2866518240095</v>
      </c>
      <c r="AH193" s="49">
        <f t="shared" si="65"/>
        <v>17060.582457067481</v>
      </c>
      <c r="AI193" s="49">
        <f t="shared" si="66"/>
        <v>15816.951441519113</v>
      </c>
      <c r="AJ193" s="49">
        <f t="shared" si="67"/>
        <v>14657.895710109946</v>
      </c>
      <c r="AK193" s="49">
        <f t="shared" si="68"/>
        <v>13577.13252744678</v>
      </c>
      <c r="AL193" s="103">
        <f t="shared" si="69"/>
        <v>12568.84587562277</v>
      </c>
      <c r="AN193" s="53">
        <f t="shared" si="70"/>
        <v>2034.4770859446776</v>
      </c>
      <c r="AO193" s="53">
        <f t="shared" si="71"/>
        <v>2050.2955390658426</v>
      </c>
      <c r="AP193" s="53">
        <f t="shared" si="72"/>
        <v>1716.0557683933457</v>
      </c>
      <c r="AQ193" s="53">
        <f t="shared" si="73"/>
        <v>1596.6942187061436</v>
      </c>
      <c r="AR193" s="203">
        <f t="shared" si="74"/>
        <v>1485.9027950976747</v>
      </c>
      <c r="AY193" s="3"/>
    </row>
    <row r="194" spans="1:51">
      <c r="A194" s="239"/>
      <c r="B194" s="43">
        <f>'13. Desinvesteringen'!B478</f>
        <v>459</v>
      </c>
      <c r="C194" s="54"/>
      <c r="D194" s="54"/>
      <c r="E194" s="54"/>
      <c r="F194" s="48">
        <f>'5. Input GAW-waarde desinv.'!D154</f>
        <v>45342.950536082608</v>
      </c>
      <c r="G194" s="187">
        <f>'13. Desinvesteringen'!D478</f>
        <v>2007</v>
      </c>
      <c r="H194" s="187">
        <f>'13. Desinvesteringen'!G478</f>
        <v>2023</v>
      </c>
      <c r="I194" s="43" t="str">
        <f>'13. Desinvesteringen'!C478</f>
        <v>06 Utiliteitsgebouwen</v>
      </c>
      <c r="J194" s="176">
        <f>'13. Desinvesteringen'!F478</f>
        <v>0</v>
      </c>
      <c r="K194" s="44">
        <f>_xlfn.XLOOKUP(I194,'3. Input (des)investeringen '!$B$11:$B$81,'3. Input (des)investeringen '!$E$11:$E$81)</f>
        <v>0</v>
      </c>
      <c r="L194" s="54"/>
      <c r="M194" s="44">
        <f>_xlfn.XLOOKUP(I194,'3. Input (des)investeringen '!$B$11:$B$81,'3. Input (des)investeringen '!$D$11:$D$81,0)</f>
        <v>30</v>
      </c>
      <c r="N194" s="44">
        <f t="shared" si="54"/>
        <v>15.5</v>
      </c>
      <c r="P194" s="49">
        <f t="shared" si="75"/>
        <v>3422.6614275623651</v>
      </c>
      <c r="Q194" s="49">
        <f t="shared" si="75"/>
        <v>3135.5995013797146</v>
      </c>
      <c r="R194" s="49">
        <f t="shared" si="75"/>
        <v>2872.6137367478677</v>
      </c>
      <c r="S194" s="49">
        <f t="shared" si="75"/>
        <v>2631.6848426980469</v>
      </c>
      <c r="T194" s="103">
        <f t="shared" si="75"/>
        <v>2499.6605194857702</v>
      </c>
      <c r="V194" s="49">
        <f t="shared" si="55"/>
        <v>292.53516474892007</v>
      </c>
      <c r="W194" s="49">
        <f t="shared" si="56"/>
        <v>292.53516474892007</v>
      </c>
      <c r="X194" s="49">
        <f t="shared" si="57"/>
        <v>292.53516474892007</v>
      </c>
      <c r="Y194" s="49">
        <f t="shared" si="58"/>
        <v>292.53516474892007</v>
      </c>
      <c r="Z194" s="103">
        <f t="shared" si="59"/>
        <v>292.53516474892007</v>
      </c>
      <c r="AB194" s="49">
        <f t="shared" si="60"/>
        <v>3715.1965923112853</v>
      </c>
      <c r="AC194" s="49">
        <f t="shared" si="61"/>
        <v>3428.1346661286348</v>
      </c>
      <c r="AD194" s="49">
        <f t="shared" si="62"/>
        <v>3165.1489014967879</v>
      </c>
      <c r="AE194" s="49">
        <f t="shared" si="63"/>
        <v>2924.220007446967</v>
      </c>
      <c r="AF194" s="103">
        <f t="shared" si="64"/>
        <v>2792.1956842346904</v>
      </c>
      <c r="AH194" s="49">
        <f t="shared" si="65"/>
        <v>41627.75394377132</v>
      </c>
      <c r="AI194" s="49">
        <f t="shared" si="66"/>
        <v>38199.619277642683</v>
      </c>
      <c r="AJ194" s="49">
        <f t="shared" si="67"/>
        <v>35034.470376145895</v>
      </c>
      <c r="AK194" s="49">
        <f t="shared" si="68"/>
        <v>32110.250368698929</v>
      </c>
      <c r="AL194" s="103">
        <f t="shared" si="69"/>
        <v>29318.054684464238</v>
      </c>
      <c r="AN194" s="53">
        <f t="shared" si="70"/>
        <v>5421.9345040059097</v>
      </c>
      <c r="AO194" s="53">
        <f t="shared" si="71"/>
        <v>5376.315249288411</v>
      </c>
      <c r="AP194" s="53">
        <f t="shared" si="72"/>
        <v>4496.4587757903319</v>
      </c>
      <c r="AQ194" s="53">
        <f t="shared" si="73"/>
        <v>4144.4095214575264</v>
      </c>
      <c r="AR194" s="203">
        <f t="shared" si="74"/>
        <v>3906.2817622443313</v>
      </c>
      <c r="AY194" s="3"/>
    </row>
    <row r="195" spans="1:51">
      <c r="A195" s="239"/>
      <c r="B195" s="43">
        <f>'13. Desinvesteringen'!B479</f>
        <v>460</v>
      </c>
      <c r="C195" s="54"/>
      <c r="D195" s="54"/>
      <c r="E195" s="54"/>
      <c r="F195" s="48">
        <f>'5. Input GAW-waarde desinv.'!D155</f>
        <v>0</v>
      </c>
      <c r="G195" s="187">
        <f>'13. Desinvesteringen'!D479</f>
        <v>2003</v>
      </c>
      <c r="H195" s="187">
        <f>'13. Desinvesteringen'!G479</f>
        <v>2023</v>
      </c>
      <c r="I195" s="43" t="str">
        <f>'13. Desinvesteringen'!C479</f>
        <v>09 Bedrijfsinventaris</v>
      </c>
      <c r="J195" s="176">
        <f>'13. Desinvesteringen'!F479</f>
        <v>0</v>
      </c>
      <c r="K195" s="44">
        <f>_xlfn.XLOOKUP(I195,'3. Input (des)investeringen '!$B$11:$B$81,'3. Input (des)investeringen '!$E$11:$E$81)</f>
        <v>1</v>
      </c>
      <c r="L195" s="54"/>
      <c r="M195" s="44">
        <f>_xlfn.XLOOKUP(I195,'3. Input (des)investeringen '!$B$11:$B$81,'3. Input (des)investeringen '!$D$11:$D$81,0)</f>
        <v>10</v>
      </c>
      <c r="N195" s="44">
        <f t="shared" si="54"/>
        <v>0</v>
      </c>
      <c r="P195" s="49">
        <f t="shared" si="75"/>
        <v>0</v>
      </c>
      <c r="Q195" s="49">
        <f t="shared" si="75"/>
        <v>0</v>
      </c>
      <c r="R195" s="49">
        <f t="shared" si="75"/>
        <v>0</v>
      </c>
      <c r="S195" s="49">
        <f t="shared" si="75"/>
        <v>0</v>
      </c>
      <c r="T195" s="103">
        <f t="shared" si="75"/>
        <v>0</v>
      </c>
      <c r="V195" s="49">
        <f t="shared" si="55"/>
        <v>0</v>
      </c>
      <c r="W195" s="49">
        <f t="shared" si="56"/>
        <v>0</v>
      </c>
      <c r="X195" s="49">
        <f t="shared" si="57"/>
        <v>0</v>
      </c>
      <c r="Y195" s="49">
        <f t="shared" si="58"/>
        <v>0</v>
      </c>
      <c r="Z195" s="103">
        <f t="shared" si="59"/>
        <v>0</v>
      </c>
      <c r="AB195" s="49">
        <f t="shared" si="60"/>
        <v>0</v>
      </c>
      <c r="AC195" s="49">
        <f t="shared" si="61"/>
        <v>0</v>
      </c>
      <c r="AD195" s="49">
        <f t="shared" si="62"/>
        <v>0</v>
      </c>
      <c r="AE195" s="49">
        <f t="shared" si="63"/>
        <v>0</v>
      </c>
      <c r="AF195" s="103">
        <f t="shared" si="64"/>
        <v>0</v>
      </c>
      <c r="AH195" s="49">
        <f t="shared" si="65"/>
        <v>0</v>
      </c>
      <c r="AI195" s="49">
        <f t="shared" si="66"/>
        <v>0</v>
      </c>
      <c r="AJ195" s="49">
        <f t="shared" si="67"/>
        <v>0</v>
      </c>
      <c r="AK195" s="49">
        <f t="shared" si="68"/>
        <v>0</v>
      </c>
      <c r="AL195" s="103">
        <f t="shared" si="69"/>
        <v>0</v>
      </c>
      <c r="AN195" s="53">
        <f t="shared" si="70"/>
        <v>0</v>
      </c>
      <c r="AO195" s="53">
        <f t="shared" si="71"/>
        <v>0</v>
      </c>
      <c r="AP195" s="53">
        <f t="shared" si="72"/>
        <v>0</v>
      </c>
      <c r="AQ195" s="53">
        <f t="shared" si="73"/>
        <v>0</v>
      </c>
      <c r="AR195" s="203">
        <f t="shared" si="74"/>
        <v>0</v>
      </c>
      <c r="AY195" s="3"/>
    </row>
    <row r="196" spans="1:51">
      <c r="A196" s="239"/>
      <c r="B196" s="43">
        <f>'13. Desinvesteringen'!B480</f>
        <v>461</v>
      </c>
      <c r="C196" s="54"/>
      <c r="D196" s="54"/>
      <c r="E196" s="54"/>
      <c r="F196" s="48">
        <f>'5. Input GAW-waarde desinv.'!D156</f>
        <v>0</v>
      </c>
      <c r="G196" s="187">
        <f>'13. Desinvesteringen'!D480</f>
        <v>1970</v>
      </c>
      <c r="H196" s="187">
        <f>'13. Desinvesteringen'!G480</f>
        <v>2023</v>
      </c>
      <c r="I196" s="43" t="str">
        <f>'13. Desinvesteringen'!C480</f>
        <v>15 Compressorstations (KC)</v>
      </c>
      <c r="J196" s="176">
        <f>'13. Desinvesteringen'!F480</f>
        <v>0</v>
      </c>
      <c r="K196" s="44">
        <f>_xlfn.XLOOKUP(I196,'3. Input (des)investeringen '!$B$11:$B$81,'3. Input (des)investeringen '!$E$11:$E$81)</f>
        <v>0</v>
      </c>
      <c r="L196" s="54"/>
      <c r="M196" s="44">
        <f>_xlfn.XLOOKUP(I196,'3. Input (des)investeringen '!$B$11:$B$81,'3. Input (des)investeringen '!$D$11:$D$81,0)</f>
        <v>30</v>
      </c>
      <c r="N196" s="44">
        <f t="shared" si="54"/>
        <v>0</v>
      </c>
      <c r="P196" s="49">
        <f t="shared" si="75"/>
        <v>0</v>
      </c>
      <c r="Q196" s="49">
        <f t="shared" si="75"/>
        <v>0</v>
      </c>
      <c r="R196" s="49">
        <f t="shared" si="75"/>
        <v>0</v>
      </c>
      <c r="S196" s="49">
        <f t="shared" si="75"/>
        <v>0</v>
      </c>
      <c r="T196" s="103">
        <f t="shared" si="75"/>
        <v>0</v>
      </c>
      <c r="V196" s="49">
        <f t="shared" si="55"/>
        <v>0</v>
      </c>
      <c r="W196" s="49">
        <f t="shared" si="56"/>
        <v>0</v>
      </c>
      <c r="X196" s="49">
        <f t="shared" si="57"/>
        <v>0</v>
      </c>
      <c r="Y196" s="49">
        <f t="shared" si="58"/>
        <v>0</v>
      </c>
      <c r="Z196" s="103">
        <f t="shared" si="59"/>
        <v>0</v>
      </c>
      <c r="AB196" s="49">
        <f t="shared" si="60"/>
        <v>0</v>
      </c>
      <c r="AC196" s="49">
        <f t="shared" si="61"/>
        <v>0</v>
      </c>
      <c r="AD196" s="49">
        <f t="shared" si="62"/>
        <v>0</v>
      </c>
      <c r="AE196" s="49">
        <f t="shared" si="63"/>
        <v>0</v>
      </c>
      <c r="AF196" s="103">
        <f t="shared" si="64"/>
        <v>0</v>
      </c>
      <c r="AH196" s="49">
        <f t="shared" si="65"/>
        <v>0</v>
      </c>
      <c r="AI196" s="49">
        <f t="shared" si="66"/>
        <v>0</v>
      </c>
      <c r="AJ196" s="49">
        <f t="shared" si="67"/>
        <v>0</v>
      </c>
      <c r="AK196" s="49">
        <f t="shared" si="68"/>
        <v>0</v>
      </c>
      <c r="AL196" s="103">
        <f t="shared" si="69"/>
        <v>0</v>
      </c>
      <c r="AN196" s="53">
        <f t="shared" si="70"/>
        <v>0</v>
      </c>
      <c r="AO196" s="53">
        <f t="shared" si="71"/>
        <v>0</v>
      </c>
      <c r="AP196" s="53">
        <f t="shared" si="72"/>
        <v>0</v>
      </c>
      <c r="AQ196" s="53">
        <f t="shared" si="73"/>
        <v>0</v>
      </c>
      <c r="AR196" s="203">
        <f t="shared" si="74"/>
        <v>0</v>
      </c>
      <c r="AY196" s="3"/>
    </row>
    <row r="197" spans="1:51">
      <c r="A197" s="239"/>
      <c r="B197" s="43">
        <f>'13. Desinvesteringen'!B481</f>
        <v>462</v>
      </c>
      <c r="C197" s="54"/>
      <c r="D197" s="54"/>
      <c r="E197" s="54"/>
      <c r="F197" s="48">
        <f>'5. Input GAW-waarde desinv.'!D157</f>
        <v>0</v>
      </c>
      <c r="G197" s="187">
        <f>'13. Desinvesteringen'!D481</f>
        <v>1971</v>
      </c>
      <c r="H197" s="187">
        <f>'13. Desinvesteringen'!G481</f>
        <v>2023</v>
      </c>
      <c r="I197" s="43" t="str">
        <f>'13. Desinvesteringen'!C481</f>
        <v>15 Compressorstations (KC)</v>
      </c>
      <c r="J197" s="176">
        <f>'13. Desinvesteringen'!F481</f>
        <v>0</v>
      </c>
      <c r="K197" s="44">
        <f>_xlfn.XLOOKUP(I197,'3. Input (des)investeringen '!$B$11:$B$81,'3. Input (des)investeringen '!$E$11:$E$81)</f>
        <v>0</v>
      </c>
      <c r="L197" s="54"/>
      <c r="M197" s="44">
        <f>_xlfn.XLOOKUP(I197,'3. Input (des)investeringen '!$B$11:$B$81,'3. Input (des)investeringen '!$D$11:$D$81,0)</f>
        <v>30</v>
      </c>
      <c r="N197" s="44">
        <f t="shared" si="54"/>
        <v>0</v>
      </c>
      <c r="P197" s="49">
        <f t="shared" si="75"/>
        <v>0</v>
      </c>
      <c r="Q197" s="49">
        <f t="shared" si="75"/>
        <v>0</v>
      </c>
      <c r="R197" s="49">
        <f t="shared" si="75"/>
        <v>0</v>
      </c>
      <c r="S197" s="49">
        <f t="shared" si="75"/>
        <v>0</v>
      </c>
      <c r="T197" s="103">
        <f t="shared" si="75"/>
        <v>0</v>
      </c>
      <c r="V197" s="49">
        <f t="shared" si="55"/>
        <v>0</v>
      </c>
      <c r="W197" s="49">
        <f t="shared" si="56"/>
        <v>0</v>
      </c>
      <c r="X197" s="49">
        <f t="shared" si="57"/>
        <v>0</v>
      </c>
      <c r="Y197" s="49">
        <f t="shared" si="58"/>
        <v>0</v>
      </c>
      <c r="Z197" s="103">
        <f t="shared" si="59"/>
        <v>0</v>
      </c>
      <c r="AB197" s="49">
        <f t="shared" si="60"/>
        <v>0</v>
      </c>
      <c r="AC197" s="49">
        <f t="shared" si="61"/>
        <v>0</v>
      </c>
      <c r="AD197" s="49">
        <f t="shared" si="62"/>
        <v>0</v>
      </c>
      <c r="AE197" s="49">
        <f t="shared" si="63"/>
        <v>0</v>
      </c>
      <c r="AF197" s="103">
        <f t="shared" si="64"/>
        <v>0</v>
      </c>
      <c r="AH197" s="49">
        <f t="shared" si="65"/>
        <v>0</v>
      </c>
      <c r="AI197" s="49">
        <f t="shared" si="66"/>
        <v>0</v>
      </c>
      <c r="AJ197" s="49">
        <f t="shared" si="67"/>
        <v>0</v>
      </c>
      <c r="AK197" s="49">
        <f t="shared" si="68"/>
        <v>0</v>
      </c>
      <c r="AL197" s="103">
        <f t="shared" si="69"/>
        <v>0</v>
      </c>
      <c r="AN197" s="53">
        <f t="shared" si="70"/>
        <v>0</v>
      </c>
      <c r="AO197" s="53">
        <f t="shared" si="71"/>
        <v>0</v>
      </c>
      <c r="AP197" s="53">
        <f t="shared" si="72"/>
        <v>0</v>
      </c>
      <c r="AQ197" s="53">
        <f t="shared" si="73"/>
        <v>0</v>
      </c>
      <c r="AR197" s="203">
        <f t="shared" si="74"/>
        <v>0</v>
      </c>
      <c r="AY197" s="3"/>
    </row>
    <row r="198" spans="1:51">
      <c r="A198" s="239"/>
      <c r="B198" s="43">
        <f>'13. Desinvesteringen'!B482</f>
        <v>463</v>
      </c>
      <c r="C198" s="54"/>
      <c r="D198" s="54"/>
      <c r="E198" s="54"/>
      <c r="F198" s="48">
        <f>'5. Input GAW-waarde desinv.'!D158</f>
        <v>0</v>
      </c>
      <c r="G198" s="187">
        <f>'13. Desinvesteringen'!D482</f>
        <v>1970</v>
      </c>
      <c r="H198" s="187">
        <f>'13. Desinvesteringen'!G482</f>
        <v>2023</v>
      </c>
      <c r="I198" s="43" t="str">
        <f>'13. Desinvesteringen'!C482</f>
        <v>15 Compressorstations (TT-BT-AT)</v>
      </c>
      <c r="J198" s="176">
        <f>'13. Desinvesteringen'!F482</f>
        <v>0</v>
      </c>
      <c r="K198" s="44">
        <f>_xlfn.XLOOKUP(I198,'3. Input (des)investeringen '!$B$11:$B$81,'3. Input (des)investeringen '!$E$11:$E$81)</f>
        <v>1</v>
      </c>
      <c r="L198" s="54"/>
      <c r="M198" s="44">
        <f>_xlfn.XLOOKUP(I198,'3. Input (des)investeringen '!$B$11:$B$81,'3. Input (des)investeringen '!$D$11:$D$81,0)</f>
        <v>30</v>
      </c>
      <c r="N198" s="44">
        <f t="shared" si="54"/>
        <v>0</v>
      </c>
      <c r="P198" s="49">
        <f t="shared" si="75"/>
        <v>0</v>
      </c>
      <c r="Q198" s="49">
        <f t="shared" si="75"/>
        <v>0</v>
      </c>
      <c r="R198" s="49">
        <f t="shared" si="75"/>
        <v>0</v>
      </c>
      <c r="S198" s="49">
        <f t="shared" si="75"/>
        <v>0</v>
      </c>
      <c r="T198" s="103">
        <f t="shared" si="75"/>
        <v>0</v>
      </c>
      <c r="V198" s="49">
        <f t="shared" si="55"/>
        <v>0</v>
      </c>
      <c r="W198" s="49">
        <f t="shared" si="56"/>
        <v>0</v>
      </c>
      <c r="X198" s="49">
        <f t="shared" si="57"/>
        <v>0</v>
      </c>
      <c r="Y198" s="49">
        <f t="shared" si="58"/>
        <v>0</v>
      </c>
      <c r="Z198" s="103">
        <f t="shared" si="59"/>
        <v>0</v>
      </c>
      <c r="AB198" s="49">
        <f t="shared" si="60"/>
        <v>0</v>
      </c>
      <c r="AC198" s="49">
        <f t="shared" si="61"/>
        <v>0</v>
      </c>
      <c r="AD198" s="49">
        <f t="shared" si="62"/>
        <v>0</v>
      </c>
      <c r="AE198" s="49">
        <f t="shared" si="63"/>
        <v>0</v>
      </c>
      <c r="AF198" s="103">
        <f t="shared" si="64"/>
        <v>0</v>
      </c>
      <c r="AH198" s="49">
        <f t="shared" si="65"/>
        <v>0</v>
      </c>
      <c r="AI198" s="49">
        <f t="shared" si="66"/>
        <v>0</v>
      </c>
      <c r="AJ198" s="49">
        <f t="shared" si="67"/>
        <v>0</v>
      </c>
      <c r="AK198" s="49">
        <f t="shared" si="68"/>
        <v>0</v>
      </c>
      <c r="AL198" s="103">
        <f t="shared" si="69"/>
        <v>0</v>
      </c>
      <c r="AN198" s="53">
        <f t="shared" si="70"/>
        <v>0</v>
      </c>
      <c r="AO198" s="53">
        <f t="shared" si="71"/>
        <v>0</v>
      </c>
      <c r="AP198" s="53">
        <f t="shared" si="72"/>
        <v>0</v>
      </c>
      <c r="AQ198" s="53">
        <f t="shared" si="73"/>
        <v>0</v>
      </c>
      <c r="AR198" s="203">
        <f t="shared" si="74"/>
        <v>0</v>
      </c>
      <c r="AY198" s="3"/>
    </row>
    <row r="199" spans="1:51">
      <c r="A199" s="239"/>
      <c r="B199" s="43">
        <f>'13. Desinvesteringen'!B483</f>
        <v>464</v>
      </c>
      <c r="C199" s="54"/>
      <c r="D199" s="54"/>
      <c r="E199" s="54"/>
      <c r="F199" s="48">
        <f>'5. Input GAW-waarde desinv.'!D159</f>
        <v>0</v>
      </c>
      <c r="G199" s="187">
        <f>'13. Desinvesteringen'!D483</f>
        <v>1971</v>
      </c>
      <c r="H199" s="187">
        <f>'13. Desinvesteringen'!G483</f>
        <v>2023</v>
      </c>
      <c r="I199" s="43" t="str">
        <f>'13. Desinvesteringen'!C483</f>
        <v>15 Compressorstations (TT-BT-AT)</v>
      </c>
      <c r="J199" s="176">
        <f>'13. Desinvesteringen'!F483</f>
        <v>0</v>
      </c>
      <c r="K199" s="44">
        <f>_xlfn.XLOOKUP(I199,'3. Input (des)investeringen '!$B$11:$B$81,'3. Input (des)investeringen '!$E$11:$E$81)</f>
        <v>1</v>
      </c>
      <c r="L199" s="54"/>
      <c r="M199" s="44">
        <f>_xlfn.XLOOKUP(I199,'3. Input (des)investeringen '!$B$11:$B$81,'3. Input (des)investeringen '!$D$11:$D$81,0)</f>
        <v>30</v>
      </c>
      <c r="N199" s="44">
        <f t="shared" si="54"/>
        <v>0</v>
      </c>
      <c r="P199" s="49">
        <f t="shared" si="75"/>
        <v>0</v>
      </c>
      <c r="Q199" s="49">
        <f t="shared" si="75"/>
        <v>0</v>
      </c>
      <c r="R199" s="49">
        <f t="shared" si="75"/>
        <v>0</v>
      </c>
      <c r="S199" s="49">
        <f t="shared" si="75"/>
        <v>0</v>
      </c>
      <c r="T199" s="103">
        <f t="shared" si="75"/>
        <v>0</v>
      </c>
      <c r="V199" s="49">
        <f t="shared" si="55"/>
        <v>0</v>
      </c>
      <c r="W199" s="49">
        <f t="shared" si="56"/>
        <v>0</v>
      </c>
      <c r="X199" s="49">
        <f t="shared" si="57"/>
        <v>0</v>
      </c>
      <c r="Y199" s="49">
        <f t="shared" si="58"/>
        <v>0</v>
      </c>
      <c r="Z199" s="103">
        <f t="shared" si="59"/>
        <v>0</v>
      </c>
      <c r="AB199" s="49">
        <f t="shared" si="60"/>
        <v>0</v>
      </c>
      <c r="AC199" s="49">
        <f t="shared" si="61"/>
        <v>0</v>
      </c>
      <c r="AD199" s="49">
        <f t="shared" si="62"/>
        <v>0</v>
      </c>
      <c r="AE199" s="49">
        <f t="shared" si="63"/>
        <v>0</v>
      </c>
      <c r="AF199" s="103">
        <f t="shared" si="64"/>
        <v>0</v>
      </c>
      <c r="AH199" s="49">
        <f t="shared" si="65"/>
        <v>0</v>
      </c>
      <c r="AI199" s="49">
        <f t="shared" si="66"/>
        <v>0</v>
      </c>
      <c r="AJ199" s="49">
        <f t="shared" si="67"/>
        <v>0</v>
      </c>
      <c r="AK199" s="49">
        <f t="shared" si="68"/>
        <v>0</v>
      </c>
      <c r="AL199" s="103">
        <f t="shared" si="69"/>
        <v>0</v>
      </c>
      <c r="AN199" s="53">
        <f t="shared" si="70"/>
        <v>0</v>
      </c>
      <c r="AO199" s="53">
        <f t="shared" si="71"/>
        <v>0</v>
      </c>
      <c r="AP199" s="53">
        <f t="shared" si="72"/>
        <v>0</v>
      </c>
      <c r="AQ199" s="53">
        <f t="shared" si="73"/>
        <v>0</v>
      </c>
      <c r="AR199" s="203">
        <f t="shared" si="74"/>
        <v>0</v>
      </c>
      <c r="AY199" s="3"/>
    </row>
    <row r="200" spans="1:51">
      <c r="A200" s="239"/>
      <c r="B200" s="43">
        <f>'13. Desinvesteringen'!B484</f>
        <v>465</v>
      </c>
      <c r="C200" s="54"/>
      <c r="D200" s="54"/>
      <c r="E200" s="54"/>
      <c r="F200" s="48">
        <f>'5. Input GAW-waarde desinv.'!D160</f>
        <v>0</v>
      </c>
      <c r="G200" s="187">
        <f>'13. Desinvesteringen'!D484</f>
        <v>1973</v>
      </c>
      <c r="H200" s="187">
        <f>'13. Desinvesteringen'!G484</f>
        <v>2023</v>
      </c>
      <c r="I200" s="43" t="str">
        <f>'13. Desinvesteringen'!C484</f>
        <v>15 Compressorstations (TT-BT-AT)</v>
      </c>
      <c r="J200" s="176">
        <f>'13. Desinvesteringen'!F484</f>
        <v>0</v>
      </c>
      <c r="K200" s="44">
        <f>_xlfn.XLOOKUP(I200,'3. Input (des)investeringen '!$B$11:$B$81,'3. Input (des)investeringen '!$E$11:$E$81)</f>
        <v>1</v>
      </c>
      <c r="L200" s="54"/>
      <c r="M200" s="44">
        <f>_xlfn.XLOOKUP(I200,'3. Input (des)investeringen '!$B$11:$B$81,'3. Input (des)investeringen '!$D$11:$D$81,0)</f>
        <v>30</v>
      </c>
      <c r="N200" s="44">
        <f t="shared" si="54"/>
        <v>0</v>
      </c>
      <c r="P200" s="49">
        <f t="shared" si="75"/>
        <v>0</v>
      </c>
      <c r="Q200" s="49">
        <f t="shared" si="75"/>
        <v>0</v>
      </c>
      <c r="R200" s="49">
        <f t="shared" si="75"/>
        <v>0</v>
      </c>
      <c r="S200" s="49">
        <f t="shared" si="75"/>
        <v>0</v>
      </c>
      <c r="T200" s="103">
        <f t="shared" si="75"/>
        <v>0</v>
      </c>
      <c r="V200" s="49">
        <f t="shared" si="55"/>
        <v>0</v>
      </c>
      <c r="W200" s="49">
        <f t="shared" si="56"/>
        <v>0</v>
      </c>
      <c r="X200" s="49">
        <f t="shared" si="57"/>
        <v>0</v>
      </c>
      <c r="Y200" s="49">
        <f t="shared" si="58"/>
        <v>0</v>
      </c>
      <c r="Z200" s="103">
        <f t="shared" si="59"/>
        <v>0</v>
      </c>
      <c r="AB200" s="49">
        <f t="shared" si="60"/>
        <v>0</v>
      </c>
      <c r="AC200" s="49">
        <f t="shared" si="61"/>
        <v>0</v>
      </c>
      <c r="AD200" s="49">
        <f t="shared" si="62"/>
        <v>0</v>
      </c>
      <c r="AE200" s="49">
        <f t="shared" si="63"/>
        <v>0</v>
      </c>
      <c r="AF200" s="103">
        <f t="shared" si="64"/>
        <v>0</v>
      </c>
      <c r="AH200" s="49">
        <f t="shared" si="65"/>
        <v>0</v>
      </c>
      <c r="AI200" s="49">
        <f t="shared" si="66"/>
        <v>0</v>
      </c>
      <c r="AJ200" s="49">
        <f t="shared" si="67"/>
        <v>0</v>
      </c>
      <c r="AK200" s="49">
        <f t="shared" si="68"/>
        <v>0</v>
      </c>
      <c r="AL200" s="103">
        <f t="shared" si="69"/>
        <v>0</v>
      </c>
      <c r="AN200" s="53">
        <f t="shared" si="70"/>
        <v>0</v>
      </c>
      <c r="AO200" s="53">
        <f t="shared" si="71"/>
        <v>0</v>
      </c>
      <c r="AP200" s="53">
        <f t="shared" si="72"/>
        <v>0</v>
      </c>
      <c r="AQ200" s="53">
        <f t="shared" si="73"/>
        <v>0</v>
      </c>
      <c r="AR200" s="203">
        <f t="shared" si="74"/>
        <v>0</v>
      </c>
      <c r="AY200" s="3"/>
    </row>
    <row r="201" spans="1:51">
      <c r="A201" s="239"/>
      <c r="B201" s="43">
        <f>'13. Desinvesteringen'!B485</f>
        <v>466</v>
      </c>
      <c r="C201" s="54"/>
      <c r="D201" s="54"/>
      <c r="E201" s="54"/>
      <c r="F201" s="48">
        <f>'5. Input GAW-waarde desinv.'!D161</f>
        <v>0</v>
      </c>
      <c r="G201" s="187">
        <f>'13. Desinvesteringen'!D485</f>
        <v>1974</v>
      </c>
      <c r="H201" s="187">
        <f>'13. Desinvesteringen'!G485</f>
        <v>2023</v>
      </c>
      <c r="I201" s="43" t="str">
        <f>'13. Desinvesteringen'!C485</f>
        <v>15 Compressorstations (TT-BT-AT)</v>
      </c>
      <c r="J201" s="176">
        <f>'13. Desinvesteringen'!F485</f>
        <v>0</v>
      </c>
      <c r="K201" s="44">
        <f>_xlfn.XLOOKUP(I201,'3. Input (des)investeringen '!$B$11:$B$81,'3. Input (des)investeringen '!$E$11:$E$81)</f>
        <v>1</v>
      </c>
      <c r="L201" s="54"/>
      <c r="M201" s="44">
        <f>_xlfn.XLOOKUP(I201,'3. Input (des)investeringen '!$B$11:$B$81,'3. Input (des)investeringen '!$D$11:$D$81,0)</f>
        <v>30</v>
      </c>
      <c r="N201" s="44">
        <f t="shared" si="54"/>
        <v>0</v>
      </c>
      <c r="P201" s="49">
        <f t="shared" si="75"/>
        <v>0</v>
      </c>
      <c r="Q201" s="49">
        <f t="shared" si="75"/>
        <v>0</v>
      </c>
      <c r="R201" s="49">
        <f t="shared" si="75"/>
        <v>0</v>
      </c>
      <c r="S201" s="49">
        <f t="shared" si="75"/>
        <v>0</v>
      </c>
      <c r="T201" s="103">
        <f t="shared" si="75"/>
        <v>0</v>
      </c>
      <c r="V201" s="49">
        <f t="shared" si="55"/>
        <v>0</v>
      </c>
      <c r="W201" s="49">
        <f t="shared" si="56"/>
        <v>0</v>
      </c>
      <c r="X201" s="49">
        <f t="shared" si="57"/>
        <v>0</v>
      </c>
      <c r="Y201" s="49">
        <f t="shared" si="58"/>
        <v>0</v>
      </c>
      <c r="Z201" s="103">
        <f t="shared" si="59"/>
        <v>0</v>
      </c>
      <c r="AB201" s="49">
        <f t="shared" si="60"/>
        <v>0</v>
      </c>
      <c r="AC201" s="49">
        <f t="shared" si="61"/>
        <v>0</v>
      </c>
      <c r="AD201" s="49">
        <f t="shared" si="62"/>
        <v>0</v>
      </c>
      <c r="AE201" s="49">
        <f t="shared" si="63"/>
        <v>0</v>
      </c>
      <c r="AF201" s="103">
        <f t="shared" si="64"/>
        <v>0</v>
      </c>
      <c r="AH201" s="49">
        <f t="shared" si="65"/>
        <v>0</v>
      </c>
      <c r="AI201" s="49">
        <f t="shared" si="66"/>
        <v>0</v>
      </c>
      <c r="AJ201" s="49">
        <f t="shared" si="67"/>
        <v>0</v>
      </c>
      <c r="AK201" s="49">
        <f t="shared" si="68"/>
        <v>0</v>
      </c>
      <c r="AL201" s="103">
        <f t="shared" si="69"/>
        <v>0</v>
      </c>
      <c r="AN201" s="53">
        <f t="shared" si="70"/>
        <v>0</v>
      </c>
      <c r="AO201" s="53">
        <f t="shared" si="71"/>
        <v>0</v>
      </c>
      <c r="AP201" s="53">
        <f t="shared" si="72"/>
        <v>0</v>
      </c>
      <c r="AQ201" s="53">
        <f t="shared" si="73"/>
        <v>0</v>
      </c>
      <c r="AR201" s="203">
        <f t="shared" si="74"/>
        <v>0</v>
      </c>
      <c r="AY201" s="3"/>
    </row>
    <row r="202" spans="1:51">
      <c r="A202" s="239"/>
      <c r="B202" s="43">
        <f>'13. Desinvesteringen'!B486</f>
        <v>467</v>
      </c>
      <c r="C202" s="54"/>
      <c r="D202" s="54"/>
      <c r="E202" s="54"/>
      <c r="F202" s="48">
        <f>'5. Input GAW-waarde desinv.'!D162</f>
        <v>0</v>
      </c>
      <c r="G202" s="187">
        <f>'13. Desinvesteringen'!D486</f>
        <v>1977</v>
      </c>
      <c r="H202" s="187">
        <f>'13. Desinvesteringen'!G486</f>
        <v>2023</v>
      </c>
      <c r="I202" s="43" t="str">
        <f>'13. Desinvesteringen'!C486</f>
        <v>15 Compressorstations (TT-BT-AT)</v>
      </c>
      <c r="J202" s="176">
        <f>'13. Desinvesteringen'!F486</f>
        <v>0</v>
      </c>
      <c r="K202" s="44">
        <f>_xlfn.XLOOKUP(I202,'3. Input (des)investeringen '!$B$11:$B$81,'3. Input (des)investeringen '!$E$11:$E$81)</f>
        <v>1</v>
      </c>
      <c r="L202" s="54"/>
      <c r="M202" s="44">
        <f>_xlfn.XLOOKUP(I202,'3. Input (des)investeringen '!$B$11:$B$81,'3. Input (des)investeringen '!$D$11:$D$81,0)</f>
        <v>30</v>
      </c>
      <c r="N202" s="44">
        <f t="shared" si="54"/>
        <v>0</v>
      </c>
      <c r="P202" s="49">
        <f t="shared" si="75"/>
        <v>0</v>
      </c>
      <c r="Q202" s="49">
        <f t="shared" si="75"/>
        <v>0</v>
      </c>
      <c r="R202" s="49">
        <f t="shared" si="75"/>
        <v>0</v>
      </c>
      <c r="S202" s="49">
        <f t="shared" si="75"/>
        <v>0</v>
      </c>
      <c r="T202" s="103">
        <f t="shared" si="75"/>
        <v>0</v>
      </c>
      <c r="V202" s="49">
        <f t="shared" si="55"/>
        <v>0</v>
      </c>
      <c r="W202" s="49">
        <f t="shared" si="56"/>
        <v>0</v>
      </c>
      <c r="X202" s="49">
        <f t="shared" si="57"/>
        <v>0</v>
      </c>
      <c r="Y202" s="49">
        <f t="shared" si="58"/>
        <v>0</v>
      </c>
      <c r="Z202" s="103">
        <f t="shared" si="59"/>
        <v>0</v>
      </c>
      <c r="AB202" s="49">
        <f t="shared" si="60"/>
        <v>0</v>
      </c>
      <c r="AC202" s="49">
        <f t="shared" si="61"/>
        <v>0</v>
      </c>
      <c r="AD202" s="49">
        <f t="shared" si="62"/>
        <v>0</v>
      </c>
      <c r="AE202" s="49">
        <f t="shared" si="63"/>
        <v>0</v>
      </c>
      <c r="AF202" s="103">
        <f t="shared" si="64"/>
        <v>0</v>
      </c>
      <c r="AH202" s="49">
        <f t="shared" si="65"/>
        <v>0</v>
      </c>
      <c r="AI202" s="49">
        <f t="shared" si="66"/>
        <v>0</v>
      </c>
      <c r="AJ202" s="49">
        <f t="shared" si="67"/>
        <v>0</v>
      </c>
      <c r="AK202" s="49">
        <f t="shared" si="68"/>
        <v>0</v>
      </c>
      <c r="AL202" s="103">
        <f t="shared" si="69"/>
        <v>0</v>
      </c>
      <c r="AN202" s="53">
        <f t="shared" si="70"/>
        <v>0</v>
      </c>
      <c r="AO202" s="53">
        <f t="shared" si="71"/>
        <v>0</v>
      </c>
      <c r="AP202" s="53">
        <f t="shared" si="72"/>
        <v>0</v>
      </c>
      <c r="AQ202" s="53">
        <f t="shared" si="73"/>
        <v>0</v>
      </c>
      <c r="AR202" s="203">
        <f t="shared" si="74"/>
        <v>0</v>
      </c>
      <c r="AY202" s="3"/>
    </row>
    <row r="203" spans="1:51">
      <c r="A203" s="239"/>
      <c r="B203" s="43">
        <f>'13. Desinvesteringen'!B487</f>
        <v>468</v>
      </c>
      <c r="C203" s="54"/>
      <c r="D203" s="54"/>
      <c r="E203" s="54"/>
      <c r="F203" s="48">
        <f>'5. Input GAW-waarde desinv.'!D163</f>
        <v>0</v>
      </c>
      <c r="G203" s="187">
        <f>'13. Desinvesteringen'!D487</f>
        <v>1978</v>
      </c>
      <c r="H203" s="187">
        <f>'13. Desinvesteringen'!G487</f>
        <v>2023</v>
      </c>
      <c r="I203" s="43" t="str">
        <f>'13. Desinvesteringen'!C487</f>
        <v>15 Compressorstations (TT-BT-AT)</v>
      </c>
      <c r="J203" s="176">
        <f>'13. Desinvesteringen'!F487</f>
        <v>0</v>
      </c>
      <c r="K203" s="44">
        <f>_xlfn.XLOOKUP(I203,'3. Input (des)investeringen '!$B$11:$B$81,'3. Input (des)investeringen '!$E$11:$E$81)</f>
        <v>1</v>
      </c>
      <c r="L203" s="54"/>
      <c r="M203" s="44">
        <f>_xlfn.XLOOKUP(I203,'3. Input (des)investeringen '!$B$11:$B$81,'3. Input (des)investeringen '!$D$11:$D$81,0)</f>
        <v>30</v>
      </c>
      <c r="N203" s="44">
        <f t="shared" si="54"/>
        <v>0</v>
      </c>
      <c r="P203" s="49">
        <f t="shared" si="75"/>
        <v>0</v>
      </c>
      <c r="Q203" s="49">
        <f t="shared" si="75"/>
        <v>0</v>
      </c>
      <c r="R203" s="49">
        <f t="shared" si="75"/>
        <v>0</v>
      </c>
      <c r="S203" s="49">
        <f t="shared" si="75"/>
        <v>0</v>
      </c>
      <c r="T203" s="103">
        <f t="shared" si="75"/>
        <v>0</v>
      </c>
      <c r="V203" s="49">
        <f t="shared" si="55"/>
        <v>0</v>
      </c>
      <c r="W203" s="49">
        <f t="shared" si="56"/>
        <v>0</v>
      </c>
      <c r="X203" s="49">
        <f t="shared" si="57"/>
        <v>0</v>
      </c>
      <c r="Y203" s="49">
        <f t="shared" si="58"/>
        <v>0</v>
      </c>
      <c r="Z203" s="103">
        <f t="shared" si="59"/>
        <v>0</v>
      </c>
      <c r="AB203" s="49">
        <f t="shared" si="60"/>
        <v>0</v>
      </c>
      <c r="AC203" s="49">
        <f t="shared" si="61"/>
        <v>0</v>
      </c>
      <c r="AD203" s="49">
        <f t="shared" si="62"/>
        <v>0</v>
      </c>
      <c r="AE203" s="49">
        <f t="shared" si="63"/>
        <v>0</v>
      </c>
      <c r="AF203" s="103">
        <f t="shared" si="64"/>
        <v>0</v>
      </c>
      <c r="AH203" s="49">
        <f t="shared" si="65"/>
        <v>0</v>
      </c>
      <c r="AI203" s="49">
        <f t="shared" si="66"/>
        <v>0</v>
      </c>
      <c r="AJ203" s="49">
        <f t="shared" si="67"/>
        <v>0</v>
      </c>
      <c r="AK203" s="49">
        <f t="shared" si="68"/>
        <v>0</v>
      </c>
      <c r="AL203" s="103">
        <f t="shared" si="69"/>
        <v>0</v>
      </c>
      <c r="AN203" s="53">
        <f t="shared" si="70"/>
        <v>0</v>
      </c>
      <c r="AO203" s="53">
        <f t="shared" si="71"/>
        <v>0</v>
      </c>
      <c r="AP203" s="53">
        <f t="shared" si="72"/>
        <v>0</v>
      </c>
      <c r="AQ203" s="53">
        <f t="shared" si="73"/>
        <v>0</v>
      </c>
      <c r="AR203" s="203">
        <f t="shared" si="74"/>
        <v>0</v>
      </c>
      <c r="AY203" s="3"/>
    </row>
    <row r="204" spans="1:51">
      <c r="A204" s="239"/>
      <c r="B204" s="43">
        <f>'13. Desinvesteringen'!B488</f>
        <v>469</v>
      </c>
      <c r="C204" s="54"/>
      <c r="D204" s="54"/>
      <c r="E204" s="54"/>
      <c r="F204" s="48">
        <f>'5. Input GAW-waarde desinv.'!D164</f>
        <v>0</v>
      </c>
      <c r="G204" s="187">
        <f>'13. Desinvesteringen'!D488</f>
        <v>1980</v>
      </c>
      <c r="H204" s="187">
        <f>'13. Desinvesteringen'!G488</f>
        <v>2023</v>
      </c>
      <c r="I204" s="43" t="str">
        <f>'13. Desinvesteringen'!C488</f>
        <v>15 Compressorstations (TT-BT-AT)</v>
      </c>
      <c r="J204" s="176">
        <f>'13. Desinvesteringen'!F488</f>
        <v>0</v>
      </c>
      <c r="K204" s="44">
        <f>_xlfn.XLOOKUP(I204,'3. Input (des)investeringen '!$B$11:$B$81,'3. Input (des)investeringen '!$E$11:$E$81)</f>
        <v>1</v>
      </c>
      <c r="L204" s="54"/>
      <c r="M204" s="44">
        <f>_xlfn.XLOOKUP(I204,'3. Input (des)investeringen '!$B$11:$B$81,'3. Input (des)investeringen '!$D$11:$D$81,0)</f>
        <v>30</v>
      </c>
      <c r="N204" s="44">
        <f t="shared" si="54"/>
        <v>0</v>
      </c>
      <c r="P204" s="49">
        <f t="shared" si="75"/>
        <v>0</v>
      </c>
      <c r="Q204" s="49">
        <f t="shared" si="75"/>
        <v>0</v>
      </c>
      <c r="R204" s="49">
        <f t="shared" si="75"/>
        <v>0</v>
      </c>
      <c r="S204" s="49">
        <f t="shared" si="75"/>
        <v>0</v>
      </c>
      <c r="T204" s="103">
        <f t="shared" si="75"/>
        <v>0</v>
      </c>
      <c r="V204" s="49">
        <f t="shared" si="55"/>
        <v>0</v>
      </c>
      <c r="W204" s="49">
        <f t="shared" si="56"/>
        <v>0</v>
      </c>
      <c r="X204" s="49">
        <f t="shared" si="57"/>
        <v>0</v>
      </c>
      <c r="Y204" s="49">
        <f t="shared" si="58"/>
        <v>0</v>
      </c>
      <c r="Z204" s="103">
        <f t="shared" si="59"/>
        <v>0</v>
      </c>
      <c r="AB204" s="49">
        <f t="shared" si="60"/>
        <v>0</v>
      </c>
      <c r="AC204" s="49">
        <f t="shared" si="61"/>
        <v>0</v>
      </c>
      <c r="AD204" s="49">
        <f t="shared" si="62"/>
        <v>0</v>
      </c>
      <c r="AE204" s="49">
        <f t="shared" si="63"/>
        <v>0</v>
      </c>
      <c r="AF204" s="103">
        <f t="shared" si="64"/>
        <v>0</v>
      </c>
      <c r="AH204" s="49">
        <f t="shared" si="65"/>
        <v>0</v>
      </c>
      <c r="AI204" s="49">
        <f t="shared" si="66"/>
        <v>0</v>
      </c>
      <c r="AJ204" s="49">
        <f t="shared" si="67"/>
        <v>0</v>
      </c>
      <c r="AK204" s="49">
        <f t="shared" si="68"/>
        <v>0</v>
      </c>
      <c r="AL204" s="103">
        <f t="shared" si="69"/>
        <v>0</v>
      </c>
      <c r="AN204" s="53">
        <f t="shared" si="70"/>
        <v>0</v>
      </c>
      <c r="AO204" s="53">
        <f t="shared" si="71"/>
        <v>0</v>
      </c>
      <c r="AP204" s="53">
        <f t="shared" si="72"/>
        <v>0</v>
      </c>
      <c r="AQ204" s="53">
        <f t="shared" si="73"/>
        <v>0</v>
      </c>
      <c r="AR204" s="203">
        <f t="shared" si="74"/>
        <v>0</v>
      </c>
      <c r="AY204" s="3"/>
    </row>
    <row r="205" spans="1:51">
      <c r="A205" s="239"/>
      <c r="B205" s="43">
        <f>'13. Desinvesteringen'!B489</f>
        <v>470</v>
      </c>
      <c r="C205" s="54"/>
      <c r="D205" s="54"/>
      <c r="E205" s="54"/>
      <c r="F205" s="48">
        <f>'5. Input GAW-waarde desinv.'!D165</f>
        <v>0</v>
      </c>
      <c r="G205" s="187">
        <f>'13. Desinvesteringen'!D489</f>
        <v>1989</v>
      </c>
      <c r="H205" s="187">
        <f>'13. Desinvesteringen'!G489</f>
        <v>2023</v>
      </c>
      <c r="I205" s="43" t="str">
        <f>'13. Desinvesteringen'!C489</f>
        <v>15 Compressorstations (TT-BT-AT)</v>
      </c>
      <c r="J205" s="176">
        <f>'13. Desinvesteringen'!F489</f>
        <v>0</v>
      </c>
      <c r="K205" s="44">
        <f>_xlfn.XLOOKUP(I205,'3. Input (des)investeringen '!$B$11:$B$81,'3. Input (des)investeringen '!$E$11:$E$81)</f>
        <v>1</v>
      </c>
      <c r="L205" s="54"/>
      <c r="M205" s="44">
        <f>_xlfn.XLOOKUP(I205,'3. Input (des)investeringen '!$B$11:$B$81,'3. Input (des)investeringen '!$D$11:$D$81,0)</f>
        <v>30</v>
      </c>
      <c r="N205" s="44">
        <f t="shared" si="54"/>
        <v>0</v>
      </c>
      <c r="P205" s="49">
        <f t="shared" si="75"/>
        <v>0</v>
      </c>
      <c r="Q205" s="49">
        <f t="shared" si="75"/>
        <v>0</v>
      </c>
      <c r="R205" s="49">
        <f t="shared" si="75"/>
        <v>0</v>
      </c>
      <c r="S205" s="49">
        <f t="shared" si="75"/>
        <v>0</v>
      </c>
      <c r="T205" s="103">
        <f t="shared" si="75"/>
        <v>0</v>
      </c>
      <c r="V205" s="49">
        <f t="shared" si="55"/>
        <v>0</v>
      </c>
      <c r="W205" s="49">
        <f t="shared" si="56"/>
        <v>0</v>
      </c>
      <c r="X205" s="49">
        <f t="shared" si="57"/>
        <v>0</v>
      </c>
      <c r="Y205" s="49">
        <f t="shared" si="58"/>
        <v>0</v>
      </c>
      <c r="Z205" s="103">
        <f t="shared" si="59"/>
        <v>0</v>
      </c>
      <c r="AB205" s="49">
        <f t="shared" si="60"/>
        <v>0</v>
      </c>
      <c r="AC205" s="49">
        <f t="shared" si="61"/>
        <v>0</v>
      </c>
      <c r="AD205" s="49">
        <f t="shared" si="62"/>
        <v>0</v>
      </c>
      <c r="AE205" s="49">
        <f t="shared" si="63"/>
        <v>0</v>
      </c>
      <c r="AF205" s="103">
        <f t="shared" si="64"/>
        <v>0</v>
      </c>
      <c r="AH205" s="49">
        <f t="shared" si="65"/>
        <v>0</v>
      </c>
      <c r="AI205" s="49">
        <f t="shared" si="66"/>
        <v>0</v>
      </c>
      <c r="AJ205" s="49">
        <f t="shared" si="67"/>
        <v>0</v>
      </c>
      <c r="AK205" s="49">
        <f t="shared" si="68"/>
        <v>0</v>
      </c>
      <c r="AL205" s="103">
        <f t="shared" si="69"/>
        <v>0</v>
      </c>
      <c r="AN205" s="53">
        <f t="shared" si="70"/>
        <v>0</v>
      </c>
      <c r="AO205" s="53">
        <f t="shared" si="71"/>
        <v>0</v>
      </c>
      <c r="AP205" s="53">
        <f t="shared" si="72"/>
        <v>0</v>
      </c>
      <c r="AQ205" s="53">
        <f t="shared" si="73"/>
        <v>0</v>
      </c>
      <c r="AR205" s="203">
        <f t="shared" si="74"/>
        <v>0</v>
      </c>
      <c r="AY205" s="3"/>
    </row>
    <row r="206" spans="1:51">
      <c r="A206" s="239"/>
      <c r="B206" s="43">
        <f>'13. Desinvesteringen'!B490</f>
        <v>471</v>
      </c>
      <c r="C206" s="54"/>
      <c r="D206" s="54"/>
      <c r="E206" s="54"/>
      <c r="F206" s="48">
        <f>'5. Input GAW-waarde desinv.'!D166</f>
        <v>0</v>
      </c>
      <c r="G206" s="187">
        <f>'13. Desinvesteringen'!D490</f>
        <v>1990</v>
      </c>
      <c r="H206" s="187">
        <f>'13. Desinvesteringen'!G490</f>
        <v>2023</v>
      </c>
      <c r="I206" s="43" t="str">
        <f>'13. Desinvesteringen'!C490</f>
        <v>15 Compressorstations (TT-BT-AT)</v>
      </c>
      <c r="J206" s="176">
        <f>'13. Desinvesteringen'!F490</f>
        <v>0</v>
      </c>
      <c r="K206" s="44">
        <f>_xlfn.XLOOKUP(I206,'3. Input (des)investeringen '!$B$11:$B$81,'3. Input (des)investeringen '!$E$11:$E$81)</f>
        <v>1</v>
      </c>
      <c r="L206" s="54"/>
      <c r="M206" s="44">
        <f>_xlfn.XLOOKUP(I206,'3. Input (des)investeringen '!$B$11:$B$81,'3. Input (des)investeringen '!$D$11:$D$81,0)</f>
        <v>30</v>
      </c>
      <c r="N206" s="44">
        <f t="shared" si="54"/>
        <v>0</v>
      </c>
      <c r="P206" s="49">
        <f t="shared" si="75"/>
        <v>0</v>
      </c>
      <c r="Q206" s="49">
        <f t="shared" si="75"/>
        <v>0</v>
      </c>
      <c r="R206" s="49">
        <f t="shared" si="75"/>
        <v>0</v>
      </c>
      <c r="S206" s="49">
        <f t="shared" si="75"/>
        <v>0</v>
      </c>
      <c r="T206" s="103">
        <f t="shared" si="75"/>
        <v>0</v>
      </c>
      <c r="V206" s="49">
        <f t="shared" si="55"/>
        <v>0</v>
      </c>
      <c r="W206" s="49">
        <f t="shared" si="56"/>
        <v>0</v>
      </c>
      <c r="X206" s="49">
        <f t="shared" si="57"/>
        <v>0</v>
      </c>
      <c r="Y206" s="49">
        <f t="shared" si="58"/>
        <v>0</v>
      </c>
      <c r="Z206" s="103">
        <f t="shared" si="59"/>
        <v>0</v>
      </c>
      <c r="AB206" s="49">
        <f t="shared" si="60"/>
        <v>0</v>
      </c>
      <c r="AC206" s="49">
        <f t="shared" si="61"/>
        <v>0</v>
      </c>
      <c r="AD206" s="49">
        <f t="shared" si="62"/>
        <v>0</v>
      </c>
      <c r="AE206" s="49">
        <f t="shared" si="63"/>
        <v>0</v>
      </c>
      <c r="AF206" s="103">
        <f t="shared" si="64"/>
        <v>0</v>
      </c>
      <c r="AH206" s="49">
        <f t="shared" si="65"/>
        <v>0</v>
      </c>
      <c r="AI206" s="49">
        <f t="shared" si="66"/>
        <v>0</v>
      </c>
      <c r="AJ206" s="49">
        <f t="shared" si="67"/>
        <v>0</v>
      </c>
      <c r="AK206" s="49">
        <f t="shared" si="68"/>
        <v>0</v>
      </c>
      <c r="AL206" s="103">
        <f t="shared" si="69"/>
        <v>0</v>
      </c>
      <c r="AN206" s="53">
        <f t="shared" si="70"/>
        <v>0</v>
      </c>
      <c r="AO206" s="53">
        <f t="shared" si="71"/>
        <v>0</v>
      </c>
      <c r="AP206" s="53">
        <f t="shared" si="72"/>
        <v>0</v>
      </c>
      <c r="AQ206" s="53">
        <f t="shared" si="73"/>
        <v>0</v>
      </c>
      <c r="AR206" s="203">
        <f t="shared" si="74"/>
        <v>0</v>
      </c>
      <c r="AY206" s="3"/>
    </row>
    <row r="207" spans="1:51">
      <c r="A207" s="239"/>
      <c r="B207" s="43">
        <f>'13. Desinvesteringen'!B491</f>
        <v>472</v>
      </c>
      <c r="C207" s="54"/>
      <c r="D207" s="54"/>
      <c r="E207" s="54"/>
      <c r="F207" s="48">
        <f>'5. Input GAW-waarde desinv.'!D167</f>
        <v>20595.049218865919</v>
      </c>
      <c r="G207" s="187">
        <f>'13. Desinvesteringen'!D491</f>
        <v>1992</v>
      </c>
      <c r="H207" s="187">
        <f>'13. Desinvesteringen'!G491</f>
        <v>2023</v>
      </c>
      <c r="I207" s="43" t="str">
        <f>'13. Desinvesteringen'!C491</f>
        <v>15 Compressorstations (TT-BT-AT)</v>
      </c>
      <c r="J207" s="176">
        <f>'13. Desinvesteringen'!F491</f>
        <v>0</v>
      </c>
      <c r="K207" s="44">
        <f>_xlfn.XLOOKUP(I207,'3. Input (des)investeringen '!$B$11:$B$81,'3. Input (des)investeringen '!$E$11:$E$81)</f>
        <v>1</v>
      </c>
      <c r="L207" s="54"/>
      <c r="M207" s="44">
        <f>_xlfn.XLOOKUP(I207,'3. Input (des)investeringen '!$B$11:$B$81,'3. Input (des)investeringen '!$D$11:$D$81,0)</f>
        <v>30</v>
      </c>
      <c r="N207" s="44">
        <f t="shared" ref="N207:N266" si="76">IF($M207&gt;0, MAX(0,IF(G207&lt;2022,M207-2021+G207-0.5,M207)), 0)</f>
        <v>0.5</v>
      </c>
      <c r="P207" s="49">
        <f t="shared" si="75"/>
        <v>18535.544296979329</v>
      </c>
      <c r="Q207" s="49">
        <f t="shared" si="75"/>
        <v>0</v>
      </c>
      <c r="R207" s="49">
        <f t="shared" si="75"/>
        <v>0</v>
      </c>
      <c r="S207" s="49">
        <f t="shared" si="75"/>
        <v>0</v>
      </c>
      <c r="T207" s="103">
        <f t="shared" si="75"/>
        <v>0</v>
      </c>
      <c r="V207" s="49">
        <f t="shared" ref="V207:V266" si="77">IF($M207&gt;0, IF(OR($G207&gt;V$49,$G207+$M207&lt;V$49),0,
VDB($F207,0,$N207,MAX(0,P$49-2022),MIN($N207,P$49-2021),1,FALSE))*$F$25, 0)</f>
        <v>2059.504921886592</v>
      </c>
      <c r="W207" s="49">
        <f t="shared" ref="W207:W266" si="78">IF($M207&gt;0, IF(OR($G207&gt;W$49,$G207+$M207&lt;W$49),0,
VDB($F207,0,$N207,MAX(0,Q$49-2022),MIN($N207,Q$49-2021),1,FALSE))*$F$25, 0)</f>
        <v>0</v>
      </c>
      <c r="X207" s="49">
        <f t="shared" ref="X207:X266" si="79">IF($M207&gt;0, IF(OR($G207&gt;X$49,$G207+$M207&lt;X$49),0,
VDB($F207,0,$N207,MAX(0,R$49-2022),MIN($N207,R$49-2021),1,FALSE))*$F$25, 0)</f>
        <v>0</v>
      </c>
      <c r="Y207" s="49">
        <f t="shared" ref="Y207:Y266" si="80">IF($M207&gt;0, IF(OR($G207&gt;Y$49,$G207+$M207&lt;Y$49),0,
VDB($F207,0,$N207,MAX(0,S$49-2022),MIN($N207,S$49-2021),1,FALSE))*$F$25, 0)</f>
        <v>0</v>
      </c>
      <c r="Z207" s="103">
        <f t="shared" ref="Z207:Z266" si="81">IF($M207&gt;0, IF(OR($G207&gt;Z$49,$G207+$M207&lt;Z$49),0,
VDB($F207,0,$N207,MAX(0,T$49-2022),MIN($N207,T$49-2021),1,FALSE))*$F$25, 0)</f>
        <v>0</v>
      </c>
      <c r="AB207" s="49">
        <f t="shared" ref="AB207:AB266" si="82">P207+V207</f>
        <v>20595.049218865923</v>
      </c>
      <c r="AC207" s="49">
        <f t="shared" ref="AC207:AC266" si="83">Q207+W207</f>
        <v>0</v>
      </c>
      <c r="AD207" s="49">
        <f t="shared" ref="AD207:AD266" si="84">R207+X207</f>
        <v>0</v>
      </c>
      <c r="AE207" s="49">
        <f t="shared" ref="AE207:AE266" si="85">S207+Y207</f>
        <v>0</v>
      </c>
      <c r="AF207" s="103">
        <f t="shared" ref="AF207:AF266" si="86">T207+Z207</f>
        <v>0</v>
      </c>
      <c r="AH207" s="49">
        <f t="shared" ref="AH207:AH266" si="87">IF($M207&gt;0, IF($M207&gt;0,IF(OR($G207&gt;AH$49,$G207+$M207&lt;=AH$49),0,IF(AH$49=2022,$F207-AB207,AG207-AB207))), $F207)</f>
        <v>0</v>
      </c>
      <c r="AI207" s="49">
        <f t="shared" ref="AI207:AI266" si="88">IF($M207&gt;0, IF(OR($G207&gt;AI$49,$G207+$M207&lt;=AI$49),0,IF(AI$49=2022,$F207-AC207,AH207-AC207)), AH207)</f>
        <v>0</v>
      </c>
      <c r="AJ207" s="49">
        <f t="shared" ref="AJ207:AJ266" si="89">IF($M207&gt;0, IF(OR($G207&gt;AJ$49,$G207+$M207&lt;=AJ$49),0,IF(AJ$49=2022,$F207-AD207,AI207-AD207)), AI207)</f>
        <v>0</v>
      </c>
      <c r="AK207" s="49">
        <f t="shared" ref="AK207:AK266" si="90">IF($M207&gt;0, IF(OR($G207&gt;AK$49,$G207+$M207&lt;=AK$49),0,IF(AK$49=2022,$F207-AE207,AJ207-AE207)), AJ207)</f>
        <v>0</v>
      </c>
      <c r="AL207" s="103">
        <f t="shared" ref="AL207:AL266" si="91">IF($M207&gt;0, IF(OR($G207&gt;AL$49,$G207+$M207&lt;=AL$49),0,IF(AL$49=2022,$F207-AF207,AK207-AF207)), AK207)</f>
        <v>0</v>
      </c>
      <c r="AN207" s="53">
        <f t="shared" ref="AN207:AN266" si="92">(AB207+AH207*H$16)*IF($K207=1,$F$31,1)</f>
        <v>20595.049218865923</v>
      </c>
      <c r="AO207" s="53">
        <f t="shared" ref="AO207:AO266" si="93">(AC207+AI207*I$16)*IF($K207=1,$F$31,1)</f>
        <v>0</v>
      </c>
      <c r="AP207" s="53">
        <f t="shared" ref="AP207:AP266" si="94">(AD207+AJ207*J$16)*IF($K207=1,$F$31,1)</f>
        <v>0</v>
      </c>
      <c r="AQ207" s="53">
        <f t="shared" ref="AQ207:AQ266" si="95">(AE207+AK207*K$16)*IF($K207=1,$F$31,1)</f>
        <v>0</v>
      </c>
      <c r="AR207" s="203">
        <f t="shared" ref="AR207:AR266" si="96">(AF207+AL207*L$16)*IF($K207=1,$F$31,1)</f>
        <v>0</v>
      </c>
      <c r="AY207" s="3"/>
    </row>
    <row r="208" spans="1:51">
      <c r="A208" s="239"/>
      <c r="B208" s="43">
        <f>'13. Desinvesteringen'!B492</f>
        <v>473</v>
      </c>
      <c r="C208" s="54"/>
      <c r="D208" s="54"/>
      <c r="E208" s="54"/>
      <c r="F208" s="48">
        <f>'5. Input GAW-waarde desinv.'!D168</f>
        <v>6033.3008476088025</v>
      </c>
      <c r="G208" s="187">
        <f>'13. Desinvesteringen'!D492</f>
        <v>1998</v>
      </c>
      <c r="H208" s="187">
        <f>'13. Desinvesteringen'!G492</f>
        <v>2023</v>
      </c>
      <c r="I208" s="43" t="str">
        <f>'13. Desinvesteringen'!C492</f>
        <v>15 Compressorstations (TT-BT-AT)</v>
      </c>
      <c r="J208" s="176">
        <f>'13. Desinvesteringen'!F492</f>
        <v>0</v>
      </c>
      <c r="K208" s="44">
        <f>_xlfn.XLOOKUP(I208,'3. Input (des)investeringen '!$B$11:$B$81,'3. Input (des)investeringen '!$E$11:$E$81)</f>
        <v>1</v>
      </c>
      <c r="L208" s="54"/>
      <c r="M208" s="44">
        <f>_xlfn.XLOOKUP(I208,'3. Input (des)investeringen '!$B$11:$B$81,'3. Input (des)investeringen '!$D$11:$D$81,0)</f>
        <v>30</v>
      </c>
      <c r="N208" s="44">
        <f t="shared" si="76"/>
        <v>6.5</v>
      </c>
      <c r="P208" s="49">
        <f t="shared" si="75"/>
        <v>1085.9941525695845</v>
      </c>
      <c r="Q208" s="49">
        <f t="shared" si="75"/>
        <v>868.79532205566761</v>
      </c>
      <c r="R208" s="49">
        <f t="shared" si="75"/>
        <v>772.2625084939267</v>
      </c>
      <c r="S208" s="49">
        <f t="shared" si="75"/>
        <v>772.2625084939267</v>
      </c>
      <c r="T208" s="103">
        <f t="shared" si="75"/>
        <v>772.2625084939267</v>
      </c>
      <c r="V208" s="49">
        <f t="shared" si="77"/>
        <v>92.820013040135436</v>
      </c>
      <c r="W208" s="49">
        <f t="shared" si="78"/>
        <v>92.820013040135422</v>
      </c>
      <c r="X208" s="49">
        <f t="shared" si="79"/>
        <v>92.820013040135422</v>
      </c>
      <c r="Y208" s="49">
        <f t="shared" si="80"/>
        <v>92.820013040135422</v>
      </c>
      <c r="Z208" s="103">
        <f t="shared" si="81"/>
        <v>92.820013040135422</v>
      </c>
      <c r="AB208" s="49">
        <f t="shared" si="82"/>
        <v>1178.8141656097198</v>
      </c>
      <c r="AC208" s="49">
        <f t="shared" si="83"/>
        <v>961.61533509580306</v>
      </c>
      <c r="AD208" s="49">
        <f t="shared" si="84"/>
        <v>865.08252153406215</v>
      </c>
      <c r="AE208" s="49">
        <f t="shared" si="85"/>
        <v>865.08252153406215</v>
      </c>
      <c r="AF208" s="103">
        <f t="shared" si="86"/>
        <v>865.08252153406215</v>
      </c>
      <c r="AH208" s="49">
        <f t="shared" si="87"/>
        <v>4854.486681999083</v>
      </c>
      <c r="AI208" s="49">
        <f t="shared" si="88"/>
        <v>3892.87134690328</v>
      </c>
      <c r="AJ208" s="49">
        <f t="shared" si="89"/>
        <v>3027.7888253692181</v>
      </c>
      <c r="AK208" s="49">
        <f t="shared" si="90"/>
        <v>2162.7063038351562</v>
      </c>
      <c r="AL208" s="103">
        <f t="shared" si="91"/>
        <v>1297.623782301094</v>
      </c>
      <c r="AN208" s="53">
        <f t="shared" si="92"/>
        <v>1377.8481195716822</v>
      </c>
      <c r="AO208" s="53">
        <f t="shared" si="93"/>
        <v>1160.1517737878703</v>
      </c>
      <c r="AP208" s="53">
        <f t="shared" si="94"/>
        <v>980.1384968980924</v>
      </c>
      <c r="AQ208" s="53">
        <f t="shared" si="95"/>
        <v>947.26536107979814</v>
      </c>
      <c r="AR208" s="203">
        <f t="shared" si="96"/>
        <v>914.39222526150377</v>
      </c>
      <c r="AY208" s="3"/>
    </row>
    <row r="209" spans="1:51">
      <c r="A209" s="239"/>
      <c r="B209" s="43">
        <f>'13. Desinvesteringen'!B493</f>
        <v>474</v>
      </c>
      <c r="C209" s="54"/>
      <c r="D209" s="54"/>
      <c r="E209" s="54"/>
      <c r="F209" s="48">
        <f>'5. Input GAW-waarde desinv.'!D169</f>
        <v>114286.36357614314</v>
      </c>
      <c r="G209" s="187">
        <f>'13. Desinvesteringen'!D493</f>
        <v>2002</v>
      </c>
      <c r="H209" s="187">
        <f>'13. Desinvesteringen'!G493</f>
        <v>2023</v>
      </c>
      <c r="I209" s="43" t="str">
        <f>'13. Desinvesteringen'!C493</f>
        <v>15 Compressorstations (TT-BT-AT)</v>
      </c>
      <c r="J209" s="176">
        <f>'13. Desinvesteringen'!F493</f>
        <v>0</v>
      </c>
      <c r="K209" s="44">
        <f>_xlfn.XLOOKUP(I209,'3. Input (des)investeringen '!$B$11:$B$81,'3. Input (des)investeringen '!$E$11:$E$81)</f>
        <v>1</v>
      </c>
      <c r="L209" s="54"/>
      <c r="M209" s="44">
        <f>_xlfn.XLOOKUP(I209,'3. Input (des)investeringen '!$B$11:$B$81,'3. Input (des)investeringen '!$D$11:$D$81,0)</f>
        <v>30</v>
      </c>
      <c r="N209" s="44">
        <f t="shared" si="76"/>
        <v>10.5</v>
      </c>
      <c r="P209" s="49">
        <f t="shared" si="75"/>
        <v>12734.76622705595</v>
      </c>
      <c r="Q209" s="49">
        <f t="shared" si="75"/>
        <v>11158.080884658546</v>
      </c>
      <c r="R209" s="49">
        <f t="shared" si="75"/>
        <v>9776.6042037008228</v>
      </c>
      <c r="S209" s="49">
        <f t="shared" si="75"/>
        <v>9225.1034537484684</v>
      </c>
      <c r="T209" s="103">
        <f t="shared" si="75"/>
        <v>9225.1034537484684</v>
      </c>
      <c r="V209" s="49">
        <f t="shared" si="77"/>
        <v>1088.4415578680298</v>
      </c>
      <c r="W209" s="49">
        <f t="shared" si="78"/>
        <v>1088.4415578680298</v>
      </c>
      <c r="X209" s="49">
        <f t="shared" si="79"/>
        <v>1088.4415578680298</v>
      </c>
      <c r="Y209" s="49">
        <f t="shared" si="80"/>
        <v>1088.4415578680298</v>
      </c>
      <c r="Z209" s="103">
        <f t="shared" si="81"/>
        <v>1088.4415578680298</v>
      </c>
      <c r="AB209" s="49">
        <f t="shared" si="82"/>
        <v>13823.207784923979</v>
      </c>
      <c r="AC209" s="49">
        <f t="shared" si="83"/>
        <v>12246.522442526575</v>
      </c>
      <c r="AD209" s="49">
        <f t="shared" si="84"/>
        <v>10865.045761568852</v>
      </c>
      <c r="AE209" s="49">
        <f t="shared" si="85"/>
        <v>10313.545011616498</v>
      </c>
      <c r="AF209" s="103">
        <f t="shared" si="86"/>
        <v>10313.545011616498</v>
      </c>
      <c r="AH209" s="49">
        <f t="shared" si="87"/>
        <v>100463.15579121915</v>
      </c>
      <c r="AI209" s="49">
        <f t="shared" si="88"/>
        <v>88216.633348692572</v>
      </c>
      <c r="AJ209" s="49">
        <f t="shared" si="89"/>
        <v>77351.587587123722</v>
      </c>
      <c r="AK209" s="49">
        <f t="shared" si="90"/>
        <v>67038.042575507221</v>
      </c>
      <c r="AL209" s="103">
        <f t="shared" si="91"/>
        <v>56724.49756389072</v>
      </c>
      <c r="AN209" s="53">
        <f t="shared" si="92"/>
        <v>17942.197172363965</v>
      </c>
      <c r="AO209" s="53">
        <f t="shared" si="93"/>
        <v>16745.570743309894</v>
      </c>
      <c r="AP209" s="53">
        <f t="shared" si="94"/>
        <v>13804.406089879554</v>
      </c>
      <c r="AQ209" s="53">
        <f t="shared" si="95"/>
        <v>12860.990629485772</v>
      </c>
      <c r="AR209" s="203">
        <f t="shared" si="96"/>
        <v>12469.075919044346</v>
      </c>
      <c r="AY209" s="3"/>
    </row>
    <row r="210" spans="1:51">
      <c r="A210" s="239"/>
      <c r="B210" s="43">
        <f>'13. Desinvesteringen'!B494</f>
        <v>475</v>
      </c>
      <c r="C210" s="54"/>
      <c r="D210" s="54"/>
      <c r="E210" s="54"/>
      <c r="F210" s="48">
        <f>'5. Input GAW-waarde desinv.'!D170</f>
        <v>1010914.3326142207</v>
      </c>
      <c r="G210" s="187">
        <f>'13. Desinvesteringen'!D494</f>
        <v>2004</v>
      </c>
      <c r="H210" s="187">
        <f>'13. Desinvesteringen'!G494</f>
        <v>2023</v>
      </c>
      <c r="I210" s="43" t="str">
        <f>'13. Desinvesteringen'!C494</f>
        <v>15 Compressorstations (TT-BT-AT)</v>
      </c>
      <c r="J210" s="176">
        <f>'13. Desinvesteringen'!F494</f>
        <v>0</v>
      </c>
      <c r="K210" s="44">
        <f>_xlfn.XLOOKUP(I210,'3. Input (des)investeringen '!$B$11:$B$81,'3. Input (des)investeringen '!$E$11:$E$81)</f>
        <v>1</v>
      </c>
      <c r="L210" s="54"/>
      <c r="M210" s="44">
        <f>_xlfn.XLOOKUP(I210,'3. Input (des)investeringen '!$B$11:$B$81,'3. Input (des)investeringen '!$D$11:$D$81,0)</f>
        <v>30</v>
      </c>
      <c r="N210" s="44">
        <f t="shared" si="76"/>
        <v>12.5</v>
      </c>
      <c r="P210" s="49">
        <f t="shared" si="75"/>
        <v>94621.581532691067</v>
      </c>
      <c r="Q210" s="49">
        <f t="shared" si="75"/>
        <v>84780.937053291185</v>
      </c>
      <c r="R210" s="49">
        <f t="shared" si="75"/>
        <v>75963.719599748918</v>
      </c>
      <c r="S210" s="49">
        <f t="shared" si="75"/>
        <v>68890.174859691324</v>
      </c>
      <c r="T210" s="103">
        <f t="shared" si="75"/>
        <v>68890.174859691324</v>
      </c>
      <c r="V210" s="49">
        <f t="shared" si="77"/>
        <v>8087.3146609137657</v>
      </c>
      <c r="W210" s="49">
        <f t="shared" si="78"/>
        <v>8087.3146609137657</v>
      </c>
      <c r="X210" s="49">
        <f t="shared" si="79"/>
        <v>8087.3146609137657</v>
      </c>
      <c r="Y210" s="49">
        <f t="shared" si="80"/>
        <v>8087.3146609137657</v>
      </c>
      <c r="Z210" s="103">
        <f t="shared" si="81"/>
        <v>8087.3146609137657</v>
      </c>
      <c r="AB210" s="49">
        <f t="shared" si="82"/>
        <v>102708.89619360483</v>
      </c>
      <c r="AC210" s="49">
        <f t="shared" si="83"/>
        <v>92868.251714204947</v>
      </c>
      <c r="AD210" s="49">
        <f t="shared" si="84"/>
        <v>84051.03426066268</v>
      </c>
      <c r="AE210" s="49">
        <f t="shared" si="85"/>
        <v>76977.489520605086</v>
      </c>
      <c r="AF210" s="103">
        <f t="shared" si="86"/>
        <v>76977.489520605086</v>
      </c>
      <c r="AH210" s="49">
        <f t="shared" si="87"/>
        <v>908205.43642061588</v>
      </c>
      <c r="AI210" s="49">
        <f t="shared" si="88"/>
        <v>815337.18470641098</v>
      </c>
      <c r="AJ210" s="49">
        <f t="shared" si="89"/>
        <v>731286.15044574835</v>
      </c>
      <c r="AK210" s="49">
        <f t="shared" si="90"/>
        <v>654308.66092514328</v>
      </c>
      <c r="AL210" s="103">
        <f t="shared" si="91"/>
        <v>577331.17140453821</v>
      </c>
      <c r="AN210" s="53">
        <f t="shared" si="92"/>
        <v>139945.3190868501</v>
      </c>
      <c r="AO210" s="53">
        <f t="shared" si="93"/>
        <v>134450.4481342319</v>
      </c>
      <c r="AP210" s="53">
        <f t="shared" si="94"/>
        <v>111839.90797760112</v>
      </c>
      <c r="AQ210" s="53">
        <f t="shared" si="95"/>
        <v>101841.21863576054</v>
      </c>
      <c r="AR210" s="203">
        <f t="shared" si="96"/>
        <v>98916.074033977537</v>
      </c>
      <c r="AY210" s="3"/>
    </row>
    <row r="211" spans="1:51">
      <c r="A211" s="239"/>
      <c r="B211" s="43">
        <f>'13. Desinvesteringen'!B495</f>
        <v>476</v>
      </c>
      <c r="C211" s="54"/>
      <c r="D211" s="54"/>
      <c r="E211" s="54"/>
      <c r="F211" s="48">
        <f>'5. Input GAW-waarde desinv.'!D171</f>
        <v>110113.496706638</v>
      </c>
      <c r="G211" s="187">
        <f>'13. Desinvesteringen'!D495</f>
        <v>2005</v>
      </c>
      <c r="H211" s="187">
        <f>'13. Desinvesteringen'!G495</f>
        <v>2023</v>
      </c>
      <c r="I211" s="43" t="str">
        <f>'13. Desinvesteringen'!C495</f>
        <v>15 Compressorstations (TT-BT-AT)</v>
      </c>
      <c r="J211" s="176">
        <f>'13. Desinvesteringen'!F495</f>
        <v>0</v>
      </c>
      <c r="K211" s="44">
        <f>_xlfn.XLOOKUP(I211,'3. Input (des)investeringen '!$B$11:$B$81,'3. Input (des)investeringen '!$E$11:$E$81)</f>
        <v>1</v>
      </c>
      <c r="L211" s="54"/>
      <c r="M211" s="44">
        <f>_xlfn.XLOOKUP(I211,'3. Input (des)investeringen '!$B$11:$B$81,'3. Input (des)investeringen '!$D$11:$D$81,0)</f>
        <v>30</v>
      </c>
      <c r="N211" s="44">
        <f t="shared" si="76"/>
        <v>13.5</v>
      </c>
      <c r="P211" s="49">
        <f t="shared" ref="P211:T261" si="97">IF($M211&gt;0, IF(OR($G211&gt;P$49,$G211+$M211&lt;P$49),0,
VDB($F211,0,$N211,MAX(0,P$49-2022),MIN($N211,P$49-2021),$F$22,FALSE))*(1-$F$25), 0)</f>
        <v>9543.1697145752951</v>
      </c>
      <c r="Q211" s="49">
        <f t="shared" si="97"/>
        <v>8624.1978161347088</v>
      </c>
      <c r="R211" s="49">
        <f t="shared" si="97"/>
        <v>7793.7195079143312</v>
      </c>
      <c r="S211" s="49">
        <f t="shared" si="97"/>
        <v>7043.2131849299876</v>
      </c>
      <c r="T211" s="103">
        <f t="shared" si="97"/>
        <v>6957.668085517882</v>
      </c>
      <c r="V211" s="49">
        <f t="shared" si="77"/>
        <v>815.6555311602815</v>
      </c>
      <c r="W211" s="49">
        <f t="shared" si="78"/>
        <v>815.6555311602815</v>
      </c>
      <c r="X211" s="49">
        <f t="shared" si="79"/>
        <v>815.6555311602815</v>
      </c>
      <c r="Y211" s="49">
        <f t="shared" si="80"/>
        <v>815.6555311602815</v>
      </c>
      <c r="Z211" s="103">
        <f t="shared" si="81"/>
        <v>815.6555311602815</v>
      </c>
      <c r="AB211" s="49">
        <f t="shared" si="82"/>
        <v>10358.825245735577</v>
      </c>
      <c r="AC211" s="49">
        <f t="shared" si="83"/>
        <v>9439.8533472949894</v>
      </c>
      <c r="AD211" s="49">
        <f t="shared" si="84"/>
        <v>8609.3750390746136</v>
      </c>
      <c r="AE211" s="49">
        <f t="shared" si="85"/>
        <v>7858.8687160902691</v>
      </c>
      <c r="AF211" s="103">
        <f t="shared" si="86"/>
        <v>7773.3236166781635</v>
      </c>
      <c r="AH211" s="49">
        <f t="shared" si="87"/>
        <v>99754.671460902435</v>
      </c>
      <c r="AI211" s="49">
        <f t="shared" si="88"/>
        <v>90314.818113607442</v>
      </c>
      <c r="AJ211" s="49">
        <f t="shared" si="89"/>
        <v>81705.443074532828</v>
      </c>
      <c r="AK211" s="49">
        <f t="shared" si="90"/>
        <v>73846.574358442565</v>
      </c>
      <c r="AL211" s="103">
        <f t="shared" si="91"/>
        <v>66073.250741764408</v>
      </c>
      <c r="AN211" s="53">
        <f t="shared" si="92"/>
        <v>14448.766775632577</v>
      </c>
      <c r="AO211" s="53">
        <f t="shared" si="93"/>
        <v>14045.909071088969</v>
      </c>
      <c r="AP211" s="53">
        <f t="shared" si="94"/>
        <v>11714.181875906861</v>
      </c>
      <c r="AQ211" s="53">
        <f t="shared" si="95"/>
        <v>10665.038541711087</v>
      </c>
      <c r="AR211" s="203">
        <f t="shared" si="96"/>
        <v>10284.107144865211</v>
      </c>
      <c r="AY211" s="3"/>
    </row>
    <row r="212" spans="1:51">
      <c r="A212" s="239"/>
      <c r="B212" s="43">
        <f>'13. Desinvesteringen'!B496</f>
        <v>477</v>
      </c>
      <c r="C212" s="54"/>
      <c r="D212" s="54"/>
      <c r="E212" s="54"/>
      <c r="F212" s="48">
        <f>'5. Input GAW-waarde desinv.'!D172</f>
        <v>26631.619932073358</v>
      </c>
      <c r="G212" s="187">
        <f>'13. Desinvesteringen'!D496</f>
        <v>2006</v>
      </c>
      <c r="H212" s="187">
        <f>'13. Desinvesteringen'!G496</f>
        <v>2023</v>
      </c>
      <c r="I212" s="43" t="str">
        <f>'13. Desinvesteringen'!C496</f>
        <v>15 Compressorstations (TT-BT-AT)</v>
      </c>
      <c r="J212" s="176">
        <f>'13. Desinvesteringen'!F496</f>
        <v>0</v>
      </c>
      <c r="K212" s="44">
        <f>_xlfn.XLOOKUP(I212,'3. Input (des)investeringen '!$B$11:$B$81,'3. Input (des)investeringen '!$E$11:$E$81)</f>
        <v>1</v>
      </c>
      <c r="L212" s="54"/>
      <c r="M212" s="44">
        <f>_xlfn.XLOOKUP(I212,'3. Input (des)investeringen '!$B$11:$B$81,'3. Input (des)investeringen '!$D$11:$D$81,0)</f>
        <v>30</v>
      </c>
      <c r="N212" s="44">
        <f t="shared" si="76"/>
        <v>14.5</v>
      </c>
      <c r="P212" s="49">
        <f t="shared" si="97"/>
        <v>2148.8962290017812</v>
      </c>
      <c r="Q212" s="49">
        <f t="shared" si="97"/>
        <v>1956.2365670912766</v>
      </c>
      <c r="R212" s="49">
        <f t="shared" si="97"/>
        <v>1780.8498403865415</v>
      </c>
      <c r="S212" s="49">
        <f t="shared" si="97"/>
        <v>1621.1874409036102</v>
      </c>
      <c r="T212" s="103">
        <f t="shared" si="97"/>
        <v>1567.741701093601</v>
      </c>
      <c r="V212" s="49">
        <f t="shared" si="77"/>
        <v>183.66634435912661</v>
      </c>
      <c r="W212" s="49">
        <f t="shared" si="78"/>
        <v>183.66634435912658</v>
      </c>
      <c r="X212" s="49">
        <f t="shared" si="79"/>
        <v>183.66634435912658</v>
      </c>
      <c r="Y212" s="49">
        <f t="shared" si="80"/>
        <v>183.66634435912658</v>
      </c>
      <c r="Z212" s="103">
        <f t="shared" si="81"/>
        <v>183.66634435912658</v>
      </c>
      <c r="AB212" s="49">
        <f t="shared" si="82"/>
        <v>2332.5625733609077</v>
      </c>
      <c r="AC212" s="49">
        <f t="shared" si="83"/>
        <v>2139.9029114504033</v>
      </c>
      <c r="AD212" s="49">
        <f t="shared" si="84"/>
        <v>1964.5161847456679</v>
      </c>
      <c r="AE212" s="49">
        <f t="shared" si="85"/>
        <v>1804.8537852627369</v>
      </c>
      <c r="AF212" s="103">
        <f t="shared" si="86"/>
        <v>1751.4080454527275</v>
      </c>
      <c r="AH212" s="49">
        <f t="shared" si="87"/>
        <v>24299.057358712449</v>
      </c>
      <c r="AI212" s="49">
        <f t="shared" si="88"/>
        <v>22159.154447262044</v>
      </c>
      <c r="AJ212" s="49">
        <f t="shared" si="89"/>
        <v>20194.638262516375</v>
      </c>
      <c r="AK212" s="49">
        <f t="shared" si="90"/>
        <v>18389.784477253637</v>
      </c>
      <c r="AL212" s="103">
        <f t="shared" si="91"/>
        <v>16638.376431800909</v>
      </c>
      <c r="AN212" s="53">
        <f t="shared" si="92"/>
        <v>3328.8239250681181</v>
      </c>
      <c r="AO212" s="53">
        <f t="shared" si="93"/>
        <v>3270.0197882607672</v>
      </c>
      <c r="AP212" s="53">
        <f t="shared" si="94"/>
        <v>2731.9124387212901</v>
      </c>
      <c r="AQ212" s="53">
        <f t="shared" si="95"/>
        <v>2503.665595398375</v>
      </c>
      <c r="AR212" s="203">
        <f t="shared" si="96"/>
        <v>2383.666349861162</v>
      </c>
      <c r="AY212" s="3"/>
    </row>
    <row r="213" spans="1:51">
      <c r="A213" s="239"/>
      <c r="B213" s="43">
        <f>'13. Desinvesteringen'!B497</f>
        <v>478</v>
      </c>
      <c r="C213" s="54"/>
      <c r="D213" s="54"/>
      <c r="E213" s="54"/>
      <c r="F213" s="48">
        <f>'5. Input GAW-waarde desinv.'!D173</f>
        <v>1462385.1890917395</v>
      </c>
      <c r="G213" s="187">
        <f>'13. Desinvesteringen'!D497</f>
        <v>2008</v>
      </c>
      <c r="H213" s="187">
        <f>'13. Desinvesteringen'!G497</f>
        <v>2023</v>
      </c>
      <c r="I213" s="43" t="str">
        <f>'13. Desinvesteringen'!C497</f>
        <v>15 Compressorstations (TT-BT-AT)</v>
      </c>
      <c r="J213" s="176">
        <f>'13. Desinvesteringen'!F497</f>
        <v>0</v>
      </c>
      <c r="K213" s="44">
        <f>_xlfn.XLOOKUP(I213,'3. Input (des)investeringen '!$B$11:$B$81,'3. Input (des)investeringen '!$E$11:$E$81)</f>
        <v>1</v>
      </c>
      <c r="L213" s="54"/>
      <c r="M213" s="44">
        <f>_xlfn.XLOOKUP(I213,'3. Input (des)investeringen '!$B$11:$B$81,'3. Input (des)investeringen '!$D$11:$D$81,0)</f>
        <v>30</v>
      </c>
      <c r="N213" s="44">
        <f t="shared" si="76"/>
        <v>16.5</v>
      </c>
      <c r="P213" s="49">
        <f t="shared" si="97"/>
        <v>103696.40431741427</v>
      </c>
      <c r="Q213" s="49">
        <f t="shared" si="97"/>
        <v>95526.384583314968</v>
      </c>
      <c r="R213" s="49">
        <f t="shared" si="97"/>
        <v>88000.063373720463</v>
      </c>
      <c r="S213" s="49">
        <f t="shared" si="97"/>
        <v>81066.725047306114</v>
      </c>
      <c r="T213" s="103">
        <f t="shared" si="97"/>
        <v>75828.567428864786</v>
      </c>
      <c r="V213" s="49">
        <f t="shared" si="77"/>
        <v>8862.9405399499356</v>
      </c>
      <c r="W213" s="49">
        <f t="shared" si="78"/>
        <v>8862.9405399499356</v>
      </c>
      <c r="X213" s="49">
        <f t="shared" si="79"/>
        <v>8862.9405399499356</v>
      </c>
      <c r="Y213" s="49">
        <f t="shared" si="80"/>
        <v>8862.9405399499356</v>
      </c>
      <c r="Z213" s="103">
        <f t="shared" si="81"/>
        <v>8862.9405399499356</v>
      </c>
      <c r="AB213" s="49">
        <f t="shared" si="82"/>
        <v>112559.34485736421</v>
      </c>
      <c r="AC213" s="49">
        <f t="shared" si="83"/>
        <v>104389.32512326491</v>
      </c>
      <c r="AD213" s="49">
        <f t="shared" si="84"/>
        <v>96863.0039136704</v>
      </c>
      <c r="AE213" s="49">
        <f t="shared" si="85"/>
        <v>89929.665587256051</v>
      </c>
      <c r="AF213" s="103">
        <f t="shared" si="86"/>
        <v>84691.507968814723</v>
      </c>
      <c r="AH213" s="49">
        <f t="shared" si="87"/>
        <v>1349825.8442343753</v>
      </c>
      <c r="AI213" s="49">
        <f t="shared" si="88"/>
        <v>1245436.5191111104</v>
      </c>
      <c r="AJ213" s="49">
        <f t="shared" si="89"/>
        <v>1148573.5151974401</v>
      </c>
      <c r="AK213" s="49">
        <f t="shared" si="90"/>
        <v>1058643.8496101841</v>
      </c>
      <c r="AL213" s="103">
        <f t="shared" si="91"/>
        <v>973952.34164136939</v>
      </c>
      <c r="AN213" s="53">
        <f t="shared" si="92"/>
        <v>167902.20447097361</v>
      </c>
      <c r="AO213" s="53">
        <f t="shared" si="93"/>
        <v>167906.58759793153</v>
      </c>
      <c r="AP213" s="53">
        <f t="shared" si="94"/>
        <v>140508.79749117311</v>
      </c>
      <c r="AQ213" s="53">
        <f t="shared" si="95"/>
        <v>130158.13187244305</v>
      </c>
      <c r="AR213" s="203">
        <f t="shared" si="96"/>
        <v>121701.69695118675</v>
      </c>
      <c r="AY213" s="3"/>
    </row>
    <row r="214" spans="1:51">
      <c r="A214" s="239"/>
      <c r="B214" s="43">
        <f>'13. Desinvesteringen'!B498</f>
        <v>479</v>
      </c>
      <c r="C214" s="54"/>
      <c r="D214" s="54"/>
      <c r="E214" s="54"/>
      <c r="F214" s="48">
        <f>'5. Input GAW-waarde desinv.'!D174</f>
        <v>26797.310321813446</v>
      </c>
      <c r="G214" s="187">
        <f>'13. Desinvesteringen'!D498</f>
        <v>2009</v>
      </c>
      <c r="H214" s="187">
        <f>'13. Desinvesteringen'!G498</f>
        <v>2023</v>
      </c>
      <c r="I214" s="43" t="str">
        <f>'13. Desinvesteringen'!C498</f>
        <v>15 Compressorstations (TT-BT-AT)</v>
      </c>
      <c r="J214" s="176">
        <f>'13. Desinvesteringen'!F498</f>
        <v>0</v>
      </c>
      <c r="K214" s="44">
        <f>_xlfn.XLOOKUP(I214,'3. Input (des)investeringen '!$B$11:$B$81,'3. Input (des)investeringen '!$E$11:$E$81)</f>
        <v>1</v>
      </c>
      <c r="L214" s="54"/>
      <c r="M214" s="44">
        <f>_xlfn.XLOOKUP(I214,'3. Input (des)investeringen '!$B$11:$B$81,'3. Input (des)investeringen '!$D$11:$D$81,0)</f>
        <v>30</v>
      </c>
      <c r="N214" s="44">
        <f t="shared" si="76"/>
        <v>17.5</v>
      </c>
      <c r="P214" s="49">
        <f t="shared" si="97"/>
        <v>1791.5916043726704</v>
      </c>
      <c r="Q214" s="49">
        <f t="shared" si="97"/>
        <v>1658.5019423335577</v>
      </c>
      <c r="R214" s="49">
        <f t="shared" si="97"/>
        <v>1535.2989409030652</v>
      </c>
      <c r="S214" s="49">
        <f t="shared" si="97"/>
        <v>1421.2481624359802</v>
      </c>
      <c r="T214" s="103">
        <f t="shared" si="97"/>
        <v>1315.6697275121646</v>
      </c>
      <c r="V214" s="49">
        <f t="shared" si="77"/>
        <v>153.12748755321968</v>
      </c>
      <c r="W214" s="49">
        <f t="shared" si="78"/>
        <v>153.12748755321971</v>
      </c>
      <c r="X214" s="49">
        <f t="shared" si="79"/>
        <v>153.12748755321971</v>
      </c>
      <c r="Y214" s="49">
        <f t="shared" si="80"/>
        <v>153.12748755321971</v>
      </c>
      <c r="Z214" s="103">
        <f t="shared" si="81"/>
        <v>153.12748755321971</v>
      </c>
      <c r="AB214" s="49">
        <f t="shared" si="82"/>
        <v>1944.7190919258901</v>
      </c>
      <c r="AC214" s="49">
        <f t="shared" si="83"/>
        <v>1811.6294298867774</v>
      </c>
      <c r="AD214" s="49">
        <f t="shared" si="84"/>
        <v>1688.4264284562848</v>
      </c>
      <c r="AE214" s="49">
        <f t="shared" si="85"/>
        <v>1574.3756499891999</v>
      </c>
      <c r="AF214" s="103">
        <f t="shared" si="86"/>
        <v>1468.7972150653843</v>
      </c>
      <c r="AH214" s="49">
        <f t="shared" si="87"/>
        <v>24852.591229887556</v>
      </c>
      <c r="AI214" s="49">
        <f t="shared" si="88"/>
        <v>23040.961800000779</v>
      </c>
      <c r="AJ214" s="49">
        <f t="shared" si="89"/>
        <v>21352.535371544494</v>
      </c>
      <c r="AK214" s="49">
        <f t="shared" si="90"/>
        <v>19778.159721555294</v>
      </c>
      <c r="AL214" s="103">
        <f t="shared" si="91"/>
        <v>18309.36250648991</v>
      </c>
      <c r="AN214" s="53">
        <f t="shared" si="92"/>
        <v>2963.6753323512798</v>
      </c>
      <c r="AO214" s="53">
        <f t="shared" si="93"/>
        <v>2986.7184816868171</v>
      </c>
      <c r="AP214" s="53">
        <f t="shared" si="94"/>
        <v>2499.8227725749757</v>
      </c>
      <c r="AQ214" s="53">
        <f t="shared" si="95"/>
        <v>2325.9457194083011</v>
      </c>
      <c r="AR214" s="203">
        <f t="shared" si="96"/>
        <v>2164.5529903120009</v>
      </c>
      <c r="AY214" s="3"/>
    </row>
    <row r="215" spans="1:51">
      <c r="A215" s="239"/>
      <c r="B215" s="43">
        <f>'13. Desinvesteringen'!B499</f>
        <v>480</v>
      </c>
      <c r="C215" s="54"/>
      <c r="D215" s="54"/>
      <c r="E215" s="54"/>
      <c r="F215" s="48">
        <f>'5. Input GAW-waarde desinv.'!D175</f>
        <v>143440.45474083052</v>
      </c>
      <c r="G215" s="187">
        <f>'13. Desinvesteringen'!D499</f>
        <v>2010</v>
      </c>
      <c r="H215" s="187">
        <f>'13. Desinvesteringen'!G499</f>
        <v>2023</v>
      </c>
      <c r="I215" s="43" t="str">
        <f>'13. Desinvesteringen'!C499</f>
        <v>15 Compressorstations (TT-BT-AT)</v>
      </c>
      <c r="J215" s="176">
        <f>'13. Desinvesteringen'!F499</f>
        <v>0</v>
      </c>
      <c r="K215" s="44">
        <f>_xlfn.XLOOKUP(I215,'3. Input (des)investeringen '!$B$11:$B$81,'3. Input (des)investeringen '!$E$11:$E$81)</f>
        <v>1</v>
      </c>
      <c r="L215" s="54"/>
      <c r="M215" s="44">
        <f>_xlfn.XLOOKUP(I215,'3. Input (des)investeringen '!$B$11:$B$81,'3. Input (des)investeringen '!$D$11:$D$81,0)</f>
        <v>30</v>
      </c>
      <c r="N215" s="44">
        <f t="shared" si="76"/>
        <v>18.5</v>
      </c>
      <c r="P215" s="49">
        <f t="shared" si="97"/>
        <v>9071.6395700957692</v>
      </c>
      <c r="Q215" s="49">
        <f t="shared" si="97"/>
        <v>8434.1730057106597</v>
      </c>
      <c r="R215" s="49">
        <f t="shared" si="97"/>
        <v>7841.5013890931541</v>
      </c>
      <c r="S215" s="49">
        <f t="shared" si="97"/>
        <v>7290.4769671568783</v>
      </c>
      <c r="T215" s="103">
        <f t="shared" si="97"/>
        <v>6778.1731802755849</v>
      </c>
      <c r="V215" s="49">
        <f t="shared" si="77"/>
        <v>775.35380940989489</v>
      </c>
      <c r="W215" s="49">
        <f t="shared" si="78"/>
        <v>775.35380940989478</v>
      </c>
      <c r="X215" s="49">
        <f t="shared" si="79"/>
        <v>775.35380940989478</v>
      </c>
      <c r="Y215" s="49">
        <f t="shared" si="80"/>
        <v>775.35380940989478</v>
      </c>
      <c r="Z215" s="103">
        <f t="shared" si="81"/>
        <v>775.35380940989478</v>
      </c>
      <c r="AB215" s="49">
        <f t="shared" si="82"/>
        <v>9846.9933795056641</v>
      </c>
      <c r="AC215" s="49">
        <f t="shared" si="83"/>
        <v>9209.5268151205546</v>
      </c>
      <c r="AD215" s="49">
        <f t="shared" si="84"/>
        <v>8616.8551985030481</v>
      </c>
      <c r="AE215" s="49">
        <f t="shared" si="85"/>
        <v>8065.8307765667732</v>
      </c>
      <c r="AF215" s="103">
        <f t="shared" si="86"/>
        <v>7553.5269896854797</v>
      </c>
      <c r="AH215" s="49">
        <f t="shared" si="87"/>
        <v>133593.46136132485</v>
      </c>
      <c r="AI215" s="49">
        <f t="shared" si="88"/>
        <v>124383.9345462043</v>
      </c>
      <c r="AJ215" s="49">
        <f t="shared" si="89"/>
        <v>115767.07934770125</v>
      </c>
      <c r="AK215" s="49">
        <f t="shared" si="90"/>
        <v>107701.24857113448</v>
      </c>
      <c r="AL215" s="103">
        <f t="shared" si="91"/>
        <v>100147.721581449</v>
      </c>
      <c r="AN215" s="53">
        <f t="shared" si="92"/>
        <v>15324.325295319984</v>
      </c>
      <c r="AO215" s="53">
        <f t="shared" si="93"/>
        <v>15553.107476976973</v>
      </c>
      <c r="AP215" s="53">
        <f t="shared" si="94"/>
        <v>13016.004213715696</v>
      </c>
      <c r="AQ215" s="53">
        <f t="shared" si="95"/>
        <v>12158.478222269883</v>
      </c>
      <c r="AR215" s="203">
        <f t="shared" si="96"/>
        <v>11359.140409780543</v>
      </c>
      <c r="AY215" s="3"/>
    </row>
    <row r="216" spans="1:51">
      <c r="A216" s="239"/>
      <c r="B216" s="43">
        <f>'13. Desinvesteringen'!B500</f>
        <v>481</v>
      </c>
      <c r="C216" s="54"/>
      <c r="D216" s="54"/>
      <c r="E216" s="54"/>
      <c r="F216" s="48">
        <f>'5. Input GAW-waarde desinv.'!D176</f>
        <v>37686.268046364217</v>
      </c>
      <c r="G216" s="187">
        <f>'13. Desinvesteringen'!D500</f>
        <v>2011</v>
      </c>
      <c r="H216" s="187">
        <f>'13. Desinvesteringen'!G500</f>
        <v>2023</v>
      </c>
      <c r="I216" s="43" t="str">
        <f>'13. Desinvesteringen'!C500</f>
        <v>15 Compressorstations (TT-BT-AT)</v>
      </c>
      <c r="J216" s="176">
        <f>'13. Desinvesteringen'!F500</f>
        <v>0</v>
      </c>
      <c r="K216" s="44">
        <f>_xlfn.XLOOKUP(I216,'3. Input (des)investeringen '!$B$11:$B$81,'3. Input (des)investeringen '!$E$11:$E$81)</f>
        <v>1</v>
      </c>
      <c r="L216" s="54"/>
      <c r="M216" s="44">
        <f>_xlfn.XLOOKUP(I216,'3. Input (des)investeringen '!$B$11:$B$81,'3. Input (des)investeringen '!$D$11:$D$81,0)</f>
        <v>30</v>
      </c>
      <c r="N216" s="44">
        <f t="shared" si="76"/>
        <v>19.5</v>
      </c>
      <c r="P216" s="49">
        <f t="shared" si="97"/>
        <v>2261.176082781853</v>
      </c>
      <c r="Q216" s="49">
        <f t="shared" si="97"/>
        <v>2110.4310105963964</v>
      </c>
      <c r="R216" s="49">
        <f t="shared" si="97"/>
        <v>1969.7356098899697</v>
      </c>
      <c r="S216" s="49">
        <f t="shared" si="97"/>
        <v>1838.4199025639718</v>
      </c>
      <c r="T216" s="103">
        <f t="shared" si="97"/>
        <v>1715.8585757263738</v>
      </c>
      <c r="V216" s="49">
        <f t="shared" si="77"/>
        <v>193.26291305827806</v>
      </c>
      <c r="W216" s="49">
        <f t="shared" si="78"/>
        <v>193.26291305827803</v>
      </c>
      <c r="X216" s="49">
        <f t="shared" si="79"/>
        <v>193.26291305827803</v>
      </c>
      <c r="Y216" s="49">
        <f t="shared" si="80"/>
        <v>193.26291305827803</v>
      </c>
      <c r="Z216" s="103">
        <f t="shared" si="81"/>
        <v>193.26291305827803</v>
      </c>
      <c r="AB216" s="49">
        <f t="shared" si="82"/>
        <v>2454.4389958401312</v>
      </c>
      <c r="AC216" s="49">
        <f t="shared" si="83"/>
        <v>2303.6939236546746</v>
      </c>
      <c r="AD216" s="49">
        <f t="shared" si="84"/>
        <v>2162.9985229482477</v>
      </c>
      <c r="AE216" s="49">
        <f t="shared" si="85"/>
        <v>2031.6828156222498</v>
      </c>
      <c r="AF216" s="103">
        <f t="shared" si="86"/>
        <v>1909.1214887846518</v>
      </c>
      <c r="AH216" s="49">
        <f t="shared" si="87"/>
        <v>35231.829050524088</v>
      </c>
      <c r="AI216" s="49">
        <f t="shared" si="88"/>
        <v>32928.135126869412</v>
      </c>
      <c r="AJ216" s="49">
        <f t="shared" si="89"/>
        <v>30765.136603921164</v>
      </c>
      <c r="AK216" s="49">
        <f t="shared" si="90"/>
        <v>28733.453788298913</v>
      </c>
      <c r="AL216" s="103">
        <f t="shared" si="91"/>
        <v>26824.332299514263</v>
      </c>
      <c r="AN216" s="53">
        <f t="shared" si="92"/>
        <v>3898.9439869116186</v>
      </c>
      <c r="AO216" s="53">
        <f t="shared" si="93"/>
        <v>3983.0288151250143</v>
      </c>
      <c r="AP216" s="53">
        <f t="shared" si="94"/>
        <v>3332.0737138972518</v>
      </c>
      <c r="AQ216" s="53">
        <f t="shared" si="95"/>
        <v>3123.5540595776083</v>
      </c>
      <c r="AR216" s="203">
        <f t="shared" si="96"/>
        <v>2928.4461161661939</v>
      </c>
      <c r="AY216" s="3"/>
    </row>
    <row r="217" spans="1:51">
      <c r="A217" s="239"/>
      <c r="B217" s="43">
        <f>'13. Desinvesteringen'!B501</f>
        <v>482</v>
      </c>
      <c r="C217" s="54"/>
      <c r="D217" s="54"/>
      <c r="E217" s="54"/>
      <c r="F217" s="48">
        <f>'5. Input GAW-waarde desinv.'!D177</f>
        <v>5687877.4465793725</v>
      </c>
      <c r="G217" s="187">
        <f>'13. Desinvesteringen'!D501</f>
        <v>2012</v>
      </c>
      <c r="H217" s="187">
        <f>'13. Desinvesteringen'!G501</f>
        <v>2023</v>
      </c>
      <c r="I217" s="43" t="str">
        <f>'13. Desinvesteringen'!C501</f>
        <v>15 Compressorstations (TT-BT-AT)</v>
      </c>
      <c r="J217" s="176">
        <f>'13. Desinvesteringen'!F501</f>
        <v>0</v>
      </c>
      <c r="K217" s="44">
        <f>_xlfn.XLOOKUP(I217,'3. Input (des)investeringen '!$B$11:$B$81,'3. Input (des)investeringen '!$E$11:$E$81)</f>
        <v>1</v>
      </c>
      <c r="L217" s="54"/>
      <c r="M217" s="44">
        <f>_xlfn.XLOOKUP(I217,'3. Input (des)investeringen '!$B$11:$B$81,'3. Input (des)investeringen '!$D$11:$D$81,0)</f>
        <v>30</v>
      </c>
      <c r="N217" s="44">
        <f t="shared" si="76"/>
        <v>20.5</v>
      </c>
      <c r="P217" s="49">
        <f t="shared" si="97"/>
        <v>324625.20060965198</v>
      </c>
      <c r="Q217" s="49">
        <f t="shared" si="97"/>
        <v>304039.21227830823</v>
      </c>
      <c r="R217" s="49">
        <f t="shared" si="97"/>
        <v>284758.67686553742</v>
      </c>
      <c r="S217" s="49">
        <f t="shared" si="97"/>
        <v>266700.80955211306</v>
      </c>
      <c r="T217" s="103">
        <f t="shared" si="97"/>
        <v>249788.07528783273</v>
      </c>
      <c r="V217" s="49">
        <f t="shared" si="77"/>
        <v>27745.743641850597</v>
      </c>
      <c r="W217" s="49">
        <f t="shared" si="78"/>
        <v>27745.743641850597</v>
      </c>
      <c r="X217" s="49">
        <f t="shared" si="79"/>
        <v>27745.743641850597</v>
      </c>
      <c r="Y217" s="49">
        <f t="shared" si="80"/>
        <v>27745.743641850597</v>
      </c>
      <c r="Z217" s="103">
        <f t="shared" si="81"/>
        <v>27745.743641850597</v>
      </c>
      <c r="AB217" s="49">
        <f t="shared" si="82"/>
        <v>352370.94425150257</v>
      </c>
      <c r="AC217" s="49">
        <f t="shared" si="83"/>
        <v>331784.95592015883</v>
      </c>
      <c r="AD217" s="49">
        <f t="shared" si="84"/>
        <v>312504.42050738801</v>
      </c>
      <c r="AE217" s="49">
        <f t="shared" si="85"/>
        <v>294446.55319396366</v>
      </c>
      <c r="AF217" s="103">
        <f t="shared" si="86"/>
        <v>277533.8189296833</v>
      </c>
      <c r="AH217" s="49">
        <f t="shared" si="87"/>
        <v>5335506.5023278696</v>
      </c>
      <c r="AI217" s="49">
        <f t="shared" si="88"/>
        <v>5003721.5464077108</v>
      </c>
      <c r="AJ217" s="49">
        <f t="shared" si="89"/>
        <v>4691217.1259003226</v>
      </c>
      <c r="AK217" s="49">
        <f t="shared" si="90"/>
        <v>4396770.5727063585</v>
      </c>
      <c r="AL217" s="103">
        <f t="shared" si="91"/>
        <v>4119236.7537766751</v>
      </c>
      <c r="AN217" s="53">
        <f t="shared" si="92"/>
        <v>571126.71084694518</v>
      </c>
      <c r="AO217" s="53">
        <f t="shared" si="93"/>
        <v>586974.75478695205</v>
      </c>
      <c r="AP217" s="53">
        <f t="shared" si="94"/>
        <v>490770.67129160027</v>
      </c>
      <c r="AQ217" s="53">
        <f t="shared" si="95"/>
        <v>461523.83495680528</v>
      </c>
      <c r="AR217" s="203">
        <f t="shared" si="96"/>
        <v>434064.81557319697</v>
      </c>
      <c r="AY217" s="3"/>
    </row>
    <row r="218" spans="1:51">
      <c r="A218" s="239"/>
      <c r="B218" s="43">
        <f>'13. Desinvesteringen'!B502</f>
        <v>483</v>
      </c>
      <c r="C218" s="54"/>
      <c r="D218" s="54"/>
      <c r="E218" s="54"/>
      <c r="F218" s="48">
        <f>'5. Input GAW-waarde desinv.'!D178</f>
        <v>611283.63783680694</v>
      </c>
      <c r="G218" s="187">
        <f>'13. Desinvesteringen'!D502</f>
        <v>2014</v>
      </c>
      <c r="H218" s="187">
        <f>'13. Desinvesteringen'!G502</f>
        <v>2023</v>
      </c>
      <c r="I218" s="43" t="str">
        <f>'13. Desinvesteringen'!C502</f>
        <v>15 Compressorstations (TT-BT-AT)</v>
      </c>
      <c r="J218" s="176">
        <f>'13. Desinvesteringen'!F502</f>
        <v>0</v>
      </c>
      <c r="K218" s="44">
        <f>_xlfn.XLOOKUP(I218,'3. Input (des)investeringen '!$B$11:$B$81,'3. Input (des)investeringen '!$E$11:$E$81)</f>
        <v>1</v>
      </c>
      <c r="L218" s="54"/>
      <c r="M218" s="44">
        <f>_xlfn.XLOOKUP(I218,'3. Input (des)investeringen '!$B$11:$B$81,'3. Input (des)investeringen '!$D$11:$D$81,0)</f>
        <v>30</v>
      </c>
      <c r="N218" s="44">
        <f t="shared" si="76"/>
        <v>22.5</v>
      </c>
      <c r="P218" s="49">
        <f t="shared" si="97"/>
        <v>31786.749167513968</v>
      </c>
      <c r="Q218" s="49">
        <f t="shared" si="97"/>
        <v>29950.181437835377</v>
      </c>
      <c r="R218" s="49">
        <f t="shared" si="97"/>
        <v>28219.726510315999</v>
      </c>
      <c r="S218" s="49">
        <f t="shared" si="97"/>
        <v>26589.253423053295</v>
      </c>
      <c r="T218" s="103">
        <f t="shared" si="97"/>
        <v>25052.985447499104</v>
      </c>
      <c r="V218" s="49">
        <f t="shared" si="77"/>
        <v>2716.8161681635866</v>
      </c>
      <c r="W218" s="49">
        <f t="shared" si="78"/>
        <v>2716.8161681635866</v>
      </c>
      <c r="X218" s="49">
        <f t="shared" si="79"/>
        <v>2716.8161681635866</v>
      </c>
      <c r="Y218" s="49">
        <f t="shared" si="80"/>
        <v>2716.8161681635866</v>
      </c>
      <c r="Z218" s="103">
        <f t="shared" si="81"/>
        <v>2716.8161681635866</v>
      </c>
      <c r="AB218" s="49">
        <f t="shared" si="82"/>
        <v>34503.565335677558</v>
      </c>
      <c r="AC218" s="49">
        <f t="shared" si="83"/>
        <v>32666.997605998964</v>
      </c>
      <c r="AD218" s="49">
        <f t="shared" si="84"/>
        <v>30936.542678479585</v>
      </c>
      <c r="AE218" s="49">
        <f t="shared" si="85"/>
        <v>29306.069591216881</v>
      </c>
      <c r="AF218" s="103">
        <f t="shared" si="86"/>
        <v>27769.801615662691</v>
      </c>
      <c r="AH218" s="49">
        <f t="shared" si="87"/>
        <v>576780.07250112935</v>
      </c>
      <c r="AI218" s="49">
        <f t="shared" si="88"/>
        <v>544113.07489513035</v>
      </c>
      <c r="AJ218" s="49">
        <f t="shared" si="89"/>
        <v>513176.53221665078</v>
      </c>
      <c r="AK218" s="49">
        <f t="shared" si="90"/>
        <v>483870.46262543392</v>
      </c>
      <c r="AL218" s="103">
        <f t="shared" si="91"/>
        <v>456100.66100977123</v>
      </c>
      <c r="AN218" s="53">
        <f t="shared" si="92"/>
        <v>58151.548308223864</v>
      </c>
      <c r="AO218" s="53">
        <f t="shared" si="93"/>
        <v>60416.76442565061</v>
      </c>
      <c r="AP218" s="53">
        <f t="shared" si="94"/>
        <v>50437.250902712316</v>
      </c>
      <c r="AQ218" s="53">
        <f t="shared" si="95"/>
        <v>47693.147170983371</v>
      </c>
      <c r="AR218" s="203">
        <f t="shared" si="96"/>
        <v>45101.626734033998</v>
      </c>
      <c r="AY218" s="3"/>
    </row>
    <row r="219" spans="1:51">
      <c r="A219" s="239"/>
      <c r="B219" s="43">
        <f>'13. Desinvesteringen'!B503</f>
        <v>484</v>
      </c>
      <c r="C219" s="54"/>
      <c r="D219" s="54"/>
      <c r="E219" s="54"/>
      <c r="F219" s="48">
        <f>'5. Input GAW-waarde desinv.'!D179</f>
        <v>348308.75445981714</v>
      </c>
      <c r="G219" s="187">
        <f>'13. Desinvesteringen'!D503</f>
        <v>2015</v>
      </c>
      <c r="H219" s="187">
        <f>'13. Desinvesteringen'!G503</f>
        <v>2023</v>
      </c>
      <c r="I219" s="43" t="str">
        <f>'13. Desinvesteringen'!C503</f>
        <v>15 Compressorstations (TT-BT-AT)</v>
      </c>
      <c r="J219" s="176">
        <f>'13. Desinvesteringen'!F503</f>
        <v>0</v>
      </c>
      <c r="K219" s="44">
        <f>_xlfn.XLOOKUP(I219,'3. Input (des)investeringen '!$B$11:$B$81,'3. Input (des)investeringen '!$E$11:$E$81)</f>
        <v>1</v>
      </c>
      <c r="L219" s="54"/>
      <c r="M219" s="44">
        <f>_xlfn.XLOOKUP(I219,'3. Input (des)investeringen '!$B$11:$B$81,'3. Input (des)investeringen '!$D$11:$D$81,0)</f>
        <v>30</v>
      </c>
      <c r="N219" s="44">
        <f t="shared" si="76"/>
        <v>23.5</v>
      </c>
      <c r="P219" s="49">
        <f t="shared" si="97"/>
        <v>17341.329477361112</v>
      </c>
      <c r="Q219" s="49">
        <f t="shared" si="97"/>
        <v>16382.021889251773</v>
      </c>
      <c r="R219" s="49">
        <f t="shared" si="97"/>
        <v>15475.782380484654</v>
      </c>
      <c r="S219" s="49">
        <f t="shared" si="97"/>
        <v>14619.675270074862</v>
      </c>
      <c r="T219" s="103">
        <f t="shared" si="97"/>
        <v>13810.927276411147</v>
      </c>
      <c r="V219" s="49">
        <f t="shared" si="77"/>
        <v>1482.1649125949666</v>
      </c>
      <c r="W219" s="49">
        <f t="shared" si="78"/>
        <v>1482.1649125949666</v>
      </c>
      <c r="X219" s="49">
        <f t="shared" si="79"/>
        <v>1482.1649125949666</v>
      </c>
      <c r="Y219" s="49">
        <f t="shared" si="80"/>
        <v>1482.1649125949666</v>
      </c>
      <c r="Z219" s="103">
        <f t="shared" si="81"/>
        <v>1482.1649125949666</v>
      </c>
      <c r="AB219" s="49">
        <f t="shared" si="82"/>
        <v>18823.494389956079</v>
      </c>
      <c r="AC219" s="49">
        <f t="shared" si="83"/>
        <v>17864.186801846739</v>
      </c>
      <c r="AD219" s="49">
        <f t="shared" si="84"/>
        <v>16957.947293079622</v>
      </c>
      <c r="AE219" s="49">
        <f t="shared" si="85"/>
        <v>16101.840182669828</v>
      </c>
      <c r="AF219" s="103">
        <f t="shared" si="86"/>
        <v>15293.092189006113</v>
      </c>
      <c r="AH219" s="49">
        <f t="shared" si="87"/>
        <v>329485.26006986108</v>
      </c>
      <c r="AI219" s="49">
        <f t="shared" si="88"/>
        <v>311621.07326801436</v>
      </c>
      <c r="AJ219" s="49">
        <f t="shared" si="89"/>
        <v>294663.12597493472</v>
      </c>
      <c r="AK219" s="49">
        <f t="shared" si="90"/>
        <v>278561.28579226491</v>
      </c>
      <c r="AL219" s="103">
        <f t="shared" si="91"/>
        <v>263268.19360325881</v>
      </c>
      <c r="AN219" s="53">
        <f t="shared" si="92"/>
        <v>32332.390052820381</v>
      </c>
      <c r="AO219" s="53">
        <f t="shared" si="93"/>
        <v>33756.86153851547</v>
      </c>
      <c r="AP219" s="53">
        <f t="shared" si="94"/>
        <v>28155.146080127139</v>
      </c>
      <c r="AQ219" s="53">
        <f t="shared" si="95"/>
        <v>26687.169042775895</v>
      </c>
      <c r="AR219" s="203">
        <f t="shared" si="96"/>
        <v>25297.283545929946</v>
      </c>
      <c r="AY219" s="3"/>
    </row>
    <row r="220" spans="1:51">
      <c r="A220" s="239"/>
      <c r="B220" s="43">
        <f>'13. Desinvesteringen'!B504</f>
        <v>485</v>
      </c>
      <c r="C220" s="54"/>
      <c r="D220" s="54"/>
      <c r="E220" s="54"/>
      <c r="F220" s="48">
        <f>'5. Input GAW-waarde desinv.'!D180</f>
        <v>119705.82972723366</v>
      </c>
      <c r="G220" s="187">
        <f>'13. Desinvesteringen'!D504</f>
        <v>2016</v>
      </c>
      <c r="H220" s="187">
        <f>'13. Desinvesteringen'!G504</f>
        <v>2023</v>
      </c>
      <c r="I220" s="43" t="str">
        <f>'13. Desinvesteringen'!C504</f>
        <v>15 Compressorstations (TT-BT-AT)</v>
      </c>
      <c r="J220" s="176">
        <f>'13. Desinvesteringen'!F504</f>
        <v>0</v>
      </c>
      <c r="K220" s="44">
        <f>_xlfn.XLOOKUP(I220,'3. Input (des)investeringen '!$B$11:$B$81,'3. Input (des)investeringen '!$E$11:$E$81)</f>
        <v>1</v>
      </c>
      <c r="L220" s="54"/>
      <c r="M220" s="44">
        <f>_xlfn.XLOOKUP(I220,'3. Input (des)investeringen '!$B$11:$B$81,'3. Input (des)investeringen '!$D$11:$D$81,0)</f>
        <v>30</v>
      </c>
      <c r="N220" s="44">
        <f t="shared" si="76"/>
        <v>24.5</v>
      </c>
      <c r="P220" s="49">
        <f t="shared" si="97"/>
        <v>5716.5641135046289</v>
      </c>
      <c r="Q220" s="49">
        <f t="shared" si="97"/>
        <v>5413.2362217676491</v>
      </c>
      <c r="R220" s="49">
        <f t="shared" si="97"/>
        <v>5126.003279388141</v>
      </c>
      <c r="S220" s="49">
        <f t="shared" si="97"/>
        <v>4854.0112686450966</v>
      </c>
      <c r="T220" s="103">
        <f t="shared" si="97"/>
        <v>4596.4514870435205</v>
      </c>
      <c r="V220" s="49">
        <f t="shared" si="77"/>
        <v>488.59522337646399</v>
      </c>
      <c r="W220" s="49">
        <f t="shared" si="78"/>
        <v>488.59522337646399</v>
      </c>
      <c r="X220" s="49">
        <f t="shared" si="79"/>
        <v>488.59522337646399</v>
      </c>
      <c r="Y220" s="49">
        <f t="shared" si="80"/>
        <v>488.59522337646399</v>
      </c>
      <c r="Z220" s="103">
        <f t="shared" si="81"/>
        <v>488.59522337646399</v>
      </c>
      <c r="AB220" s="49">
        <f t="shared" si="82"/>
        <v>6205.1593368810927</v>
      </c>
      <c r="AC220" s="49">
        <f t="shared" si="83"/>
        <v>5901.8314451441129</v>
      </c>
      <c r="AD220" s="49">
        <f t="shared" si="84"/>
        <v>5614.5985027646047</v>
      </c>
      <c r="AE220" s="49">
        <f t="shared" si="85"/>
        <v>5342.6064920215604</v>
      </c>
      <c r="AF220" s="103">
        <f t="shared" si="86"/>
        <v>5085.0467104199843</v>
      </c>
      <c r="AH220" s="49">
        <f t="shared" si="87"/>
        <v>113500.67039035258</v>
      </c>
      <c r="AI220" s="49">
        <f t="shared" si="88"/>
        <v>107598.83894520847</v>
      </c>
      <c r="AJ220" s="49">
        <f t="shared" si="89"/>
        <v>101984.24044244386</v>
      </c>
      <c r="AK220" s="49">
        <f t="shared" si="90"/>
        <v>96641.6339504223</v>
      </c>
      <c r="AL220" s="103">
        <f t="shared" si="91"/>
        <v>91556.587240002322</v>
      </c>
      <c r="AN220" s="53">
        <f t="shared" si="92"/>
        <v>10858.686822885549</v>
      </c>
      <c r="AO220" s="53">
        <f t="shared" si="93"/>
        <v>11389.372231349746</v>
      </c>
      <c r="AP220" s="53">
        <f t="shared" si="94"/>
        <v>9489.9996395774706</v>
      </c>
      <c r="AQ220" s="53">
        <f t="shared" si="95"/>
        <v>9014.9885821376083</v>
      </c>
      <c r="AR220" s="203">
        <f t="shared" si="96"/>
        <v>8564.197025540072</v>
      </c>
      <c r="AY220" s="3"/>
    </row>
    <row r="221" spans="1:51">
      <c r="A221" s="239"/>
      <c r="B221" s="43">
        <f>'13. Desinvesteringen'!B505</f>
        <v>486</v>
      </c>
      <c r="C221" s="54"/>
      <c r="D221" s="54"/>
      <c r="E221" s="54"/>
      <c r="F221" s="48">
        <f>'5. Input GAW-waarde desinv.'!D181</f>
        <v>0</v>
      </c>
      <c r="G221" s="187">
        <f>'13. Desinvesteringen'!D505</f>
        <v>1977</v>
      </c>
      <c r="H221" s="187">
        <f>'13. Desinvesteringen'!G505</f>
        <v>2023</v>
      </c>
      <c r="I221" s="43" t="str">
        <f>'13. Desinvesteringen'!C505</f>
        <v>16 LNG installaties</v>
      </c>
      <c r="J221" s="176">
        <f>'13. Desinvesteringen'!F505</f>
        <v>0</v>
      </c>
      <c r="K221" s="44">
        <f>_xlfn.XLOOKUP(I221,'3. Input (des)investeringen '!$B$11:$B$81,'3. Input (des)investeringen '!$E$11:$E$81)</f>
        <v>0</v>
      </c>
      <c r="L221" s="54"/>
      <c r="M221" s="44">
        <f>_xlfn.XLOOKUP(I221,'3. Input (des)investeringen '!$B$11:$B$81,'3. Input (des)investeringen '!$D$11:$D$81,0)</f>
        <v>30</v>
      </c>
      <c r="N221" s="44">
        <f t="shared" si="76"/>
        <v>0</v>
      </c>
      <c r="P221" s="49">
        <f t="shared" si="97"/>
        <v>0</v>
      </c>
      <c r="Q221" s="49">
        <f t="shared" si="97"/>
        <v>0</v>
      </c>
      <c r="R221" s="49">
        <f t="shared" si="97"/>
        <v>0</v>
      </c>
      <c r="S221" s="49">
        <f t="shared" si="97"/>
        <v>0</v>
      </c>
      <c r="T221" s="103">
        <f t="shared" si="97"/>
        <v>0</v>
      </c>
      <c r="V221" s="49">
        <f t="shared" si="77"/>
        <v>0</v>
      </c>
      <c r="W221" s="49">
        <f t="shared" si="78"/>
        <v>0</v>
      </c>
      <c r="X221" s="49">
        <f t="shared" si="79"/>
        <v>0</v>
      </c>
      <c r="Y221" s="49">
        <f t="shared" si="80"/>
        <v>0</v>
      </c>
      <c r="Z221" s="103">
        <f t="shared" si="81"/>
        <v>0</v>
      </c>
      <c r="AB221" s="49">
        <f t="shared" si="82"/>
        <v>0</v>
      </c>
      <c r="AC221" s="49">
        <f t="shared" si="83"/>
        <v>0</v>
      </c>
      <c r="AD221" s="49">
        <f t="shared" si="84"/>
        <v>0</v>
      </c>
      <c r="AE221" s="49">
        <f t="shared" si="85"/>
        <v>0</v>
      </c>
      <c r="AF221" s="103">
        <f t="shared" si="86"/>
        <v>0</v>
      </c>
      <c r="AH221" s="49">
        <f t="shared" si="87"/>
        <v>0</v>
      </c>
      <c r="AI221" s="49">
        <f t="shared" si="88"/>
        <v>0</v>
      </c>
      <c r="AJ221" s="49">
        <f t="shared" si="89"/>
        <v>0</v>
      </c>
      <c r="AK221" s="49">
        <f t="shared" si="90"/>
        <v>0</v>
      </c>
      <c r="AL221" s="103">
        <f t="shared" si="91"/>
        <v>0</v>
      </c>
      <c r="AN221" s="53">
        <f t="shared" si="92"/>
        <v>0</v>
      </c>
      <c r="AO221" s="53">
        <f t="shared" si="93"/>
        <v>0</v>
      </c>
      <c r="AP221" s="53">
        <f t="shared" si="94"/>
        <v>0</v>
      </c>
      <c r="AQ221" s="53">
        <f t="shared" si="95"/>
        <v>0</v>
      </c>
      <c r="AR221" s="203">
        <f t="shared" si="96"/>
        <v>0</v>
      </c>
      <c r="AY221" s="3"/>
    </row>
    <row r="222" spans="1:51">
      <c r="A222" s="239"/>
      <c r="B222" s="43">
        <f>'13. Desinvesteringen'!B506</f>
        <v>487</v>
      </c>
      <c r="C222" s="54"/>
      <c r="D222" s="54"/>
      <c r="E222" s="54"/>
      <c r="F222" s="48">
        <f>'5. Input GAW-waarde desinv.'!D182</f>
        <v>0</v>
      </c>
      <c r="G222" s="187">
        <f>'13. Desinvesteringen'!D506</f>
        <v>1985</v>
      </c>
      <c r="H222" s="187">
        <f>'13. Desinvesteringen'!G506</f>
        <v>2023</v>
      </c>
      <c r="I222" s="43" t="str">
        <f>'13. Desinvesteringen'!C506</f>
        <v>17 Mengstations</v>
      </c>
      <c r="J222" s="176">
        <f>'13. Desinvesteringen'!F506</f>
        <v>0</v>
      </c>
      <c r="K222" s="44">
        <f>_xlfn.XLOOKUP(I222,'3. Input (des)investeringen '!$B$11:$B$81,'3. Input (des)investeringen '!$E$11:$E$81)</f>
        <v>0</v>
      </c>
      <c r="L222" s="54"/>
      <c r="M222" s="44">
        <f>_xlfn.XLOOKUP(I222,'3. Input (des)investeringen '!$B$11:$B$81,'3. Input (des)investeringen '!$D$11:$D$81,0)</f>
        <v>30</v>
      </c>
      <c r="N222" s="44">
        <f t="shared" si="76"/>
        <v>0</v>
      </c>
      <c r="P222" s="49">
        <f t="shared" si="97"/>
        <v>0</v>
      </c>
      <c r="Q222" s="49">
        <f t="shared" si="97"/>
        <v>0</v>
      </c>
      <c r="R222" s="49">
        <f t="shared" si="97"/>
        <v>0</v>
      </c>
      <c r="S222" s="49">
        <f t="shared" si="97"/>
        <v>0</v>
      </c>
      <c r="T222" s="103">
        <f t="shared" si="97"/>
        <v>0</v>
      </c>
      <c r="V222" s="49">
        <f t="shared" si="77"/>
        <v>0</v>
      </c>
      <c r="W222" s="49">
        <f t="shared" si="78"/>
        <v>0</v>
      </c>
      <c r="X222" s="49">
        <f t="shared" si="79"/>
        <v>0</v>
      </c>
      <c r="Y222" s="49">
        <f t="shared" si="80"/>
        <v>0</v>
      </c>
      <c r="Z222" s="103">
        <f t="shared" si="81"/>
        <v>0</v>
      </c>
      <c r="AB222" s="49">
        <f t="shared" si="82"/>
        <v>0</v>
      </c>
      <c r="AC222" s="49">
        <f t="shared" si="83"/>
        <v>0</v>
      </c>
      <c r="AD222" s="49">
        <f t="shared" si="84"/>
        <v>0</v>
      </c>
      <c r="AE222" s="49">
        <f t="shared" si="85"/>
        <v>0</v>
      </c>
      <c r="AF222" s="103">
        <f t="shared" si="86"/>
        <v>0</v>
      </c>
      <c r="AH222" s="49">
        <f t="shared" si="87"/>
        <v>0</v>
      </c>
      <c r="AI222" s="49">
        <f t="shared" si="88"/>
        <v>0</v>
      </c>
      <c r="AJ222" s="49">
        <f t="shared" si="89"/>
        <v>0</v>
      </c>
      <c r="AK222" s="49">
        <f t="shared" si="90"/>
        <v>0</v>
      </c>
      <c r="AL222" s="103">
        <f t="shared" si="91"/>
        <v>0</v>
      </c>
      <c r="AN222" s="53">
        <f t="shared" si="92"/>
        <v>0</v>
      </c>
      <c r="AO222" s="53">
        <f t="shared" si="93"/>
        <v>0</v>
      </c>
      <c r="AP222" s="53">
        <f t="shared" si="94"/>
        <v>0</v>
      </c>
      <c r="AQ222" s="53">
        <f t="shared" si="95"/>
        <v>0</v>
      </c>
      <c r="AR222" s="203">
        <f t="shared" si="96"/>
        <v>0</v>
      </c>
      <c r="AY222" s="3"/>
    </row>
    <row r="223" spans="1:51">
      <c r="A223" s="239"/>
      <c r="B223" s="43">
        <f>'13. Desinvesteringen'!B507</f>
        <v>488</v>
      </c>
      <c r="C223" s="54"/>
      <c r="D223" s="54"/>
      <c r="E223" s="54"/>
      <c r="F223" s="48">
        <f>'5. Input GAW-waarde desinv.'!D183</f>
        <v>0</v>
      </c>
      <c r="G223" s="187">
        <f>'13. Desinvesteringen'!D507</f>
        <v>1988</v>
      </c>
      <c r="H223" s="187">
        <f>'13. Desinvesteringen'!G507</f>
        <v>2023</v>
      </c>
      <c r="I223" s="43" t="str">
        <f>'13. Desinvesteringen'!C507</f>
        <v>17 Mengstations</v>
      </c>
      <c r="J223" s="176">
        <f>'13. Desinvesteringen'!F507</f>
        <v>0</v>
      </c>
      <c r="K223" s="44">
        <f>_xlfn.XLOOKUP(I223,'3. Input (des)investeringen '!$B$11:$B$81,'3. Input (des)investeringen '!$E$11:$E$81)</f>
        <v>0</v>
      </c>
      <c r="L223" s="54"/>
      <c r="M223" s="44">
        <f>_xlfn.XLOOKUP(I223,'3. Input (des)investeringen '!$B$11:$B$81,'3. Input (des)investeringen '!$D$11:$D$81,0)</f>
        <v>30</v>
      </c>
      <c r="N223" s="44">
        <f t="shared" si="76"/>
        <v>0</v>
      </c>
      <c r="P223" s="49">
        <f t="shared" si="97"/>
        <v>0</v>
      </c>
      <c r="Q223" s="49">
        <f t="shared" si="97"/>
        <v>0</v>
      </c>
      <c r="R223" s="49">
        <f t="shared" si="97"/>
        <v>0</v>
      </c>
      <c r="S223" s="49">
        <f t="shared" si="97"/>
        <v>0</v>
      </c>
      <c r="T223" s="103">
        <f t="shared" si="97"/>
        <v>0</v>
      </c>
      <c r="V223" s="49">
        <f t="shared" si="77"/>
        <v>0</v>
      </c>
      <c r="W223" s="49">
        <f t="shared" si="78"/>
        <v>0</v>
      </c>
      <c r="X223" s="49">
        <f t="shared" si="79"/>
        <v>0</v>
      </c>
      <c r="Y223" s="49">
        <f t="shared" si="80"/>
        <v>0</v>
      </c>
      <c r="Z223" s="103">
        <f t="shared" si="81"/>
        <v>0</v>
      </c>
      <c r="AB223" s="49">
        <f t="shared" si="82"/>
        <v>0</v>
      </c>
      <c r="AC223" s="49">
        <f t="shared" si="83"/>
        <v>0</v>
      </c>
      <c r="AD223" s="49">
        <f t="shared" si="84"/>
        <v>0</v>
      </c>
      <c r="AE223" s="49">
        <f t="shared" si="85"/>
        <v>0</v>
      </c>
      <c r="AF223" s="103">
        <f t="shared" si="86"/>
        <v>0</v>
      </c>
      <c r="AH223" s="49">
        <f t="shared" si="87"/>
        <v>0</v>
      </c>
      <c r="AI223" s="49">
        <f t="shared" si="88"/>
        <v>0</v>
      </c>
      <c r="AJ223" s="49">
        <f t="shared" si="89"/>
        <v>0</v>
      </c>
      <c r="AK223" s="49">
        <f t="shared" si="90"/>
        <v>0</v>
      </c>
      <c r="AL223" s="103">
        <f t="shared" si="91"/>
        <v>0</v>
      </c>
      <c r="AN223" s="53">
        <f t="shared" si="92"/>
        <v>0</v>
      </c>
      <c r="AO223" s="53">
        <f t="shared" si="93"/>
        <v>0</v>
      </c>
      <c r="AP223" s="53">
        <f t="shared" si="94"/>
        <v>0</v>
      </c>
      <c r="AQ223" s="53">
        <f t="shared" si="95"/>
        <v>0</v>
      </c>
      <c r="AR223" s="203">
        <f t="shared" si="96"/>
        <v>0</v>
      </c>
      <c r="AY223" s="3"/>
    </row>
    <row r="224" spans="1:51">
      <c r="A224" s="239"/>
      <c r="B224" s="43">
        <f>'13. Desinvesteringen'!B508</f>
        <v>489</v>
      </c>
      <c r="C224" s="54"/>
      <c r="D224" s="54"/>
      <c r="E224" s="54"/>
      <c r="F224" s="48">
        <f>'5. Input GAW-waarde desinv.'!D184</f>
        <v>0</v>
      </c>
      <c r="G224" s="187">
        <f>'13. Desinvesteringen'!D508</f>
        <v>1990</v>
      </c>
      <c r="H224" s="187">
        <f>'13. Desinvesteringen'!G508</f>
        <v>2023</v>
      </c>
      <c r="I224" s="43" t="str">
        <f>'13. Desinvesteringen'!C508</f>
        <v>17 Mengstations</v>
      </c>
      <c r="J224" s="176">
        <f>'13. Desinvesteringen'!F508</f>
        <v>0</v>
      </c>
      <c r="K224" s="44">
        <f>_xlfn.XLOOKUP(I224,'3. Input (des)investeringen '!$B$11:$B$81,'3. Input (des)investeringen '!$E$11:$E$81)</f>
        <v>0</v>
      </c>
      <c r="L224" s="54"/>
      <c r="M224" s="44">
        <f>_xlfn.XLOOKUP(I224,'3. Input (des)investeringen '!$B$11:$B$81,'3. Input (des)investeringen '!$D$11:$D$81,0)</f>
        <v>30</v>
      </c>
      <c r="N224" s="44">
        <f t="shared" si="76"/>
        <v>0</v>
      </c>
      <c r="P224" s="49">
        <f t="shared" si="97"/>
        <v>0</v>
      </c>
      <c r="Q224" s="49">
        <f t="shared" si="97"/>
        <v>0</v>
      </c>
      <c r="R224" s="49">
        <f t="shared" si="97"/>
        <v>0</v>
      </c>
      <c r="S224" s="49">
        <f t="shared" si="97"/>
        <v>0</v>
      </c>
      <c r="T224" s="103">
        <f t="shared" si="97"/>
        <v>0</v>
      </c>
      <c r="V224" s="49">
        <f t="shared" si="77"/>
        <v>0</v>
      </c>
      <c r="W224" s="49">
        <f t="shared" si="78"/>
        <v>0</v>
      </c>
      <c r="X224" s="49">
        <f t="shared" si="79"/>
        <v>0</v>
      </c>
      <c r="Y224" s="49">
        <f t="shared" si="80"/>
        <v>0</v>
      </c>
      <c r="Z224" s="103">
        <f t="shared" si="81"/>
        <v>0</v>
      </c>
      <c r="AB224" s="49">
        <f t="shared" si="82"/>
        <v>0</v>
      </c>
      <c r="AC224" s="49">
        <f t="shared" si="83"/>
        <v>0</v>
      </c>
      <c r="AD224" s="49">
        <f t="shared" si="84"/>
        <v>0</v>
      </c>
      <c r="AE224" s="49">
        <f t="shared" si="85"/>
        <v>0</v>
      </c>
      <c r="AF224" s="103">
        <f t="shared" si="86"/>
        <v>0</v>
      </c>
      <c r="AH224" s="49">
        <f t="shared" si="87"/>
        <v>0</v>
      </c>
      <c r="AI224" s="49">
        <f t="shared" si="88"/>
        <v>0</v>
      </c>
      <c r="AJ224" s="49">
        <f t="shared" si="89"/>
        <v>0</v>
      </c>
      <c r="AK224" s="49">
        <f t="shared" si="90"/>
        <v>0</v>
      </c>
      <c r="AL224" s="103">
        <f t="shared" si="91"/>
        <v>0</v>
      </c>
      <c r="AN224" s="53">
        <f t="shared" si="92"/>
        <v>0</v>
      </c>
      <c r="AO224" s="53">
        <f t="shared" si="93"/>
        <v>0</v>
      </c>
      <c r="AP224" s="53">
        <f t="shared" si="94"/>
        <v>0</v>
      </c>
      <c r="AQ224" s="53">
        <f t="shared" si="95"/>
        <v>0</v>
      </c>
      <c r="AR224" s="203">
        <f t="shared" si="96"/>
        <v>0</v>
      </c>
      <c r="AY224" s="3"/>
    </row>
    <row r="225" spans="1:51">
      <c r="A225" s="239"/>
      <c r="B225" s="43">
        <f>'13. Desinvesteringen'!B509</f>
        <v>490</v>
      </c>
      <c r="C225" s="54"/>
      <c r="D225" s="54"/>
      <c r="E225" s="54"/>
      <c r="F225" s="48">
        <f>'5. Input GAW-waarde desinv.'!D185</f>
        <v>165539.3694759488</v>
      </c>
      <c r="G225" s="187">
        <f>'13. Desinvesteringen'!D509</f>
        <v>1992</v>
      </c>
      <c r="H225" s="187">
        <f>'13. Desinvesteringen'!G509</f>
        <v>2023</v>
      </c>
      <c r="I225" s="43" t="str">
        <f>'13. Desinvesteringen'!C509</f>
        <v>17 Mengstations</v>
      </c>
      <c r="J225" s="176">
        <f>'13. Desinvesteringen'!F509</f>
        <v>0</v>
      </c>
      <c r="K225" s="44">
        <f>_xlfn.XLOOKUP(I225,'3. Input (des)investeringen '!$B$11:$B$81,'3. Input (des)investeringen '!$E$11:$E$81)</f>
        <v>0</v>
      </c>
      <c r="L225" s="54"/>
      <c r="M225" s="44">
        <f>_xlfn.XLOOKUP(I225,'3. Input (des)investeringen '!$B$11:$B$81,'3. Input (des)investeringen '!$D$11:$D$81,0)</f>
        <v>30</v>
      </c>
      <c r="N225" s="44">
        <f t="shared" si="76"/>
        <v>0.5</v>
      </c>
      <c r="P225" s="49">
        <f t="shared" si="97"/>
        <v>148985.43252835394</v>
      </c>
      <c r="Q225" s="49">
        <f t="shared" si="97"/>
        <v>0</v>
      </c>
      <c r="R225" s="49">
        <f t="shared" si="97"/>
        <v>0</v>
      </c>
      <c r="S225" s="49">
        <f t="shared" si="97"/>
        <v>0</v>
      </c>
      <c r="T225" s="103">
        <f t="shared" si="97"/>
        <v>0</v>
      </c>
      <c r="V225" s="49">
        <f t="shared" si="77"/>
        <v>16553.936947594881</v>
      </c>
      <c r="W225" s="49">
        <f t="shared" si="78"/>
        <v>0</v>
      </c>
      <c r="X225" s="49">
        <f t="shared" si="79"/>
        <v>0</v>
      </c>
      <c r="Y225" s="49">
        <f t="shared" si="80"/>
        <v>0</v>
      </c>
      <c r="Z225" s="103">
        <f t="shared" si="81"/>
        <v>0</v>
      </c>
      <c r="AB225" s="49">
        <f t="shared" si="82"/>
        <v>165539.36947594883</v>
      </c>
      <c r="AC225" s="49">
        <f t="shared" si="83"/>
        <v>0</v>
      </c>
      <c r="AD225" s="49">
        <f t="shared" si="84"/>
        <v>0</v>
      </c>
      <c r="AE225" s="49">
        <f t="shared" si="85"/>
        <v>0</v>
      </c>
      <c r="AF225" s="103">
        <f t="shared" si="86"/>
        <v>0</v>
      </c>
      <c r="AH225" s="49">
        <f t="shared" si="87"/>
        <v>0</v>
      </c>
      <c r="AI225" s="49">
        <f t="shared" si="88"/>
        <v>0</v>
      </c>
      <c r="AJ225" s="49">
        <f t="shared" si="89"/>
        <v>0</v>
      </c>
      <c r="AK225" s="49">
        <f t="shared" si="90"/>
        <v>0</v>
      </c>
      <c r="AL225" s="103">
        <f t="shared" si="91"/>
        <v>0</v>
      </c>
      <c r="AN225" s="53">
        <f t="shared" si="92"/>
        <v>165539.36947594883</v>
      </c>
      <c r="AO225" s="53">
        <f t="shared" si="93"/>
        <v>0</v>
      </c>
      <c r="AP225" s="53">
        <f t="shared" si="94"/>
        <v>0</v>
      </c>
      <c r="AQ225" s="53">
        <f t="shared" si="95"/>
        <v>0</v>
      </c>
      <c r="AR225" s="203">
        <f t="shared" si="96"/>
        <v>0</v>
      </c>
      <c r="AY225" s="3"/>
    </row>
    <row r="226" spans="1:51">
      <c r="A226" s="239"/>
      <c r="B226" s="43">
        <f>'13. Desinvesteringen'!B510</f>
        <v>491</v>
      </c>
      <c r="C226" s="54"/>
      <c r="D226" s="54"/>
      <c r="E226" s="54"/>
      <c r="F226" s="48">
        <f>'5. Input GAW-waarde desinv.'!D186</f>
        <v>487022.63956122473</v>
      </c>
      <c r="G226" s="187">
        <f>'13. Desinvesteringen'!D510</f>
        <v>1995</v>
      </c>
      <c r="H226" s="187">
        <f>'13. Desinvesteringen'!G510</f>
        <v>2023</v>
      </c>
      <c r="I226" s="43" t="str">
        <f>'13. Desinvesteringen'!C510</f>
        <v>17 Mengstations</v>
      </c>
      <c r="J226" s="176">
        <f>'13. Desinvesteringen'!F510</f>
        <v>0</v>
      </c>
      <c r="K226" s="44">
        <f>_xlfn.XLOOKUP(I226,'3. Input (des)investeringen '!$B$11:$B$81,'3. Input (des)investeringen '!$E$11:$E$81)</f>
        <v>0</v>
      </c>
      <c r="L226" s="54"/>
      <c r="M226" s="44">
        <f>_xlfn.XLOOKUP(I226,'3. Input (des)investeringen '!$B$11:$B$81,'3. Input (des)investeringen '!$D$11:$D$81,0)</f>
        <v>30</v>
      </c>
      <c r="N226" s="44">
        <f t="shared" si="76"/>
        <v>3.5</v>
      </c>
      <c r="P226" s="49">
        <f t="shared" si="97"/>
        <v>162804.71093903799</v>
      </c>
      <c r="Q226" s="49">
        <f t="shared" si="97"/>
        <v>110206.26586642572</v>
      </c>
      <c r="R226" s="49">
        <f t="shared" si="97"/>
        <v>110206.26586642572</v>
      </c>
      <c r="S226" s="49">
        <f t="shared" si="97"/>
        <v>55103.132933212859</v>
      </c>
      <c r="T226" s="103">
        <f t="shared" si="97"/>
        <v>0</v>
      </c>
      <c r="V226" s="49">
        <f t="shared" si="77"/>
        <v>13914.932558892135</v>
      </c>
      <c r="W226" s="49">
        <f t="shared" si="78"/>
        <v>13914.932558892138</v>
      </c>
      <c r="X226" s="49">
        <f t="shared" si="79"/>
        <v>13914.932558892138</v>
      </c>
      <c r="Y226" s="49">
        <f t="shared" si="80"/>
        <v>6957.4662794460692</v>
      </c>
      <c r="Z226" s="103">
        <f t="shared" si="81"/>
        <v>0</v>
      </c>
      <c r="AB226" s="49">
        <f t="shared" si="82"/>
        <v>176719.64349793014</v>
      </c>
      <c r="AC226" s="49">
        <f t="shared" si="83"/>
        <v>124121.19842531785</v>
      </c>
      <c r="AD226" s="49">
        <f t="shared" si="84"/>
        <v>124121.19842531785</v>
      </c>
      <c r="AE226" s="49">
        <f t="shared" si="85"/>
        <v>62060.599212658926</v>
      </c>
      <c r="AF226" s="103">
        <f t="shared" si="86"/>
        <v>0</v>
      </c>
      <c r="AH226" s="49">
        <f t="shared" si="87"/>
        <v>310302.99606329459</v>
      </c>
      <c r="AI226" s="49">
        <f t="shared" si="88"/>
        <v>186181.79763797674</v>
      </c>
      <c r="AJ226" s="49">
        <f t="shared" si="89"/>
        <v>62060.599212658883</v>
      </c>
      <c r="AK226" s="49">
        <f t="shared" si="90"/>
        <v>0</v>
      </c>
      <c r="AL226" s="103">
        <f t="shared" si="91"/>
        <v>0</v>
      </c>
      <c r="AN226" s="53">
        <f t="shared" si="92"/>
        <v>189442.06633652523</v>
      </c>
      <c r="AO226" s="53">
        <f t="shared" si="93"/>
        <v>133616.47010485467</v>
      </c>
      <c r="AP226" s="53">
        <f t="shared" si="94"/>
        <v>126479.50119539889</v>
      </c>
      <c r="AQ226" s="53">
        <f t="shared" si="95"/>
        <v>62060.599212658926</v>
      </c>
      <c r="AR226" s="203">
        <f t="shared" si="96"/>
        <v>0</v>
      </c>
      <c r="AY226" s="3"/>
    </row>
    <row r="227" spans="1:51">
      <c r="A227" s="239"/>
      <c r="B227" s="43">
        <f>'13. Desinvesteringen'!B511</f>
        <v>492</v>
      </c>
      <c r="C227" s="54"/>
      <c r="D227" s="54"/>
      <c r="E227" s="54"/>
      <c r="F227" s="48">
        <f>'5. Input GAW-waarde desinv.'!D187</f>
        <v>2791.7858330904492</v>
      </c>
      <c r="G227" s="187">
        <f>'13. Desinvesteringen'!D511</f>
        <v>1996</v>
      </c>
      <c r="H227" s="187">
        <f>'13. Desinvesteringen'!G511</f>
        <v>2023</v>
      </c>
      <c r="I227" s="43" t="str">
        <f>'13. Desinvesteringen'!C511</f>
        <v>17 Mengstations</v>
      </c>
      <c r="J227" s="176">
        <f>'13. Desinvesteringen'!F511</f>
        <v>0</v>
      </c>
      <c r="K227" s="44">
        <f>_xlfn.XLOOKUP(I227,'3. Input (des)investeringen '!$B$11:$B$81,'3. Input (des)investeringen '!$E$11:$E$81)</f>
        <v>0</v>
      </c>
      <c r="L227" s="54"/>
      <c r="M227" s="44">
        <f>_xlfn.XLOOKUP(I227,'3. Input (des)investeringen '!$B$11:$B$81,'3. Input (des)investeringen '!$D$11:$D$81,0)</f>
        <v>30</v>
      </c>
      <c r="N227" s="44">
        <f t="shared" si="76"/>
        <v>4.5</v>
      </c>
      <c r="P227" s="49">
        <f t="shared" si="97"/>
        <v>725.86431660351684</v>
      </c>
      <c r="Q227" s="49">
        <f t="shared" si="97"/>
        <v>516.17018069583412</v>
      </c>
      <c r="R227" s="49">
        <f t="shared" si="97"/>
        <v>508.22910099282126</v>
      </c>
      <c r="S227" s="49">
        <f t="shared" si="97"/>
        <v>508.22910099282126</v>
      </c>
      <c r="T227" s="103">
        <f t="shared" si="97"/>
        <v>254.11455049641063</v>
      </c>
      <c r="V227" s="49">
        <f t="shared" si="77"/>
        <v>62.039685179787767</v>
      </c>
      <c r="W227" s="49">
        <f t="shared" si="78"/>
        <v>62.039685179787767</v>
      </c>
      <c r="X227" s="49">
        <f t="shared" si="79"/>
        <v>62.039685179787767</v>
      </c>
      <c r="Y227" s="49">
        <f t="shared" si="80"/>
        <v>62.039685179787767</v>
      </c>
      <c r="Z227" s="103">
        <f t="shared" si="81"/>
        <v>31.019842589893884</v>
      </c>
      <c r="AB227" s="49">
        <f t="shared" si="82"/>
        <v>787.90400178330458</v>
      </c>
      <c r="AC227" s="49">
        <f t="shared" si="83"/>
        <v>578.20986587562186</v>
      </c>
      <c r="AD227" s="49">
        <f t="shared" si="84"/>
        <v>570.268786172609</v>
      </c>
      <c r="AE227" s="49">
        <f t="shared" si="85"/>
        <v>570.268786172609</v>
      </c>
      <c r="AF227" s="103">
        <f t="shared" si="86"/>
        <v>285.1343930863045</v>
      </c>
      <c r="AH227" s="49">
        <f t="shared" si="87"/>
        <v>2003.8818313071447</v>
      </c>
      <c r="AI227" s="49">
        <f t="shared" si="88"/>
        <v>1425.6719654315229</v>
      </c>
      <c r="AJ227" s="49">
        <f t="shared" si="89"/>
        <v>855.40317925891395</v>
      </c>
      <c r="AK227" s="49">
        <f t="shared" si="90"/>
        <v>285.13439308630495</v>
      </c>
      <c r="AL227" s="103">
        <f t="shared" si="91"/>
        <v>0</v>
      </c>
      <c r="AN227" s="53">
        <f t="shared" si="92"/>
        <v>870.06315686689754</v>
      </c>
      <c r="AO227" s="53">
        <f t="shared" si="93"/>
        <v>650.91913611262953</v>
      </c>
      <c r="AP227" s="53">
        <f t="shared" si="94"/>
        <v>602.77410698444771</v>
      </c>
      <c r="AQ227" s="53">
        <f t="shared" si="95"/>
        <v>581.10389310988853</v>
      </c>
      <c r="AR227" s="203">
        <f t="shared" si="96"/>
        <v>285.1343930863045</v>
      </c>
      <c r="AY227" s="3"/>
    </row>
    <row r="228" spans="1:51">
      <c r="A228" s="239"/>
      <c r="B228" s="43">
        <f>'13. Desinvesteringen'!B512</f>
        <v>493</v>
      </c>
      <c r="C228" s="54"/>
      <c r="D228" s="54"/>
      <c r="E228" s="54"/>
      <c r="F228" s="48">
        <f>'5. Input GAW-waarde desinv.'!D188</f>
        <v>9448.553239950219</v>
      </c>
      <c r="G228" s="187">
        <f>'13. Desinvesteringen'!D512</f>
        <v>1998</v>
      </c>
      <c r="H228" s="187">
        <f>'13. Desinvesteringen'!G512</f>
        <v>2023</v>
      </c>
      <c r="I228" s="43" t="str">
        <f>'13. Desinvesteringen'!C512</f>
        <v>17 Mengstations</v>
      </c>
      <c r="J228" s="176">
        <f>'13. Desinvesteringen'!F512</f>
        <v>0</v>
      </c>
      <c r="K228" s="44">
        <f>_xlfn.XLOOKUP(I228,'3. Input (des)investeringen '!$B$11:$B$81,'3. Input (des)investeringen '!$E$11:$E$81)</f>
        <v>0</v>
      </c>
      <c r="L228" s="54"/>
      <c r="M228" s="44">
        <f>_xlfn.XLOOKUP(I228,'3. Input (des)investeringen '!$B$11:$B$81,'3. Input (des)investeringen '!$D$11:$D$81,0)</f>
        <v>30</v>
      </c>
      <c r="N228" s="44">
        <f t="shared" si="76"/>
        <v>6.5</v>
      </c>
      <c r="P228" s="49">
        <f t="shared" si="97"/>
        <v>1700.7395831910396</v>
      </c>
      <c r="Q228" s="49">
        <f t="shared" si="97"/>
        <v>1360.5916665528316</v>
      </c>
      <c r="R228" s="49">
        <f t="shared" si="97"/>
        <v>1209.4148147136282</v>
      </c>
      <c r="S228" s="49">
        <f t="shared" si="97"/>
        <v>1209.4148147136282</v>
      </c>
      <c r="T228" s="103">
        <f t="shared" si="97"/>
        <v>1209.4148147136282</v>
      </c>
      <c r="V228" s="49">
        <f t="shared" si="77"/>
        <v>145.36235753769569</v>
      </c>
      <c r="W228" s="49">
        <f t="shared" si="78"/>
        <v>145.36235753769569</v>
      </c>
      <c r="X228" s="49">
        <f t="shared" si="79"/>
        <v>145.36235753769569</v>
      </c>
      <c r="Y228" s="49">
        <f t="shared" si="80"/>
        <v>145.36235753769569</v>
      </c>
      <c r="Z228" s="103">
        <f t="shared" si="81"/>
        <v>145.36235753769569</v>
      </c>
      <c r="AB228" s="49">
        <f t="shared" si="82"/>
        <v>1846.1019407287354</v>
      </c>
      <c r="AC228" s="49">
        <f t="shared" si="83"/>
        <v>1505.9540240905274</v>
      </c>
      <c r="AD228" s="49">
        <f t="shared" si="84"/>
        <v>1354.7771722513239</v>
      </c>
      <c r="AE228" s="49">
        <f t="shared" si="85"/>
        <v>1354.7771722513239</v>
      </c>
      <c r="AF228" s="103">
        <f t="shared" si="86"/>
        <v>1354.7771722513239</v>
      </c>
      <c r="AH228" s="49">
        <f t="shared" si="87"/>
        <v>7602.4512992214841</v>
      </c>
      <c r="AI228" s="49">
        <f t="shared" si="88"/>
        <v>6096.497275130957</v>
      </c>
      <c r="AJ228" s="49">
        <f t="shared" si="89"/>
        <v>4741.7201028796335</v>
      </c>
      <c r="AK228" s="49">
        <f t="shared" si="90"/>
        <v>3386.9429306283096</v>
      </c>
      <c r="AL228" s="103">
        <f t="shared" si="91"/>
        <v>2032.1657583769857</v>
      </c>
      <c r="AN228" s="53">
        <f t="shared" si="92"/>
        <v>2157.8024439968162</v>
      </c>
      <c r="AO228" s="53">
        <f t="shared" si="93"/>
        <v>1816.8753851222061</v>
      </c>
      <c r="AP228" s="53">
        <f t="shared" si="94"/>
        <v>1534.96253616075</v>
      </c>
      <c r="AQ228" s="53">
        <f t="shared" si="95"/>
        <v>1483.4810036151996</v>
      </c>
      <c r="AR228" s="203">
        <f t="shared" si="96"/>
        <v>1431.9994710696494</v>
      </c>
      <c r="AY228" s="3"/>
    </row>
    <row r="229" spans="1:51">
      <c r="A229" s="239"/>
      <c r="B229" s="43">
        <f>'13. Desinvesteringen'!B513</f>
        <v>494</v>
      </c>
      <c r="C229" s="54"/>
      <c r="D229" s="54"/>
      <c r="E229" s="54"/>
      <c r="F229" s="48">
        <f>'5. Input GAW-waarde desinv.'!D189</f>
        <v>124976.62709455805</v>
      </c>
      <c r="G229" s="187">
        <f>'13. Desinvesteringen'!D513</f>
        <v>2001</v>
      </c>
      <c r="H229" s="187">
        <f>'13. Desinvesteringen'!G513</f>
        <v>2023</v>
      </c>
      <c r="I229" s="43" t="str">
        <f>'13. Desinvesteringen'!C513</f>
        <v>17 Mengstations</v>
      </c>
      <c r="J229" s="176">
        <f>'13. Desinvesteringen'!F513</f>
        <v>0</v>
      </c>
      <c r="K229" s="44">
        <f>_xlfn.XLOOKUP(I229,'3. Input (des)investeringen '!$B$11:$B$81,'3. Input (des)investeringen '!$E$11:$E$81)</f>
        <v>0</v>
      </c>
      <c r="L229" s="54"/>
      <c r="M229" s="44">
        <f>_xlfn.XLOOKUP(I229,'3. Input (des)investeringen '!$B$11:$B$81,'3. Input (des)investeringen '!$D$11:$D$81,0)</f>
        <v>30</v>
      </c>
      <c r="N229" s="44">
        <f t="shared" si="76"/>
        <v>9.5</v>
      </c>
      <c r="P229" s="49">
        <f t="shared" si="97"/>
        <v>15391.85828427715</v>
      </c>
      <c r="Q229" s="49">
        <f t="shared" si="97"/>
        <v>13285.603992744487</v>
      </c>
      <c r="R229" s="49">
        <f t="shared" si="97"/>
        <v>11467.573972684715</v>
      </c>
      <c r="S229" s="49">
        <f t="shared" si="97"/>
        <v>11128.296636214753</v>
      </c>
      <c r="T229" s="103">
        <f t="shared" si="97"/>
        <v>11128.296636214753</v>
      </c>
      <c r="V229" s="49">
        <f t="shared" si="77"/>
        <v>1315.5434431006111</v>
      </c>
      <c r="W229" s="49">
        <f t="shared" si="78"/>
        <v>1315.5434431006111</v>
      </c>
      <c r="X229" s="49">
        <f t="shared" si="79"/>
        <v>1315.5434431006111</v>
      </c>
      <c r="Y229" s="49">
        <f t="shared" si="80"/>
        <v>1315.5434431006111</v>
      </c>
      <c r="Z229" s="103">
        <f t="shared" si="81"/>
        <v>1315.5434431006111</v>
      </c>
      <c r="AB229" s="49">
        <f t="shared" si="82"/>
        <v>16707.401727377761</v>
      </c>
      <c r="AC229" s="49">
        <f t="shared" si="83"/>
        <v>14601.147435845098</v>
      </c>
      <c r="AD229" s="49">
        <f t="shared" si="84"/>
        <v>12783.117415785326</v>
      </c>
      <c r="AE229" s="49">
        <f t="shared" si="85"/>
        <v>12443.840079315363</v>
      </c>
      <c r="AF229" s="103">
        <f t="shared" si="86"/>
        <v>12443.840079315363</v>
      </c>
      <c r="AH229" s="49">
        <f t="shared" si="87"/>
        <v>108269.22536718029</v>
      </c>
      <c r="AI229" s="49">
        <f t="shared" si="88"/>
        <v>93668.077931335196</v>
      </c>
      <c r="AJ229" s="49">
        <f t="shared" si="89"/>
        <v>80884.960515549872</v>
      </c>
      <c r="AK229" s="49">
        <f t="shared" si="90"/>
        <v>68441.120436234516</v>
      </c>
      <c r="AL229" s="103">
        <f t="shared" si="91"/>
        <v>55997.280356919153</v>
      </c>
      <c r="AN229" s="53">
        <f t="shared" si="92"/>
        <v>21146.439967432154</v>
      </c>
      <c r="AO229" s="53">
        <f t="shared" si="93"/>
        <v>19378.21941034319</v>
      </c>
      <c r="AP229" s="53">
        <f t="shared" si="94"/>
        <v>15856.745915376221</v>
      </c>
      <c r="AQ229" s="53">
        <f t="shared" si="95"/>
        <v>15044.602655892275</v>
      </c>
      <c r="AR229" s="203">
        <f t="shared" si="96"/>
        <v>14571.736732878291</v>
      </c>
      <c r="AY229" s="3"/>
    </row>
    <row r="230" spans="1:51">
      <c r="A230" s="239"/>
      <c r="B230" s="43">
        <f>'13. Desinvesteringen'!B514</f>
        <v>495</v>
      </c>
      <c r="C230" s="54"/>
      <c r="D230" s="54"/>
      <c r="E230" s="54"/>
      <c r="F230" s="48">
        <f>'5. Input GAW-waarde desinv.'!D190</f>
        <v>18067.471447845164</v>
      </c>
      <c r="G230" s="187">
        <f>'13. Desinvesteringen'!D514</f>
        <v>2003</v>
      </c>
      <c r="H230" s="187">
        <f>'13. Desinvesteringen'!G514</f>
        <v>2023</v>
      </c>
      <c r="I230" s="43" t="str">
        <f>'13. Desinvesteringen'!C514</f>
        <v>17 Mengstations</v>
      </c>
      <c r="J230" s="176">
        <f>'13. Desinvesteringen'!F514</f>
        <v>0</v>
      </c>
      <c r="K230" s="44">
        <f>_xlfn.XLOOKUP(I230,'3. Input (des)investeringen '!$B$11:$B$81,'3. Input (des)investeringen '!$E$11:$E$81)</f>
        <v>0</v>
      </c>
      <c r="L230" s="54"/>
      <c r="M230" s="44">
        <f>_xlfn.XLOOKUP(I230,'3. Input (des)investeringen '!$B$11:$B$81,'3. Input (des)investeringen '!$D$11:$D$81,0)</f>
        <v>30</v>
      </c>
      <c r="N230" s="44">
        <f t="shared" si="76"/>
        <v>11.5</v>
      </c>
      <c r="P230" s="49">
        <f t="shared" si="97"/>
        <v>1838.1688342590298</v>
      </c>
      <c r="Q230" s="49">
        <f t="shared" si="97"/>
        <v>1630.3758356036612</v>
      </c>
      <c r="R230" s="49">
        <f t="shared" si="97"/>
        <v>1446.0724802745515</v>
      </c>
      <c r="S230" s="49">
        <f t="shared" si="97"/>
        <v>1334.8361356380476</v>
      </c>
      <c r="T230" s="103">
        <f t="shared" si="97"/>
        <v>1334.8361356380476</v>
      </c>
      <c r="V230" s="49">
        <f t="shared" si="77"/>
        <v>157.10844737256664</v>
      </c>
      <c r="W230" s="49">
        <f t="shared" si="78"/>
        <v>157.10844737256664</v>
      </c>
      <c r="X230" s="49">
        <f t="shared" si="79"/>
        <v>157.10844737256664</v>
      </c>
      <c r="Y230" s="49">
        <f t="shared" si="80"/>
        <v>157.10844737256664</v>
      </c>
      <c r="Z230" s="103">
        <f t="shared" si="81"/>
        <v>157.10844737256664</v>
      </c>
      <c r="AB230" s="49">
        <f t="shared" si="82"/>
        <v>1995.2772816315965</v>
      </c>
      <c r="AC230" s="49">
        <f t="shared" si="83"/>
        <v>1787.4842829762279</v>
      </c>
      <c r="AD230" s="49">
        <f t="shared" si="84"/>
        <v>1603.1809276471181</v>
      </c>
      <c r="AE230" s="49">
        <f t="shared" si="85"/>
        <v>1491.9445830106142</v>
      </c>
      <c r="AF230" s="103">
        <f t="shared" si="86"/>
        <v>1491.9445830106142</v>
      </c>
      <c r="AH230" s="49">
        <f t="shared" si="87"/>
        <v>16072.194166213569</v>
      </c>
      <c r="AI230" s="49">
        <f t="shared" si="88"/>
        <v>14284.709883237341</v>
      </c>
      <c r="AJ230" s="49">
        <f t="shared" si="89"/>
        <v>12681.528955590224</v>
      </c>
      <c r="AK230" s="49">
        <f t="shared" si="90"/>
        <v>11189.584372579609</v>
      </c>
      <c r="AL230" s="103">
        <f t="shared" si="91"/>
        <v>9697.6397895689952</v>
      </c>
      <c r="AN230" s="53">
        <f t="shared" si="92"/>
        <v>2654.2372424463529</v>
      </c>
      <c r="AO230" s="53">
        <f t="shared" si="93"/>
        <v>2516.0044870213324</v>
      </c>
      <c r="AP230" s="53">
        <f t="shared" si="94"/>
        <v>2085.0790279595467</v>
      </c>
      <c r="AQ230" s="53">
        <f t="shared" si="95"/>
        <v>1917.1487891686393</v>
      </c>
      <c r="AR230" s="203">
        <f t="shared" si="96"/>
        <v>1860.4548950142362</v>
      </c>
      <c r="AY230" s="3"/>
    </row>
    <row r="231" spans="1:51">
      <c r="A231" s="239"/>
      <c r="B231" s="43">
        <f>'13. Desinvesteringen'!B515</f>
        <v>496</v>
      </c>
      <c r="C231" s="54"/>
      <c r="D231" s="54"/>
      <c r="E231" s="54"/>
      <c r="F231" s="48">
        <f>'5. Input GAW-waarde desinv.'!D191</f>
        <v>24745.075221292602</v>
      </c>
      <c r="G231" s="187">
        <f>'13. Desinvesteringen'!D515</f>
        <v>2004</v>
      </c>
      <c r="H231" s="187">
        <f>'13. Desinvesteringen'!G515</f>
        <v>2023</v>
      </c>
      <c r="I231" s="43" t="str">
        <f>'13. Desinvesteringen'!C515</f>
        <v>17 Mengstations</v>
      </c>
      <c r="J231" s="176">
        <f>'13. Desinvesteringen'!F515</f>
        <v>0</v>
      </c>
      <c r="K231" s="44">
        <f>_xlfn.XLOOKUP(I231,'3. Input (des)investeringen '!$B$11:$B$81,'3. Input (des)investeringen '!$E$11:$E$81)</f>
        <v>0</v>
      </c>
      <c r="L231" s="54"/>
      <c r="M231" s="44">
        <f>_xlfn.XLOOKUP(I231,'3. Input (des)investeringen '!$B$11:$B$81,'3. Input (des)investeringen '!$D$11:$D$81,0)</f>
        <v>30</v>
      </c>
      <c r="N231" s="44">
        <f t="shared" si="76"/>
        <v>12.5</v>
      </c>
      <c r="P231" s="49">
        <f t="shared" si="97"/>
        <v>2316.1390407129879</v>
      </c>
      <c r="Q231" s="49">
        <f t="shared" si="97"/>
        <v>2075.2605804788373</v>
      </c>
      <c r="R231" s="49">
        <f t="shared" si="97"/>
        <v>1859.4334801090379</v>
      </c>
      <c r="S231" s="49">
        <f t="shared" si="97"/>
        <v>1686.2878524065766</v>
      </c>
      <c r="T231" s="103">
        <f t="shared" si="97"/>
        <v>1686.2878524065766</v>
      </c>
      <c r="V231" s="49">
        <f t="shared" si="77"/>
        <v>197.96060177034084</v>
      </c>
      <c r="W231" s="49">
        <f t="shared" si="78"/>
        <v>197.96060177034082</v>
      </c>
      <c r="X231" s="49">
        <f t="shared" si="79"/>
        <v>197.96060177034082</v>
      </c>
      <c r="Y231" s="49">
        <f t="shared" si="80"/>
        <v>197.96060177034082</v>
      </c>
      <c r="Z231" s="103">
        <f t="shared" si="81"/>
        <v>197.96060177034082</v>
      </c>
      <c r="AB231" s="49">
        <f t="shared" si="82"/>
        <v>2514.0996424833288</v>
      </c>
      <c r="AC231" s="49">
        <f t="shared" si="83"/>
        <v>2273.2211822491781</v>
      </c>
      <c r="AD231" s="49">
        <f t="shared" si="84"/>
        <v>2057.3940818793785</v>
      </c>
      <c r="AE231" s="49">
        <f t="shared" si="85"/>
        <v>1884.2484541769174</v>
      </c>
      <c r="AF231" s="103">
        <f t="shared" si="86"/>
        <v>1884.2484541769174</v>
      </c>
      <c r="AH231" s="49">
        <f t="shared" si="87"/>
        <v>22230.975578809273</v>
      </c>
      <c r="AI231" s="49">
        <f t="shared" si="88"/>
        <v>19957.754396560096</v>
      </c>
      <c r="AJ231" s="49">
        <f t="shared" si="89"/>
        <v>17900.360314680718</v>
      </c>
      <c r="AK231" s="49">
        <f t="shared" si="90"/>
        <v>16016.111860503801</v>
      </c>
      <c r="AL231" s="103">
        <f t="shared" si="91"/>
        <v>14131.863406326884</v>
      </c>
      <c r="AN231" s="53">
        <f t="shared" si="92"/>
        <v>3425.5696412145089</v>
      </c>
      <c r="AO231" s="53">
        <f t="shared" si="93"/>
        <v>3291.066656473743</v>
      </c>
      <c r="AP231" s="53">
        <f t="shared" si="94"/>
        <v>2737.607773837246</v>
      </c>
      <c r="AQ231" s="53">
        <f t="shared" si="95"/>
        <v>2492.8607048760618</v>
      </c>
      <c r="AR231" s="203">
        <f t="shared" si="96"/>
        <v>2421.259263617339</v>
      </c>
      <c r="AY231" s="3"/>
    </row>
    <row r="232" spans="1:51">
      <c r="A232" s="239"/>
      <c r="B232" s="43">
        <f>'13. Desinvesteringen'!B516</f>
        <v>497</v>
      </c>
      <c r="C232" s="54"/>
      <c r="D232" s="54"/>
      <c r="E232" s="54"/>
      <c r="F232" s="48">
        <f>'5. Input GAW-waarde desinv.'!D192</f>
        <v>96007.434247363446</v>
      </c>
      <c r="G232" s="187">
        <f>'13. Desinvesteringen'!D516</f>
        <v>2005</v>
      </c>
      <c r="H232" s="187">
        <f>'13. Desinvesteringen'!G516</f>
        <v>2023</v>
      </c>
      <c r="I232" s="43" t="str">
        <f>'13. Desinvesteringen'!C516</f>
        <v>17 Mengstations</v>
      </c>
      <c r="J232" s="176">
        <f>'13. Desinvesteringen'!F516</f>
        <v>0</v>
      </c>
      <c r="K232" s="44">
        <f>_xlfn.XLOOKUP(I232,'3. Input (des)investeringen '!$B$11:$B$81,'3. Input (des)investeringen '!$E$11:$E$81)</f>
        <v>0</v>
      </c>
      <c r="L232" s="54"/>
      <c r="M232" s="44">
        <f>_xlfn.XLOOKUP(I232,'3. Input (des)investeringen '!$B$11:$B$81,'3. Input (des)investeringen '!$D$11:$D$81,0)</f>
        <v>30</v>
      </c>
      <c r="N232" s="44">
        <f t="shared" si="76"/>
        <v>13.5</v>
      </c>
      <c r="P232" s="49">
        <f t="shared" si="97"/>
        <v>8320.6443014381657</v>
      </c>
      <c r="Q232" s="49">
        <f t="shared" si="97"/>
        <v>7519.3970724107858</v>
      </c>
      <c r="R232" s="49">
        <f t="shared" si="97"/>
        <v>6795.306983956415</v>
      </c>
      <c r="S232" s="49">
        <f t="shared" si="97"/>
        <v>6140.9440892050561</v>
      </c>
      <c r="T232" s="103">
        <f t="shared" si="97"/>
        <v>6066.3577237491245</v>
      </c>
      <c r="V232" s="49">
        <f t="shared" si="77"/>
        <v>711.16617961009968</v>
      </c>
      <c r="W232" s="49">
        <f t="shared" si="78"/>
        <v>711.16617961009968</v>
      </c>
      <c r="X232" s="49">
        <f t="shared" si="79"/>
        <v>711.16617961009968</v>
      </c>
      <c r="Y232" s="49">
        <f t="shared" si="80"/>
        <v>711.16617961009968</v>
      </c>
      <c r="Z232" s="103">
        <f t="shared" si="81"/>
        <v>711.16617961009968</v>
      </c>
      <c r="AB232" s="49">
        <f t="shared" si="82"/>
        <v>9031.8104810482655</v>
      </c>
      <c r="AC232" s="49">
        <f t="shared" si="83"/>
        <v>8230.5632520208856</v>
      </c>
      <c r="AD232" s="49">
        <f t="shared" si="84"/>
        <v>7506.4731635665148</v>
      </c>
      <c r="AE232" s="49">
        <f t="shared" si="85"/>
        <v>6852.1102688151559</v>
      </c>
      <c r="AF232" s="103">
        <f t="shared" si="86"/>
        <v>6777.5239033592243</v>
      </c>
      <c r="AH232" s="49">
        <f t="shared" si="87"/>
        <v>86975.623766315184</v>
      </c>
      <c r="AI232" s="49">
        <f t="shared" si="88"/>
        <v>78745.060514294295</v>
      </c>
      <c r="AJ232" s="49">
        <f t="shared" si="89"/>
        <v>71238.587350727787</v>
      </c>
      <c r="AK232" s="49">
        <f t="shared" si="90"/>
        <v>64386.477081912628</v>
      </c>
      <c r="AL232" s="103">
        <f t="shared" si="91"/>
        <v>57608.953178553405</v>
      </c>
      <c r="AN232" s="53">
        <f t="shared" si="92"/>
        <v>12597.811055467188</v>
      </c>
      <c r="AO232" s="53">
        <f t="shared" si="93"/>
        <v>12246.561338249894</v>
      </c>
      <c r="AP232" s="53">
        <f t="shared" si="94"/>
        <v>10213.539482894172</v>
      </c>
      <c r="AQ232" s="53">
        <f t="shared" si="95"/>
        <v>9298.7963979278356</v>
      </c>
      <c r="AR232" s="203">
        <f t="shared" si="96"/>
        <v>8966.6641241442539</v>
      </c>
      <c r="AY232" s="3"/>
    </row>
    <row r="233" spans="1:51">
      <c r="A233" s="239"/>
      <c r="B233" s="43">
        <f>'13. Desinvesteringen'!B517</f>
        <v>498</v>
      </c>
      <c r="C233" s="54"/>
      <c r="D233" s="54"/>
      <c r="E233" s="54"/>
      <c r="F233" s="48">
        <f>'5. Input GAW-waarde desinv.'!D193</f>
        <v>256937.21086962681</v>
      </c>
      <c r="G233" s="187">
        <f>'13. Desinvesteringen'!D517</f>
        <v>2006</v>
      </c>
      <c r="H233" s="187">
        <f>'13. Desinvesteringen'!G517</f>
        <v>2023</v>
      </c>
      <c r="I233" s="43" t="str">
        <f>'13. Desinvesteringen'!C517</f>
        <v>17 Mengstations</v>
      </c>
      <c r="J233" s="176">
        <f>'13. Desinvesteringen'!F517</f>
        <v>0</v>
      </c>
      <c r="K233" s="44">
        <f>_xlfn.XLOOKUP(I233,'3. Input (des)investeringen '!$B$11:$B$81,'3. Input (des)investeringen '!$E$11:$E$81)</f>
        <v>0</v>
      </c>
      <c r="L233" s="54"/>
      <c r="M233" s="44">
        <f>_xlfn.XLOOKUP(I233,'3. Input (des)investeringen '!$B$11:$B$81,'3. Input (des)investeringen '!$D$11:$D$81,0)</f>
        <v>30</v>
      </c>
      <c r="N233" s="44">
        <f t="shared" si="76"/>
        <v>14.5</v>
      </c>
      <c r="P233" s="49">
        <f t="shared" si="97"/>
        <v>20732.174946031959</v>
      </c>
      <c r="Q233" s="49">
        <f t="shared" si="97"/>
        <v>18873.42822673254</v>
      </c>
      <c r="R233" s="49">
        <f t="shared" si="97"/>
        <v>17181.327765025486</v>
      </c>
      <c r="S233" s="49">
        <f t="shared" si="97"/>
        <v>15640.932861954232</v>
      </c>
      <c r="T233" s="103">
        <f t="shared" si="97"/>
        <v>15125.297712659039</v>
      </c>
      <c r="V233" s="49">
        <f t="shared" si="77"/>
        <v>1771.9807646181159</v>
      </c>
      <c r="W233" s="49">
        <f t="shared" si="78"/>
        <v>1771.9807646181159</v>
      </c>
      <c r="X233" s="49">
        <f t="shared" si="79"/>
        <v>1771.9807646181159</v>
      </c>
      <c r="Y233" s="49">
        <f t="shared" si="80"/>
        <v>1771.9807646181159</v>
      </c>
      <c r="Z233" s="103">
        <f t="shared" si="81"/>
        <v>1771.9807646181159</v>
      </c>
      <c r="AB233" s="49">
        <f t="shared" si="82"/>
        <v>22504.155710650073</v>
      </c>
      <c r="AC233" s="49">
        <f t="shared" si="83"/>
        <v>20645.408991350654</v>
      </c>
      <c r="AD233" s="49">
        <f t="shared" si="84"/>
        <v>18953.3085296436</v>
      </c>
      <c r="AE233" s="49">
        <f t="shared" si="85"/>
        <v>17412.913626572346</v>
      </c>
      <c r="AF233" s="103">
        <f t="shared" si="86"/>
        <v>16897.278477277156</v>
      </c>
      <c r="AH233" s="49">
        <f t="shared" si="87"/>
        <v>234433.05515897673</v>
      </c>
      <c r="AI233" s="49">
        <f t="shared" si="88"/>
        <v>213787.64616762608</v>
      </c>
      <c r="AJ233" s="49">
        <f t="shared" si="89"/>
        <v>194834.33763798248</v>
      </c>
      <c r="AK233" s="49">
        <f t="shared" si="90"/>
        <v>177421.42401141013</v>
      </c>
      <c r="AL233" s="103">
        <f t="shared" si="91"/>
        <v>160524.14553413296</v>
      </c>
      <c r="AN233" s="53">
        <f t="shared" si="92"/>
        <v>32115.91097216812</v>
      </c>
      <c r="AO233" s="53">
        <f t="shared" si="93"/>
        <v>31548.578945899586</v>
      </c>
      <c r="AP233" s="53">
        <f t="shared" si="94"/>
        <v>26357.013359886936</v>
      </c>
      <c r="AQ233" s="53">
        <f t="shared" si="95"/>
        <v>24154.927739005932</v>
      </c>
      <c r="AR233" s="203">
        <f t="shared" si="96"/>
        <v>22997.19600757421</v>
      </c>
      <c r="AY233" s="3"/>
    </row>
    <row r="234" spans="1:51">
      <c r="A234" s="239"/>
      <c r="B234" s="43">
        <f>'13. Desinvesteringen'!B518</f>
        <v>499</v>
      </c>
      <c r="C234" s="54"/>
      <c r="D234" s="54"/>
      <c r="E234" s="54"/>
      <c r="F234" s="48">
        <f>'5. Input GAW-waarde desinv.'!D194</f>
        <v>702049.39906389359</v>
      </c>
      <c r="G234" s="187">
        <f>'13. Desinvesteringen'!D518</f>
        <v>2007</v>
      </c>
      <c r="H234" s="187">
        <f>'13. Desinvesteringen'!G518</f>
        <v>2023</v>
      </c>
      <c r="I234" s="43" t="str">
        <f>'13. Desinvesteringen'!C518</f>
        <v>17 Mengstations</v>
      </c>
      <c r="J234" s="176">
        <f>'13. Desinvesteringen'!F518</f>
        <v>0</v>
      </c>
      <c r="K234" s="44">
        <f>_xlfn.XLOOKUP(I234,'3. Input (des)investeringen '!$B$11:$B$81,'3. Input (des)investeringen '!$E$11:$E$81)</f>
        <v>0</v>
      </c>
      <c r="L234" s="54"/>
      <c r="M234" s="44">
        <f>_xlfn.XLOOKUP(I234,'3. Input (des)investeringen '!$B$11:$B$81,'3. Input (des)investeringen '!$D$11:$D$81,0)</f>
        <v>30</v>
      </c>
      <c r="N234" s="44">
        <f t="shared" si="76"/>
        <v>15.5</v>
      </c>
      <c r="P234" s="49">
        <f t="shared" si="97"/>
        <v>52993.40625191971</v>
      </c>
      <c r="Q234" s="49">
        <f t="shared" si="97"/>
        <v>48548.797985629673</v>
      </c>
      <c r="R234" s="49">
        <f t="shared" si="97"/>
        <v>44476.963315867186</v>
      </c>
      <c r="S234" s="49">
        <f t="shared" si="97"/>
        <v>40746.637360342836</v>
      </c>
      <c r="T234" s="103">
        <f t="shared" si="97"/>
        <v>38702.491673369113</v>
      </c>
      <c r="V234" s="49">
        <f t="shared" si="77"/>
        <v>4529.3509617025402</v>
      </c>
      <c r="W234" s="49">
        <f t="shared" si="78"/>
        <v>4529.3509617025402</v>
      </c>
      <c r="X234" s="49">
        <f t="shared" si="79"/>
        <v>4529.3509617025402</v>
      </c>
      <c r="Y234" s="49">
        <f t="shared" si="80"/>
        <v>4529.3509617025402</v>
      </c>
      <c r="Z234" s="103">
        <f t="shared" si="81"/>
        <v>4529.3509617025402</v>
      </c>
      <c r="AB234" s="49">
        <f t="shared" si="82"/>
        <v>57522.757213622252</v>
      </c>
      <c r="AC234" s="49">
        <f t="shared" si="83"/>
        <v>53078.148947332214</v>
      </c>
      <c r="AD234" s="49">
        <f t="shared" si="84"/>
        <v>49006.314277569727</v>
      </c>
      <c r="AE234" s="49">
        <f t="shared" si="85"/>
        <v>45275.988322045378</v>
      </c>
      <c r="AF234" s="103">
        <f t="shared" si="86"/>
        <v>43231.842635071655</v>
      </c>
      <c r="AH234" s="49">
        <f t="shared" si="87"/>
        <v>644526.64185027138</v>
      </c>
      <c r="AI234" s="49">
        <f t="shared" si="88"/>
        <v>591448.49290293921</v>
      </c>
      <c r="AJ234" s="49">
        <f t="shared" si="89"/>
        <v>542442.17862536944</v>
      </c>
      <c r="AK234" s="49">
        <f t="shared" si="90"/>
        <v>497166.19030332408</v>
      </c>
      <c r="AL234" s="103">
        <f t="shared" si="91"/>
        <v>453934.34766825242</v>
      </c>
      <c r="AN234" s="53">
        <f t="shared" si="92"/>
        <v>83948.349529483385</v>
      </c>
      <c r="AO234" s="53">
        <f t="shared" si="93"/>
        <v>83242.022085382108</v>
      </c>
      <c r="AP234" s="53">
        <f t="shared" si="94"/>
        <v>69619.117065333761</v>
      </c>
      <c r="AQ234" s="53">
        <f t="shared" si="95"/>
        <v>64168.303553571692</v>
      </c>
      <c r="AR234" s="203">
        <f t="shared" si="96"/>
        <v>60481.347846465243</v>
      </c>
      <c r="AY234" s="3"/>
    </row>
    <row r="235" spans="1:51">
      <c r="A235" s="239"/>
      <c r="B235" s="43">
        <f>'13. Desinvesteringen'!B519</f>
        <v>500</v>
      </c>
      <c r="C235" s="54"/>
      <c r="D235" s="54"/>
      <c r="E235" s="54"/>
      <c r="F235" s="48">
        <f>'5. Input GAW-waarde desinv.'!D195</f>
        <v>1042957.4504958389</v>
      </c>
      <c r="G235" s="187">
        <f>'13. Desinvesteringen'!D519</f>
        <v>2008</v>
      </c>
      <c r="H235" s="187">
        <f>'13. Desinvesteringen'!G519</f>
        <v>2023</v>
      </c>
      <c r="I235" s="43" t="str">
        <f>'13. Desinvesteringen'!C519</f>
        <v>17 Mengstations</v>
      </c>
      <c r="J235" s="176">
        <f>'13. Desinvesteringen'!F519</f>
        <v>0</v>
      </c>
      <c r="K235" s="44">
        <f>_xlfn.XLOOKUP(I235,'3. Input (des)investeringen '!$B$11:$B$81,'3. Input (des)investeringen '!$E$11:$E$81)</f>
        <v>0</v>
      </c>
      <c r="L235" s="54"/>
      <c r="M235" s="44">
        <f>_xlfn.XLOOKUP(I235,'3. Input (des)investeringen '!$B$11:$B$81,'3. Input (des)investeringen '!$D$11:$D$81,0)</f>
        <v>30</v>
      </c>
      <c r="N235" s="44">
        <f t="shared" si="76"/>
        <v>16.5</v>
      </c>
      <c r="P235" s="49">
        <f t="shared" si="97"/>
        <v>73955.164671523133</v>
      </c>
      <c r="Q235" s="49">
        <f t="shared" si="97"/>
        <v>68128.394121645557</v>
      </c>
      <c r="R235" s="49">
        <f t="shared" si="97"/>
        <v>62760.702463576497</v>
      </c>
      <c r="S235" s="49">
        <f t="shared" si="97"/>
        <v>57815.919845234115</v>
      </c>
      <c r="T235" s="103">
        <f t="shared" si="97"/>
        <v>54080.121947542058</v>
      </c>
      <c r="V235" s="49">
        <f t="shared" si="77"/>
        <v>6320.9542454293269</v>
      </c>
      <c r="W235" s="49">
        <f t="shared" si="78"/>
        <v>6320.9542454293269</v>
      </c>
      <c r="X235" s="49">
        <f t="shared" si="79"/>
        <v>6320.9542454293269</v>
      </c>
      <c r="Y235" s="49">
        <f t="shared" si="80"/>
        <v>6320.9542454293269</v>
      </c>
      <c r="Z235" s="103">
        <f t="shared" si="81"/>
        <v>6320.9542454293269</v>
      </c>
      <c r="AB235" s="49">
        <f t="shared" si="82"/>
        <v>80276.118916952459</v>
      </c>
      <c r="AC235" s="49">
        <f t="shared" si="83"/>
        <v>74449.348367074883</v>
      </c>
      <c r="AD235" s="49">
        <f t="shared" si="84"/>
        <v>69081.656709005823</v>
      </c>
      <c r="AE235" s="49">
        <f t="shared" si="85"/>
        <v>64136.874090663441</v>
      </c>
      <c r="AF235" s="103">
        <f t="shared" si="86"/>
        <v>60401.076192971384</v>
      </c>
      <c r="AH235" s="49">
        <f t="shared" si="87"/>
        <v>962681.33157888637</v>
      </c>
      <c r="AI235" s="49">
        <f t="shared" si="88"/>
        <v>888231.98321181152</v>
      </c>
      <c r="AJ235" s="49">
        <f t="shared" si="89"/>
        <v>819150.32650280569</v>
      </c>
      <c r="AK235" s="49">
        <f t="shared" si="90"/>
        <v>755013.4524121423</v>
      </c>
      <c r="AL235" s="103">
        <f t="shared" si="91"/>
        <v>694612.37621917087</v>
      </c>
      <c r="AN235" s="53">
        <f t="shared" si="92"/>
        <v>119746.0535116868</v>
      </c>
      <c r="AO235" s="53">
        <f t="shared" si="93"/>
        <v>119749.17951087726</v>
      </c>
      <c r="AP235" s="53">
        <f t="shared" si="94"/>
        <v>100209.36911611244</v>
      </c>
      <c r="AQ235" s="53">
        <f t="shared" si="95"/>
        <v>92827.385282324845</v>
      </c>
      <c r="AR235" s="203">
        <f t="shared" si="96"/>
        <v>86796.346489299875</v>
      </c>
      <c r="AY235" s="3"/>
    </row>
    <row r="236" spans="1:51">
      <c r="A236" s="239"/>
      <c r="B236" s="43">
        <f>'13. Desinvesteringen'!B520</f>
        <v>501</v>
      </c>
      <c r="C236" s="54"/>
      <c r="D236" s="54"/>
      <c r="E236" s="54"/>
      <c r="F236" s="48">
        <f>'5. Input GAW-waarde desinv.'!D196</f>
        <v>70079.94837897965</v>
      </c>
      <c r="G236" s="187">
        <f>'13. Desinvesteringen'!D520</f>
        <v>2009</v>
      </c>
      <c r="H236" s="187">
        <f>'13. Desinvesteringen'!G520</f>
        <v>2023</v>
      </c>
      <c r="I236" s="43" t="str">
        <f>'13. Desinvesteringen'!C520</f>
        <v>17 Mengstations</v>
      </c>
      <c r="J236" s="176">
        <f>'13. Desinvesteringen'!F520</f>
        <v>0</v>
      </c>
      <c r="K236" s="44">
        <f>_xlfn.XLOOKUP(I236,'3. Input (des)investeringen '!$B$11:$B$81,'3. Input (des)investeringen '!$E$11:$E$81)</f>
        <v>0</v>
      </c>
      <c r="L236" s="54"/>
      <c r="M236" s="44">
        <f>_xlfn.XLOOKUP(I236,'3. Input (des)investeringen '!$B$11:$B$81,'3. Input (des)investeringen '!$D$11:$D$81,0)</f>
        <v>30</v>
      </c>
      <c r="N236" s="44">
        <f t="shared" si="76"/>
        <v>17.5</v>
      </c>
      <c r="P236" s="49">
        <f t="shared" si="97"/>
        <v>4685.34512019464</v>
      </c>
      <c r="Q236" s="49">
        <f t="shared" si="97"/>
        <v>4337.2909112658954</v>
      </c>
      <c r="R236" s="49">
        <f t="shared" si="97"/>
        <v>4015.0921578575717</v>
      </c>
      <c r="S236" s="49">
        <f t="shared" si="97"/>
        <v>3716.8281689881514</v>
      </c>
      <c r="T236" s="103">
        <f t="shared" si="97"/>
        <v>3440.7209335776029</v>
      </c>
      <c r="V236" s="49">
        <f t="shared" si="77"/>
        <v>400.45684787988375</v>
      </c>
      <c r="W236" s="49">
        <f t="shared" si="78"/>
        <v>400.4568478798837</v>
      </c>
      <c r="X236" s="49">
        <f t="shared" si="79"/>
        <v>400.4568478798837</v>
      </c>
      <c r="Y236" s="49">
        <f t="shared" si="80"/>
        <v>400.4568478798837</v>
      </c>
      <c r="Z236" s="103">
        <f t="shared" si="81"/>
        <v>400.4568478798837</v>
      </c>
      <c r="AB236" s="49">
        <f t="shared" si="82"/>
        <v>5085.8019680745238</v>
      </c>
      <c r="AC236" s="49">
        <f t="shared" si="83"/>
        <v>4737.7477591457791</v>
      </c>
      <c r="AD236" s="49">
        <f t="shared" si="84"/>
        <v>4415.5490057374554</v>
      </c>
      <c r="AE236" s="49">
        <f t="shared" si="85"/>
        <v>4117.2850168680352</v>
      </c>
      <c r="AF236" s="103">
        <f t="shared" si="86"/>
        <v>3841.1777814574866</v>
      </c>
      <c r="AH236" s="49">
        <f t="shared" si="87"/>
        <v>64994.14641090513</v>
      </c>
      <c r="AI236" s="49">
        <f t="shared" si="88"/>
        <v>60256.398651759351</v>
      </c>
      <c r="AJ236" s="49">
        <f t="shared" si="89"/>
        <v>55840.849646021896</v>
      </c>
      <c r="AK236" s="49">
        <f t="shared" si="90"/>
        <v>51723.564629153858</v>
      </c>
      <c r="AL236" s="103">
        <f t="shared" si="91"/>
        <v>47882.386847696369</v>
      </c>
      <c r="AN236" s="53">
        <f t="shared" si="92"/>
        <v>7750.5619709216344</v>
      </c>
      <c r="AO236" s="53">
        <f t="shared" si="93"/>
        <v>7810.8240903855058</v>
      </c>
      <c r="AP236" s="53">
        <f t="shared" si="94"/>
        <v>6537.5012922862879</v>
      </c>
      <c r="AQ236" s="53">
        <f t="shared" si="95"/>
        <v>6082.7804727758812</v>
      </c>
      <c r="AR236" s="203">
        <f t="shared" si="96"/>
        <v>5660.7084816699489</v>
      </c>
      <c r="AY236" s="3"/>
    </row>
    <row r="237" spans="1:51">
      <c r="A237" s="239"/>
      <c r="B237" s="43">
        <f>'13. Desinvesteringen'!B521</f>
        <v>502</v>
      </c>
      <c r="C237" s="54"/>
      <c r="D237" s="54"/>
      <c r="E237" s="54"/>
      <c r="F237" s="48">
        <f>'5. Input GAW-waarde desinv.'!D197</f>
        <v>704771.29332217178</v>
      </c>
      <c r="G237" s="187">
        <f>'13. Desinvesteringen'!D521</f>
        <v>2010</v>
      </c>
      <c r="H237" s="187">
        <f>'13. Desinvesteringen'!G521</f>
        <v>2023</v>
      </c>
      <c r="I237" s="43" t="str">
        <f>'13. Desinvesteringen'!C521</f>
        <v>17 Mengstations</v>
      </c>
      <c r="J237" s="176">
        <f>'13. Desinvesteringen'!F521</f>
        <v>0</v>
      </c>
      <c r="K237" s="44">
        <f>_xlfn.XLOOKUP(I237,'3. Input (des)investeringen '!$B$11:$B$81,'3. Input (des)investeringen '!$E$11:$E$81)</f>
        <v>0</v>
      </c>
      <c r="L237" s="54"/>
      <c r="M237" s="44">
        <f>_xlfn.XLOOKUP(I237,'3. Input (des)investeringen '!$B$11:$B$81,'3. Input (des)investeringen '!$D$11:$D$81,0)</f>
        <v>30</v>
      </c>
      <c r="N237" s="44">
        <f t="shared" si="76"/>
        <v>18.5</v>
      </c>
      <c r="P237" s="49">
        <f t="shared" si="97"/>
        <v>44572.022334429246</v>
      </c>
      <c r="Q237" s="49">
        <f t="shared" si="97"/>
        <v>41439.934278496374</v>
      </c>
      <c r="R237" s="49">
        <f t="shared" si="97"/>
        <v>38527.938896764193</v>
      </c>
      <c r="S237" s="49">
        <f t="shared" si="97"/>
        <v>35820.57021753212</v>
      </c>
      <c r="T237" s="103">
        <f t="shared" si="97"/>
        <v>33303.449067110945</v>
      </c>
      <c r="V237" s="49">
        <f t="shared" si="77"/>
        <v>3809.574558498226</v>
      </c>
      <c r="W237" s="49">
        <f t="shared" si="78"/>
        <v>3809.574558498226</v>
      </c>
      <c r="X237" s="49">
        <f t="shared" si="79"/>
        <v>3809.574558498226</v>
      </c>
      <c r="Y237" s="49">
        <f t="shared" si="80"/>
        <v>3809.574558498226</v>
      </c>
      <c r="Z237" s="103">
        <f t="shared" si="81"/>
        <v>3809.574558498226</v>
      </c>
      <c r="AB237" s="49">
        <f t="shared" si="82"/>
        <v>48381.596892927475</v>
      </c>
      <c r="AC237" s="49">
        <f t="shared" si="83"/>
        <v>45249.508836994602</v>
      </c>
      <c r="AD237" s="49">
        <f t="shared" si="84"/>
        <v>42337.513455262422</v>
      </c>
      <c r="AE237" s="49">
        <f t="shared" si="85"/>
        <v>39630.144776030349</v>
      </c>
      <c r="AF237" s="103">
        <f t="shared" si="86"/>
        <v>37113.023625609174</v>
      </c>
      <c r="AH237" s="49">
        <f t="shared" si="87"/>
        <v>656389.69642924436</v>
      </c>
      <c r="AI237" s="49">
        <f t="shared" si="88"/>
        <v>611140.18759224971</v>
      </c>
      <c r="AJ237" s="49">
        <f t="shared" si="89"/>
        <v>568802.67413698731</v>
      </c>
      <c r="AK237" s="49">
        <f t="shared" si="90"/>
        <v>529172.52936095698</v>
      </c>
      <c r="AL237" s="103">
        <f t="shared" si="91"/>
        <v>492059.5057353478</v>
      </c>
      <c r="AN237" s="53">
        <f t="shared" si="92"/>
        <v>75293.574446526502</v>
      </c>
      <c r="AO237" s="53">
        <f t="shared" si="93"/>
        <v>76417.658404199334</v>
      </c>
      <c r="AP237" s="53">
        <f t="shared" si="94"/>
        <v>63952.015072467941</v>
      </c>
      <c r="AQ237" s="53">
        <f t="shared" si="95"/>
        <v>59738.700891746717</v>
      </c>
      <c r="AR237" s="203">
        <f t="shared" si="96"/>
        <v>55811.284843552392</v>
      </c>
      <c r="AY237" s="3"/>
    </row>
    <row r="238" spans="1:51">
      <c r="A238" s="239"/>
      <c r="B238" s="43">
        <f>'13. Desinvesteringen'!B522</f>
        <v>503</v>
      </c>
      <c r="C238" s="54"/>
      <c r="D238" s="54"/>
      <c r="E238" s="54"/>
      <c r="F238" s="48">
        <f>'5. Input GAW-waarde desinv.'!D198</f>
        <v>1024239.4945113533</v>
      </c>
      <c r="G238" s="187">
        <f>'13. Desinvesteringen'!D522</f>
        <v>2011</v>
      </c>
      <c r="H238" s="187">
        <f>'13. Desinvesteringen'!G522</f>
        <v>2023</v>
      </c>
      <c r="I238" s="43" t="str">
        <f>'13. Desinvesteringen'!C522</f>
        <v>17 Mengstations</v>
      </c>
      <c r="J238" s="176">
        <f>'13. Desinvesteringen'!F522</f>
        <v>0</v>
      </c>
      <c r="K238" s="44">
        <f>_xlfn.XLOOKUP(I238,'3. Input (des)investeringen '!$B$11:$B$81,'3. Input (des)investeringen '!$E$11:$E$81)</f>
        <v>0</v>
      </c>
      <c r="L238" s="54"/>
      <c r="M238" s="44">
        <f>_xlfn.XLOOKUP(I238,'3. Input (des)investeringen '!$B$11:$B$81,'3. Input (des)investeringen '!$D$11:$D$81,0)</f>
        <v>30</v>
      </c>
      <c r="N238" s="44">
        <f t="shared" si="76"/>
        <v>19.5</v>
      </c>
      <c r="P238" s="49">
        <f t="shared" si="97"/>
        <v>61454.369670681204</v>
      </c>
      <c r="Q238" s="49">
        <f t="shared" si="97"/>
        <v>57357.411692635782</v>
      </c>
      <c r="R238" s="49">
        <f t="shared" si="97"/>
        <v>53533.584246460072</v>
      </c>
      <c r="S238" s="49">
        <f t="shared" si="97"/>
        <v>49964.678630029397</v>
      </c>
      <c r="T238" s="103">
        <f t="shared" si="97"/>
        <v>46633.700054694113</v>
      </c>
      <c r="V238" s="49">
        <f t="shared" si="77"/>
        <v>5252.5102282633507</v>
      </c>
      <c r="W238" s="49">
        <f t="shared" si="78"/>
        <v>5252.5102282633507</v>
      </c>
      <c r="X238" s="49">
        <f t="shared" si="79"/>
        <v>5252.5102282633507</v>
      </c>
      <c r="Y238" s="49">
        <f t="shared" si="80"/>
        <v>5252.5102282633507</v>
      </c>
      <c r="Z238" s="103">
        <f t="shared" si="81"/>
        <v>5252.5102282633507</v>
      </c>
      <c r="AB238" s="49">
        <f t="shared" si="82"/>
        <v>66706.879898944549</v>
      </c>
      <c r="AC238" s="49">
        <f t="shared" si="83"/>
        <v>62609.921920899134</v>
      </c>
      <c r="AD238" s="49">
        <f t="shared" si="84"/>
        <v>58786.094474723424</v>
      </c>
      <c r="AE238" s="49">
        <f t="shared" si="85"/>
        <v>55217.18885829275</v>
      </c>
      <c r="AF238" s="103">
        <f t="shared" si="86"/>
        <v>51886.210282957465</v>
      </c>
      <c r="AH238" s="49">
        <f t="shared" si="87"/>
        <v>957532.6146124088</v>
      </c>
      <c r="AI238" s="49">
        <f t="shared" si="88"/>
        <v>894922.69269150961</v>
      </c>
      <c r="AJ238" s="49">
        <f t="shared" si="89"/>
        <v>836136.59821678617</v>
      </c>
      <c r="AK238" s="49">
        <f t="shared" si="90"/>
        <v>780919.4093584934</v>
      </c>
      <c r="AL238" s="103">
        <f t="shared" si="91"/>
        <v>729033.19907553599</v>
      </c>
      <c r="AN238" s="53">
        <f t="shared" si="92"/>
        <v>105965.71709805331</v>
      </c>
      <c r="AO238" s="53">
        <f t="shared" si="93"/>
        <v>108250.97924816611</v>
      </c>
      <c r="AP238" s="53">
        <f t="shared" si="94"/>
        <v>90559.2852069613</v>
      </c>
      <c r="AQ238" s="53">
        <f t="shared" si="95"/>
        <v>84892.126413915496</v>
      </c>
      <c r="AR238" s="203">
        <f t="shared" si="96"/>
        <v>79589.471847827837</v>
      </c>
      <c r="AY238" s="3"/>
    </row>
    <row r="239" spans="1:51">
      <c r="A239" s="239"/>
      <c r="B239" s="43">
        <f>'13. Desinvesteringen'!B523</f>
        <v>504</v>
      </c>
      <c r="C239" s="54"/>
      <c r="D239" s="54"/>
      <c r="E239" s="54"/>
      <c r="F239" s="48">
        <f>'5. Input GAW-waarde desinv.'!D199</f>
        <v>376397.15055039537</v>
      </c>
      <c r="G239" s="187">
        <f>'13. Desinvesteringen'!D523</f>
        <v>2012</v>
      </c>
      <c r="H239" s="187">
        <f>'13. Desinvesteringen'!G523</f>
        <v>2023</v>
      </c>
      <c r="I239" s="43" t="str">
        <f>'13. Desinvesteringen'!C523</f>
        <v>17 Mengstations</v>
      </c>
      <c r="J239" s="176">
        <f>'13. Desinvesteringen'!F523</f>
        <v>0</v>
      </c>
      <c r="K239" s="44">
        <f>_xlfn.XLOOKUP(I239,'3. Input (des)investeringen '!$B$11:$B$81,'3. Input (des)investeringen '!$E$11:$E$81)</f>
        <v>0</v>
      </c>
      <c r="L239" s="54"/>
      <c r="M239" s="44">
        <f>_xlfn.XLOOKUP(I239,'3. Input (des)investeringen '!$B$11:$B$81,'3. Input (des)investeringen '!$D$11:$D$81,0)</f>
        <v>30</v>
      </c>
      <c r="N239" s="44">
        <f t="shared" si="76"/>
        <v>20.5</v>
      </c>
      <c r="P239" s="49">
        <f t="shared" si="97"/>
        <v>21482.178836290856</v>
      </c>
      <c r="Q239" s="49">
        <f t="shared" si="97"/>
        <v>20119.894324721194</v>
      </c>
      <c r="R239" s="49">
        <f t="shared" si="97"/>
        <v>18843.99858705595</v>
      </c>
      <c r="S239" s="49">
        <f t="shared" si="97"/>
        <v>17649.013310803621</v>
      </c>
      <c r="T239" s="103">
        <f t="shared" si="97"/>
        <v>16529.807588655094</v>
      </c>
      <c r="V239" s="49">
        <f t="shared" si="77"/>
        <v>1836.0836612214407</v>
      </c>
      <c r="W239" s="49">
        <f t="shared" si="78"/>
        <v>1836.0836612214412</v>
      </c>
      <c r="X239" s="49">
        <f t="shared" si="79"/>
        <v>1836.0836612214412</v>
      </c>
      <c r="Y239" s="49">
        <f t="shared" si="80"/>
        <v>1836.0836612214412</v>
      </c>
      <c r="Z239" s="103">
        <f t="shared" si="81"/>
        <v>1836.0836612214412</v>
      </c>
      <c r="AB239" s="49">
        <f t="shared" si="82"/>
        <v>23318.262497512296</v>
      </c>
      <c r="AC239" s="49">
        <f t="shared" si="83"/>
        <v>21955.977985942634</v>
      </c>
      <c r="AD239" s="49">
        <f t="shared" si="84"/>
        <v>20680.082248277391</v>
      </c>
      <c r="AE239" s="49">
        <f t="shared" si="85"/>
        <v>19485.096972025061</v>
      </c>
      <c r="AF239" s="103">
        <f t="shared" si="86"/>
        <v>18365.891249876535</v>
      </c>
      <c r="AH239" s="49">
        <f t="shared" si="87"/>
        <v>353078.88805288309</v>
      </c>
      <c r="AI239" s="49">
        <f t="shared" si="88"/>
        <v>331122.91006694047</v>
      </c>
      <c r="AJ239" s="49">
        <f t="shared" si="89"/>
        <v>310442.82781866309</v>
      </c>
      <c r="AK239" s="49">
        <f t="shared" si="90"/>
        <v>290957.73084663803</v>
      </c>
      <c r="AL239" s="103">
        <f t="shared" si="91"/>
        <v>272591.83959676151</v>
      </c>
      <c r="AN239" s="53">
        <f t="shared" si="92"/>
        <v>37794.496907680499</v>
      </c>
      <c r="AO239" s="53">
        <f t="shared" si="93"/>
        <v>38843.246399356598</v>
      </c>
      <c r="AP239" s="53">
        <f t="shared" si="94"/>
        <v>32476.909705386588</v>
      </c>
      <c r="AQ239" s="53">
        <f t="shared" si="95"/>
        <v>30541.490744197305</v>
      </c>
      <c r="AR239" s="203">
        <f t="shared" si="96"/>
        <v>28724.38115455347</v>
      </c>
      <c r="AY239" s="3"/>
    </row>
    <row r="240" spans="1:51">
      <c r="A240" s="239"/>
      <c r="B240" s="43">
        <f>'13. Desinvesteringen'!B524</f>
        <v>505</v>
      </c>
      <c r="C240" s="54"/>
      <c r="D240" s="54"/>
      <c r="E240" s="54"/>
      <c r="F240" s="48">
        <f>'5. Input GAW-waarde desinv.'!D200</f>
        <v>514916.23301467963</v>
      </c>
      <c r="G240" s="187">
        <f>'13. Desinvesteringen'!D524</f>
        <v>2013</v>
      </c>
      <c r="H240" s="187">
        <f>'13. Desinvesteringen'!G524</f>
        <v>2023</v>
      </c>
      <c r="I240" s="43" t="str">
        <f>'13. Desinvesteringen'!C524</f>
        <v>17 Mengstations</v>
      </c>
      <c r="J240" s="176">
        <f>'13. Desinvesteringen'!F524</f>
        <v>0</v>
      </c>
      <c r="K240" s="44">
        <f>_xlfn.XLOOKUP(I240,'3. Input (des)investeringen '!$B$11:$B$81,'3. Input (des)investeringen '!$E$11:$E$81)</f>
        <v>0</v>
      </c>
      <c r="L240" s="54"/>
      <c r="M240" s="44">
        <f>_xlfn.XLOOKUP(I240,'3. Input (des)investeringen '!$B$11:$B$81,'3. Input (des)investeringen '!$D$11:$D$81,0)</f>
        <v>30</v>
      </c>
      <c r="N240" s="44">
        <f t="shared" si="76"/>
        <v>21.5</v>
      </c>
      <c r="P240" s="49">
        <f t="shared" si="97"/>
        <v>28021.022912891869</v>
      </c>
      <c r="Q240" s="49">
        <f t="shared" si="97"/>
        <v>26326.728504205381</v>
      </c>
      <c r="R240" s="49">
        <f t="shared" si="97"/>
        <v>24734.879803951102</v>
      </c>
      <c r="S240" s="49">
        <f t="shared" si="97"/>
        <v>23239.282420456388</v>
      </c>
      <c r="T240" s="103">
        <f t="shared" si="97"/>
        <v>21834.116506661347</v>
      </c>
      <c r="V240" s="49">
        <f t="shared" si="77"/>
        <v>2394.9592233240915</v>
      </c>
      <c r="W240" s="49">
        <f t="shared" si="78"/>
        <v>2394.9592233240915</v>
      </c>
      <c r="X240" s="49">
        <f t="shared" si="79"/>
        <v>2394.9592233240915</v>
      </c>
      <c r="Y240" s="49">
        <f t="shared" si="80"/>
        <v>2394.9592233240915</v>
      </c>
      <c r="Z240" s="103">
        <f t="shared" si="81"/>
        <v>2394.9592233240915</v>
      </c>
      <c r="AB240" s="49">
        <f t="shared" si="82"/>
        <v>30415.98213621596</v>
      </c>
      <c r="AC240" s="49">
        <f t="shared" si="83"/>
        <v>28721.687727529472</v>
      </c>
      <c r="AD240" s="49">
        <f t="shared" si="84"/>
        <v>27129.839027275193</v>
      </c>
      <c r="AE240" s="49">
        <f t="shared" si="85"/>
        <v>25634.241643780479</v>
      </c>
      <c r="AF240" s="103">
        <f t="shared" si="86"/>
        <v>24229.075729985438</v>
      </c>
      <c r="AH240" s="49">
        <f t="shared" si="87"/>
        <v>484500.25087846367</v>
      </c>
      <c r="AI240" s="49">
        <f t="shared" si="88"/>
        <v>455778.56315093418</v>
      </c>
      <c r="AJ240" s="49">
        <f t="shared" si="89"/>
        <v>428648.72412365896</v>
      </c>
      <c r="AK240" s="49">
        <f t="shared" si="90"/>
        <v>403014.48247987847</v>
      </c>
      <c r="AL240" s="103">
        <f t="shared" si="91"/>
        <v>378785.40674989304</v>
      </c>
      <c r="AN240" s="53">
        <f t="shared" si="92"/>
        <v>50280.492422232972</v>
      </c>
      <c r="AO240" s="53">
        <f t="shared" si="93"/>
        <v>51966.394448227118</v>
      </c>
      <c r="AP240" s="53">
        <f t="shared" si="94"/>
        <v>43418.490543974229</v>
      </c>
      <c r="AQ240" s="53">
        <f t="shared" si="95"/>
        <v>40948.791978015863</v>
      </c>
      <c r="AR240" s="203">
        <f t="shared" si="96"/>
        <v>38622.92118648137</v>
      </c>
      <c r="AY240" s="3"/>
    </row>
    <row r="241" spans="1:51">
      <c r="A241" s="239"/>
      <c r="B241" s="43">
        <f>'13. Desinvesteringen'!B525</f>
        <v>506</v>
      </c>
      <c r="C241" s="54"/>
      <c r="D241" s="54"/>
      <c r="E241" s="54"/>
      <c r="F241" s="48">
        <f>'5. Input GAW-waarde desinv.'!D201</f>
        <v>1302.0888101333342</v>
      </c>
      <c r="G241" s="187">
        <f>'13. Desinvesteringen'!D525</f>
        <v>2014</v>
      </c>
      <c r="H241" s="187">
        <f>'13. Desinvesteringen'!G525</f>
        <v>2023</v>
      </c>
      <c r="I241" s="43" t="str">
        <f>'13. Desinvesteringen'!C525</f>
        <v>17 Mengstations</v>
      </c>
      <c r="J241" s="176">
        <f>'13. Desinvesteringen'!F525</f>
        <v>0</v>
      </c>
      <c r="K241" s="44">
        <f>_xlfn.XLOOKUP(I241,'3. Input (des)investeringen '!$B$11:$B$81,'3. Input (des)investeringen '!$E$11:$E$81)</f>
        <v>0</v>
      </c>
      <c r="L241" s="54"/>
      <c r="M241" s="44">
        <f>_xlfn.XLOOKUP(I241,'3. Input (des)investeringen '!$B$11:$B$81,'3. Input (des)investeringen '!$D$11:$D$81,0)</f>
        <v>30</v>
      </c>
      <c r="N241" s="44">
        <f t="shared" si="76"/>
        <v>22.5</v>
      </c>
      <c r="P241" s="49">
        <f t="shared" si="97"/>
        <v>67.708618126933374</v>
      </c>
      <c r="Q241" s="49">
        <f t="shared" si="97"/>
        <v>63.796564635155015</v>
      </c>
      <c r="R241" s="49">
        <f t="shared" si="97"/>
        <v>60.110540900679389</v>
      </c>
      <c r="S241" s="49">
        <f t="shared" si="97"/>
        <v>56.637487426417906</v>
      </c>
      <c r="T241" s="103">
        <f t="shared" si="97"/>
        <v>53.365099264002652</v>
      </c>
      <c r="V241" s="49">
        <f t="shared" si="77"/>
        <v>5.7870613783703746</v>
      </c>
      <c r="W241" s="49">
        <f t="shared" si="78"/>
        <v>5.7870613783703746</v>
      </c>
      <c r="X241" s="49">
        <f t="shared" si="79"/>
        <v>5.7870613783703746</v>
      </c>
      <c r="Y241" s="49">
        <f t="shared" si="80"/>
        <v>5.7870613783703746</v>
      </c>
      <c r="Z241" s="103">
        <f t="shared" si="81"/>
        <v>5.7870613783703746</v>
      </c>
      <c r="AB241" s="49">
        <f t="shared" si="82"/>
        <v>73.495679505303741</v>
      </c>
      <c r="AC241" s="49">
        <f t="shared" si="83"/>
        <v>69.583626013525389</v>
      </c>
      <c r="AD241" s="49">
        <f t="shared" si="84"/>
        <v>65.897602279049764</v>
      </c>
      <c r="AE241" s="49">
        <f t="shared" si="85"/>
        <v>62.42454880478828</v>
      </c>
      <c r="AF241" s="103">
        <f t="shared" si="86"/>
        <v>59.152160642373026</v>
      </c>
      <c r="AH241" s="49">
        <f t="shared" si="87"/>
        <v>1228.5931306280304</v>
      </c>
      <c r="AI241" s="49">
        <f t="shared" si="88"/>
        <v>1159.009504614505</v>
      </c>
      <c r="AJ241" s="49">
        <f t="shared" si="89"/>
        <v>1093.1119023354552</v>
      </c>
      <c r="AK241" s="49">
        <f t="shared" si="90"/>
        <v>1030.687353530667</v>
      </c>
      <c r="AL241" s="103">
        <f t="shared" si="91"/>
        <v>971.53519288829398</v>
      </c>
      <c r="AN241" s="53">
        <f t="shared" si="92"/>
        <v>123.867997861053</v>
      </c>
      <c r="AO241" s="53">
        <f t="shared" si="93"/>
        <v>128.69311074886514</v>
      </c>
      <c r="AP241" s="53">
        <f t="shared" si="94"/>
        <v>107.43585456779707</v>
      </c>
      <c r="AQ241" s="53">
        <f t="shared" si="95"/>
        <v>101.59066823895363</v>
      </c>
      <c r="AR241" s="203">
        <f t="shared" si="96"/>
        <v>96.070497972128194</v>
      </c>
      <c r="AY241" s="3"/>
    </row>
    <row r="242" spans="1:51">
      <c r="A242" s="239"/>
      <c r="B242" s="43">
        <f>'13. Desinvesteringen'!B526</f>
        <v>507</v>
      </c>
      <c r="C242" s="54"/>
      <c r="D242" s="54"/>
      <c r="E242" s="54"/>
      <c r="F242" s="48">
        <f>'5. Input GAW-waarde desinv.'!D202</f>
        <v>32369.723836884237</v>
      </c>
      <c r="G242" s="187">
        <f>'13. Desinvesteringen'!D526</f>
        <v>2016</v>
      </c>
      <c r="H242" s="187">
        <f>'13. Desinvesteringen'!G526</f>
        <v>2023</v>
      </c>
      <c r="I242" s="43" t="str">
        <f>'13. Desinvesteringen'!C526</f>
        <v>17 Mengstations</v>
      </c>
      <c r="J242" s="176">
        <f>'13. Desinvesteringen'!F526</f>
        <v>0</v>
      </c>
      <c r="K242" s="44">
        <f>_xlfn.XLOOKUP(I242,'3. Input (des)investeringen '!$B$11:$B$81,'3. Input (des)investeringen '!$E$11:$E$81)</f>
        <v>0</v>
      </c>
      <c r="L242" s="54"/>
      <c r="M242" s="44">
        <f>_xlfn.XLOOKUP(I242,'3. Input (des)investeringen '!$B$11:$B$81,'3. Input (des)investeringen '!$D$11:$D$81,0)</f>
        <v>30</v>
      </c>
      <c r="N242" s="44">
        <f t="shared" si="76"/>
        <v>24.5</v>
      </c>
      <c r="P242" s="49">
        <f t="shared" si="97"/>
        <v>1545.8194648634515</v>
      </c>
      <c r="Q242" s="49">
        <f t="shared" si="97"/>
        <v>1463.7963912176356</v>
      </c>
      <c r="R242" s="49">
        <f t="shared" si="97"/>
        <v>1386.1255622958836</v>
      </c>
      <c r="S242" s="49">
        <f t="shared" si="97"/>
        <v>1312.5760426638572</v>
      </c>
      <c r="T242" s="103">
        <f t="shared" si="97"/>
        <v>1242.9291506041425</v>
      </c>
      <c r="V242" s="49">
        <f t="shared" si="77"/>
        <v>132.12132178320095</v>
      </c>
      <c r="W242" s="49">
        <f t="shared" si="78"/>
        <v>132.12132178320095</v>
      </c>
      <c r="X242" s="49">
        <f t="shared" si="79"/>
        <v>132.12132178320095</v>
      </c>
      <c r="Y242" s="49">
        <f t="shared" si="80"/>
        <v>132.12132178320095</v>
      </c>
      <c r="Z242" s="103">
        <f t="shared" si="81"/>
        <v>132.12132178320095</v>
      </c>
      <c r="AB242" s="49">
        <f t="shared" si="82"/>
        <v>1677.9407866466524</v>
      </c>
      <c r="AC242" s="49">
        <f t="shared" si="83"/>
        <v>1595.9177130008366</v>
      </c>
      <c r="AD242" s="49">
        <f t="shared" si="84"/>
        <v>1518.2468840790846</v>
      </c>
      <c r="AE242" s="49">
        <f t="shared" si="85"/>
        <v>1444.6973644470581</v>
      </c>
      <c r="AF242" s="103">
        <f t="shared" si="86"/>
        <v>1375.0504723873435</v>
      </c>
      <c r="AH242" s="49">
        <f t="shared" si="87"/>
        <v>30691.783050237584</v>
      </c>
      <c r="AI242" s="49">
        <f t="shared" si="88"/>
        <v>29095.865337236748</v>
      </c>
      <c r="AJ242" s="49">
        <f t="shared" si="89"/>
        <v>27577.618453157662</v>
      </c>
      <c r="AK242" s="49">
        <f t="shared" si="90"/>
        <v>26132.921088710602</v>
      </c>
      <c r="AL242" s="103">
        <f t="shared" si="91"/>
        <v>24757.87061632326</v>
      </c>
      <c r="AN242" s="53">
        <f t="shared" si="92"/>
        <v>2936.3038917063932</v>
      </c>
      <c r="AO242" s="53">
        <f t="shared" si="93"/>
        <v>3079.8068451999106</v>
      </c>
      <c r="AP242" s="53">
        <f t="shared" si="94"/>
        <v>2566.1963852990757</v>
      </c>
      <c r="AQ242" s="53">
        <f t="shared" si="95"/>
        <v>2437.7483658180608</v>
      </c>
      <c r="AR242" s="203">
        <f t="shared" si="96"/>
        <v>2315.8495558076274</v>
      </c>
      <c r="AY242" s="3"/>
    </row>
    <row r="243" spans="1:51">
      <c r="A243" s="239"/>
      <c r="B243" s="43">
        <f>'13. Desinvesteringen'!B527</f>
        <v>508</v>
      </c>
      <c r="C243" s="54"/>
      <c r="D243" s="54"/>
      <c r="E243" s="54"/>
      <c r="F243" s="48">
        <f>'5. Input GAW-waarde desinv.'!D203</f>
        <v>0</v>
      </c>
      <c r="G243" s="187">
        <f>'13. Desinvesteringen'!D527</f>
        <v>1964</v>
      </c>
      <c r="H243" s="187">
        <f>'13. Desinvesteringen'!G527</f>
        <v>2023</v>
      </c>
      <c r="I243" s="43" t="str">
        <f>'13. Desinvesteringen'!C527</f>
        <v>21 Hoofdtransportleiding</v>
      </c>
      <c r="J243" s="176">
        <f>'13. Desinvesteringen'!F527</f>
        <v>0</v>
      </c>
      <c r="K243" s="44">
        <f>_xlfn.XLOOKUP(I243,'3. Input (des)investeringen '!$B$11:$B$81,'3. Input (des)investeringen '!$E$11:$E$81)</f>
        <v>1</v>
      </c>
      <c r="L243" s="54"/>
      <c r="M243" s="44">
        <f>_xlfn.XLOOKUP(I243,'3. Input (des)investeringen '!$B$11:$B$81,'3. Input (des)investeringen '!$D$11:$D$81,0)</f>
        <v>55</v>
      </c>
      <c r="N243" s="44">
        <f t="shared" si="76"/>
        <v>0</v>
      </c>
      <c r="P243" s="49">
        <f t="shared" si="97"/>
        <v>0</v>
      </c>
      <c r="Q243" s="49">
        <f t="shared" si="97"/>
        <v>0</v>
      </c>
      <c r="R243" s="49">
        <f t="shared" si="97"/>
        <v>0</v>
      </c>
      <c r="S243" s="49">
        <f t="shared" si="97"/>
        <v>0</v>
      </c>
      <c r="T243" s="103">
        <f t="shared" si="97"/>
        <v>0</v>
      </c>
      <c r="V243" s="49">
        <f t="shared" si="77"/>
        <v>0</v>
      </c>
      <c r="W243" s="49">
        <f t="shared" si="78"/>
        <v>0</v>
      </c>
      <c r="X243" s="49">
        <f t="shared" si="79"/>
        <v>0</v>
      </c>
      <c r="Y243" s="49">
        <f t="shared" si="80"/>
        <v>0</v>
      </c>
      <c r="Z243" s="103">
        <f t="shared" si="81"/>
        <v>0</v>
      </c>
      <c r="AB243" s="49">
        <f t="shared" si="82"/>
        <v>0</v>
      </c>
      <c r="AC243" s="49">
        <f t="shared" si="83"/>
        <v>0</v>
      </c>
      <c r="AD243" s="49">
        <f t="shared" si="84"/>
        <v>0</v>
      </c>
      <c r="AE243" s="49">
        <f t="shared" si="85"/>
        <v>0</v>
      </c>
      <c r="AF243" s="103">
        <f t="shared" si="86"/>
        <v>0</v>
      </c>
      <c r="AH243" s="49">
        <f t="shared" si="87"/>
        <v>0</v>
      </c>
      <c r="AI243" s="49">
        <f t="shared" si="88"/>
        <v>0</v>
      </c>
      <c r="AJ243" s="49">
        <f t="shared" si="89"/>
        <v>0</v>
      </c>
      <c r="AK243" s="49">
        <f t="shared" si="90"/>
        <v>0</v>
      </c>
      <c r="AL243" s="103">
        <f t="shared" si="91"/>
        <v>0</v>
      </c>
      <c r="AN243" s="53">
        <f t="shared" si="92"/>
        <v>0</v>
      </c>
      <c r="AO243" s="53">
        <f t="shared" si="93"/>
        <v>0</v>
      </c>
      <c r="AP243" s="53">
        <f t="shared" si="94"/>
        <v>0</v>
      </c>
      <c r="AQ243" s="53">
        <f t="shared" si="95"/>
        <v>0</v>
      </c>
      <c r="AR243" s="203">
        <f t="shared" si="96"/>
        <v>0</v>
      </c>
      <c r="AY243" s="3"/>
    </row>
    <row r="244" spans="1:51">
      <c r="A244" s="239"/>
      <c r="B244" s="43">
        <f>'13. Desinvesteringen'!B528</f>
        <v>509</v>
      </c>
      <c r="C244" s="54"/>
      <c r="D244" s="54"/>
      <c r="E244" s="54"/>
      <c r="F244" s="48">
        <f>'5. Input GAW-waarde desinv.'!D204</f>
        <v>0</v>
      </c>
      <c r="G244" s="187">
        <f>'13. Desinvesteringen'!D528</f>
        <v>1966</v>
      </c>
      <c r="H244" s="187">
        <f>'13. Desinvesteringen'!G528</f>
        <v>2023</v>
      </c>
      <c r="I244" s="43" t="str">
        <f>'13. Desinvesteringen'!C528</f>
        <v>21 Hoofdtransportleiding</v>
      </c>
      <c r="J244" s="176">
        <f>'13. Desinvesteringen'!F528</f>
        <v>0</v>
      </c>
      <c r="K244" s="44">
        <f>_xlfn.XLOOKUP(I244,'3. Input (des)investeringen '!$B$11:$B$81,'3. Input (des)investeringen '!$E$11:$E$81)</f>
        <v>1</v>
      </c>
      <c r="L244" s="54"/>
      <c r="M244" s="44">
        <f>_xlfn.XLOOKUP(I244,'3. Input (des)investeringen '!$B$11:$B$81,'3. Input (des)investeringen '!$D$11:$D$81,0)</f>
        <v>55</v>
      </c>
      <c r="N244" s="44">
        <f t="shared" si="76"/>
        <v>0</v>
      </c>
      <c r="P244" s="49">
        <f t="shared" si="97"/>
        <v>0</v>
      </c>
      <c r="Q244" s="49">
        <f t="shared" si="97"/>
        <v>0</v>
      </c>
      <c r="R244" s="49">
        <f t="shared" si="97"/>
        <v>0</v>
      </c>
      <c r="S244" s="49">
        <f t="shared" si="97"/>
        <v>0</v>
      </c>
      <c r="T244" s="103">
        <f t="shared" si="97"/>
        <v>0</v>
      </c>
      <c r="V244" s="49">
        <f t="shared" si="77"/>
        <v>0</v>
      </c>
      <c r="W244" s="49">
        <f t="shared" si="78"/>
        <v>0</v>
      </c>
      <c r="X244" s="49">
        <f t="shared" si="79"/>
        <v>0</v>
      </c>
      <c r="Y244" s="49">
        <f t="shared" si="80"/>
        <v>0</v>
      </c>
      <c r="Z244" s="103">
        <f t="shared" si="81"/>
        <v>0</v>
      </c>
      <c r="AB244" s="49">
        <f t="shared" si="82"/>
        <v>0</v>
      </c>
      <c r="AC244" s="49">
        <f t="shared" si="83"/>
        <v>0</v>
      </c>
      <c r="AD244" s="49">
        <f t="shared" si="84"/>
        <v>0</v>
      </c>
      <c r="AE244" s="49">
        <f t="shared" si="85"/>
        <v>0</v>
      </c>
      <c r="AF244" s="103">
        <f t="shared" si="86"/>
        <v>0</v>
      </c>
      <c r="AH244" s="49">
        <f t="shared" si="87"/>
        <v>0</v>
      </c>
      <c r="AI244" s="49">
        <f t="shared" si="88"/>
        <v>0</v>
      </c>
      <c r="AJ244" s="49">
        <f t="shared" si="89"/>
        <v>0</v>
      </c>
      <c r="AK244" s="49">
        <f t="shared" si="90"/>
        <v>0</v>
      </c>
      <c r="AL244" s="103">
        <f t="shared" si="91"/>
        <v>0</v>
      </c>
      <c r="AN244" s="53">
        <f t="shared" si="92"/>
        <v>0</v>
      </c>
      <c r="AO244" s="53">
        <f t="shared" si="93"/>
        <v>0</v>
      </c>
      <c r="AP244" s="53">
        <f t="shared" si="94"/>
        <v>0</v>
      </c>
      <c r="AQ244" s="53">
        <f t="shared" si="95"/>
        <v>0</v>
      </c>
      <c r="AR244" s="203">
        <f t="shared" si="96"/>
        <v>0</v>
      </c>
      <c r="AY244" s="3"/>
    </row>
    <row r="245" spans="1:51">
      <c r="A245" s="239"/>
      <c r="B245" s="43">
        <f>'13. Desinvesteringen'!B529</f>
        <v>510</v>
      </c>
      <c r="C245" s="54"/>
      <c r="D245" s="54"/>
      <c r="E245" s="54"/>
      <c r="F245" s="48">
        <f>'5. Input GAW-waarde desinv.'!D205</f>
        <v>391.2500930325707</v>
      </c>
      <c r="G245" s="187">
        <f>'13. Desinvesteringen'!D529</f>
        <v>1967</v>
      </c>
      <c r="H245" s="187">
        <f>'13. Desinvesteringen'!G529</f>
        <v>2023</v>
      </c>
      <c r="I245" s="43" t="str">
        <f>'13. Desinvesteringen'!C529</f>
        <v>21 Hoofdtransportleiding</v>
      </c>
      <c r="J245" s="176">
        <f>'13. Desinvesteringen'!F529</f>
        <v>0</v>
      </c>
      <c r="K245" s="44">
        <f>_xlfn.XLOOKUP(I245,'3. Input (des)investeringen '!$B$11:$B$81,'3. Input (des)investeringen '!$E$11:$E$81)</f>
        <v>1</v>
      </c>
      <c r="L245" s="54"/>
      <c r="M245" s="44">
        <f>_xlfn.XLOOKUP(I245,'3. Input (des)investeringen '!$B$11:$B$81,'3. Input (des)investeringen '!$D$11:$D$81,0)</f>
        <v>55</v>
      </c>
      <c r="N245" s="44">
        <f t="shared" si="76"/>
        <v>0.5</v>
      </c>
      <c r="P245" s="49">
        <f t="shared" si="97"/>
        <v>352.12508372931364</v>
      </c>
      <c r="Q245" s="49">
        <f t="shared" si="97"/>
        <v>0</v>
      </c>
      <c r="R245" s="49">
        <f t="shared" si="97"/>
        <v>0</v>
      </c>
      <c r="S245" s="49">
        <f t="shared" si="97"/>
        <v>0</v>
      </c>
      <c r="T245" s="103">
        <f t="shared" si="97"/>
        <v>0</v>
      </c>
      <c r="V245" s="49">
        <f t="shared" si="77"/>
        <v>39.125009303257073</v>
      </c>
      <c r="W245" s="49">
        <f t="shared" si="78"/>
        <v>0</v>
      </c>
      <c r="X245" s="49">
        <f t="shared" si="79"/>
        <v>0</v>
      </c>
      <c r="Y245" s="49">
        <f t="shared" si="80"/>
        <v>0</v>
      </c>
      <c r="Z245" s="103">
        <f t="shared" si="81"/>
        <v>0</v>
      </c>
      <c r="AB245" s="49">
        <f t="shared" si="82"/>
        <v>391.2500930325707</v>
      </c>
      <c r="AC245" s="49">
        <f t="shared" si="83"/>
        <v>0</v>
      </c>
      <c r="AD245" s="49">
        <f t="shared" si="84"/>
        <v>0</v>
      </c>
      <c r="AE245" s="49">
        <f t="shared" si="85"/>
        <v>0</v>
      </c>
      <c r="AF245" s="103">
        <f t="shared" si="86"/>
        <v>0</v>
      </c>
      <c r="AH245" s="49">
        <f t="shared" si="87"/>
        <v>0</v>
      </c>
      <c r="AI245" s="49">
        <f t="shared" si="88"/>
        <v>0</v>
      </c>
      <c r="AJ245" s="49">
        <f t="shared" si="89"/>
        <v>0</v>
      </c>
      <c r="AK245" s="49">
        <f t="shared" si="90"/>
        <v>0</v>
      </c>
      <c r="AL245" s="103">
        <f t="shared" si="91"/>
        <v>0</v>
      </c>
      <c r="AN245" s="53">
        <f t="shared" si="92"/>
        <v>391.2500930325707</v>
      </c>
      <c r="AO245" s="53">
        <f t="shared" si="93"/>
        <v>0</v>
      </c>
      <c r="AP245" s="53">
        <f t="shared" si="94"/>
        <v>0</v>
      </c>
      <c r="AQ245" s="53">
        <f t="shared" si="95"/>
        <v>0</v>
      </c>
      <c r="AR245" s="203">
        <f t="shared" si="96"/>
        <v>0</v>
      </c>
      <c r="AY245" s="3"/>
    </row>
    <row r="246" spans="1:51">
      <c r="A246" s="239"/>
      <c r="B246" s="43">
        <f>'13. Desinvesteringen'!B530</f>
        <v>511</v>
      </c>
      <c r="C246" s="54"/>
      <c r="D246" s="54"/>
      <c r="E246" s="54"/>
      <c r="F246" s="48">
        <f>'5. Input GAW-waarde desinv.'!D206</f>
        <v>5807.0127406390793</v>
      </c>
      <c r="G246" s="187">
        <f>'13. Desinvesteringen'!D530</f>
        <v>1970</v>
      </c>
      <c r="H246" s="187">
        <f>'13. Desinvesteringen'!G530</f>
        <v>2023</v>
      </c>
      <c r="I246" s="43" t="str">
        <f>'13. Desinvesteringen'!C530</f>
        <v>21 Hoofdtransportleiding</v>
      </c>
      <c r="J246" s="176">
        <f>'13. Desinvesteringen'!F530</f>
        <v>0</v>
      </c>
      <c r="K246" s="44">
        <f>_xlfn.XLOOKUP(I246,'3. Input (des)investeringen '!$B$11:$B$81,'3. Input (des)investeringen '!$E$11:$E$81)</f>
        <v>1</v>
      </c>
      <c r="L246" s="54"/>
      <c r="M246" s="44">
        <f>_xlfn.XLOOKUP(I246,'3. Input (des)investeringen '!$B$11:$B$81,'3. Input (des)investeringen '!$D$11:$D$81,0)</f>
        <v>55</v>
      </c>
      <c r="N246" s="44">
        <f t="shared" si="76"/>
        <v>3.5</v>
      </c>
      <c r="P246" s="49">
        <f t="shared" si="97"/>
        <v>1941.201401870778</v>
      </c>
      <c r="Q246" s="49">
        <f t="shared" si="97"/>
        <v>1314.0440258817573</v>
      </c>
      <c r="R246" s="49">
        <f t="shared" si="97"/>
        <v>1314.0440258817573</v>
      </c>
      <c r="S246" s="49">
        <f t="shared" si="97"/>
        <v>657.02201294087865</v>
      </c>
      <c r="T246" s="103">
        <f t="shared" si="97"/>
        <v>0</v>
      </c>
      <c r="V246" s="49">
        <f t="shared" si="77"/>
        <v>165.91464973254514</v>
      </c>
      <c r="W246" s="49">
        <f t="shared" si="78"/>
        <v>165.91464973254514</v>
      </c>
      <c r="X246" s="49">
        <f t="shared" si="79"/>
        <v>165.91464973254514</v>
      </c>
      <c r="Y246" s="49">
        <f t="shared" si="80"/>
        <v>82.957324866272572</v>
      </c>
      <c r="Z246" s="103">
        <f t="shared" si="81"/>
        <v>0</v>
      </c>
      <c r="AB246" s="49">
        <f t="shared" si="82"/>
        <v>2107.1160516033233</v>
      </c>
      <c r="AC246" s="49">
        <f t="shared" si="83"/>
        <v>1479.9586756143024</v>
      </c>
      <c r="AD246" s="49">
        <f t="shared" si="84"/>
        <v>1479.9586756143024</v>
      </c>
      <c r="AE246" s="49">
        <f t="shared" si="85"/>
        <v>739.97933780715118</v>
      </c>
      <c r="AF246" s="103">
        <f t="shared" si="86"/>
        <v>0</v>
      </c>
      <c r="AH246" s="49">
        <f t="shared" si="87"/>
        <v>3699.896689035756</v>
      </c>
      <c r="AI246" s="49">
        <f t="shared" si="88"/>
        <v>2219.9380134214534</v>
      </c>
      <c r="AJ246" s="49">
        <f t="shared" si="89"/>
        <v>739.97933780715107</v>
      </c>
      <c r="AK246" s="49">
        <f t="shared" si="90"/>
        <v>0</v>
      </c>
      <c r="AL246" s="103">
        <f t="shared" si="91"/>
        <v>0</v>
      </c>
      <c r="AN246" s="53">
        <f t="shared" si="92"/>
        <v>2258.8118158537891</v>
      </c>
      <c r="AO246" s="53">
        <f t="shared" si="93"/>
        <v>1593.1755142987965</v>
      </c>
      <c r="AP246" s="53">
        <f t="shared" si="94"/>
        <v>1508.0778904509741</v>
      </c>
      <c r="AQ246" s="53">
        <f t="shared" si="95"/>
        <v>739.97933780715118</v>
      </c>
      <c r="AR246" s="203">
        <f t="shared" si="96"/>
        <v>0</v>
      </c>
      <c r="AY246" s="3"/>
    </row>
    <row r="247" spans="1:51">
      <c r="A247" s="239"/>
      <c r="B247" s="43">
        <f>'13. Desinvesteringen'!B531</f>
        <v>512</v>
      </c>
      <c r="C247" s="54"/>
      <c r="D247" s="54"/>
      <c r="E247" s="54"/>
      <c r="F247" s="48">
        <f>'5. Input GAW-waarde desinv.'!D207</f>
        <v>3846.4772684956265</v>
      </c>
      <c r="G247" s="187">
        <f>'13. Desinvesteringen'!D531</f>
        <v>1971</v>
      </c>
      <c r="H247" s="187">
        <f>'13. Desinvesteringen'!G531</f>
        <v>2023</v>
      </c>
      <c r="I247" s="43" t="str">
        <f>'13. Desinvesteringen'!C531</f>
        <v>21 Hoofdtransportleiding</v>
      </c>
      <c r="J247" s="176">
        <f>'13. Desinvesteringen'!F531</f>
        <v>0</v>
      </c>
      <c r="K247" s="44">
        <f>_xlfn.XLOOKUP(I247,'3. Input (des)investeringen '!$B$11:$B$81,'3. Input (des)investeringen '!$E$11:$E$81)</f>
        <v>1</v>
      </c>
      <c r="L247" s="54"/>
      <c r="M247" s="44">
        <f>_xlfn.XLOOKUP(I247,'3. Input (des)investeringen '!$B$11:$B$81,'3. Input (des)investeringen '!$D$11:$D$81,0)</f>
        <v>55</v>
      </c>
      <c r="N247" s="44">
        <f t="shared" si="76"/>
        <v>4.5</v>
      </c>
      <c r="P247" s="49">
        <f t="shared" si="97"/>
        <v>1000.084089808863</v>
      </c>
      <c r="Q247" s="49">
        <f t="shared" si="97"/>
        <v>711.17090830852476</v>
      </c>
      <c r="R247" s="49">
        <f t="shared" si="97"/>
        <v>700.22981741147044</v>
      </c>
      <c r="S247" s="49">
        <f t="shared" si="97"/>
        <v>700.22981741147044</v>
      </c>
      <c r="T247" s="103">
        <f t="shared" si="97"/>
        <v>350.11490870573522</v>
      </c>
      <c r="V247" s="49">
        <f t="shared" si="77"/>
        <v>85.477272633236154</v>
      </c>
      <c r="W247" s="49">
        <f t="shared" si="78"/>
        <v>85.477272633236154</v>
      </c>
      <c r="X247" s="49">
        <f t="shared" si="79"/>
        <v>85.477272633236154</v>
      </c>
      <c r="Y247" s="49">
        <f t="shared" si="80"/>
        <v>85.477272633236154</v>
      </c>
      <c r="Z247" s="103">
        <f t="shared" si="81"/>
        <v>42.738636316618077</v>
      </c>
      <c r="AB247" s="49">
        <f t="shared" si="82"/>
        <v>1085.5613624420992</v>
      </c>
      <c r="AC247" s="49">
        <f t="shared" si="83"/>
        <v>796.64818094176087</v>
      </c>
      <c r="AD247" s="49">
        <f t="shared" si="84"/>
        <v>785.70709004470655</v>
      </c>
      <c r="AE247" s="49">
        <f t="shared" si="85"/>
        <v>785.70709004470655</v>
      </c>
      <c r="AF247" s="103">
        <f t="shared" si="86"/>
        <v>392.85354502235327</v>
      </c>
      <c r="AH247" s="49">
        <f t="shared" si="87"/>
        <v>2760.9159060535276</v>
      </c>
      <c r="AI247" s="49">
        <f t="shared" si="88"/>
        <v>1964.2677251117666</v>
      </c>
      <c r="AJ247" s="49">
        <f t="shared" si="89"/>
        <v>1178.56063506706</v>
      </c>
      <c r="AK247" s="49">
        <f t="shared" si="90"/>
        <v>392.8535450223535</v>
      </c>
      <c r="AL247" s="103">
        <f t="shared" si="91"/>
        <v>0</v>
      </c>
      <c r="AN247" s="53">
        <f t="shared" si="92"/>
        <v>1198.7589145902939</v>
      </c>
      <c r="AO247" s="53">
        <f t="shared" si="93"/>
        <v>896.8258349224609</v>
      </c>
      <c r="AP247" s="53">
        <f t="shared" si="94"/>
        <v>830.49239417725482</v>
      </c>
      <c r="AQ247" s="53">
        <f t="shared" si="95"/>
        <v>800.63552475555593</v>
      </c>
      <c r="AR247" s="203">
        <f t="shared" si="96"/>
        <v>392.85354502235327</v>
      </c>
      <c r="AY247" s="3"/>
    </row>
    <row r="248" spans="1:51">
      <c r="A248" s="239"/>
      <c r="B248" s="43">
        <f>'13. Desinvesteringen'!B532</f>
        <v>513</v>
      </c>
      <c r="C248" s="54"/>
      <c r="D248" s="54"/>
      <c r="E248" s="54"/>
      <c r="F248" s="48">
        <f>'5. Input GAW-waarde desinv.'!D208</f>
        <v>68227.138320870654</v>
      </c>
      <c r="G248" s="187">
        <f>'13. Desinvesteringen'!D532</f>
        <v>1975</v>
      </c>
      <c r="H248" s="187">
        <f>'13. Desinvesteringen'!G532</f>
        <v>2023</v>
      </c>
      <c r="I248" s="43" t="str">
        <f>'13. Desinvesteringen'!C532</f>
        <v>21 Hoofdtransportleiding</v>
      </c>
      <c r="J248" s="176">
        <f>'13. Desinvesteringen'!F532</f>
        <v>0</v>
      </c>
      <c r="K248" s="44">
        <f>_xlfn.XLOOKUP(I248,'3. Input (des)investeringen '!$B$11:$B$81,'3. Input (des)investeringen '!$E$11:$E$81)</f>
        <v>1</v>
      </c>
      <c r="L248" s="54"/>
      <c r="M248" s="44">
        <f>_xlfn.XLOOKUP(I248,'3. Input (des)investeringen '!$B$11:$B$81,'3. Input (des)investeringen '!$D$11:$D$81,0)</f>
        <v>55</v>
      </c>
      <c r="N248" s="44">
        <f t="shared" si="76"/>
        <v>8.5</v>
      </c>
      <c r="P248" s="49">
        <f t="shared" si="97"/>
        <v>9391.2649218139613</v>
      </c>
      <c r="Q248" s="49">
        <f t="shared" si="97"/>
        <v>7954.9538161247665</v>
      </c>
      <c r="R248" s="49">
        <f t="shared" si="97"/>
        <v>6778.1855001299782</v>
      </c>
      <c r="S248" s="49">
        <f t="shared" si="97"/>
        <v>6778.1855001299782</v>
      </c>
      <c r="T248" s="103">
        <f t="shared" si="97"/>
        <v>6778.1855001299782</v>
      </c>
      <c r="V248" s="49">
        <f t="shared" si="77"/>
        <v>802.67221553965476</v>
      </c>
      <c r="W248" s="49">
        <f t="shared" si="78"/>
        <v>802.67221553965476</v>
      </c>
      <c r="X248" s="49">
        <f t="shared" si="79"/>
        <v>802.67221553965476</v>
      </c>
      <c r="Y248" s="49">
        <f t="shared" si="80"/>
        <v>802.67221553965476</v>
      </c>
      <c r="Z248" s="103">
        <f t="shared" si="81"/>
        <v>802.67221553965476</v>
      </c>
      <c r="AB248" s="49">
        <f t="shared" si="82"/>
        <v>10193.937137353616</v>
      </c>
      <c r="AC248" s="49">
        <f t="shared" si="83"/>
        <v>8757.626031664422</v>
      </c>
      <c r="AD248" s="49">
        <f t="shared" si="84"/>
        <v>7580.8577156696329</v>
      </c>
      <c r="AE248" s="49">
        <f t="shared" si="85"/>
        <v>7580.8577156696329</v>
      </c>
      <c r="AF248" s="103">
        <f t="shared" si="86"/>
        <v>7580.8577156696329</v>
      </c>
      <c r="AH248" s="49">
        <f t="shared" si="87"/>
        <v>58033.201183517041</v>
      </c>
      <c r="AI248" s="49">
        <f t="shared" si="88"/>
        <v>49275.575151852623</v>
      </c>
      <c r="AJ248" s="49">
        <f t="shared" si="89"/>
        <v>41694.717436182989</v>
      </c>
      <c r="AK248" s="49">
        <f t="shared" si="90"/>
        <v>34113.859720513356</v>
      </c>
      <c r="AL248" s="103">
        <f t="shared" si="91"/>
        <v>26533.002004843722</v>
      </c>
      <c r="AN248" s="53">
        <f t="shared" si="92"/>
        <v>12573.298385877815</v>
      </c>
      <c r="AO248" s="53">
        <f t="shared" si="93"/>
        <v>11270.680364408905</v>
      </c>
      <c r="AP248" s="53">
        <f t="shared" si="94"/>
        <v>9165.2569782445862</v>
      </c>
      <c r="AQ248" s="53">
        <f t="shared" si="95"/>
        <v>8877.1843850491405</v>
      </c>
      <c r="AR248" s="203">
        <f t="shared" si="96"/>
        <v>8589.1117918536947</v>
      </c>
      <c r="AY248" s="3"/>
    </row>
    <row r="249" spans="1:51">
      <c r="A249" s="239"/>
      <c r="B249" s="43">
        <f>'13. Desinvesteringen'!B533</f>
        <v>514</v>
      </c>
      <c r="C249" s="54"/>
      <c r="D249" s="54"/>
      <c r="E249" s="54"/>
      <c r="F249" s="48">
        <f>'5. Input GAW-waarde desinv.'!D209</f>
        <v>18541.10836769961</v>
      </c>
      <c r="G249" s="187">
        <f>'13. Desinvesteringen'!D533</f>
        <v>1976</v>
      </c>
      <c r="H249" s="187">
        <f>'13. Desinvesteringen'!G533</f>
        <v>2023</v>
      </c>
      <c r="I249" s="43" t="str">
        <f>'13. Desinvesteringen'!C533</f>
        <v>21 Hoofdtransportleiding</v>
      </c>
      <c r="J249" s="176">
        <f>'13. Desinvesteringen'!F533</f>
        <v>0</v>
      </c>
      <c r="K249" s="44">
        <f>_xlfn.XLOOKUP(I249,'3. Input (des)investeringen '!$B$11:$B$81,'3. Input (des)investeringen '!$E$11:$E$81)</f>
        <v>1</v>
      </c>
      <c r="L249" s="54"/>
      <c r="M249" s="44">
        <f>_xlfn.XLOOKUP(I249,'3. Input (des)investeringen '!$B$11:$B$81,'3. Input (des)investeringen '!$D$11:$D$81,0)</f>
        <v>55</v>
      </c>
      <c r="N249" s="44">
        <f t="shared" si="76"/>
        <v>9.5</v>
      </c>
      <c r="P249" s="49">
        <f t="shared" si="97"/>
        <v>2283.4838726535313</v>
      </c>
      <c r="Q249" s="49">
        <f t="shared" si="97"/>
        <v>1971.0071321851531</v>
      </c>
      <c r="R249" s="49">
        <f t="shared" si="97"/>
        <v>1701.2903667282374</v>
      </c>
      <c r="S249" s="49">
        <f t="shared" si="97"/>
        <v>1650.9563322096503</v>
      </c>
      <c r="T249" s="103">
        <f t="shared" si="97"/>
        <v>1650.9563322096503</v>
      </c>
      <c r="V249" s="49">
        <f t="shared" si="77"/>
        <v>195.16956176525906</v>
      </c>
      <c r="W249" s="49">
        <f t="shared" si="78"/>
        <v>195.16956176525906</v>
      </c>
      <c r="X249" s="49">
        <f t="shared" si="79"/>
        <v>195.16956176525906</v>
      </c>
      <c r="Y249" s="49">
        <f t="shared" si="80"/>
        <v>195.16956176525906</v>
      </c>
      <c r="Z249" s="103">
        <f t="shared" si="81"/>
        <v>195.16956176525906</v>
      </c>
      <c r="AB249" s="49">
        <f t="shared" si="82"/>
        <v>2478.6534344187903</v>
      </c>
      <c r="AC249" s="49">
        <f t="shared" si="83"/>
        <v>2166.1766939504123</v>
      </c>
      <c r="AD249" s="49">
        <f t="shared" si="84"/>
        <v>1896.4599284934964</v>
      </c>
      <c r="AE249" s="49">
        <f t="shared" si="85"/>
        <v>1846.1258939749093</v>
      </c>
      <c r="AF249" s="103">
        <f t="shared" si="86"/>
        <v>1846.1258939749093</v>
      </c>
      <c r="AH249" s="49">
        <f t="shared" si="87"/>
        <v>16062.45493328082</v>
      </c>
      <c r="AI249" s="49">
        <f t="shared" si="88"/>
        <v>13896.278239330408</v>
      </c>
      <c r="AJ249" s="49">
        <f t="shared" si="89"/>
        <v>11999.818310836912</v>
      </c>
      <c r="AK249" s="49">
        <f t="shared" si="90"/>
        <v>10153.692416862003</v>
      </c>
      <c r="AL249" s="103">
        <f t="shared" si="91"/>
        <v>8307.566522887093</v>
      </c>
      <c r="AN249" s="53">
        <f t="shared" si="92"/>
        <v>3137.2140866833042</v>
      </c>
      <c r="AO249" s="53">
        <f t="shared" si="93"/>
        <v>2874.886884156263</v>
      </c>
      <c r="AP249" s="53">
        <f t="shared" si="94"/>
        <v>2352.4530243052991</v>
      </c>
      <c r="AQ249" s="53">
        <f t="shared" si="95"/>
        <v>2231.9662058156655</v>
      </c>
      <c r="AR249" s="203">
        <f t="shared" si="96"/>
        <v>2161.8134218446189</v>
      </c>
      <c r="AY249" s="3"/>
    </row>
    <row r="250" spans="1:51">
      <c r="A250" s="239"/>
      <c r="B250" s="43">
        <f>'13. Desinvesteringen'!B534</f>
        <v>515</v>
      </c>
      <c r="C250" s="54"/>
      <c r="D250" s="54"/>
      <c r="E250" s="54"/>
      <c r="F250" s="48">
        <f>'5. Input GAW-waarde desinv.'!D210</f>
        <v>9654.3986266756274</v>
      </c>
      <c r="G250" s="187">
        <f>'13. Desinvesteringen'!D534</f>
        <v>1978</v>
      </c>
      <c r="H250" s="187">
        <f>'13. Desinvesteringen'!G534</f>
        <v>2023</v>
      </c>
      <c r="I250" s="43" t="str">
        <f>'13. Desinvesteringen'!C534</f>
        <v>21 Hoofdtransportleiding</v>
      </c>
      <c r="J250" s="176">
        <f>'13. Desinvesteringen'!F534</f>
        <v>0</v>
      </c>
      <c r="K250" s="44">
        <f>_xlfn.XLOOKUP(I250,'3. Input (des)investeringen '!$B$11:$B$81,'3. Input (des)investeringen '!$E$11:$E$81)</f>
        <v>1</v>
      </c>
      <c r="L250" s="54"/>
      <c r="M250" s="44">
        <f>_xlfn.XLOOKUP(I250,'3. Input (des)investeringen '!$B$11:$B$81,'3. Input (des)investeringen '!$D$11:$D$81,0)</f>
        <v>55</v>
      </c>
      <c r="N250" s="44">
        <f t="shared" si="76"/>
        <v>11.5</v>
      </c>
      <c r="P250" s="49">
        <f t="shared" si="97"/>
        <v>982.23012114873779</v>
      </c>
      <c r="Q250" s="49">
        <f t="shared" si="97"/>
        <v>871.19541180148906</v>
      </c>
      <c r="R250" s="49">
        <f t="shared" si="97"/>
        <v>772.71245220653816</v>
      </c>
      <c r="S250" s="49">
        <f t="shared" si="97"/>
        <v>713.27303280603519</v>
      </c>
      <c r="T250" s="103">
        <f t="shared" si="97"/>
        <v>713.27303280603519</v>
      </c>
      <c r="V250" s="49">
        <f t="shared" si="77"/>
        <v>83.951292405875023</v>
      </c>
      <c r="W250" s="49">
        <f t="shared" si="78"/>
        <v>83.951292405875023</v>
      </c>
      <c r="X250" s="49">
        <f t="shared" si="79"/>
        <v>83.951292405875023</v>
      </c>
      <c r="Y250" s="49">
        <f t="shared" si="80"/>
        <v>83.951292405875023</v>
      </c>
      <c r="Z250" s="103">
        <f t="shared" si="81"/>
        <v>83.951292405875023</v>
      </c>
      <c r="AB250" s="49">
        <f t="shared" si="82"/>
        <v>1066.1814135546128</v>
      </c>
      <c r="AC250" s="49">
        <f t="shared" si="83"/>
        <v>955.14670420736411</v>
      </c>
      <c r="AD250" s="49">
        <f t="shared" si="84"/>
        <v>856.66374461241321</v>
      </c>
      <c r="AE250" s="49">
        <f t="shared" si="85"/>
        <v>797.22432521191024</v>
      </c>
      <c r="AF250" s="103">
        <f t="shared" si="86"/>
        <v>797.22432521191024</v>
      </c>
      <c r="AH250" s="49">
        <f t="shared" si="87"/>
        <v>8588.2172131210136</v>
      </c>
      <c r="AI250" s="49">
        <f t="shared" si="88"/>
        <v>7633.07050891365</v>
      </c>
      <c r="AJ250" s="49">
        <f t="shared" si="89"/>
        <v>6776.4067643012368</v>
      </c>
      <c r="AK250" s="49">
        <f t="shared" si="90"/>
        <v>5979.1824390893262</v>
      </c>
      <c r="AL250" s="103">
        <f t="shared" si="91"/>
        <v>5181.9581138774156</v>
      </c>
      <c r="AN250" s="53">
        <f t="shared" si="92"/>
        <v>1418.2983192925744</v>
      </c>
      <c r="AO250" s="53">
        <f t="shared" si="93"/>
        <v>1344.4333001619602</v>
      </c>
      <c r="AP250" s="53">
        <f t="shared" si="94"/>
        <v>1114.1672016558603</v>
      </c>
      <c r="AQ250" s="53">
        <f t="shared" si="95"/>
        <v>1024.4332578973047</v>
      </c>
      <c r="AR250" s="203">
        <f t="shared" si="96"/>
        <v>994.13873353925203</v>
      </c>
      <c r="AY250" s="3"/>
    </row>
    <row r="251" spans="1:51">
      <c r="A251" s="239"/>
      <c r="B251" s="43">
        <f>'13. Desinvesteringen'!B535</f>
        <v>516</v>
      </c>
      <c r="C251" s="54"/>
      <c r="D251" s="54"/>
      <c r="E251" s="54"/>
      <c r="F251" s="48">
        <f>'5. Input GAW-waarde desinv.'!D211</f>
        <v>11416.655239751346</v>
      </c>
      <c r="G251" s="187">
        <f>'13. Desinvesteringen'!D535</f>
        <v>1980</v>
      </c>
      <c r="H251" s="187">
        <f>'13. Desinvesteringen'!G535</f>
        <v>2023</v>
      </c>
      <c r="I251" s="43" t="str">
        <f>'13. Desinvesteringen'!C535</f>
        <v>21 Hoofdtransportleiding</v>
      </c>
      <c r="J251" s="176">
        <f>'13. Desinvesteringen'!F535</f>
        <v>0</v>
      </c>
      <c r="K251" s="44">
        <f>_xlfn.XLOOKUP(I251,'3. Input (des)investeringen '!$B$11:$B$81,'3. Input (des)investeringen '!$E$11:$E$81)</f>
        <v>1</v>
      </c>
      <c r="L251" s="54"/>
      <c r="M251" s="44">
        <f>_xlfn.XLOOKUP(I251,'3. Input (des)investeringen '!$B$11:$B$81,'3. Input (des)investeringen '!$D$11:$D$81,0)</f>
        <v>55</v>
      </c>
      <c r="N251" s="44">
        <f t="shared" si="76"/>
        <v>13.5</v>
      </c>
      <c r="P251" s="49">
        <f t="shared" si="97"/>
        <v>989.44345411178335</v>
      </c>
      <c r="Q251" s="49">
        <f t="shared" si="97"/>
        <v>894.1637140862041</v>
      </c>
      <c r="R251" s="49">
        <f t="shared" si="97"/>
        <v>808.05906013716231</v>
      </c>
      <c r="S251" s="49">
        <f t="shared" si="97"/>
        <v>730.24596545728741</v>
      </c>
      <c r="T251" s="103">
        <f t="shared" si="97"/>
        <v>721.37658126144981</v>
      </c>
      <c r="V251" s="49">
        <f t="shared" si="77"/>
        <v>84.567816590750724</v>
      </c>
      <c r="W251" s="49">
        <f t="shared" si="78"/>
        <v>84.567816590750724</v>
      </c>
      <c r="X251" s="49">
        <f t="shared" si="79"/>
        <v>84.567816590750724</v>
      </c>
      <c r="Y251" s="49">
        <f t="shared" si="80"/>
        <v>84.567816590750724</v>
      </c>
      <c r="Z251" s="103">
        <f t="shared" si="81"/>
        <v>84.567816590750724</v>
      </c>
      <c r="AB251" s="49">
        <f t="shared" si="82"/>
        <v>1074.0112707025341</v>
      </c>
      <c r="AC251" s="49">
        <f t="shared" si="83"/>
        <v>978.73153067695478</v>
      </c>
      <c r="AD251" s="49">
        <f t="shared" si="84"/>
        <v>892.62687672791299</v>
      </c>
      <c r="AE251" s="49">
        <f t="shared" si="85"/>
        <v>814.81378204803809</v>
      </c>
      <c r="AF251" s="103">
        <f t="shared" si="86"/>
        <v>805.9443978522005</v>
      </c>
      <c r="AH251" s="49">
        <f t="shared" si="87"/>
        <v>10342.643969048811</v>
      </c>
      <c r="AI251" s="49">
        <f t="shared" si="88"/>
        <v>9363.9124383718572</v>
      </c>
      <c r="AJ251" s="49">
        <f t="shared" si="89"/>
        <v>8471.2855616439447</v>
      </c>
      <c r="AK251" s="49">
        <f t="shared" si="90"/>
        <v>7656.4717795959068</v>
      </c>
      <c r="AL251" s="103">
        <f t="shared" si="91"/>
        <v>6850.5273817437064</v>
      </c>
      <c r="AN251" s="53">
        <f t="shared" si="92"/>
        <v>1498.0596734335354</v>
      </c>
      <c r="AO251" s="53">
        <f t="shared" si="93"/>
        <v>1456.2910650339195</v>
      </c>
      <c r="AP251" s="53">
        <f t="shared" si="94"/>
        <v>1214.5357280703829</v>
      </c>
      <c r="AQ251" s="53">
        <f t="shared" si="95"/>
        <v>1105.7597096726827</v>
      </c>
      <c r="AR251" s="203">
        <f t="shared" si="96"/>
        <v>1066.2644383584613</v>
      </c>
      <c r="AY251" s="3"/>
    </row>
    <row r="252" spans="1:51">
      <c r="A252" s="239"/>
      <c r="B252" s="43">
        <f>'13. Desinvesteringen'!B536</f>
        <v>517</v>
      </c>
      <c r="C252" s="54"/>
      <c r="D252" s="54"/>
      <c r="E252" s="54"/>
      <c r="F252" s="48">
        <f>'5. Input GAW-waarde desinv.'!D212</f>
        <v>17633.404807314058</v>
      </c>
      <c r="G252" s="187">
        <f>'13. Desinvesteringen'!D536</f>
        <v>1982</v>
      </c>
      <c r="H252" s="187">
        <f>'13. Desinvesteringen'!G536</f>
        <v>2023</v>
      </c>
      <c r="I252" s="43" t="str">
        <f>'13. Desinvesteringen'!C536</f>
        <v>21 Hoofdtransportleiding</v>
      </c>
      <c r="J252" s="176">
        <f>'13. Desinvesteringen'!F536</f>
        <v>0</v>
      </c>
      <c r="K252" s="44">
        <f>_xlfn.XLOOKUP(I252,'3. Input (des)investeringen '!$B$11:$B$81,'3. Input (des)investeringen '!$E$11:$E$81)</f>
        <v>1</v>
      </c>
      <c r="L252" s="54"/>
      <c r="M252" s="44">
        <f>_xlfn.XLOOKUP(I252,'3. Input (des)investeringen '!$B$11:$B$81,'3. Input (des)investeringen '!$D$11:$D$81,0)</f>
        <v>55</v>
      </c>
      <c r="N252" s="44">
        <f t="shared" si="76"/>
        <v>15.5</v>
      </c>
      <c r="P252" s="49">
        <f t="shared" si="97"/>
        <v>1331.0376531972547</v>
      </c>
      <c r="Q252" s="49">
        <f t="shared" si="97"/>
        <v>1219.4022371226463</v>
      </c>
      <c r="R252" s="49">
        <f t="shared" si="97"/>
        <v>1117.1297914284889</v>
      </c>
      <c r="S252" s="49">
        <f t="shared" si="97"/>
        <v>1023.4350347280349</v>
      </c>
      <c r="T252" s="103">
        <f t="shared" si="97"/>
        <v>972.09214000923726</v>
      </c>
      <c r="V252" s="49">
        <f t="shared" si="77"/>
        <v>113.76390198267134</v>
      </c>
      <c r="W252" s="49">
        <f t="shared" si="78"/>
        <v>113.76390198267134</v>
      </c>
      <c r="X252" s="49">
        <f t="shared" si="79"/>
        <v>113.76390198267134</v>
      </c>
      <c r="Y252" s="49">
        <f t="shared" si="80"/>
        <v>113.76390198267134</v>
      </c>
      <c r="Z252" s="103">
        <f t="shared" si="81"/>
        <v>113.76390198267134</v>
      </c>
      <c r="AB252" s="49">
        <f t="shared" si="82"/>
        <v>1444.801555179926</v>
      </c>
      <c r="AC252" s="49">
        <f t="shared" si="83"/>
        <v>1333.1661391053176</v>
      </c>
      <c r="AD252" s="49">
        <f t="shared" si="84"/>
        <v>1230.8936934111603</v>
      </c>
      <c r="AE252" s="49">
        <f t="shared" si="85"/>
        <v>1137.1989367107062</v>
      </c>
      <c r="AF252" s="103">
        <f t="shared" si="86"/>
        <v>1085.8560419919086</v>
      </c>
      <c r="AH252" s="49">
        <f t="shared" si="87"/>
        <v>16188.603252134133</v>
      </c>
      <c r="AI252" s="49">
        <f t="shared" si="88"/>
        <v>14855.437113028816</v>
      </c>
      <c r="AJ252" s="49">
        <f t="shared" si="89"/>
        <v>13624.543419617656</v>
      </c>
      <c r="AK252" s="49">
        <f t="shared" si="90"/>
        <v>12487.344482906949</v>
      </c>
      <c r="AL252" s="103">
        <f t="shared" si="91"/>
        <v>11401.48844091504</v>
      </c>
      <c r="AN252" s="53">
        <f t="shared" si="92"/>
        <v>2108.5342885174255</v>
      </c>
      <c r="AO252" s="53">
        <f t="shared" si="93"/>
        <v>2090.7934318697871</v>
      </c>
      <c r="AP252" s="53">
        <f t="shared" si="94"/>
        <v>1748.6263433566312</v>
      </c>
      <c r="AQ252" s="53">
        <f t="shared" si="95"/>
        <v>1611.7180270611702</v>
      </c>
      <c r="AR252" s="203">
        <f t="shared" si="96"/>
        <v>1519.1126027466801</v>
      </c>
      <c r="AY252" s="3"/>
    </row>
    <row r="253" spans="1:51">
      <c r="A253" s="239"/>
      <c r="B253" s="43">
        <f>'13. Desinvesteringen'!B537</f>
        <v>518</v>
      </c>
      <c r="C253" s="54"/>
      <c r="D253" s="54"/>
      <c r="E253" s="54"/>
      <c r="F253" s="48">
        <f>'5. Input GAW-waarde desinv.'!D213</f>
        <v>15300.61437397597</v>
      </c>
      <c r="G253" s="187">
        <f>'13. Desinvesteringen'!D537</f>
        <v>1986</v>
      </c>
      <c r="H253" s="187">
        <f>'13. Desinvesteringen'!G537</f>
        <v>2023</v>
      </c>
      <c r="I253" s="43" t="str">
        <f>'13. Desinvesteringen'!C537</f>
        <v>21 Hoofdtransportleiding</v>
      </c>
      <c r="J253" s="176">
        <f>'13. Desinvesteringen'!F537</f>
        <v>0</v>
      </c>
      <c r="K253" s="44">
        <f>_xlfn.XLOOKUP(I253,'3. Input (des)investeringen '!$B$11:$B$81,'3. Input (des)investeringen '!$E$11:$E$81)</f>
        <v>1</v>
      </c>
      <c r="L253" s="54"/>
      <c r="M253" s="44">
        <f>_xlfn.XLOOKUP(I253,'3. Input (des)investeringen '!$B$11:$B$81,'3. Input (des)investeringen '!$D$11:$D$81,0)</f>
        <v>55</v>
      </c>
      <c r="N253" s="44">
        <f t="shared" si="76"/>
        <v>19.5</v>
      </c>
      <c r="P253" s="49">
        <f t="shared" si="97"/>
        <v>918.03686243855816</v>
      </c>
      <c r="Q253" s="49">
        <f t="shared" si="97"/>
        <v>856.83440494265426</v>
      </c>
      <c r="R253" s="49">
        <f t="shared" si="97"/>
        <v>799.71211127981076</v>
      </c>
      <c r="S253" s="49">
        <f t="shared" si="97"/>
        <v>746.39797052782342</v>
      </c>
      <c r="T253" s="103">
        <f t="shared" si="97"/>
        <v>696.63810582596852</v>
      </c>
      <c r="V253" s="49">
        <f t="shared" si="77"/>
        <v>78.464689097312672</v>
      </c>
      <c r="W253" s="49">
        <f t="shared" si="78"/>
        <v>78.464689097312672</v>
      </c>
      <c r="X253" s="49">
        <f t="shared" si="79"/>
        <v>78.464689097312672</v>
      </c>
      <c r="Y253" s="49">
        <f t="shared" si="80"/>
        <v>78.464689097312672</v>
      </c>
      <c r="Z253" s="103">
        <f t="shared" si="81"/>
        <v>78.464689097312672</v>
      </c>
      <c r="AB253" s="49">
        <f t="shared" si="82"/>
        <v>996.50155153587082</v>
      </c>
      <c r="AC253" s="49">
        <f t="shared" si="83"/>
        <v>935.29909403996692</v>
      </c>
      <c r="AD253" s="49">
        <f t="shared" si="84"/>
        <v>878.17680037712341</v>
      </c>
      <c r="AE253" s="49">
        <f t="shared" si="85"/>
        <v>824.86265962513608</v>
      </c>
      <c r="AF253" s="103">
        <f t="shared" si="86"/>
        <v>775.10279492328118</v>
      </c>
      <c r="AH253" s="49">
        <f t="shared" si="87"/>
        <v>14304.1128224401</v>
      </c>
      <c r="AI253" s="49">
        <f t="shared" si="88"/>
        <v>13368.813728400133</v>
      </c>
      <c r="AJ253" s="49">
        <f t="shared" si="89"/>
        <v>12490.63692802301</v>
      </c>
      <c r="AK253" s="49">
        <f t="shared" si="90"/>
        <v>11665.774268397874</v>
      </c>
      <c r="AL253" s="103">
        <f t="shared" si="91"/>
        <v>10890.671473474593</v>
      </c>
      <c r="AN253" s="53">
        <f t="shared" si="92"/>
        <v>1582.9701772559149</v>
      </c>
      <c r="AO253" s="53">
        <f t="shared" si="93"/>
        <v>1617.1085941883737</v>
      </c>
      <c r="AP253" s="53">
        <f t="shared" si="94"/>
        <v>1352.8210036419978</v>
      </c>
      <c r="AQ253" s="53">
        <f t="shared" si="95"/>
        <v>1268.1620818242552</v>
      </c>
      <c r="AR253" s="203">
        <f t="shared" si="96"/>
        <v>1188.9483109153157</v>
      </c>
      <c r="AY253" s="3"/>
    </row>
    <row r="254" spans="1:51">
      <c r="A254" s="239"/>
      <c r="B254" s="43">
        <f>'13. Desinvesteringen'!B538</f>
        <v>519</v>
      </c>
      <c r="C254" s="54"/>
      <c r="D254" s="54"/>
      <c r="E254" s="54"/>
      <c r="F254" s="48">
        <f>'5. Input GAW-waarde desinv.'!D214</f>
        <v>16001.249643380297</v>
      </c>
      <c r="G254" s="187">
        <f>'13. Desinvesteringen'!D538</f>
        <v>1987</v>
      </c>
      <c r="H254" s="187">
        <f>'13. Desinvesteringen'!G538</f>
        <v>2023</v>
      </c>
      <c r="I254" s="43" t="str">
        <f>'13. Desinvesteringen'!C538</f>
        <v>21 Hoofdtransportleiding</v>
      </c>
      <c r="J254" s="176">
        <f>'13. Desinvesteringen'!F538</f>
        <v>0</v>
      </c>
      <c r="K254" s="44">
        <f>_xlfn.XLOOKUP(I254,'3. Input (des)investeringen '!$B$11:$B$81,'3. Input (des)investeringen '!$E$11:$E$81)</f>
        <v>1</v>
      </c>
      <c r="L254" s="54"/>
      <c r="M254" s="44">
        <f>_xlfn.XLOOKUP(I254,'3. Input (des)investeringen '!$B$11:$B$81,'3. Input (des)investeringen '!$D$11:$D$81,0)</f>
        <v>55</v>
      </c>
      <c r="N254" s="44">
        <f t="shared" si="76"/>
        <v>20.5</v>
      </c>
      <c r="P254" s="49">
        <f t="shared" si="97"/>
        <v>913.24205281731452</v>
      </c>
      <c r="Q254" s="49">
        <f t="shared" si="97"/>
        <v>855.32914215085066</v>
      </c>
      <c r="R254" s="49">
        <f t="shared" si="97"/>
        <v>801.08875752665028</v>
      </c>
      <c r="S254" s="49">
        <f t="shared" si="97"/>
        <v>750.28800704935065</v>
      </c>
      <c r="T254" s="103">
        <f t="shared" si="97"/>
        <v>702.70876757792826</v>
      </c>
      <c r="V254" s="49">
        <f t="shared" si="77"/>
        <v>78.054876309172187</v>
      </c>
      <c r="W254" s="49">
        <f t="shared" si="78"/>
        <v>78.054876309172187</v>
      </c>
      <c r="X254" s="49">
        <f t="shared" si="79"/>
        <v>78.054876309172187</v>
      </c>
      <c r="Y254" s="49">
        <f t="shared" si="80"/>
        <v>78.054876309172187</v>
      </c>
      <c r="Z254" s="103">
        <f t="shared" si="81"/>
        <v>78.054876309172187</v>
      </c>
      <c r="AB254" s="49">
        <f t="shared" si="82"/>
        <v>991.2969291264867</v>
      </c>
      <c r="AC254" s="49">
        <f t="shared" si="83"/>
        <v>933.38401846002284</v>
      </c>
      <c r="AD254" s="49">
        <f t="shared" si="84"/>
        <v>879.14363383582247</v>
      </c>
      <c r="AE254" s="49">
        <f t="shared" si="85"/>
        <v>828.34288335852284</v>
      </c>
      <c r="AF254" s="103">
        <f t="shared" si="86"/>
        <v>780.76364388710044</v>
      </c>
      <c r="AH254" s="49">
        <f t="shared" si="87"/>
        <v>15009.95271425381</v>
      </c>
      <c r="AI254" s="49">
        <f t="shared" si="88"/>
        <v>14076.568695793787</v>
      </c>
      <c r="AJ254" s="49">
        <f t="shared" si="89"/>
        <v>13197.425061957965</v>
      </c>
      <c r="AK254" s="49">
        <f t="shared" si="90"/>
        <v>12369.082178599443</v>
      </c>
      <c r="AL254" s="103">
        <f t="shared" si="91"/>
        <v>11588.318534712344</v>
      </c>
      <c r="AN254" s="53">
        <f t="shared" si="92"/>
        <v>1606.7049904108931</v>
      </c>
      <c r="AO254" s="53">
        <f t="shared" si="93"/>
        <v>1651.289021945506</v>
      </c>
      <c r="AP254" s="53">
        <f t="shared" si="94"/>
        <v>1380.6457861902252</v>
      </c>
      <c r="AQ254" s="53">
        <f t="shared" si="95"/>
        <v>1298.3680061453017</v>
      </c>
      <c r="AR254" s="203">
        <f t="shared" si="96"/>
        <v>1221.1197482061696</v>
      </c>
      <c r="AY254" s="3"/>
    </row>
    <row r="255" spans="1:51">
      <c r="A255" s="239"/>
      <c r="B255" s="43">
        <f>'13. Desinvesteringen'!B539</f>
        <v>520</v>
      </c>
      <c r="C255" s="54"/>
      <c r="D255" s="54"/>
      <c r="E255" s="54"/>
      <c r="F255" s="48">
        <f>'5. Input GAW-waarde desinv.'!D215</f>
        <v>20208.996722083291</v>
      </c>
      <c r="G255" s="187">
        <f>'13. Desinvesteringen'!D539</f>
        <v>1993</v>
      </c>
      <c r="H255" s="187">
        <f>'13. Desinvesteringen'!G539</f>
        <v>2023</v>
      </c>
      <c r="I255" s="43" t="str">
        <f>'13. Desinvesteringen'!C539</f>
        <v>21 Hoofdtransportleiding</v>
      </c>
      <c r="J255" s="176">
        <f>'13. Desinvesteringen'!F539</f>
        <v>0</v>
      </c>
      <c r="K255" s="44">
        <f>_xlfn.XLOOKUP(I255,'3. Input (des)investeringen '!$B$11:$B$81,'3. Input (des)investeringen '!$E$11:$E$81)</f>
        <v>1</v>
      </c>
      <c r="L255" s="54"/>
      <c r="M255" s="44">
        <f>_xlfn.XLOOKUP(I255,'3. Input (des)investeringen '!$B$11:$B$81,'3. Input (des)investeringen '!$D$11:$D$81,0)</f>
        <v>55</v>
      </c>
      <c r="N255" s="44">
        <f t="shared" si="76"/>
        <v>26.5</v>
      </c>
      <c r="P255" s="49">
        <f t="shared" si="97"/>
        <v>892.24627037122457</v>
      </c>
      <c r="Q255" s="49">
        <f t="shared" si="97"/>
        <v>848.47569861716443</v>
      </c>
      <c r="R255" s="49">
        <f t="shared" si="97"/>
        <v>806.85236245858664</v>
      </c>
      <c r="S255" s="49">
        <f t="shared" si="97"/>
        <v>767.27092580967485</v>
      </c>
      <c r="T255" s="103">
        <f t="shared" si="97"/>
        <v>729.631220015238</v>
      </c>
      <c r="V255" s="49">
        <f t="shared" si="77"/>
        <v>76.260364988993544</v>
      </c>
      <c r="W255" s="49">
        <f t="shared" si="78"/>
        <v>76.260364988993558</v>
      </c>
      <c r="X255" s="49">
        <f t="shared" si="79"/>
        <v>76.260364988993558</v>
      </c>
      <c r="Y255" s="49">
        <f t="shared" si="80"/>
        <v>76.260364988993558</v>
      </c>
      <c r="Z255" s="103">
        <f t="shared" si="81"/>
        <v>76.260364988993558</v>
      </c>
      <c r="AB255" s="49">
        <f t="shared" si="82"/>
        <v>968.50663536021807</v>
      </c>
      <c r="AC255" s="49">
        <f t="shared" si="83"/>
        <v>924.73606360615804</v>
      </c>
      <c r="AD255" s="49">
        <f t="shared" si="84"/>
        <v>883.11272744758026</v>
      </c>
      <c r="AE255" s="49">
        <f t="shared" si="85"/>
        <v>843.53129079866835</v>
      </c>
      <c r="AF255" s="103">
        <f t="shared" si="86"/>
        <v>805.8915850042315</v>
      </c>
      <c r="AH255" s="49">
        <f t="shared" si="87"/>
        <v>19240.490086723072</v>
      </c>
      <c r="AI255" s="49">
        <f t="shared" si="88"/>
        <v>18315.754023116915</v>
      </c>
      <c r="AJ255" s="49">
        <f t="shared" si="89"/>
        <v>17432.641295669335</v>
      </c>
      <c r="AK255" s="49">
        <f t="shared" si="90"/>
        <v>16589.110004870665</v>
      </c>
      <c r="AL255" s="103">
        <f t="shared" si="91"/>
        <v>15783.218419866433</v>
      </c>
      <c r="AN255" s="53">
        <f t="shared" si="92"/>
        <v>1757.3667289158641</v>
      </c>
      <c r="AO255" s="53">
        <f t="shared" si="93"/>
        <v>1858.8395187851206</v>
      </c>
      <c r="AP255" s="53">
        <f t="shared" si="94"/>
        <v>1545.5530966830149</v>
      </c>
      <c r="AQ255" s="53">
        <f t="shared" si="95"/>
        <v>1473.9174709837534</v>
      </c>
      <c r="AR255" s="203">
        <f t="shared" si="96"/>
        <v>1405.6538849591559</v>
      </c>
      <c r="AY255" s="3"/>
    </row>
    <row r="256" spans="1:51">
      <c r="A256" s="239"/>
      <c r="B256" s="43">
        <f>'13. Desinvesteringen'!B540</f>
        <v>521</v>
      </c>
      <c r="C256" s="54"/>
      <c r="D256" s="54"/>
      <c r="E256" s="54"/>
      <c r="F256" s="48">
        <f>'5. Input GAW-waarde desinv.'!D216</f>
        <v>58527.314744578129</v>
      </c>
      <c r="G256" s="187">
        <f>'13. Desinvesteringen'!D540</f>
        <v>1996</v>
      </c>
      <c r="H256" s="187">
        <f>'13. Desinvesteringen'!G540</f>
        <v>2023</v>
      </c>
      <c r="I256" s="43" t="str">
        <f>'13. Desinvesteringen'!C540</f>
        <v>21 Hoofdtransportleiding</v>
      </c>
      <c r="J256" s="176">
        <f>'13. Desinvesteringen'!F540</f>
        <v>0</v>
      </c>
      <c r="K256" s="44">
        <f>_xlfn.XLOOKUP(I256,'3. Input (des)investeringen '!$B$11:$B$81,'3. Input (des)investeringen '!$E$11:$E$81)</f>
        <v>1</v>
      </c>
      <c r="L256" s="54"/>
      <c r="M256" s="44">
        <f>_xlfn.XLOOKUP(I256,'3. Input (des)investeringen '!$B$11:$B$81,'3. Input (des)investeringen '!$D$11:$D$81,0)</f>
        <v>55</v>
      </c>
      <c r="N256" s="44">
        <f t="shared" si="76"/>
        <v>29.5</v>
      </c>
      <c r="P256" s="49">
        <f t="shared" si="97"/>
        <v>2321.2528220730987</v>
      </c>
      <c r="Q256" s="49">
        <f t="shared" si="97"/>
        <v>2218.9603248291992</v>
      </c>
      <c r="R256" s="49">
        <f t="shared" si="97"/>
        <v>2121.1756325485908</v>
      </c>
      <c r="S256" s="49">
        <f t="shared" si="97"/>
        <v>2027.7000961989918</v>
      </c>
      <c r="T256" s="103">
        <f t="shared" si="97"/>
        <v>1938.3438207732736</v>
      </c>
      <c r="V256" s="49">
        <f t="shared" si="77"/>
        <v>198.39767710026484</v>
      </c>
      <c r="W256" s="49">
        <f t="shared" si="78"/>
        <v>198.39767710026484</v>
      </c>
      <c r="X256" s="49">
        <f t="shared" si="79"/>
        <v>198.39767710026484</v>
      </c>
      <c r="Y256" s="49">
        <f t="shared" si="80"/>
        <v>198.39767710026484</v>
      </c>
      <c r="Z256" s="103">
        <f t="shared" si="81"/>
        <v>198.39767710026484</v>
      </c>
      <c r="AB256" s="49">
        <f t="shared" si="82"/>
        <v>2519.6504991733636</v>
      </c>
      <c r="AC256" s="49">
        <f t="shared" si="83"/>
        <v>2417.3580019294641</v>
      </c>
      <c r="AD256" s="49">
        <f t="shared" si="84"/>
        <v>2319.5733096488557</v>
      </c>
      <c r="AE256" s="49">
        <f t="shared" si="85"/>
        <v>2226.0977732992565</v>
      </c>
      <c r="AF256" s="103">
        <f t="shared" si="86"/>
        <v>2136.7414978735383</v>
      </c>
      <c r="AH256" s="49">
        <f t="shared" si="87"/>
        <v>56007.664245404769</v>
      </c>
      <c r="AI256" s="49">
        <f t="shared" si="88"/>
        <v>53590.306243475308</v>
      </c>
      <c r="AJ256" s="49">
        <f t="shared" si="89"/>
        <v>51270.732933826454</v>
      </c>
      <c r="AK256" s="49">
        <f t="shared" si="90"/>
        <v>49044.635160527199</v>
      </c>
      <c r="AL256" s="103">
        <f t="shared" si="91"/>
        <v>46907.89366265366</v>
      </c>
      <c r="AN256" s="53">
        <f t="shared" si="92"/>
        <v>4815.9647332349596</v>
      </c>
      <c r="AO256" s="53">
        <f t="shared" si="93"/>
        <v>5150.4636203467053</v>
      </c>
      <c r="AP256" s="53">
        <f t="shared" si="94"/>
        <v>4267.8611611342603</v>
      </c>
      <c r="AQ256" s="53">
        <f t="shared" si="95"/>
        <v>4089.79390939929</v>
      </c>
      <c r="AR256" s="203">
        <f t="shared" si="96"/>
        <v>3919.241457054377</v>
      </c>
      <c r="AY256" s="3"/>
    </row>
    <row r="257" spans="1:51">
      <c r="A257" s="239"/>
      <c r="B257" s="43">
        <f>'13. Desinvesteringen'!B541</f>
        <v>522</v>
      </c>
      <c r="C257" s="54"/>
      <c r="D257" s="54"/>
      <c r="E257" s="54"/>
      <c r="F257" s="48">
        <f>'5. Input GAW-waarde desinv.'!D217</f>
        <v>247531.06540005477</v>
      </c>
      <c r="G257" s="187">
        <f>'13. Desinvesteringen'!D541</f>
        <v>2002</v>
      </c>
      <c r="H257" s="187">
        <f>'13. Desinvesteringen'!G541</f>
        <v>2023</v>
      </c>
      <c r="I257" s="43" t="str">
        <f>'13. Desinvesteringen'!C541</f>
        <v>21 Hoofdtransportleiding</v>
      </c>
      <c r="J257" s="176">
        <f>'13. Desinvesteringen'!F541</f>
        <v>0</v>
      </c>
      <c r="K257" s="44">
        <f>_xlfn.XLOOKUP(I257,'3. Input (des)investeringen '!$B$11:$B$81,'3. Input (des)investeringen '!$E$11:$E$81)</f>
        <v>1</v>
      </c>
      <c r="L257" s="54"/>
      <c r="M257" s="44">
        <f>_xlfn.XLOOKUP(I257,'3. Input (des)investeringen '!$B$11:$B$81,'3. Input (des)investeringen '!$D$11:$D$81,0)</f>
        <v>55</v>
      </c>
      <c r="N257" s="44">
        <f t="shared" si="76"/>
        <v>35.5</v>
      </c>
      <c r="P257" s="49">
        <f t="shared" si="97"/>
        <v>8158.066099100397</v>
      </c>
      <c r="Q257" s="49">
        <f t="shared" si="97"/>
        <v>7859.3200165981289</v>
      </c>
      <c r="R257" s="49">
        <f t="shared" si="97"/>
        <v>7571.5139314832686</v>
      </c>
      <c r="S257" s="49">
        <f t="shared" si="97"/>
        <v>7294.247224133177</v>
      </c>
      <c r="T257" s="103">
        <f t="shared" si="97"/>
        <v>7027.1339455029474</v>
      </c>
      <c r="V257" s="49">
        <f t="shared" si="77"/>
        <v>697.27060676071778</v>
      </c>
      <c r="W257" s="49">
        <f t="shared" si="78"/>
        <v>697.27060676071767</v>
      </c>
      <c r="X257" s="49">
        <f t="shared" si="79"/>
        <v>697.27060676071767</v>
      </c>
      <c r="Y257" s="49">
        <f t="shared" si="80"/>
        <v>697.27060676071767</v>
      </c>
      <c r="Z257" s="103">
        <f t="shared" si="81"/>
        <v>697.27060676071767</v>
      </c>
      <c r="AB257" s="49">
        <f t="shared" si="82"/>
        <v>8855.3367058611148</v>
      </c>
      <c r="AC257" s="49">
        <f t="shared" si="83"/>
        <v>8556.5906233588466</v>
      </c>
      <c r="AD257" s="49">
        <f t="shared" si="84"/>
        <v>8268.7845382439864</v>
      </c>
      <c r="AE257" s="49">
        <f t="shared" si="85"/>
        <v>7991.5178308938948</v>
      </c>
      <c r="AF257" s="103">
        <f t="shared" si="86"/>
        <v>7724.4045522636652</v>
      </c>
      <c r="AH257" s="49">
        <f t="shared" si="87"/>
        <v>238675.72869419365</v>
      </c>
      <c r="AI257" s="49">
        <f t="shared" si="88"/>
        <v>230119.1380708348</v>
      </c>
      <c r="AJ257" s="49">
        <f t="shared" si="89"/>
        <v>221850.35353259082</v>
      </c>
      <c r="AK257" s="49">
        <f t="shared" si="90"/>
        <v>213858.83570169692</v>
      </c>
      <c r="AL257" s="103">
        <f t="shared" si="91"/>
        <v>206134.43114943325</v>
      </c>
      <c r="AN257" s="53">
        <f t="shared" si="92"/>
        <v>18641.041582323054</v>
      </c>
      <c r="AO257" s="53">
        <f t="shared" si="93"/>
        <v>20292.666664971421</v>
      </c>
      <c r="AP257" s="53">
        <f t="shared" si="94"/>
        <v>16699.097972482436</v>
      </c>
      <c r="AQ257" s="53">
        <f t="shared" si="95"/>
        <v>16118.153587558378</v>
      </c>
      <c r="AR257" s="203">
        <f t="shared" si="96"/>
        <v>15557.51293594213</v>
      </c>
      <c r="AY257" s="3"/>
    </row>
    <row r="258" spans="1:51">
      <c r="A258" s="239"/>
      <c r="B258" s="43">
        <f>'13. Desinvesteringen'!B542</f>
        <v>523</v>
      </c>
      <c r="C258" s="54"/>
      <c r="D258" s="54"/>
      <c r="E258" s="54"/>
      <c r="F258" s="48">
        <f>'5. Input GAW-waarde desinv.'!D218</f>
        <v>31800.173255745365</v>
      </c>
      <c r="G258" s="187">
        <f>'13. Desinvesteringen'!D542</f>
        <v>2008</v>
      </c>
      <c r="H258" s="187">
        <f>'13. Desinvesteringen'!G542</f>
        <v>2023</v>
      </c>
      <c r="I258" s="43" t="str">
        <f>'13. Desinvesteringen'!C542</f>
        <v>21 Hoofdtransportleiding</v>
      </c>
      <c r="J258" s="176">
        <f>'13. Desinvesteringen'!F542</f>
        <v>0</v>
      </c>
      <c r="K258" s="44">
        <f>_xlfn.XLOOKUP(I258,'3. Input (des)investeringen '!$B$11:$B$81,'3. Input (des)investeringen '!$E$11:$E$81)</f>
        <v>1</v>
      </c>
      <c r="L258" s="54"/>
      <c r="M258" s="44">
        <f>_xlfn.XLOOKUP(I258,'3. Input (des)investeringen '!$B$11:$B$81,'3. Input (des)investeringen '!$D$11:$D$81,0)</f>
        <v>55</v>
      </c>
      <c r="N258" s="44">
        <f t="shared" si="76"/>
        <v>41.5</v>
      </c>
      <c r="P258" s="49">
        <f t="shared" si="97"/>
        <v>896.53500504149588</v>
      </c>
      <c r="Q258" s="49">
        <f t="shared" si="97"/>
        <v>868.45077596790691</v>
      </c>
      <c r="R258" s="49">
        <f t="shared" si="97"/>
        <v>841.24629382915316</v>
      </c>
      <c r="S258" s="49">
        <f t="shared" si="97"/>
        <v>814.89400028751697</v>
      </c>
      <c r="T258" s="103">
        <f t="shared" si="97"/>
        <v>789.36720027851038</v>
      </c>
      <c r="V258" s="49">
        <f t="shared" si="77"/>
        <v>76.626923507820166</v>
      </c>
      <c r="W258" s="49">
        <f t="shared" si="78"/>
        <v>76.626923507820152</v>
      </c>
      <c r="X258" s="49">
        <f t="shared" si="79"/>
        <v>76.626923507820152</v>
      </c>
      <c r="Y258" s="49">
        <f t="shared" si="80"/>
        <v>76.626923507820152</v>
      </c>
      <c r="Z258" s="103">
        <f t="shared" si="81"/>
        <v>76.626923507820152</v>
      </c>
      <c r="AB258" s="49">
        <f t="shared" si="82"/>
        <v>973.16192854931603</v>
      </c>
      <c r="AC258" s="49">
        <f t="shared" si="83"/>
        <v>945.07769947572706</v>
      </c>
      <c r="AD258" s="49">
        <f t="shared" si="84"/>
        <v>917.87321733697331</v>
      </c>
      <c r="AE258" s="49">
        <f t="shared" si="85"/>
        <v>891.52092379533713</v>
      </c>
      <c r="AF258" s="103">
        <f t="shared" si="86"/>
        <v>865.99412378633053</v>
      </c>
      <c r="AH258" s="49">
        <f t="shared" si="87"/>
        <v>30827.011327196051</v>
      </c>
      <c r="AI258" s="49">
        <f t="shared" si="88"/>
        <v>29881.933627720326</v>
      </c>
      <c r="AJ258" s="49">
        <f t="shared" si="89"/>
        <v>28964.060410383354</v>
      </c>
      <c r="AK258" s="49">
        <f t="shared" si="90"/>
        <v>28072.539486588015</v>
      </c>
      <c r="AL258" s="103">
        <f t="shared" si="91"/>
        <v>27206.545362801684</v>
      </c>
      <c r="AN258" s="53">
        <f t="shared" si="92"/>
        <v>2237.0693929643544</v>
      </c>
      <c r="AO258" s="53">
        <f t="shared" si="93"/>
        <v>2469.0563144894636</v>
      </c>
      <c r="AP258" s="53">
        <f t="shared" si="94"/>
        <v>2018.5075129315408</v>
      </c>
      <c r="AQ258" s="53">
        <f t="shared" si="95"/>
        <v>1958.2774242856817</v>
      </c>
      <c r="AR258" s="203">
        <f t="shared" si="96"/>
        <v>1899.8428475727947</v>
      </c>
      <c r="AY258" s="3"/>
    </row>
    <row r="259" spans="1:51">
      <c r="A259" s="239"/>
      <c r="B259" s="43">
        <f>'13. Desinvesteringen'!B543</f>
        <v>524</v>
      </c>
      <c r="C259" s="54"/>
      <c r="D259" s="54"/>
      <c r="E259" s="54"/>
      <c r="F259" s="48">
        <f>'5. Input GAW-waarde desinv.'!D219</f>
        <v>0</v>
      </c>
      <c r="G259" s="187">
        <f>'13. Desinvesteringen'!D543</f>
        <v>1974</v>
      </c>
      <c r="H259" s="187">
        <f>'13. Desinvesteringen'!G543</f>
        <v>2023</v>
      </c>
      <c r="I259" s="43" t="str">
        <f>'13. Desinvesteringen'!C543</f>
        <v>32 M&amp;R stations</v>
      </c>
      <c r="J259" s="176">
        <f>'13. Desinvesteringen'!F543</f>
        <v>0</v>
      </c>
      <c r="K259" s="44">
        <f>_xlfn.XLOOKUP(I259,'3. Input (des)investeringen '!$B$11:$B$81,'3. Input (des)investeringen '!$E$11:$E$81)</f>
        <v>1</v>
      </c>
      <c r="L259" s="54"/>
      <c r="M259" s="44">
        <f>_xlfn.XLOOKUP(I259,'3. Input (des)investeringen '!$B$11:$B$81,'3. Input (des)investeringen '!$D$11:$D$81,0)</f>
        <v>30</v>
      </c>
      <c r="N259" s="44">
        <f t="shared" si="76"/>
        <v>0</v>
      </c>
      <c r="P259" s="49">
        <f t="shared" si="97"/>
        <v>0</v>
      </c>
      <c r="Q259" s="49">
        <f t="shared" si="97"/>
        <v>0</v>
      </c>
      <c r="R259" s="49">
        <f t="shared" si="97"/>
        <v>0</v>
      </c>
      <c r="S259" s="49">
        <f t="shared" si="97"/>
        <v>0</v>
      </c>
      <c r="T259" s="103">
        <f t="shared" si="97"/>
        <v>0</v>
      </c>
      <c r="V259" s="49">
        <f t="shared" si="77"/>
        <v>0</v>
      </c>
      <c r="W259" s="49">
        <f t="shared" si="78"/>
        <v>0</v>
      </c>
      <c r="X259" s="49">
        <f t="shared" si="79"/>
        <v>0</v>
      </c>
      <c r="Y259" s="49">
        <f t="shared" si="80"/>
        <v>0</v>
      </c>
      <c r="Z259" s="103">
        <f t="shared" si="81"/>
        <v>0</v>
      </c>
      <c r="AB259" s="49">
        <f t="shared" si="82"/>
        <v>0</v>
      </c>
      <c r="AC259" s="49">
        <f t="shared" si="83"/>
        <v>0</v>
      </c>
      <c r="AD259" s="49">
        <f t="shared" si="84"/>
        <v>0</v>
      </c>
      <c r="AE259" s="49">
        <f t="shared" si="85"/>
        <v>0</v>
      </c>
      <c r="AF259" s="103">
        <f t="shared" si="86"/>
        <v>0</v>
      </c>
      <c r="AH259" s="49">
        <f t="shared" si="87"/>
        <v>0</v>
      </c>
      <c r="AI259" s="49">
        <f t="shared" si="88"/>
        <v>0</v>
      </c>
      <c r="AJ259" s="49">
        <f t="shared" si="89"/>
        <v>0</v>
      </c>
      <c r="AK259" s="49">
        <f t="shared" si="90"/>
        <v>0</v>
      </c>
      <c r="AL259" s="103">
        <f t="shared" si="91"/>
        <v>0</v>
      </c>
      <c r="AN259" s="53">
        <f t="shared" si="92"/>
        <v>0</v>
      </c>
      <c r="AO259" s="53">
        <f t="shared" si="93"/>
        <v>0</v>
      </c>
      <c r="AP259" s="53">
        <f t="shared" si="94"/>
        <v>0</v>
      </c>
      <c r="AQ259" s="53">
        <f t="shared" si="95"/>
        <v>0</v>
      </c>
      <c r="AR259" s="203">
        <f t="shared" si="96"/>
        <v>0</v>
      </c>
      <c r="AY259" s="3"/>
    </row>
    <row r="260" spans="1:51">
      <c r="A260" s="239"/>
      <c r="B260" s="43">
        <f>'13. Desinvesteringen'!B544</f>
        <v>525</v>
      </c>
      <c r="C260" s="54"/>
      <c r="D260" s="54"/>
      <c r="E260" s="54"/>
      <c r="F260" s="48">
        <f>'5. Input GAW-waarde desinv.'!D220</f>
        <v>0</v>
      </c>
      <c r="G260" s="187">
        <f>'13. Desinvesteringen'!D544</f>
        <v>1966</v>
      </c>
      <c r="H260" s="187">
        <f>'13. Desinvesteringen'!G544</f>
        <v>2023</v>
      </c>
      <c r="I260" s="43" t="str">
        <f>'13. Desinvesteringen'!C544</f>
        <v>33 Exportstations</v>
      </c>
      <c r="J260" s="176">
        <f>'13. Desinvesteringen'!F544</f>
        <v>0</v>
      </c>
      <c r="K260" s="44">
        <f>_xlfn.XLOOKUP(I260,'3. Input (des)investeringen '!$B$11:$B$81,'3. Input (des)investeringen '!$E$11:$E$81)</f>
        <v>1</v>
      </c>
      <c r="L260" s="54"/>
      <c r="M260" s="44">
        <f>_xlfn.XLOOKUP(I260,'3. Input (des)investeringen '!$B$11:$B$81,'3. Input (des)investeringen '!$D$11:$D$81,0)</f>
        <v>30</v>
      </c>
      <c r="N260" s="44">
        <f t="shared" si="76"/>
        <v>0</v>
      </c>
      <c r="P260" s="49">
        <f t="shared" si="97"/>
        <v>0</v>
      </c>
      <c r="Q260" s="49">
        <f t="shared" si="97"/>
        <v>0</v>
      </c>
      <c r="R260" s="49">
        <f t="shared" si="97"/>
        <v>0</v>
      </c>
      <c r="S260" s="49">
        <f t="shared" si="97"/>
        <v>0</v>
      </c>
      <c r="T260" s="103">
        <f t="shared" si="97"/>
        <v>0</v>
      </c>
      <c r="V260" s="49">
        <f t="shared" si="77"/>
        <v>0</v>
      </c>
      <c r="W260" s="49">
        <f t="shared" si="78"/>
        <v>0</v>
      </c>
      <c r="X260" s="49">
        <f t="shared" si="79"/>
        <v>0</v>
      </c>
      <c r="Y260" s="49">
        <f t="shared" si="80"/>
        <v>0</v>
      </c>
      <c r="Z260" s="103">
        <f t="shared" si="81"/>
        <v>0</v>
      </c>
      <c r="AB260" s="49">
        <f t="shared" si="82"/>
        <v>0</v>
      </c>
      <c r="AC260" s="49">
        <f t="shared" si="83"/>
        <v>0</v>
      </c>
      <c r="AD260" s="49">
        <f t="shared" si="84"/>
        <v>0</v>
      </c>
      <c r="AE260" s="49">
        <f t="shared" si="85"/>
        <v>0</v>
      </c>
      <c r="AF260" s="103">
        <f t="shared" si="86"/>
        <v>0</v>
      </c>
      <c r="AH260" s="49">
        <f t="shared" si="87"/>
        <v>0</v>
      </c>
      <c r="AI260" s="49">
        <f t="shared" si="88"/>
        <v>0</v>
      </c>
      <c r="AJ260" s="49">
        <f t="shared" si="89"/>
        <v>0</v>
      </c>
      <c r="AK260" s="49">
        <f t="shared" si="90"/>
        <v>0</v>
      </c>
      <c r="AL260" s="103">
        <f t="shared" si="91"/>
        <v>0</v>
      </c>
      <c r="AN260" s="53">
        <f t="shared" si="92"/>
        <v>0</v>
      </c>
      <c r="AO260" s="53">
        <f t="shared" si="93"/>
        <v>0</v>
      </c>
      <c r="AP260" s="53">
        <f t="shared" si="94"/>
        <v>0</v>
      </c>
      <c r="AQ260" s="53">
        <f t="shared" si="95"/>
        <v>0</v>
      </c>
      <c r="AR260" s="203">
        <f t="shared" si="96"/>
        <v>0</v>
      </c>
      <c r="AY260" s="3"/>
    </row>
    <row r="261" spans="1:51">
      <c r="A261" s="239"/>
      <c r="B261" s="43">
        <f>'13. Desinvesteringen'!B545</f>
        <v>526</v>
      </c>
      <c r="C261" s="54"/>
      <c r="D261" s="54"/>
      <c r="E261" s="54"/>
      <c r="F261" s="48">
        <f>'5. Input GAW-waarde desinv.'!D221</f>
        <v>0</v>
      </c>
      <c r="G261" s="187">
        <f>'13. Desinvesteringen'!D545</f>
        <v>1967</v>
      </c>
      <c r="H261" s="187">
        <f>'13. Desinvesteringen'!G545</f>
        <v>2023</v>
      </c>
      <c r="I261" s="43" t="str">
        <f>'13. Desinvesteringen'!C545</f>
        <v>33 Exportstations</v>
      </c>
      <c r="J261" s="176">
        <f>'13. Desinvesteringen'!F545</f>
        <v>0</v>
      </c>
      <c r="K261" s="44">
        <f>_xlfn.XLOOKUP(I261,'3. Input (des)investeringen '!$B$11:$B$81,'3. Input (des)investeringen '!$E$11:$E$81)</f>
        <v>1</v>
      </c>
      <c r="L261" s="54"/>
      <c r="M261" s="44">
        <f>_xlfn.XLOOKUP(I261,'3. Input (des)investeringen '!$B$11:$B$81,'3. Input (des)investeringen '!$D$11:$D$81,0)</f>
        <v>30</v>
      </c>
      <c r="N261" s="44">
        <f t="shared" si="76"/>
        <v>0</v>
      </c>
      <c r="P261" s="49">
        <f t="shared" si="97"/>
        <v>0</v>
      </c>
      <c r="Q261" s="49">
        <f t="shared" si="97"/>
        <v>0</v>
      </c>
      <c r="R261" s="49">
        <f t="shared" si="97"/>
        <v>0</v>
      </c>
      <c r="S261" s="49">
        <f t="shared" si="97"/>
        <v>0</v>
      </c>
      <c r="T261" s="103">
        <f t="shared" si="97"/>
        <v>0</v>
      </c>
      <c r="V261" s="49">
        <f t="shared" si="77"/>
        <v>0</v>
      </c>
      <c r="W261" s="49">
        <f t="shared" si="78"/>
        <v>0</v>
      </c>
      <c r="X261" s="49">
        <f t="shared" si="79"/>
        <v>0</v>
      </c>
      <c r="Y261" s="49">
        <f t="shared" si="80"/>
        <v>0</v>
      </c>
      <c r="Z261" s="103">
        <f t="shared" si="81"/>
        <v>0</v>
      </c>
      <c r="AB261" s="49">
        <f t="shared" si="82"/>
        <v>0</v>
      </c>
      <c r="AC261" s="49">
        <f t="shared" si="83"/>
        <v>0</v>
      </c>
      <c r="AD261" s="49">
        <f t="shared" si="84"/>
        <v>0</v>
      </c>
      <c r="AE261" s="49">
        <f t="shared" si="85"/>
        <v>0</v>
      </c>
      <c r="AF261" s="103">
        <f t="shared" si="86"/>
        <v>0</v>
      </c>
      <c r="AH261" s="49">
        <f t="shared" si="87"/>
        <v>0</v>
      </c>
      <c r="AI261" s="49">
        <f t="shared" si="88"/>
        <v>0</v>
      </c>
      <c r="AJ261" s="49">
        <f t="shared" si="89"/>
        <v>0</v>
      </c>
      <c r="AK261" s="49">
        <f t="shared" si="90"/>
        <v>0</v>
      </c>
      <c r="AL261" s="103">
        <f t="shared" si="91"/>
        <v>0</v>
      </c>
      <c r="AN261" s="53">
        <f t="shared" si="92"/>
        <v>0</v>
      </c>
      <c r="AO261" s="53">
        <f t="shared" si="93"/>
        <v>0</v>
      </c>
      <c r="AP261" s="53">
        <f t="shared" si="94"/>
        <v>0</v>
      </c>
      <c r="AQ261" s="53">
        <f t="shared" si="95"/>
        <v>0</v>
      </c>
      <c r="AR261" s="203">
        <f t="shared" si="96"/>
        <v>0</v>
      </c>
      <c r="AY261" s="3"/>
    </row>
    <row r="262" spans="1:51">
      <c r="A262" s="239"/>
      <c r="B262" s="43">
        <f>'13. Desinvesteringen'!B546</f>
        <v>527</v>
      </c>
      <c r="C262" s="54"/>
      <c r="D262" s="54"/>
      <c r="E262" s="54"/>
      <c r="F262" s="48">
        <f>'5. Input GAW-waarde desinv.'!D222</f>
        <v>0</v>
      </c>
      <c r="G262" s="187">
        <f>'13. Desinvesteringen'!D546</f>
        <v>1972</v>
      </c>
      <c r="H262" s="187">
        <f>'13. Desinvesteringen'!G546</f>
        <v>2023</v>
      </c>
      <c r="I262" s="43" t="str">
        <f>'13. Desinvesteringen'!C546</f>
        <v>33 Exportstations</v>
      </c>
      <c r="J262" s="176">
        <f>'13. Desinvesteringen'!F546</f>
        <v>0</v>
      </c>
      <c r="K262" s="44">
        <f>_xlfn.XLOOKUP(I262,'3. Input (des)investeringen '!$B$11:$B$81,'3. Input (des)investeringen '!$E$11:$E$81)</f>
        <v>1</v>
      </c>
      <c r="L262" s="54"/>
      <c r="M262" s="44">
        <f>_xlfn.XLOOKUP(I262,'3. Input (des)investeringen '!$B$11:$B$81,'3. Input (des)investeringen '!$D$11:$D$81,0)</f>
        <v>30</v>
      </c>
      <c r="N262" s="44">
        <f t="shared" si="76"/>
        <v>0</v>
      </c>
      <c r="P262" s="49">
        <f t="shared" ref="P262:T266" si="98">IF($M262&gt;0, IF(OR($G262&gt;P$49,$G262+$M262&lt;P$49),0,
VDB($F262,0,$N262,MAX(0,P$49-2022),MIN($N262,P$49-2021),$F$22,FALSE))*(1-$F$25), 0)</f>
        <v>0</v>
      </c>
      <c r="Q262" s="49">
        <f t="shared" si="98"/>
        <v>0</v>
      </c>
      <c r="R262" s="49">
        <f t="shared" si="98"/>
        <v>0</v>
      </c>
      <c r="S262" s="49">
        <f t="shared" si="98"/>
        <v>0</v>
      </c>
      <c r="T262" s="103">
        <f t="shared" si="98"/>
        <v>0</v>
      </c>
      <c r="V262" s="49">
        <f t="shared" si="77"/>
        <v>0</v>
      </c>
      <c r="W262" s="49">
        <f t="shared" si="78"/>
        <v>0</v>
      </c>
      <c r="X262" s="49">
        <f t="shared" si="79"/>
        <v>0</v>
      </c>
      <c r="Y262" s="49">
        <f t="shared" si="80"/>
        <v>0</v>
      </c>
      <c r="Z262" s="103">
        <f t="shared" si="81"/>
        <v>0</v>
      </c>
      <c r="AB262" s="49">
        <f t="shared" si="82"/>
        <v>0</v>
      </c>
      <c r="AC262" s="49">
        <f t="shared" si="83"/>
        <v>0</v>
      </c>
      <c r="AD262" s="49">
        <f t="shared" si="84"/>
        <v>0</v>
      </c>
      <c r="AE262" s="49">
        <f t="shared" si="85"/>
        <v>0</v>
      </c>
      <c r="AF262" s="103">
        <f t="shared" si="86"/>
        <v>0</v>
      </c>
      <c r="AH262" s="49">
        <f t="shared" si="87"/>
        <v>0</v>
      </c>
      <c r="AI262" s="49">
        <f t="shared" si="88"/>
        <v>0</v>
      </c>
      <c r="AJ262" s="49">
        <f t="shared" si="89"/>
        <v>0</v>
      </c>
      <c r="AK262" s="49">
        <f t="shared" si="90"/>
        <v>0</v>
      </c>
      <c r="AL262" s="103">
        <f t="shared" si="91"/>
        <v>0</v>
      </c>
      <c r="AN262" s="53">
        <f t="shared" si="92"/>
        <v>0</v>
      </c>
      <c r="AO262" s="53">
        <f t="shared" si="93"/>
        <v>0</v>
      </c>
      <c r="AP262" s="53">
        <f t="shared" si="94"/>
        <v>0</v>
      </c>
      <c r="AQ262" s="53">
        <f t="shared" si="95"/>
        <v>0</v>
      </c>
      <c r="AR262" s="203">
        <f t="shared" si="96"/>
        <v>0</v>
      </c>
      <c r="AY262" s="3"/>
    </row>
    <row r="263" spans="1:51">
      <c r="A263" s="239"/>
      <c r="B263" s="43">
        <f>'13. Desinvesteringen'!B547</f>
        <v>528</v>
      </c>
      <c r="C263" s="54"/>
      <c r="D263" s="54"/>
      <c r="E263" s="54"/>
      <c r="F263" s="48">
        <f>'5. Input GAW-waarde desinv.'!D223</f>
        <v>0</v>
      </c>
      <c r="G263" s="187">
        <f>'13. Desinvesteringen'!D547</f>
        <v>1974</v>
      </c>
      <c r="H263" s="187">
        <f>'13. Desinvesteringen'!G547</f>
        <v>2023</v>
      </c>
      <c r="I263" s="43" t="str">
        <f>'13. Desinvesteringen'!C547</f>
        <v>33 Exportstations</v>
      </c>
      <c r="J263" s="176">
        <f>'13. Desinvesteringen'!F547</f>
        <v>0</v>
      </c>
      <c r="K263" s="44">
        <f>_xlfn.XLOOKUP(I263,'3. Input (des)investeringen '!$B$11:$B$81,'3. Input (des)investeringen '!$E$11:$E$81)</f>
        <v>1</v>
      </c>
      <c r="L263" s="54"/>
      <c r="M263" s="44">
        <f>_xlfn.XLOOKUP(I263,'3. Input (des)investeringen '!$B$11:$B$81,'3. Input (des)investeringen '!$D$11:$D$81,0)</f>
        <v>30</v>
      </c>
      <c r="N263" s="44">
        <f t="shared" si="76"/>
        <v>0</v>
      </c>
      <c r="P263" s="49">
        <f t="shared" si="98"/>
        <v>0</v>
      </c>
      <c r="Q263" s="49">
        <f t="shared" si="98"/>
        <v>0</v>
      </c>
      <c r="R263" s="49">
        <f t="shared" si="98"/>
        <v>0</v>
      </c>
      <c r="S263" s="49">
        <f t="shared" si="98"/>
        <v>0</v>
      </c>
      <c r="T263" s="103">
        <f t="shared" si="98"/>
        <v>0</v>
      </c>
      <c r="V263" s="49">
        <f t="shared" si="77"/>
        <v>0</v>
      </c>
      <c r="W263" s="49">
        <f t="shared" si="78"/>
        <v>0</v>
      </c>
      <c r="X263" s="49">
        <f t="shared" si="79"/>
        <v>0</v>
      </c>
      <c r="Y263" s="49">
        <f t="shared" si="80"/>
        <v>0</v>
      </c>
      <c r="Z263" s="103">
        <f t="shared" si="81"/>
        <v>0</v>
      </c>
      <c r="AB263" s="49">
        <f t="shared" si="82"/>
        <v>0</v>
      </c>
      <c r="AC263" s="49">
        <f t="shared" si="83"/>
        <v>0</v>
      </c>
      <c r="AD263" s="49">
        <f t="shared" si="84"/>
        <v>0</v>
      </c>
      <c r="AE263" s="49">
        <f t="shared" si="85"/>
        <v>0</v>
      </c>
      <c r="AF263" s="103">
        <f t="shared" si="86"/>
        <v>0</v>
      </c>
      <c r="AH263" s="49">
        <f t="shared" si="87"/>
        <v>0</v>
      </c>
      <c r="AI263" s="49">
        <f t="shared" si="88"/>
        <v>0</v>
      </c>
      <c r="AJ263" s="49">
        <f t="shared" si="89"/>
        <v>0</v>
      </c>
      <c r="AK263" s="49">
        <f t="shared" si="90"/>
        <v>0</v>
      </c>
      <c r="AL263" s="103">
        <f t="shared" si="91"/>
        <v>0</v>
      </c>
      <c r="AN263" s="53">
        <f t="shared" si="92"/>
        <v>0</v>
      </c>
      <c r="AO263" s="53">
        <f t="shared" si="93"/>
        <v>0</v>
      </c>
      <c r="AP263" s="53">
        <f t="shared" si="94"/>
        <v>0</v>
      </c>
      <c r="AQ263" s="53">
        <f t="shared" si="95"/>
        <v>0</v>
      </c>
      <c r="AR263" s="203">
        <f t="shared" si="96"/>
        <v>0</v>
      </c>
      <c r="AY263" s="3"/>
    </row>
    <row r="264" spans="1:51">
      <c r="A264" s="239"/>
      <c r="B264" s="43">
        <f>'13. Desinvesteringen'!B548</f>
        <v>529</v>
      </c>
      <c r="C264" s="54"/>
      <c r="D264" s="54"/>
      <c r="E264" s="54"/>
      <c r="F264" s="48">
        <f>'5. Input GAW-waarde desinv.'!D224</f>
        <v>0</v>
      </c>
      <c r="G264" s="187">
        <f>'13. Desinvesteringen'!D548</f>
        <v>1975</v>
      </c>
      <c r="H264" s="187">
        <f>'13. Desinvesteringen'!G548</f>
        <v>2023</v>
      </c>
      <c r="I264" s="43" t="str">
        <f>'13. Desinvesteringen'!C548</f>
        <v>33 Exportstations</v>
      </c>
      <c r="J264" s="176">
        <f>'13. Desinvesteringen'!F548</f>
        <v>0</v>
      </c>
      <c r="K264" s="44">
        <f>_xlfn.XLOOKUP(I264,'3. Input (des)investeringen '!$B$11:$B$81,'3. Input (des)investeringen '!$E$11:$E$81)</f>
        <v>1</v>
      </c>
      <c r="L264" s="54"/>
      <c r="M264" s="44">
        <f>_xlfn.XLOOKUP(I264,'3. Input (des)investeringen '!$B$11:$B$81,'3. Input (des)investeringen '!$D$11:$D$81,0)</f>
        <v>30</v>
      </c>
      <c r="N264" s="44">
        <f t="shared" si="76"/>
        <v>0</v>
      </c>
      <c r="P264" s="49">
        <f t="shared" si="98"/>
        <v>0</v>
      </c>
      <c r="Q264" s="49">
        <f t="shared" si="98"/>
        <v>0</v>
      </c>
      <c r="R264" s="49">
        <f t="shared" si="98"/>
        <v>0</v>
      </c>
      <c r="S264" s="49">
        <f t="shared" si="98"/>
        <v>0</v>
      </c>
      <c r="T264" s="103">
        <f t="shared" si="98"/>
        <v>0</v>
      </c>
      <c r="V264" s="49">
        <f t="shared" si="77"/>
        <v>0</v>
      </c>
      <c r="W264" s="49">
        <f t="shared" si="78"/>
        <v>0</v>
      </c>
      <c r="X264" s="49">
        <f t="shared" si="79"/>
        <v>0</v>
      </c>
      <c r="Y264" s="49">
        <f t="shared" si="80"/>
        <v>0</v>
      </c>
      <c r="Z264" s="103">
        <f t="shared" si="81"/>
        <v>0</v>
      </c>
      <c r="AB264" s="49">
        <f t="shared" si="82"/>
        <v>0</v>
      </c>
      <c r="AC264" s="49">
        <f t="shared" si="83"/>
        <v>0</v>
      </c>
      <c r="AD264" s="49">
        <f t="shared" si="84"/>
        <v>0</v>
      </c>
      <c r="AE264" s="49">
        <f t="shared" si="85"/>
        <v>0</v>
      </c>
      <c r="AF264" s="103">
        <f t="shared" si="86"/>
        <v>0</v>
      </c>
      <c r="AH264" s="49">
        <f t="shared" si="87"/>
        <v>0</v>
      </c>
      <c r="AI264" s="49">
        <f t="shared" si="88"/>
        <v>0</v>
      </c>
      <c r="AJ264" s="49">
        <f t="shared" si="89"/>
        <v>0</v>
      </c>
      <c r="AK264" s="49">
        <f t="shared" si="90"/>
        <v>0</v>
      </c>
      <c r="AL264" s="103">
        <f t="shared" si="91"/>
        <v>0</v>
      </c>
      <c r="AN264" s="53">
        <f t="shared" si="92"/>
        <v>0</v>
      </c>
      <c r="AO264" s="53">
        <f t="shared" si="93"/>
        <v>0</v>
      </c>
      <c r="AP264" s="53">
        <f t="shared" si="94"/>
        <v>0</v>
      </c>
      <c r="AQ264" s="53">
        <f t="shared" si="95"/>
        <v>0</v>
      </c>
      <c r="AR264" s="203">
        <f t="shared" si="96"/>
        <v>0</v>
      </c>
      <c r="AY264" s="3"/>
    </row>
    <row r="265" spans="1:51">
      <c r="A265" s="239"/>
      <c r="B265" s="43">
        <f>'13. Desinvesteringen'!B549</f>
        <v>530</v>
      </c>
      <c r="C265" s="54"/>
      <c r="D265" s="54"/>
      <c r="E265" s="54"/>
      <c r="F265" s="48">
        <f>'5. Input GAW-waarde desinv.'!D225</f>
        <v>0</v>
      </c>
      <c r="G265" s="187">
        <f>'13. Desinvesteringen'!D549</f>
        <v>1979</v>
      </c>
      <c r="H265" s="187">
        <f>'13. Desinvesteringen'!G549</f>
        <v>2023</v>
      </c>
      <c r="I265" s="43" t="str">
        <f>'13. Desinvesteringen'!C549</f>
        <v>34 Reduceerstations</v>
      </c>
      <c r="J265" s="176">
        <f>'13. Desinvesteringen'!F549</f>
        <v>0</v>
      </c>
      <c r="K265" s="44">
        <f>_xlfn.XLOOKUP(I265,'3. Input (des)investeringen '!$B$11:$B$81,'3. Input (des)investeringen '!$E$11:$E$81)</f>
        <v>1</v>
      </c>
      <c r="L265" s="54"/>
      <c r="M265" s="44">
        <f>_xlfn.XLOOKUP(I265,'3. Input (des)investeringen '!$B$11:$B$81,'3. Input (des)investeringen '!$D$11:$D$81,0)</f>
        <v>30</v>
      </c>
      <c r="N265" s="44">
        <f t="shared" si="76"/>
        <v>0</v>
      </c>
      <c r="P265" s="49">
        <f t="shared" si="98"/>
        <v>0</v>
      </c>
      <c r="Q265" s="49">
        <f t="shared" si="98"/>
        <v>0</v>
      </c>
      <c r="R265" s="49">
        <f t="shared" si="98"/>
        <v>0</v>
      </c>
      <c r="S265" s="49">
        <f t="shared" si="98"/>
        <v>0</v>
      </c>
      <c r="T265" s="103">
        <f t="shared" si="98"/>
        <v>0</v>
      </c>
      <c r="V265" s="49">
        <f t="shared" si="77"/>
        <v>0</v>
      </c>
      <c r="W265" s="49">
        <f t="shared" si="78"/>
        <v>0</v>
      </c>
      <c r="X265" s="49">
        <f t="shared" si="79"/>
        <v>0</v>
      </c>
      <c r="Y265" s="49">
        <f t="shared" si="80"/>
        <v>0</v>
      </c>
      <c r="Z265" s="103">
        <f t="shared" si="81"/>
        <v>0</v>
      </c>
      <c r="AB265" s="49">
        <f t="shared" si="82"/>
        <v>0</v>
      </c>
      <c r="AC265" s="49">
        <f t="shared" si="83"/>
        <v>0</v>
      </c>
      <c r="AD265" s="49">
        <f t="shared" si="84"/>
        <v>0</v>
      </c>
      <c r="AE265" s="49">
        <f t="shared" si="85"/>
        <v>0</v>
      </c>
      <c r="AF265" s="103">
        <f t="shared" si="86"/>
        <v>0</v>
      </c>
      <c r="AH265" s="49">
        <f t="shared" si="87"/>
        <v>0</v>
      </c>
      <c r="AI265" s="49">
        <f t="shared" si="88"/>
        <v>0</v>
      </c>
      <c r="AJ265" s="49">
        <f t="shared" si="89"/>
        <v>0</v>
      </c>
      <c r="AK265" s="49">
        <f t="shared" si="90"/>
        <v>0</v>
      </c>
      <c r="AL265" s="103">
        <f t="shared" si="91"/>
        <v>0</v>
      </c>
      <c r="AN265" s="53">
        <f t="shared" si="92"/>
        <v>0</v>
      </c>
      <c r="AO265" s="53">
        <f t="shared" si="93"/>
        <v>0</v>
      </c>
      <c r="AP265" s="53">
        <f t="shared" si="94"/>
        <v>0</v>
      </c>
      <c r="AQ265" s="53">
        <f t="shared" si="95"/>
        <v>0</v>
      </c>
      <c r="AR265" s="203">
        <f t="shared" si="96"/>
        <v>0</v>
      </c>
      <c r="AY265" s="3"/>
    </row>
    <row r="266" spans="1:51">
      <c r="A266" s="239"/>
      <c r="B266" s="43">
        <f>'13. Desinvesteringen'!B550</f>
        <v>531</v>
      </c>
      <c r="C266" s="54"/>
      <c r="D266" s="54"/>
      <c r="E266" s="54"/>
      <c r="F266" s="48">
        <f>'5. Input GAW-waarde desinv.'!D226</f>
        <v>2913299.7564751511</v>
      </c>
      <c r="G266" s="187">
        <f>'13. Desinvesteringen'!D550</f>
        <v>2007</v>
      </c>
      <c r="H266" s="187">
        <f>'13. Desinvesteringen'!G550</f>
        <v>2023</v>
      </c>
      <c r="I266" s="43" t="str">
        <f>'13. Desinvesteringen'!C550</f>
        <v>36 Luchtscheidingsunit</v>
      </c>
      <c r="J266" s="176">
        <f>'13. Desinvesteringen'!F550</f>
        <v>0</v>
      </c>
      <c r="K266" s="44">
        <f>_xlfn.XLOOKUP(I266,'3. Input (des)investeringen '!$B$11:$B$81,'3. Input (des)investeringen '!$E$11:$E$81)</f>
        <v>0</v>
      </c>
      <c r="L266" s="54"/>
      <c r="M266" s="44">
        <f>_xlfn.XLOOKUP(I266,'3. Input (des)investeringen '!$B$11:$B$81,'3. Input (des)investeringen '!$D$11:$D$81,0)</f>
        <v>30</v>
      </c>
      <c r="N266" s="44">
        <f t="shared" si="76"/>
        <v>15.5</v>
      </c>
      <c r="P266" s="49">
        <f t="shared" si="98"/>
        <v>219907.14290812434</v>
      </c>
      <c r="Q266" s="49">
        <f t="shared" si="98"/>
        <v>201463.31801905585</v>
      </c>
      <c r="R266" s="49">
        <f t="shared" si="98"/>
        <v>184566.39457229633</v>
      </c>
      <c r="S266" s="49">
        <f t="shared" si="98"/>
        <v>169086.63244687792</v>
      </c>
      <c r="T266" s="103">
        <f t="shared" si="98"/>
        <v>160604.02546793755</v>
      </c>
      <c r="V266" s="49">
        <f t="shared" si="77"/>
        <v>18795.482299839685</v>
      </c>
      <c r="W266" s="49">
        <f t="shared" si="78"/>
        <v>18795.482299839681</v>
      </c>
      <c r="X266" s="49">
        <f t="shared" si="79"/>
        <v>18795.482299839681</v>
      </c>
      <c r="Y266" s="49">
        <f t="shared" si="80"/>
        <v>18795.482299839681</v>
      </c>
      <c r="Z266" s="103">
        <f t="shared" si="81"/>
        <v>18795.482299839681</v>
      </c>
      <c r="AB266" s="49">
        <f t="shared" si="82"/>
        <v>238702.62520796404</v>
      </c>
      <c r="AC266" s="49">
        <f t="shared" si="83"/>
        <v>220258.80031889552</v>
      </c>
      <c r="AD266" s="49">
        <f t="shared" si="84"/>
        <v>203361.876872136</v>
      </c>
      <c r="AE266" s="49">
        <f t="shared" si="85"/>
        <v>187882.11474671759</v>
      </c>
      <c r="AF266" s="103">
        <f t="shared" si="86"/>
        <v>179399.50776777722</v>
      </c>
      <c r="AH266" s="49">
        <f t="shared" si="87"/>
        <v>2674597.1312671872</v>
      </c>
      <c r="AI266" s="49">
        <f t="shared" si="88"/>
        <v>2454338.3309482918</v>
      </c>
      <c r="AJ266" s="49">
        <f t="shared" si="89"/>
        <v>2250976.454076156</v>
      </c>
      <c r="AK266" s="49">
        <f t="shared" si="90"/>
        <v>2063094.3393294385</v>
      </c>
      <c r="AL266" s="103">
        <f t="shared" si="91"/>
        <v>1883694.8315616613</v>
      </c>
      <c r="AN266" s="53">
        <f t="shared" si="92"/>
        <v>348361.10758991871</v>
      </c>
      <c r="AO266" s="53">
        <f t="shared" si="93"/>
        <v>345430.05519725836</v>
      </c>
      <c r="AP266" s="53">
        <f t="shared" si="94"/>
        <v>288898.98212702991</v>
      </c>
      <c r="AQ266" s="53">
        <f t="shared" si="95"/>
        <v>266279.69964123622</v>
      </c>
      <c r="AR266" s="203">
        <f t="shared" si="96"/>
        <v>250979.91136712034</v>
      </c>
      <c r="AY266" s="3"/>
    </row>
    <row r="267" spans="1:51">
      <c r="C267" s="54"/>
      <c r="E267" s="54"/>
      <c r="F267" s="97"/>
      <c r="G267" s="54"/>
      <c r="M267" s="54"/>
      <c r="AS267" s="3"/>
    </row>
    <row r="268" spans="1:51" s="39" customFormat="1">
      <c r="A268" s="106"/>
      <c r="B268" s="39" t="s">
        <v>908</v>
      </c>
    </row>
    <row r="269" spans="1:51" s="40" customFormat="1">
      <c r="A269" s="107"/>
      <c r="B269" s="40" t="s">
        <v>152</v>
      </c>
      <c r="D269" s="40" t="s">
        <v>194</v>
      </c>
      <c r="H269" s="109">
        <v>2022</v>
      </c>
      <c r="I269" s="109">
        <v>2023</v>
      </c>
      <c r="J269" s="109">
        <v>2024</v>
      </c>
      <c r="K269" s="109">
        <v>2025</v>
      </c>
      <c r="L269" s="109">
        <v>2026</v>
      </c>
    </row>
    <row r="271" spans="1:51">
      <c r="B271" s="3" t="s">
        <v>909</v>
      </c>
      <c r="D271" s="3" t="s">
        <v>204</v>
      </c>
      <c r="H271" s="10"/>
      <c r="I271" s="53">
        <f>SUMIF($H51:$H266,2022,AO51:AO266)</f>
        <v>408005.86717868451</v>
      </c>
      <c r="J271" s="53">
        <f>SUMIF($H51:$H266,2022,AP51:AP266)</f>
        <v>338982.39627734275</v>
      </c>
      <c r="K271" s="53">
        <f>SUMIF($H51:$H266,2022,AQ51:AQ266)</f>
        <v>313866.18202920549</v>
      </c>
      <c r="L271" s="53">
        <f>SUMIF($H51:$H266,2022,AR51:AR266)</f>
        <v>292409.21892977547</v>
      </c>
    </row>
    <row r="272" spans="1:51">
      <c r="B272" s="3" t="s">
        <v>910</v>
      </c>
      <c r="D272" s="3" t="s">
        <v>204</v>
      </c>
      <c r="H272" s="10"/>
      <c r="I272" s="105"/>
      <c r="J272" s="53">
        <f>SUMIF($H52:$H266,2023,AP52:AP266)</f>
        <v>1928752.2152665451</v>
      </c>
      <c r="K272" s="53">
        <f>SUMIF($H52:$H266,2023,AQ52:AQ266)</f>
        <v>1729626.2434251113</v>
      </c>
      <c r="L272" s="53">
        <f>SUMIF($H52:$H266,2023,AR52:AR266)</f>
        <v>1561981.9729548893</v>
      </c>
    </row>
    <row r="273" spans="1:12">
      <c r="B273" s="3" t="s">
        <v>911</v>
      </c>
      <c r="D273" s="3" t="s">
        <v>204</v>
      </c>
      <c r="H273" s="49">
        <f>SUMIF($H51:$H266,H$269,AH$51:AH266)-SUMIF($H51:$H266,H$269,$J51:$J266)*$F$28</f>
        <v>2854373.1382739237</v>
      </c>
      <c r="I273" s="49">
        <f>SUMIF($H51:$H266,I$269,AI$51:AI266)-SUMIF($H51:$H266,I$269,$J51:$J266)*$F$28</f>
        <v>16950406.364588555</v>
      </c>
      <c r="J273" s="49">
        <f>SUMIF($H51:$H266,J$269,AJ$51:AJ266)-SUMIF($H51:$H266,J$269,$J51:$J266)*$F$28</f>
        <v>0</v>
      </c>
      <c r="K273" s="49">
        <f>SUMIF($H51:$H266,K$269,AK$51:AK266)-SUMIF($H51:$H266,K$269,$J51:$J266)*$F$28</f>
        <v>0</v>
      </c>
      <c r="L273" s="49">
        <f>SUMIF($H51:$H266,L$269,AL$51:AL266)-SUMIF($H51:$H266,L$269,$J51:$J266)*$F$28</f>
        <v>0</v>
      </c>
    </row>
    <row r="274" spans="1:12">
      <c r="A274" s="3" t="s">
        <v>912</v>
      </c>
      <c r="B274" s="3" t="s">
        <v>913</v>
      </c>
      <c r="D274" s="3" t="s">
        <v>204</v>
      </c>
      <c r="H274" s="10"/>
      <c r="I274" s="10"/>
      <c r="J274" s="10"/>
      <c r="K274" s="104">
        <f>I273*K35-J272*K36-SUM(K271:K272)</f>
        <v>14755154.906724626</v>
      </c>
      <c r="L274" s="10"/>
    </row>
    <row r="275" spans="1:12">
      <c r="K275" s="240"/>
    </row>
  </sheetData>
  <mergeCells count="3">
    <mergeCell ref="B5:D5"/>
    <mergeCell ref="B7:D7"/>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176"/>
  <sheetViews>
    <sheetView showGridLines="0" zoomScale="80" zoomScaleNormal="80" workbookViewId="0">
      <pane ySplit="9" topLeftCell="A10" activePane="bottomLeft" state="frozen"/>
      <selection pane="bottomLeft"/>
    </sheetView>
  </sheetViews>
  <sheetFormatPr defaultRowHeight="12.75"/>
  <cols>
    <col min="1" max="1" width="2.5703125" customWidth="1"/>
    <col min="2" max="2" width="30.42578125" customWidth="1"/>
    <col min="3" max="3" width="3.85546875" customWidth="1"/>
    <col min="4" max="4" width="52" customWidth="1"/>
    <col min="5" max="5" width="33.5703125" bestFit="1" customWidth="1"/>
    <col min="6" max="6" width="37.140625" bestFit="1" customWidth="1"/>
    <col min="7" max="7" width="30" customWidth="1"/>
    <col min="8" max="10" width="13.5703125" customWidth="1"/>
    <col min="13" max="13" width="12.285156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914</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844</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79" t="s">
        <v>915</v>
      </c>
      <c r="C5" s="379"/>
      <c r="D5" s="379"/>
      <c r="E5" s="379"/>
      <c r="F5" s="379"/>
      <c r="G5" s="379"/>
      <c r="H5" s="379"/>
      <c r="I5" s="379"/>
      <c r="J5" s="379"/>
      <c r="K5" s="379"/>
      <c r="L5" s="379"/>
      <c r="M5" s="379"/>
      <c r="N5" s="379"/>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150</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79" t="s">
        <v>916</v>
      </c>
      <c r="C7" s="379"/>
      <c r="D7" s="379"/>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152</v>
      </c>
      <c r="H9" s="59"/>
      <c r="I9" s="52"/>
      <c r="J9" s="59"/>
      <c r="K9" s="52"/>
      <c r="L9" s="59"/>
      <c r="M9" s="52"/>
      <c r="N9" s="52"/>
      <c r="O9" s="52"/>
      <c r="P9" s="52"/>
      <c r="Q9" s="52"/>
      <c r="R9" s="52"/>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917</v>
      </c>
      <c r="C11" s="8"/>
      <c r="D11" s="8" t="s">
        <v>194</v>
      </c>
      <c r="E11" s="120">
        <v>1946</v>
      </c>
      <c r="F11" s="120">
        <v>1947</v>
      </c>
      <c r="G11" s="120">
        <v>1948</v>
      </c>
      <c r="H11" s="120">
        <v>1949</v>
      </c>
      <c r="I11" s="120">
        <v>1950</v>
      </c>
      <c r="J11" s="120">
        <v>1951</v>
      </c>
      <c r="K11" s="120">
        <v>1952</v>
      </c>
      <c r="L11" s="120">
        <v>1953</v>
      </c>
      <c r="M11" s="120">
        <v>1954</v>
      </c>
      <c r="N11" s="120">
        <v>1955</v>
      </c>
      <c r="O11" s="120">
        <v>1956</v>
      </c>
      <c r="P11" s="120">
        <v>1957</v>
      </c>
      <c r="Q11" s="120">
        <v>1958</v>
      </c>
      <c r="R11" s="120">
        <v>1959</v>
      </c>
      <c r="S11" s="120">
        <v>1960</v>
      </c>
      <c r="T11" s="120">
        <v>1961</v>
      </c>
      <c r="U11" s="120">
        <v>1962</v>
      </c>
      <c r="V11" s="120">
        <v>1963</v>
      </c>
      <c r="W11" s="120">
        <v>1964</v>
      </c>
      <c r="X11" s="120">
        <v>1965</v>
      </c>
      <c r="Y11" s="120">
        <v>1966</v>
      </c>
      <c r="Z11" s="120">
        <v>1967</v>
      </c>
      <c r="AA11" s="120">
        <v>1968</v>
      </c>
      <c r="AB11" s="120">
        <v>1969</v>
      </c>
      <c r="AC11" s="120">
        <v>1970</v>
      </c>
      <c r="AD11" s="120">
        <v>1971</v>
      </c>
      <c r="AE11" s="120">
        <v>1972</v>
      </c>
      <c r="AF11" s="120">
        <v>1973</v>
      </c>
      <c r="AG11" s="120">
        <v>1974</v>
      </c>
      <c r="AH11" s="120">
        <v>1975</v>
      </c>
      <c r="AI11" s="120">
        <v>1976</v>
      </c>
      <c r="AJ11" s="120">
        <v>1977</v>
      </c>
      <c r="AK11" s="120">
        <v>1978</v>
      </c>
      <c r="AL11" s="120">
        <v>1979</v>
      </c>
      <c r="AM11" s="120">
        <v>1980</v>
      </c>
      <c r="AN11" s="120">
        <v>1981</v>
      </c>
      <c r="AO11" s="120">
        <v>1982</v>
      </c>
      <c r="AP11" s="120">
        <v>1983</v>
      </c>
      <c r="AQ11" s="120">
        <v>1984</v>
      </c>
      <c r="AR11" s="120">
        <v>1985</v>
      </c>
      <c r="AS11" s="120">
        <v>1986</v>
      </c>
      <c r="AT11" s="120">
        <v>1987</v>
      </c>
      <c r="AU11" s="120">
        <v>1988</v>
      </c>
      <c r="AV11" s="120">
        <v>1989</v>
      </c>
      <c r="AW11" s="120">
        <v>1990</v>
      </c>
      <c r="AX11" s="120">
        <v>1991</v>
      </c>
      <c r="AY11" s="120">
        <v>1992</v>
      </c>
      <c r="AZ11" s="120">
        <v>1993</v>
      </c>
      <c r="BA11" s="120">
        <v>1994</v>
      </c>
      <c r="BB11" s="120">
        <v>1995</v>
      </c>
      <c r="BC11" s="120">
        <v>1996</v>
      </c>
      <c r="BD11" s="120">
        <v>1997</v>
      </c>
      <c r="BE11" s="120">
        <v>1998</v>
      </c>
      <c r="BF11" s="120">
        <v>1999</v>
      </c>
      <c r="BG11" s="120">
        <v>2000</v>
      </c>
      <c r="BH11" s="120">
        <v>2001</v>
      </c>
      <c r="BI11" s="120">
        <v>2002</v>
      </c>
      <c r="BJ11" s="120">
        <v>2003</v>
      </c>
      <c r="BK11" s="120">
        <v>2004</v>
      </c>
      <c r="BL11" s="120">
        <v>2005</v>
      </c>
      <c r="BM11" s="120">
        <v>2006</v>
      </c>
      <c r="BN11" s="120">
        <v>2007</v>
      </c>
      <c r="BO11" s="120">
        <v>2008</v>
      </c>
      <c r="BP11" s="120">
        <v>2009</v>
      </c>
      <c r="BQ11" s="120">
        <v>2010</v>
      </c>
      <c r="BR11" s="120">
        <v>2011</v>
      </c>
      <c r="BS11" s="120">
        <v>2012</v>
      </c>
      <c r="BT11" s="120">
        <v>2013</v>
      </c>
      <c r="BU11" s="120">
        <v>2014</v>
      </c>
      <c r="BV11" s="120">
        <v>2015</v>
      </c>
      <c r="BW11" s="120">
        <v>2016</v>
      </c>
      <c r="BX11" s="120">
        <v>2017</v>
      </c>
      <c r="BY11" s="120">
        <v>2018</v>
      </c>
      <c r="BZ11" s="120">
        <v>2019</v>
      </c>
      <c r="CA11" s="120">
        <v>2020</v>
      </c>
      <c r="CB11" s="120">
        <v>2021</v>
      </c>
      <c r="CC11" s="120">
        <v>2022</v>
      </c>
      <c r="CD11" s="120">
        <v>2023</v>
      </c>
      <c r="CE11" s="120">
        <v>2024</v>
      </c>
      <c r="CF11" s="120">
        <v>2025</v>
      </c>
      <c r="CG11" s="120">
        <v>2026</v>
      </c>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c r="IX11" s="120"/>
      <c r="IY11" s="120"/>
      <c r="IZ11" s="120"/>
      <c r="JA11" s="120"/>
      <c r="JB11" s="120"/>
      <c r="JC11" s="120"/>
      <c r="JD11" s="120"/>
      <c r="JE11" s="120"/>
      <c r="JF11" s="120"/>
      <c r="JG11" s="120"/>
      <c r="JH11" s="120"/>
      <c r="JI11" s="120"/>
      <c r="JJ11" s="120"/>
      <c r="JK11" s="120"/>
      <c r="JL11" s="120"/>
      <c r="JM11" s="120"/>
      <c r="JN11" s="120"/>
      <c r="JO11" s="120"/>
      <c r="JP11" s="120"/>
      <c r="JQ11" s="120"/>
      <c r="JR11" s="120"/>
      <c r="JS11" s="120"/>
      <c r="JT11" s="120"/>
      <c r="JU11" s="120"/>
      <c r="JV11" s="120"/>
      <c r="JW11" s="120"/>
      <c r="JX11" s="120"/>
      <c r="JY11" s="120"/>
      <c r="JZ11" s="120"/>
      <c r="KA11" s="120"/>
      <c r="KB11" s="120"/>
      <c r="KC11" s="120"/>
      <c r="KD11" s="120"/>
      <c r="KE11" s="120"/>
      <c r="KF11" s="120"/>
      <c r="KG11" s="120"/>
      <c r="KH11" s="120"/>
      <c r="KI11" s="120"/>
      <c r="KJ11" s="120"/>
      <c r="KK11" s="120"/>
      <c r="KL11" s="120"/>
      <c r="KM11" s="120"/>
      <c r="KN11" s="120"/>
      <c r="KO11" s="120"/>
      <c r="KP11" s="120"/>
      <c r="KQ11" s="120"/>
      <c r="KR11" s="120"/>
      <c r="KS11" s="120"/>
      <c r="KT11" s="120"/>
      <c r="KU11" s="120"/>
      <c r="KV11" s="120"/>
      <c r="KW11" s="120"/>
      <c r="KX11" s="120"/>
      <c r="KY11" s="120"/>
      <c r="KZ11" s="120"/>
      <c r="LA11" s="120"/>
      <c r="LB11" s="120"/>
      <c r="LC11" s="120"/>
      <c r="LD11" s="120"/>
      <c r="LE11" s="120"/>
      <c r="LF11" s="120"/>
      <c r="LG11" s="120"/>
      <c r="LH11" s="120"/>
      <c r="LI11" s="120"/>
      <c r="LJ11" s="120"/>
      <c r="LK11" s="120"/>
      <c r="LL11" s="120"/>
      <c r="LM11" s="120"/>
      <c r="LN11" s="120"/>
      <c r="LO11" s="120"/>
      <c r="LP11" s="120"/>
      <c r="LQ11" s="120"/>
      <c r="LR11" s="120"/>
      <c r="LS11" s="120"/>
      <c r="LT11" s="120"/>
      <c r="LU11" s="120"/>
      <c r="LV11" s="120"/>
      <c r="LW11" s="120"/>
      <c r="LX11" s="120"/>
      <c r="LY11" s="120"/>
      <c r="LZ11" s="120"/>
      <c r="MA11" s="120"/>
      <c r="MB11" s="120"/>
      <c r="MC11" s="120"/>
      <c r="MD11" s="120"/>
      <c r="ME11" s="120"/>
      <c r="MF11" s="120"/>
      <c r="MG11" s="120"/>
      <c r="MH11" s="120"/>
      <c r="MI11" s="120"/>
      <c r="MJ11" s="120"/>
      <c r="MK11" s="120"/>
      <c r="ML11" s="120"/>
      <c r="MM11" s="120"/>
      <c r="MN11" s="120"/>
      <c r="MO11" s="120"/>
      <c r="MP11" s="120"/>
      <c r="MQ11" s="120"/>
      <c r="MR11" s="120"/>
      <c r="MS11" s="120"/>
      <c r="MT11" s="120"/>
      <c r="MU11" s="120"/>
      <c r="MV11" s="120"/>
      <c r="MW11" s="120"/>
      <c r="MX11" s="120"/>
      <c r="MY11" s="120"/>
      <c r="MZ11" s="120"/>
      <c r="NA11" s="120"/>
      <c r="NB11" s="120"/>
      <c r="NC11" s="120"/>
      <c r="ND11" s="120"/>
      <c r="NE11" s="120"/>
      <c r="NF11" s="120"/>
      <c r="NG11" s="120"/>
      <c r="NH11" s="120"/>
      <c r="NI11" s="120"/>
      <c r="NJ11" s="120"/>
      <c r="NK11" s="120"/>
      <c r="NL11" s="120"/>
      <c r="NM11" s="120"/>
      <c r="NN11" s="120"/>
      <c r="NO11" s="120"/>
      <c r="NP11" s="120"/>
      <c r="NQ11" s="120"/>
      <c r="NR11" s="120"/>
      <c r="NS11" s="120"/>
      <c r="NT11" s="120"/>
      <c r="NU11" s="120"/>
      <c r="NV11" s="120"/>
      <c r="NW11" s="120"/>
      <c r="NX11" s="120"/>
      <c r="NY11" s="120"/>
      <c r="NZ11" s="120"/>
      <c r="OA11" s="120"/>
      <c r="OB11" s="120"/>
      <c r="OC11" s="120"/>
      <c r="OD11" s="120"/>
      <c r="OE11" s="120"/>
      <c r="OF11" s="120"/>
      <c r="OG11" s="120"/>
      <c r="OH11" s="120"/>
      <c r="OI11" s="120"/>
      <c r="OJ11" s="120"/>
      <c r="OK11" s="120"/>
      <c r="OL11" s="120"/>
      <c r="OM11" s="120"/>
      <c r="ON11" s="120"/>
      <c r="OO11" s="120"/>
      <c r="OP11" s="120"/>
      <c r="OQ11" s="120"/>
      <c r="OR11" s="120"/>
      <c r="OS11" s="120"/>
      <c r="OT11" s="120"/>
      <c r="OU11" s="120"/>
      <c r="OV11" s="120"/>
      <c r="OW11" s="120"/>
      <c r="OX11" s="120"/>
      <c r="OY11" s="120"/>
      <c r="OZ11" s="120"/>
      <c r="PA11" s="120"/>
      <c r="PB11" s="120"/>
      <c r="PC11" s="120"/>
      <c r="PD11" s="120"/>
      <c r="PE11" s="120"/>
      <c r="PF11" s="120"/>
      <c r="PG11" s="120"/>
      <c r="PH11" s="120"/>
      <c r="PI11" s="120"/>
      <c r="PJ11" s="120"/>
      <c r="PK11" s="120"/>
      <c r="PL11" s="120"/>
      <c r="PM11" s="120"/>
      <c r="PN11" s="120"/>
      <c r="PO11" s="120"/>
      <c r="PP11" s="120"/>
      <c r="PQ11" s="120"/>
      <c r="PR11" s="120"/>
      <c r="PS11" s="120"/>
      <c r="PT11" s="120"/>
      <c r="PU11" s="120"/>
      <c r="PV11" s="120"/>
      <c r="PW11" s="120"/>
      <c r="PX11" s="120"/>
      <c r="PY11" s="120"/>
      <c r="PZ11" s="120"/>
      <c r="QA11" s="120"/>
      <c r="QB11" s="120"/>
      <c r="QC11" s="120"/>
      <c r="QD11" s="120"/>
      <c r="QE11" s="120"/>
      <c r="QF11" s="120"/>
      <c r="QG11" s="120"/>
      <c r="QH11" s="120"/>
      <c r="QI11" s="120"/>
      <c r="QJ11" s="120"/>
      <c r="QK11" s="120"/>
      <c r="QL11" s="120"/>
      <c r="QM11" s="120"/>
      <c r="QN11" s="120"/>
      <c r="QO11" s="120"/>
      <c r="QP11" s="120"/>
      <c r="QQ11" s="120"/>
      <c r="QR11" s="120"/>
      <c r="QS11" s="120"/>
      <c r="QT11" s="120"/>
      <c r="QU11" s="120"/>
      <c r="QV11" s="120"/>
      <c r="QW11" s="120"/>
      <c r="QX11" s="120"/>
      <c r="QY11" s="120"/>
      <c r="QZ11" s="120"/>
      <c r="RA11" s="120"/>
      <c r="RB11" s="120"/>
      <c r="RC11" s="120"/>
      <c r="RD11" s="120"/>
      <c r="RE11" s="120"/>
      <c r="RF11" s="120"/>
      <c r="RG11" s="120"/>
      <c r="RH11" s="120"/>
      <c r="RI11" s="120"/>
      <c r="RJ11" s="120"/>
      <c r="RK11" s="120"/>
      <c r="RL11" s="120"/>
      <c r="RM11" s="120"/>
      <c r="RN11" s="120"/>
      <c r="RO11" s="120"/>
      <c r="RP11" s="120"/>
      <c r="RQ11" s="120"/>
      <c r="RR11" s="120"/>
      <c r="RS11" s="120"/>
      <c r="RT11" s="120"/>
      <c r="RU11" s="120"/>
      <c r="RV11" s="120"/>
      <c r="RW11" s="120"/>
      <c r="RX11" s="120"/>
      <c r="RY11" s="120"/>
      <c r="RZ11" s="120"/>
      <c r="SA11" s="120"/>
      <c r="SB11" s="120"/>
      <c r="SC11" s="120"/>
      <c r="SD11" s="120"/>
      <c r="SE11" s="120"/>
      <c r="SF11" s="120"/>
      <c r="SG11" s="120"/>
      <c r="SH11" s="120"/>
      <c r="SI11" s="120"/>
      <c r="SJ11" s="120"/>
      <c r="SK11" s="120"/>
      <c r="SL11" s="120"/>
      <c r="SM11" s="120"/>
      <c r="SN11" s="120"/>
      <c r="SO11" s="120"/>
      <c r="SP11" s="120"/>
      <c r="SQ11" s="120"/>
      <c r="SR11" s="120"/>
      <c r="SS11" s="120"/>
      <c r="ST11" s="120"/>
      <c r="SU11" s="120"/>
      <c r="SV11" s="120"/>
      <c r="SW11" s="120"/>
      <c r="SX11" s="120"/>
      <c r="SY11" s="120"/>
      <c r="SZ11" s="120"/>
      <c r="TA11" s="120"/>
      <c r="TB11" s="120"/>
      <c r="TC11" s="120"/>
      <c r="TD11" s="120"/>
      <c r="TE11" s="120"/>
      <c r="TF11" s="120"/>
      <c r="TG11" s="120"/>
      <c r="TH11" s="120"/>
      <c r="TI11" s="120"/>
      <c r="TJ11" s="120"/>
      <c r="TK11" s="120"/>
      <c r="TL11" s="120"/>
      <c r="TM11" s="120"/>
      <c r="TN11" s="120"/>
      <c r="TO11" s="120"/>
      <c r="TP11" s="120"/>
      <c r="TQ11" s="120"/>
      <c r="TR11" s="120"/>
      <c r="TS11" s="120"/>
      <c r="TT11" s="120"/>
      <c r="TU11" s="120"/>
      <c r="TV11" s="120"/>
      <c r="TW11" s="120"/>
      <c r="TX11" s="120"/>
      <c r="TY11" s="120"/>
      <c r="TZ11" s="120"/>
      <c r="UA11" s="120"/>
      <c r="UB11" s="120"/>
      <c r="UC11" s="120"/>
      <c r="UD11" s="120"/>
      <c r="UE11" s="120"/>
      <c r="UF11" s="120"/>
      <c r="UG11" s="120"/>
      <c r="UH11" s="120"/>
      <c r="UI11" s="120"/>
      <c r="UJ11" s="120"/>
      <c r="UK11" s="120"/>
      <c r="UL11" s="120"/>
      <c r="UM11" s="120"/>
      <c r="UN11" s="120"/>
      <c r="UO11" s="120"/>
      <c r="UP11" s="120"/>
      <c r="UQ11" s="120"/>
      <c r="UR11" s="120"/>
      <c r="US11" s="120"/>
      <c r="UT11" s="120"/>
      <c r="UU11" s="120"/>
      <c r="UV11" s="120"/>
      <c r="UW11" s="120"/>
      <c r="UX11" s="120"/>
      <c r="UY11" s="120"/>
      <c r="UZ11" s="120"/>
      <c r="VA11" s="120"/>
      <c r="VB11" s="120"/>
      <c r="VC11" s="120"/>
      <c r="VD11" s="120"/>
      <c r="VE11" s="120"/>
      <c r="VF11" s="120"/>
      <c r="VG11" s="120"/>
      <c r="VH11" s="120"/>
      <c r="VI11" s="120"/>
      <c r="VJ11" s="120"/>
      <c r="VK11" s="120"/>
      <c r="VL11" s="120"/>
      <c r="VM11" s="120"/>
      <c r="VN11" s="120"/>
      <c r="VO11" s="120"/>
      <c r="VP11" s="120"/>
      <c r="VQ11" s="120"/>
      <c r="VR11" s="120"/>
      <c r="VS11" s="120"/>
      <c r="VT11" s="120"/>
      <c r="VU11" s="120"/>
      <c r="VV11" s="120"/>
      <c r="VW11" s="120"/>
      <c r="VX11" s="120"/>
      <c r="VY11" s="120"/>
      <c r="VZ11" s="120"/>
      <c r="WA11" s="120"/>
      <c r="WB11" s="120"/>
      <c r="WC11" s="120"/>
      <c r="WD11" s="120"/>
      <c r="WE11" s="120"/>
      <c r="WF11" s="120"/>
      <c r="WG11" s="120"/>
      <c r="WH11" s="120"/>
      <c r="WI11" s="120"/>
      <c r="WJ11" s="120"/>
      <c r="WK11" s="120"/>
      <c r="WL11" s="120"/>
      <c r="WM11" s="120"/>
      <c r="WN11" s="120"/>
      <c r="WO11" s="120"/>
      <c r="WP11" s="120"/>
      <c r="WQ11" s="120"/>
      <c r="WR11" s="120"/>
      <c r="WS11" s="120"/>
      <c r="WT11" s="120"/>
      <c r="WU11" s="120"/>
      <c r="WV11" s="120"/>
      <c r="WW11" s="120"/>
      <c r="WX11" s="120"/>
      <c r="WY11" s="120"/>
      <c r="WZ11" s="120"/>
      <c r="XA11" s="120"/>
      <c r="XB11" s="120"/>
      <c r="XC11" s="120"/>
      <c r="XD11" s="120"/>
      <c r="XE11" s="120"/>
      <c r="XF11" s="120"/>
      <c r="XG11" s="120"/>
      <c r="XH11" s="120"/>
      <c r="XI11" s="120"/>
      <c r="XJ11" s="120"/>
      <c r="XK11" s="120"/>
      <c r="XL11" s="120"/>
      <c r="XM11" s="120"/>
      <c r="XN11" s="120"/>
      <c r="XO11" s="120"/>
      <c r="XP11" s="120"/>
      <c r="XQ11" s="120"/>
      <c r="XR11" s="120"/>
      <c r="XS11" s="120"/>
      <c r="XT11" s="120"/>
      <c r="XU11" s="120"/>
      <c r="XV11" s="120"/>
      <c r="XW11" s="120"/>
      <c r="XX11" s="120"/>
      <c r="XY11" s="120"/>
      <c r="XZ11" s="120"/>
      <c r="YA11" s="120"/>
      <c r="YB11" s="120"/>
      <c r="YC11" s="120"/>
      <c r="YD11" s="120"/>
      <c r="YE11" s="120"/>
      <c r="YF11" s="120"/>
      <c r="YG11" s="120"/>
      <c r="YH11" s="120"/>
      <c r="YI11" s="120"/>
      <c r="YJ11" s="120"/>
      <c r="YK11" s="120"/>
      <c r="YL11" s="120"/>
      <c r="YM11" s="120"/>
      <c r="YN11" s="120"/>
      <c r="YO11" s="120"/>
      <c r="YP11" s="120"/>
      <c r="YQ11" s="120"/>
      <c r="YR11" s="120"/>
      <c r="YS11" s="120"/>
      <c r="YT11" s="120"/>
      <c r="YU11" s="120"/>
      <c r="YV11" s="120"/>
      <c r="YW11" s="120"/>
      <c r="YX11" s="120"/>
      <c r="YY11" s="120"/>
      <c r="YZ11" s="120"/>
      <c r="ZA11" s="120"/>
      <c r="ZB11" s="120"/>
      <c r="ZC11" s="120"/>
      <c r="ZD11" s="120"/>
      <c r="ZE11" s="120"/>
      <c r="ZF11" s="120"/>
      <c r="ZG11" s="120"/>
      <c r="ZH11" s="120"/>
      <c r="ZI11" s="120"/>
      <c r="ZJ11" s="120"/>
      <c r="ZK11" s="120"/>
      <c r="ZL11" s="120"/>
      <c r="ZM11" s="120"/>
      <c r="ZN11" s="120"/>
      <c r="ZO11" s="120"/>
      <c r="ZP11" s="120"/>
      <c r="ZQ11" s="120"/>
      <c r="ZR11" s="120"/>
      <c r="ZS11" s="120"/>
      <c r="ZT11" s="120"/>
      <c r="ZU11" s="120"/>
      <c r="ZV11" s="120"/>
      <c r="ZW11" s="120"/>
      <c r="ZX11" s="120"/>
      <c r="ZY11" s="120"/>
      <c r="ZZ11" s="120"/>
      <c r="AAA11" s="120"/>
      <c r="AAB11" s="120"/>
      <c r="AAC11" s="120"/>
      <c r="AAD11" s="120"/>
      <c r="AAE11" s="120"/>
      <c r="AAF11" s="120"/>
      <c r="AAG11" s="120"/>
      <c r="AAH11" s="120"/>
      <c r="AAI11" s="120"/>
      <c r="AAJ11" s="120"/>
      <c r="AAK11" s="120"/>
      <c r="AAL11" s="120"/>
      <c r="AAM11" s="120"/>
      <c r="AAN11" s="120"/>
      <c r="AAO11" s="120"/>
      <c r="AAP11" s="120"/>
      <c r="AAQ11" s="120"/>
      <c r="AAR11" s="120"/>
      <c r="AAS11" s="120"/>
      <c r="AAT11" s="120"/>
      <c r="AAU11" s="120"/>
      <c r="AAV11" s="120"/>
      <c r="AAW11" s="120"/>
      <c r="AAX11" s="120"/>
      <c r="AAY11" s="120"/>
      <c r="AAZ11" s="120"/>
      <c r="ABA11" s="120"/>
      <c r="ABB11" s="120"/>
      <c r="ABC11" s="120"/>
      <c r="ABD11" s="120"/>
      <c r="ABE11" s="120"/>
      <c r="ABF11" s="120"/>
      <c r="ABG11" s="120"/>
      <c r="ABH11" s="120"/>
      <c r="ABI11" s="120"/>
      <c r="ABJ11" s="120"/>
      <c r="ABK11" s="120"/>
      <c r="ABL11" s="120"/>
      <c r="ABM11" s="120"/>
      <c r="ABN11" s="120"/>
      <c r="ABO11" s="120"/>
      <c r="ABP11" s="120"/>
      <c r="ABQ11" s="120"/>
      <c r="ABR11" s="120"/>
      <c r="ABS11" s="120"/>
      <c r="ABT11" s="120"/>
      <c r="ABU11" s="120"/>
      <c r="ABV11" s="120"/>
      <c r="ABW11" s="120"/>
      <c r="ABX11" s="120"/>
      <c r="ABY11" s="120"/>
      <c r="ABZ11" s="120"/>
      <c r="ACA11" s="120"/>
      <c r="ACB11" s="120"/>
      <c r="ACC11" s="120"/>
      <c r="ACD11" s="120"/>
      <c r="ACE11" s="120"/>
      <c r="ACF11" s="120"/>
      <c r="ACG11" s="120"/>
      <c r="ACH11" s="120"/>
      <c r="ACI11" s="120"/>
      <c r="ACJ11" s="120"/>
      <c r="ACK11" s="120"/>
      <c r="ACL11" s="120"/>
      <c r="ACM11" s="120"/>
      <c r="ACN11" s="120"/>
      <c r="ACO11" s="120"/>
      <c r="ACP11" s="120"/>
      <c r="ACQ11" s="120"/>
      <c r="ACR11" s="120"/>
      <c r="ACS11" s="120"/>
      <c r="ACT11" s="120"/>
      <c r="ACU11" s="120"/>
      <c r="ACV11" s="120"/>
      <c r="ACW11" s="120"/>
      <c r="ACX11" s="120"/>
      <c r="ACY11" s="120"/>
      <c r="ACZ11" s="120"/>
      <c r="ADA11" s="120"/>
      <c r="ADB11" s="120"/>
      <c r="ADC11" s="120"/>
      <c r="ADD11" s="120"/>
      <c r="ADE11" s="120"/>
      <c r="ADF11" s="120"/>
      <c r="ADG11" s="120"/>
      <c r="ADH11" s="120"/>
      <c r="ADI11" s="120"/>
      <c r="ADJ11" s="120"/>
      <c r="ADK11" s="120"/>
      <c r="ADL11" s="120"/>
      <c r="ADM11" s="120"/>
      <c r="ADN11" s="120"/>
      <c r="ADO11" s="120"/>
      <c r="ADP11" s="120"/>
      <c r="ADQ11" s="120"/>
      <c r="ADR11" s="120"/>
      <c r="ADS11" s="120"/>
      <c r="ADT11" s="120"/>
      <c r="ADU11" s="120"/>
      <c r="ADV11" s="120"/>
      <c r="ADW11" s="120"/>
      <c r="ADX11" s="120"/>
      <c r="ADY11" s="120"/>
      <c r="ADZ11" s="120"/>
      <c r="AEA11" s="120"/>
      <c r="AEB11" s="120"/>
      <c r="AEC11" s="120"/>
      <c r="AED11" s="120"/>
      <c r="AEE11" s="120"/>
      <c r="AEF11" s="120"/>
      <c r="AEG11" s="120"/>
      <c r="AEH11" s="120"/>
      <c r="AEI11" s="120"/>
      <c r="AEJ11" s="120"/>
      <c r="AEK11" s="120"/>
      <c r="AEL11" s="120"/>
      <c r="AEM11" s="120"/>
      <c r="AEN11" s="120"/>
      <c r="AEO11" s="120"/>
      <c r="AEP11" s="120"/>
      <c r="AEQ11" s="120"/>
      <c r="AER11" s="120"/>
      <c r="AES11" s="120"/>
      <c r="AET11" s="120"/>
      <c r="AEU11" s="120"/>
      <c r="AEV11" s="120"/>
      <c r="AEW11" s="120"/>
      <c r="AEX11" s="120"/>
      <c r="AEY11" s="120"/>
      <c r="AEZ11" s="120"/>
      <c r="AFA11" s="120"/>
      <c r="AFB11" s="120"/>
      <c r="AFC11" s="120"/>
      <c r="AFD11" s="120"/>
      <c r="AFE11" s="120"/>
      <c r="AFF11" s="120"/>
      <c r="AFG11" s="120"/>
      <c r="AFH11" s="120"/>
      <c r="AFI11" s="120"/>
      <c r="AFJ11" s="120"/>
      <c r="AFK11" s="120"/>
      <c r="AFL11" s="120"/>
      <c r="AFM11" s="120"/>
      <c r="AFN11" s="120"/>
      <c r="AFO11" s="120"/>
      <c r="AFP11" s="120"/>
      <c r="AFQ11" s="120"/>
      <c r="AFR11" s="120"/>
      <c r="AFS11" s="120"/>
      <c r="AFT11" s="120"/>
      <c r="AFU11" s="120"/>
      <c r="AFV11" s="120"/>
      <c r="AFW11" s="120"/>
      <c r="AFX11" s="120"/>
      <c r="AFY11" s="120"/>
      <c r="AFZ11" s="120"/>
      <c r="AGA11" s="120"/>
      <c r="AGB11" s="120"/>
      <c r="AGC11" s="120"/>
      <c r="AGD11" s="120"/>
      <c r="AGE11" s="120"/>
      <c r="AGF11" s="120"/>
      <c r="AGG11" s="120"/>
      <c r="AGH11" s="120"/>
      <c r="AGI11" s="120"/>
      <c r="AGJ11" s="120"/>
      <c r="AGK11" s="120"/>
      <c r="AGL11" s="120"/>
      <c r="AGM11" s="120"/>
      <c r="AGN11" s="120"/>
      <c r="AGO11" s="120"/>
      <c r="AGP11" s="120"/>
      <c r="AGQ11" s="120"/>
      <c r="AGR11" s="120"/>
      <c r="AGS11" s="120"/>
      <c r="AGT11" s="120"/>
      <c r="AGU11" s="120"/>
      <c r="AGV11" s="120"/>
      <c r="AGW11" s="120"/>
      <c r="AGX11" s="120"/>
      <c r="AGY11" s="120"/>
      <c r="AGZ11" s="120"/>
      <c r="AHA11" s="120"/>
      <c r="AHB11" s="120"/>
      <c r="AHC11" s="120"/>
      <c r="AHD11" s="120"/>
      <c r="AHE11" s="120"/>
      <c r="AHF11" s="120"/>
      <c r="AHG11" s="120"/>
      <c r="AHH11" s="120"/>
      <c r="AHI11" s="120"/>
      <c r="AHJ11" s="120"/>
      <c r="AHK11" s="120"/>
      <c r="AHL11" s="120"/>
      <c r="AHM11" s="120"/>
      <c r="AHN11" s="120"/>
      <c r="AHO11" s="120"/>
      <c r="AHP11" s="120"/>
      <c r="AHQ11" s="120"/>
      <c r="AHR11" s="120"/>
      <c r="AHS11" s="120"/>
      <c r="AHT11" s="120"/>
      <c r="AHU11" s="120"/>
      <c r="AHV11" s="120"/>
      <c r="AHW11" s="120"/>
      <c r="AHX11" s="120"/>
      <c r="AHY11" s="120"/>
      <c r="AHZ11" s="120"/>
      <c r="AIA11" s="120"/>
      <c r="AIB11" s="120"/>
      <c r="AIC11" s="120"/>
      <c r="AID11" s="120"/>
      <c r="AIE11" s="120"/>
      <c r="AIF11" s="120"/>
      <c r="AIG11" s="120"/>
      <c r="AIH11" s="120"/>
      <c r="AII11" s="120"/>
      <c r="AIJ11" s="120"/>
      <c r="AIK11" s="120"/>
      <c r="AIL11" s="120"/>
      <c r="AIM11" s="120"/>
      <c r="AIN11" s="120"/>
      <c r="AIO11" s="120"/>
      <c r="AIP11" s="120"/>
      <c r="AIQ11" s="120"/>
      <c r="AIR11" s="120"/>
      <c r="AIS11" s="120"/>
      <c r="AIT11" s="120"/>
      <c r="AIU11" s="120"/>
      <c r="AIV11" s="120"/>
      <c r="AIW11" s="120"/>
      <c r="AIX11" s="120"/>
      <c r="AIY11" s="120"/>
      <c r="AIZ11" s="120"/>
      <c r="AJA11" s="120"/>
      <c r="AJB11" s="120"/>
      <c r="AJC11" s="120"/>
      <c r="AJD11" s="120"/>
      <c r="AJE11" s="120"/>
      <c r="AJF11" s="120"/>
      <c r="AJG11" s="120"/>
      <c r="AJH11" s="120"/>
      <c r="AJI11" s="120"/>
      <c r="AJJ11" s="120"/>
      <c r="AJK11" s="120"/>
      <c r="AJL11" s="120"/>
      <c r="AJM11" s="120"/>
      <c r="AJN11" s="120"/>
      <c r="AJO11" s="120"/>
      <c r="AJP11" s="120"/>
      <c r="AJQ11" s="120"/>
      <c r="AJR11" s="120"/>
      <c r="AJS11" s="120"/>
      <c r="AJT11" s="120"/>
      <c r="AJU11" s="120"/>
      <c r="AJV11" s="120"/>
      <c r="AJW11" s="120"/>
      <c r="AJX11" s="120"/>
      <c r="AJY11" s="120"/>
      <c r="AJZ11" s="120"/>
      <c r="AKA11" s="120"/>
      <c r="AKB11" s="120"/>
      <c r="AKC11" s="120"/>
      <c r="AKD11" s="120"/>
      <c r="AKE11" s="120"/>
      <c r="AKF11" s="120"/>
      <c r="AKG11" s="120"/>
      <c r="AKH11" s="120"/>
      <c r="AKI11" s="120"/>
      <c r="AKJ11" s="120"/>
      <c r="AKK11" s="120"/>
      <c r="AKL11" s="120"/>
      <c r="AKM11" s="120"/>
      <c r="AKN11" s="120"/>
      <c r="AKO11" s="120"/>
      <c r="AKP11" s="120"/>
      <c r="AKQ11" s="120"/>
      <c r="AKR11" s="120"/>
      <c r="AKS11" s="120"/>
      <c r="AKT11" s="120"/>
      <c r="AKU11" s="120"/>
      <c r="AKV11" s="120"/>
      <c r="AKW11" s="120"/>
      <c r="AKX11" s="120"/>
      <c r="AKY11" s="120"/>
      <c r="AKZ11" s="120"/>
      <c r="ALA11" s="120"/>
      <c r="ALB11" s="120"/>
      <c r="ALC11" s="120"/>
      <c r="ALD11" s="120"/>
      <c r="ALE11" s="120"/>
      <c r="ALF11" s="120"/>
      <c r="ALG11" s="120"/>
      <c r="ALH11" s="120"/>
      <c r="ALI11" s="120"/>
      <c r="ALJ11" s="120"/>
      <c r="ALK11" s="120"/>
      <c r="ALL11" s="120"/>
      <c r="ALM11" s="120"/>
      <c r="ALN11" s="120"/>
      <c r="ALO11" s="120"/>
      <c r="ALP11" s="120"/>
      <c r="ALQ11" s="120"/>
      <c r="ALR11" s="120"/>
      <c r="ALS11" s="120"/>
      <c r="ALT11" s="120"/>
      <c r="ALU11" s="120"/>
      <c r="ALV11" s="120"/>
      <c r="ALW11" s="120"/>
      <c r="ALX11" s="120"/>
      <c r="ALY11" s="120"/>
      <c r="ALZ11" s="120"/>
      <c r="AMA11" s="120"/>
      <c r="AMB11" s="120"/>
      <c r="AMC11" s="120"/>
      <c r="AMD11" s="120"/>
      <c r="AME11" s="120"/>
      <c r="AMF11" s="120"/>
      <c r="AMG11" s="120"/>
      <c r="AMH11" s="120"/>
      <c r="AMI11" s="120"/>
      <c r="AMJ11" s="120"/>
      <c r="AMK11" s="120"/>
      <c r="AML11" s="120"/>
      <c r="AMM11" s="120"/>
      <c r="AMN11" s="120"/>
      <c r="AMO11" s="120"/>
      <c r="AMP11" s="120"/>
      <c r="AMQ11" s="120"/>
      <c r="AMR11" s="120"/>
      <c r="AMS11" s="120"/>
      <c r="AMT11" s="120"/>
      <c r="AMU11" s="120"/>
      <c r="AMV11" s="120"/>
      <c r="AMW11" s="120"/>
      <c r="AMX11" s="120"/>
      <c r="AMY11" s="120"/>
      <c r="AMZ11" s="120"/>
      <c r="ANA11" s="120"/>
      <c r="ANB11" s="120"/>
      <c r="ANC11" s="120"/>
      <c r="AND11" s="120"/>
      <c r="ANE11" s="120"/>
      <c r="ANF11" s="120"/>
      <c r="ANG11" s="120"/>
      <c r="ANH11" s="120"/>
      <c r="ANI11" s="120"/>
      <c r="ANJ11" s="120"/>
      <c r="ANK11" s="120"/>
      <c r="ANL11" s="120"/>
      <c r="ANM11" s="120"/>
      <c r="ANN11" s="120"/>
      <c r="ANO11" s="120"/>
      <c r="ANP11" s="120"/>
      <c r="ANQ11" s="120"/>
      <c r="ANR11" s="120"/>
      <c r="ANS11" s="120"/>
      <c r="ANT11" s="120"/>
      <c r="ANU11" s="120"/>
      <c r="ANV11" s="120"/>
      <c r="ANW11" s="120"/>
      <c r="ANX11" s="120"/>
      <c r="ANY11" s="120"/>
      <c r="ANZ11" s="120"/>
      <c r="AOA11" s="120"/>
      <c r="AOB11" s="120"/>
      <c r="AOC11" s="120"/>
      <c r="AOD11" s="120"/>
      <c r="AOE11" s="120"/>
      <c r="AOF11" s="120"/>
      <c r="AOG11" s="120"/>
      <c r="AOH11" s="120"/>
      <c r="AOI11" s="120"/>
      <c r="AOJ11" s="120"/>
      <c r="AOK11" s="120"/>
      <c r="AOL11" s="120"/>
      <c r="AOM11" s="120"/>
      <c r="AON11" s="120"/>
      <c r="AOO11" s="120"/>
      <c r="AOP11" s="120"/>
      <c r="AOQ11" s="120"/>
      <c r="AOR11" s="120"/>
      <c r="AOS11" s="120"/>
      <c r="AOT11" s="120"/>
      <c r="AOU11" s="120"/>
      <c r="AOV11" s="120"/>
      <c r="AOW11" s="120"/>
      <c r="AOX11" s="120"/>
      <c r="AOY11" s="120"/>
      <c r="AOZ11" s="120"/>
      <c r="APA11" s="120"/>
      <c r="APB11" s="120"/>
      <c r="APC11" s="120"/>
      <c r="APD11" s="120"/>
      <c r="APE11" s="120"/>
      <c r="APF11" s="120"/>
      <c r="APG11" s="120"/>
      <c r="APH11" s="120"/>
      <c r="API11" s="120"/>
      <c r="APJ11" s="120"/>
      <c r="APK11" s="120"/>
      <c r="APL11" s="120"/>
      <c r="APM11" s="120"/>
      <c r="APN11" s="120"/>
      <c r="APO11" s="120"/>
      <c r="APP11" s="120"/>
      <c r="APQ11" s="120"/>
      <c r="APR11" s="120"/>
      <c r="APS11" s="120"/>
      <c r="APT11" s="120"/>
      <c r="APU11" s="120"/>
      <c r="APV11" s="120"/>
      <c r="APW11" s="120"/>
      <c r="APX11" s="120"/>
      <c r="APY11" s="120"/>
      <c r="APZ11" s="120"/>
      <c r="AQA11" s="120"/>
      <c r="AQB11" s="120"/>
      <c r="AQC11" s="120"/>
      <c r="AQD11" s="120"/>
      <c r="AQE11" s="120"/>
      <c r="AQF11" s="120"/>
      <c r="AQG11" s="120"/>
      <c r="AQH11" s="120"/>
      <c r="AQI11" s="120"/>
      <c r="AQJ11" s="120"/>
      <c r="AQK11" s="120"/>
      <c r="AQL11" s="120"/>
      <c r="AQM11" s="120"/>
      <c r="AQN11" s="120"/>
      <c r="AQO11" s="120"/>
      <c r="AQP11" s="120"/>
      <c r="AQQ11" s="120"/>
      <c r="AQR11" s="120"/>
      <c r="AQS11" s="120"/>
      <c r="AQT11" s="120"/>
      <c r="AQU11" s="120"/>
      <c r="AQV11" s="120"/>
      <c r="AQW11" s="120"/>
      <c r="AQX11" s="120"/>
      <c r="AQY11" s="120"/>
      <c r="AQZ11" s="120"/>
      <c r="ARA11" s="120"/>
      <c r="ARB11" s="120"/>
      <c r="ARC11" s="120"/>
      <c r="ARD11" s="120"/>
      <c r="ARE11" s="120"/>
      <c r="ARF11" s="120"/>
      <c r="ARG11" s="120"/>
      <c r="ARH11" s="120"/>
      <c r="ARI11" s="120"/>
      <c r="ARJ11" s="120"/>
      <c r="ARK11" s="120"/>
      <c r="ARL11" s="120"/>
      <c r="ARM11" s="120"/>
      <c r="ARN11" s="120"/>
      <c r="ARO11" s="120"/>
      <c r="ARP11" s="120"/>
      <c r="ARQ11" s="120"/>
      <c r="ARR11" s="120"/>
      <c r="ARS11" s="120"/>
      <c r="ART11" s="120"/>
      <c r="ARU11" s="120"/>
      <c r="ARV11" s="120"/>
      <c r="ARW11" s="120"/>
      <c r="ARX11" s="120"/>
      <c r="ARY11" s="120"/>
      <c r="ARZ11" s="120"/>
      <c r="ASA11" s="120"/>
      <c r="ASB11" s="120"/>
      <c r="ASC11" s="120"/>
      <c r="ASD11" s="120"/>
      <c r="ASE11" s="120"/>
      <c r="ASF11" s="120"/>
      <c r="ASG11" s="120"/>
      <c r="ASH11" s="120"/>
      <c r="ASI11" s="120"/>
      <c r="ASJ11" s="120"/>
      <c r="ASK11" s="120"/>
      <c r="ASL11" s="120"/>
      <c r="ASM11" s="120"/>
      <c r="ASN11" s="120"/>
      <c r="ASO11" s="120"/>
      <c r="ASP11" s="120"/>
      <c r="ASQ11" s="120"/>
      <c r="ASR11" s="120"/>
      <c r="ASS11" s="120"/>
      <c r="AST11" s="120"/>
      <c r="ASU11" s="120"/>
      <c r="ASV11" s="120"/>
      <c r="ASW11" s="120"/>
      <c r="ASX11" s="120"/>
      <c r="ASY11" s="120"/>
      <c r="ASZ11" s="120"/>
      <c r="ATA11" s="120"/>
      <c r="ATB11" s="120"/>
      <c r="ATC11" s="120"/>
      <c r="ATD11" s="120"/>
      <c r="ATE11" s="120"/>
      <c r="ATF11" s="120"/>
      <c r="ATG11" s="120"/>
      <c r="ATH11" s="120"/>
      <c r="ATI11" s="120"/>
      <c r="ATJ11" s="120"/>
      <c r="ATK11" s="120"/>
      <c r="ATL11" s="120"/>
      <c r="ATM11" s="120"/>
      <c r="ATN11" s="120"/>
      <c r="ATO11" s="120"/>
      <c r="ATP11" s="120"/>
      <c r="ATQ11" s="120"/>
      <c r="ATR11" s="120"/>
      <c r="ATS11" s="120"/>
      <c r="ATT11" s="120"/>
      <c r="ATU11" s="120"/>
      <c r="ATV11" s="120"/>
      <c r="ATW11" s="120"/>
      <c r="ATX11" s="120"/>
      <c r="ATY11" s="120"/>
      <c r="ATZ11" s="120"/>
      <c r="AUA11" s="120"/>
      <c r="AUB11" s="120"/>
      <c r="AUC11" s="120"/>
      <c r="AUD11" s="120"/>
      <c r="AUE11" s="120"/>
      <c r="AUF11" s="120"/>
      <c r="AUG11" s="120"/>
      <c r="AUH11" s="120"/>
      <c r="AUI11" s="120"/>
      <c r="AUJ11" s="120"/>
      <c r="AUK11" s="120"/>
      <c r="AUL11" s="120"/>
      <c r="AUM11" s="120"/>
      <c r="AUN11" s="120"/>
      <c r="AUO11" s="120"/>
      <c r="AUP11" s="120"/>
      <c r="AUQ11" s="120"/>
      <c r="AUR11" s="120"/>
      <c r="AUS11" s="120"/>
      <c r="AUT11" s="120"/>
      <c r="AUU11" s="120"/>
      <c r="AUV11" s="120"/>
      <c r="AUW11" s="120"/>
      <c r="AUX11" s="120"/>
      <c r="AUY11" s="120"/>
      <c r="AUZ11" s="120"/>
      <c r="AVA11" s="120"/>
      <c r="AVB11" s="120"/>
      <c r="AVC11" s="120"/>
      <c r="AVD11" s="120"/>
      <c r="AVE11" s="120"/>
      <c r="AVF11" s="120"/>
      <c r="AVG11" s="120"/>
      <c r="AVH11" s="120"/>
      <c r="AVI11" s="120"/>
      <c r="AVJ11" s="120"/>
      <c r="AVK11" s="120"/>
      <c r="AVL11" s="120"/>
      <c r="AVM11" s="120"/>
      <c r="AVN11" s="120"/>
      <c r="AVO11" s="120"/>
      <c r="AVP11" s="120"/>
      <c r="AVQ11" s="120"/>
      <c r="AVR11" s="120"/>
      <c r="AVS11" s="120"/>
      <c r="AVT11" s="120"/>
      <c r="AVU11" s="120"/>
      <c r="AVV11" s="120"/>
      <c r="AVW11" s="120"/>
      <c r="AVX11" s="120"/>
      <c r="AVY11" s="120"/>
      <c r="AVZ11" s="120"/>
      <c r="AWA11" s="120"/>
      <c r="AWB11" s="120"/>
      <c r="AWC11" s="120"/>
      <c r="AWD11" s="120"/>
      <c r="AWE11" s="120"/>
      <c r="AWF11" s="120"/>
      <c r="AWG11" s="120"/>
      <c r="AWH11" s="120"/>
      <c r="AWI11" s="120"/>
      <c r="AWJ11" s="120"/>
      <c r="AWK11" s="120"/>
      <c r="AWL11" s="120"/>
      <c r="AWM11" s="120"/>
      <c r="AWN11" s="120"/>
      <c r="AWO11" s="120"/>
      <c r="AWP11" s="120"/>
      <c r="AWQ11" s="120"/>
      <c r="AWR11" s="120"/>
      <c r="AWS11" s="120"/>
      <c r="AWT11" s="120"/>
      <c r="AWU11" s="120"/>
      <c r="AWV11" s="120"/>
      <c r="AWW11" s="120"/>
      <c r="AWX11" s="120"/>
      <c r="AWY11" s="120"/>
      <c r="AWZ11" s="120"/>
      <c r="AXA11" s="120"/>
      <c r="AXB11" s="120"/>
      <c r="AXC11" s="120"/>
      <c r="AXD11" s="120"/>
      <c r="AXE11" s="120"/>
      <c r="AXF11" s="120"/>
      <c r="AXG11" s="120"/>
      <c r="AXH11" s="120"/>
      <c r="AXI11" s="120"/>
      <c r="AXJ11" s="120"/>
      <c r="AXK11" s="120"/>
      <c r="AXL11" s="120"/>
      <c r="AXM11" s="120"/>
      <c r="AXN11" s="120"/>
      <c r="AXO11" s="120"/>
      <c r="AXP11" s="120"/>
      <c r="AXQ11" s="120"/>
      <c r="AXR11" s="120"/>
      <c r="AXS11" s="120"/>
      <c r="AXT11" s="120"/>
      <c r="AXU11" s="120"/>
      <c r="AXV11" s="120"/>
      <c r="AXW11" s="120"/>
      <c r="AXX11" s="120"/>
      <c r="AXY11" s="120"/>
      <c r="AXZ11" s="120"/>
      <c r="AYA11" s="120"/>
      <c r="AYB11" s="120"/>
      <c r="AYC11" s="120"/>
      <c r="AYD11" s="120"/>
      <c r="AYE11" s="120"/>
      <c r="AYF11" s="120"/>
      <c r="AYG11" s="120"/>
      <c r="AYH11" s="120"/>
      <c r="AYI11" s="120"/>
      <c r="AYJ11" s="120"/>
      <c r="AYK11" s="120"/>
      <c r="AYL11" s="120"/>
      <c r="AYM11" s="120"/>
      <c r="AYN11" s="120"/>
      <c r="AYO11" s="120"/>
      <c r="AYP11" s="120"/>
      <c r="AYQ11" s="120"/>
      <c r="AYR11" s="120"/>
      <c r="AYS11" s="120"/>
      <c r="AYT11" s="120"/>
      <c r="AYU11" s="120"/>
      <c r="AYV11" s="120"/>
      <c r="AYW11" s="120"/>
      <c r="AYX11" s="120"/>
      <c r="AYY11" s="120"/>
      <c r="AYZ11" s="120"/>
      <c r="AZA11" s="120"/>
      <c r="AZB11" s="120"/>
      <c r="AZC11" s="120"/>
      <c r="AZD11" s="120"/>
      <c r="AZE11" s="120"/>
      <c r="AZF11" s="120"/>
      <c r="AZG11" s="120"/>
      <c r="AZH11" s="120"/>
      <c r="AZI11" s="120"/>
      <c r="AZJ11" s="120"/>
      <c r="AZK11" s="120"/>
      <c r="AZL11" s="120"/>
      <c r="AZM11" s="120"/>
      <c r="AZN11" s="120"/>
      <c r="AZO11" s="120"/>
      <c r="AZP11" s="120"/>
      <c r="AZQ11" s="120"/>
      <c r="AZR11" s="120"/>
      <c r="AZS11" s="120"/>
      <c r="AZT11" s="120"/>
      <c r="AZU11" s="120"/>
      <c r="AZV11" s="120"/>
      <c r="AZW11" s="120"/>
      <c r="AZX11" s="120"/>
      <c r="AZY11" s="120"/>
      <c r="AZZ11" s="120"/>
      <c r="BAA11" s="120"/>
      <c r="BAB11" s="120"/>
      <c r="BAC11" s="120"/>
      <c r="BAD11" s="120"/>
      <c r="BAE11" s="120"/>
      <c r="BAF11" s="120"/>
      <c r="BAG11" s="120"/>
      <c r="BAH11" s="120"/>
      <c r="BAI11" s="120"/>
      <c r="BAJ11" s="120"/>
      <c r="BAK11" s="120"/>
      <c r="BAL11" s="120"/>
      <c r="BAM11" s="120"/>
      <c r="BAN11" s="120"/>
      <c r="BAO11" s="120"/>
      <c r="BAP11" s="120"/>
      <c r="BAQ11" s="120"/>
      <c r="BAR11" s="120"/>
      <c r="BAS11" s="120"/>
      <c r="BAT11" s="120"/>
      <c r="BAU11" s="120"/>
      <c r="BAV11" s="120"/>
      <c r="BAW11" s="120"/>
      <c r="BAX11" s="120"/>
      <c r="BAY11" s="120"/>
      <c r="BAZ11" s="120"/>
      <c r="BBA11" s="120"/>
      <c r="BBB11" s="120"/>
      <c r="BBC11" s="120"/>
      <c r="BBD11" s="120"/>
      <c r="BBE11" s="120"/>
      <c r="BBF11" s="120"/>
      <c r="BBG11" s="120"/>
      <c r="BBH11" s="120"/>
      <c r="BBI11" s="120"/>
      <c r="BBJ11" s="120"/>
      <c r="BBK11" s="120"/>
      <c r="BBL11" s="120"/>
      <c r="BBM11" s="120"/>
      <c r="BBN11" s="120"/>
      <c r="BBO11" s="120"/>
      <c r="BBP11" s="120"/>
      <c r="BBQ11" s="120"/>
      <c r="BBR11" s="120"/>
      <c r="BBS11" s="120"/>
      <c r="BBT11" s="120"/>
      <c r="BBU11" s="120"/>
      <c r="BBV11" s="120"/>
      <c r="BBW11" s="120"/>
      <c r="BBX11" s="120"/>
      <c r="BBY11" s="120"/>
      <c r="BBZ11" s="120"/>
      <c r="BCA11" s="120"/>
      <c r="BCB11" s="120"/>
      <c r="BCC11" s="120"/>
      <c r="BCD11" s="120"/>
      <c r="BCE11" s="120"/>
      <c r="BCF11" s="120"/>
      <c r="BCG11" s="120"/>
      <c r="BCH11" s="120"/>
      <c r="BCI11" s="120"/>
      <c r="BCJ11" s="120"/>
      <c r="BCK11" s="120"/>
      <c r="BCL11" s="120"/>
      <c r="BCM11" s="120"/>
      <c r="BCN11" s="120"/>
      <c r="BCO11" s="120"/>
      <c r="BCP11" s="120"/>
      <c r="BCQ11" s="120"/>
      <c r="BCR11" s="120"/>
      <c r="BCS11" s="120"/>
      <c r="BCT11" s="120"/>
      <c r="BCU11" s="120"/>
      <c r="BCV11" s="120"/>
      <c r="BCW11" s="120"/>
      <c r="BCX11" s="120"/>
      <c r="BCY11" s="120"/>
      <c r="BCZ11" s="120"/>
      <c r="BDA11" s="120"/>
      <c r="BDB11" s="120"/>
      <c r="BDC11" s="120"/>
      <c r="BDD11" s="120"/>
      <c r="BDE11" s="120"/>
      <c r="BDF11" s="120"/>
      <c r="BDG11" s="120"/>
      <c r="BDH11" s="120"/>
      <c r="BDI11" s="120"/>
      <c r="BDJ11" s="120"/>
      <c r="BDK11" s="120"/>
      <c r="BDL11" s="120"/>
      <c r="BDM11" s="120"/>
      <c r="BDN11" s="120"/>
      <c r="BDO11" s="120"/>
      <c r="BDP11" s="120"/>
      <c r="BDQ11" s="120"/>
      <c r="BDR11" s="120"/>
      <c r="BDS11" s="120"/>
      <c r="BDT11" s="120"/>
      <c r="BDU11" s="120"/>
      <c r="BDV11" s="120"/>
      <c r="BDW11" s="120"/>
      <c r="BDX11" s="120"/>
      <c r="BDY11" s="120"/>
      <c r="BDZ11" s="120"/>
      <c r="BEA11" s="120"/>
      <c r="BEB11" s="120"/>
      <c r="BEC11" s="120"/>
      <c r="BED11" s="120"/>
      <c r="BEE11" s="120"/>
      <c r="BEF11" s="120"/>
      <c r="BEG11" s="120"/>
      <c r="BEH11" s="120"/>
      <c r="BEI11" s="120"/>
      <c r="BEJ11" s="120"/>
      <c r="BEK11" s="120"/>
      <c r="BEL11" s="120"/>
      <c r="BEM11" s="120"/>
      <c r="BEN11" s="120"/>
      <c r="BEO11" s="120"/>
      <c r="BEP11" s="120"/>
      <c r="BEQ11" s="120"/>
      <c r="BER11" s="120"/>
      <c r="BES11" s="120"/>
      <c r="BET11" s="120"/>
      <c r="BEU11" s="120"/>
      <c r="BEV11" s="120"/>
      <c r="BEW11" s="120"/>
      <c r="BEX11" s="120"/>
      <c r="BEY11" s="120"/>
      <c r="BEZ11" s="120"/>
      <c r="BFA11" s="120"/>
      <c r="BFB11" s="120"/>
      <c r="BFC11" s="120"/>
      <c r="BFD11" s="120"/>
      <c r="BFE11" s="120"/>
      <c r="BFF11" s="120"/>
      <c r="BFG11" s="120"/>
      <c r="BFH11" s="120"/>
      <c r="BFI11" s="120"/>
      <c r="BFJ11" s="120"/>
      <c r="BFK11" s="120"/>
      <c r="BFL11" s="120"/>
      <c r="BFM11" s="120"/>
      <c r="BFN11" s="120"/>
      <c r="BFO11" s="120"/>
      <c r="BFP11" s="120"/>
      <c r="BFQ11" s="120"/>
      <c r="BFR11" s="120"/>
      <c r="BFS11" s="120"/>
      <c r="BFT11" s="120"/>
      <c r="BFU11" s="120"/>
      <c r="BFV11" s="120"/>
      <c r="BFW11" s="120"/>
      <c r="BFX11" s="120"/>
      <c r="BFY11" s="120"/>
      <c r="BFZ11" s="120"/>
      <c r="BGA11" s="120"/>
      <c r="BGB11" s="120"/>
      <c r="BGC11" s="120"/>
      <c r="BGD11" s="120"/>
      <c r="BGE11" s="120"/>
      <c r="BGF11" s="120"/>
      <c r="BGG11" s="120"/>
      <c r="BGH11" s="120"/>
      <c r="BGI11" s="120"/>
      <c r="BGJ11" s="120"/>
      <c r="BGK11" s="120"/>
      <c r="BGL11" s="120"/>
      <c r="BGM11" s="120"/>
      <c r="BGN11" s="120"/>
      <c r="BGO11" s="120"/>
      <c r="BGP11" s="120"/>
      <c r="BGQ11" s="120"/>
      <c r="BGR11" s="120"/>
      <c r="BGS11" s="120"/>
      <c r="BGT11" s="120"/>
      <c r="BGU11" s="120"/>
      <c r="BGV11" s="120"/>
      <c r="BGW11" s="120"/>
      <c r="BGX11" s="120"/>
      <c r="BGY11" s="120"/>
      <c r="BGZ11" s="120"/>
      <c r="BHA11" s="120"/>
      <c r="BHB11" s="120"/>
      <c r="BHC11" s="120"/>
      <c r="BHD11" s="120"/>
      <c r="BHE11" s="120"/>
      <c r="BHF11" s="120"/>
      <c r="BHG11" s="120"/>
      <c r="BHH11" s="120"/>
      <c r="BHI11" s="120"/>
      <c r="BHJ11" s="120"/>
      <c r="BHK11" s="120"/>
      <c r="BHL11" s="120"/>
      <c r="BHM11" s="120"/>
      <c r="BHN11" s="120"/>
      <c r="BHO11" s="120"/>
      <c r="BHP11" s="120"/>
      <c r="BHQ11" s="120"/>
      <c r="BHR11" s="120"/>
      <c r="BHS11" s="120"/>
      <c r="BHT11" s="120"/>
      <c r="BHU11" s="120"/>
      <c r="BHV11" s="120"/>
      <c r="BHW11" s="120"/>
      <c r="BHX11" s="120"/>
      <c r="BHY11" s="120"/>
      <c r="BHZ11" s="120"/>
      <c r="BIA11" s="120"/>
      <c r="BIB11" s="120"/>
      <c r="BIC11" s="120"/>
      <c r="BID11" s="120"/>
      <c r="BIE11" s="120"/>
      <c r="BIF11" s="120"/>
      <c r="BIG11" s="120"/>
      <c r="BIH11" s="120"/>
      <c r="BII11" s="120"/>
      <c r="BIJ11" s="120"/>
      <c r="BIK11" s="120"/>
      <c r="BIL11" s="120"/>
      <c r="BIM11" s="120"/>
      <c r="BIN11" s="120"/>
      <c r="BIO11" s="120"/>
      <c r="BIP11" s="120"/>
      <c r="BIQ11" s="120"/>
      <c r="BIR11" s="120"/>
      <c r="BIS11" s="120"/>
      <c r="BIT11" s="120"/>
      <c r="BIU11" s="120"/>
      <c r="BIV11" s="120"/>
      <c r="BIW11" s="120"/>
      <c r="BIX11" s="120"/>
      <c r="BIY11" s="120"/>
      <c r="BIZ11" s="120"/>
      <c r="BJA11" s="120"/>
      <c r="BJB11" s="120"/>
      <c r="BJC11" s="120"/>
      <c r="BJD11" s="120"/>
      <c r="BJE11" s="120"/>
      <c r="BJF11" s="120"/>
      <c r="BJG11" s="120"/>
      <c r="BJH11" s="120"/>
      <c r="BJI11" s="120"/>
      <c r="BJJ11" s="120"/>
      <c r="BJK11" s="120"/>
      <c r="BJL11" s="120"/>
      <c r="BJM11" s="120"/>
      <c r="BJN11" s="120"/>
      <c r="BJO11" s="120"/>
      <c r="BJP11" s="120"/>
      <c r="BJQ11" s="120"/>
      <c r="BJR11" s="120"/>
      <c r="BJS11" s="120"/>
      <c r="BJT11" s="120"/>
      <c r="BJU11" s="120"/>
      <c r="BJV11" s="120"/>
      <c r="BJW11" s="120"/>
      <c r="BJX11" s="120"/>
      <c r="BJY11" s="120"/>
      <c r="BJZ11" s="120"/>
      <c r="BKA11" s="120"/>
      <c r="BKB11" s="120"/>
      <c r="BKC11" s="120"/>
      <c r="BKD11" s="120"/>
      <c r="BKE11" s="120"/>
      <c r="BKF11" s="120"/>
      <c r="BKG11" s="120"/>
      <c r="BKH11" s="120"/>
      <c r="BKI11" s="120"/>
      <c r="BKJ11" s="120"/>
      <c r="BKK11" s="120"/>
      <c r="BKL11" s="120"/>
      <c r="BKM11" s="120"/>
      <c r="BKN11" s="120"/>
      <c r="BKO11" s="120"/>
      <c r="BKP11" s="120"/>
      <c r="BKQ11" s="120"/>
      <c r="BKR11" s="120"/>
      <c r="BKS11" s="120"/>
      <c r="BKT11" s="120"/>
      <c r="BKU11" s="120"/>
      <c r="BKV11" s="120"/>
      <c r="BKW11" s="120"/>
      <c r="BKX11" s="120"/>
      <c r="BKY11" s="120"/>
      <c r="BKZ11" s="120"/>
      <c r="BLA11" s="120"/>
      <c r="BLB11" s="120"/>
      <c r="BLC11" s="120"/>
      <c r="BLD11" s="120"/>
      <c r="BLE11" s="120"/>
      <c r="BLF11" s="120"/>
      <c r="BLG11" s="120"/>
      <c r="BLH11" s="120"/>
      <c r="BLI11" s="120"/>
      <c r="BLJ11" s="120"/>
      <c r="BLK11" s="120"/>
      <c r="BLL11" s="120"/>
      <c r="BLM11" s="120"/>
      <c r="BLN11" s="120"/>
      <c r="BLO11" s="120"/>
      <c r="BLP11" s="120"/>
      <c r="BLQ11" s="120"/>
      <c r="BLR11" s="120"/>
      <c r="BLS11" s="120"/>
      <c r="BLT11" s="120"/>
      <c r="BLU11" s="120"/>
      <c r="BLV11" s="120"/>
      <c r="BLW11" s="120"/>
      <c r="BLX11" s="120"/>
      <c r="BLY11" s="120"/>
      <c r="BLZ11" s="120"/>
      <c r="BMA11" s="120"/>
      <c r="BMB11" s="120"/>
      <c r="BMC11" s="120"/>
      <c r="BMD11" s="120"/>
      <c r="BME11" s="120"/>
      <c r="BMF11" s="120"/>
      <c r="BMG11" s="120"/>
      <c r="BMH11" s="120"/>
      <c r="BMI11" s="120"/>
      <c r="BMJ11" s="120"/>
      <c r="BMK11" s="120"/>
      <c r="BML11" s="120"/>
      <c r="BMM11" s="120"/>
      <c r="BMN11" s="120"/>
      <c r="BMO11" s="120"/>
      <c r="BMP11" s="120"/>
      <c r="BMQ11" s="120"/>
      <c r="BMR11" s="120"/>
      <c r="BMS11" s="120"/>
      <c r="BMT11" s="120"/>
      <c r="BMU11" s="120"/>
      <c r="BMV11" s="120"/>
      <c r="BMW11" s="120"/>
      <c r="BMX11" s="120"/>
      <c r="BMY11" s="120"/>
      <c r="BMZ11" s="120"/>
      <c r="BNA11" s="120"/>
      <c r="BNB11" s="120"/>
      <c r="BNC11" s="120"/>
      <c r="BND11" s="120"/>
      <c r="BNE11" s="120"/>
      <c r="BNF11" s="120"/>
      <c r="BNG11" s="120"/>
      <c r="BNH11" s="120"/>
      <c r="BNI11" s="120"/>
      <c r="BNJ11" s="120"/>
      <c r="BNK11" s="120"/>
      <c r="BNL11" s="120"/>
      <c r="BNM11" s="120"/>
      <c r="BNN11" s="120"/>
      <c r="BNO11" s="120"/>
      <c r="BNP11" s="120"/>
      <c r="BNQ11" s="120"/>
      <c r="BNR11" s="120"/>
      <c r="BNS11" s="120"/>
      <c r="BNT11" s="120"/>
      <c r="BNU11" s="120"/>
      <c r="BNV11" s="120"/>
      <c r="BNW11" s="120"/>
      <c r="BNX11" s="120"/>
      <c r="BNY11" s="120"/>
      <c r="BNZ11" s="120"/>
      <c r="BOA11" s="120"/>
      <c r="BOB11" s="120"/>
      <c r="BOC11" s="120"/>
      <c r="BOD11" s="120"/>
      <c r="BOE11" s="120"/>
      <c r="BOF11" s="120"/>
      <c r="BOG11" s="120"/>
      <c r="BOH11" s="120"/>
      <c r="BOI11" s="120"/>
      <c r="BOJ11" s="120"/>
      <c r="BOK11" s="120"/>
      <c r="BOL11" s="120"/>
      <c r="BOM11" s="120"/>
      <c r="BON11" s="120"/>
      <c r="BOO11" s="120"/>
      <c r="BOP11" s="120"/>
      <c r="BOQ11" s="120"/>
      <c r="BOR11" s="120"/>
      <c r="BOS11" s="120"/>
      <c r="BOT11" s="120"/>
      <c r="BOU11" s="120"/>
      <c r="BOV11" s="120"/>
      <c r="BOW11" s="120"/>
      <c r="BOX11" s="120"/>
      <c r="BOY11" s="120"/>
      <c r="BOZ11" s="120"/>
      <c r="BPA11" s="120"/>
      <c r="BPB11" s="120"/>
      <c r="BPC11" s="120"/>
      <c r="BPD11" s="120"/>
      <c r="BPE11" s="120"/>
      <c r="BPF11" s="120"/>
      <c r="BPG11" s="120"/>
      <c r="BPH11" s="120"/>
      <c r="BPI11" s="120"/>
      <c r="BPJ11" s="120"/>
      <c r="BPK11" s="120"/>
      <c r="BPL11" s="120"/>
      <c r="BPM11" s="120"/>
      <c r="BPN11" s="120"/>
      <c r="BPO11" s="120"/>
      <c r="BPP11" s="120"/>
      <c r="BPQ11" s="120"/>
      <c r="BPR11" s="120"/>
      <c r="BPS11" s="120"/>
      <c r="BPT11" s="120"/>
      <c r="BPU11" s="120"/>
      <c r="BPV11" s="120"/>
      <c r="BPW11" s="120"/>
      <c r="BPX11" s="120"/>
      <c r="BPY11" s="120"/>
      <c r="BPZ11" s="120"/>
      <c r="BQA11" s="120"/>
      <c r="BQB11" s="120"/>
      <c r="BQC11" s="120"/>
      <c r="BQD11" s="120"/>
      <c r="BQE11" s="120"/>
      <c r="BQF11" s="120"/>
      <c r="BQG11" s="120"/>
      <c r="BQH11" s="120"/>
      <c r="BQI11" s="120"/>
      <c r="BQJ11" s="120"/>
      <c r="BQK11" s="120"/>
      <c r="BQL11" s="120"/>
      <c r="BQM11" s="120"/>
      <c r="BQN11" s="120"/>
      <c r="BQO11" s="120"/>
      <c r="BQP11" s="120"/>
      <c r="BQQ11" s="120"/>
      <c r="BQR11" s="120"/>
      <c r="BQS11" s="120"/>
      <c r="BQT11" s="120"/>
      <c r="BQU11" s="120"/>
      <c r="BQV11" s="120"/>
      <c r="BQW11" s="120"/>
      <c r="BQX11" s="120"/>
      <c r="BQY11" s="120"/>
      <c r="BQZ11" s="120"/>
      <c r="BRA11" s="120"/>
      <c r="BRB11" s="120"/>
      <c r="BRC11" s="120"/>
      <c r="BRD11" s="120"/>
      <c r="BRE11" s="120"/>
      <c r="BRF11" s="120"/>
      <c r="BRG11" s="120"/>
      <c r="BRH11" s="120"/>
      <c r="BRI11" s="120"/>
      <c r="BRJ11" s="120"/>
      <c r="BRK11" s="120"/>
      <c r="BRL11" s="120"/>
      <c r="BRM11" s="120"/>
      <c r="BRN11" s="120"/>
      <c r="BRO11" s="120"/>
      <c r="BRP11" s="120"/>
      <c r="BRQ11" s="120"/>
      <c r="BRR11" s="120"/>
      <c r="BRS11" s="120"/>
      <c r="BRT11" s="120"/>
      <c r="BRU11" s="120"/>
      <c r="BRV11" s="120"/>
      <c r="BRW11" s="120"/>
      <c r="BRX11" s="120"/>
      <c r="BRY11" s="120"/>
      <c r="BRZ11" s="120"/>
      <c r="BSA11" s="120"/>
      <c r="BSB11" s="120"/>
      <c r="BSC11" s="120"/>
      <c r="BSD11" s="120"/>
      <c r="BSE11" s="120"/>
      <c r="BSF11" s="120"/>
      <c r="BSG11" s="120"/>
      <c r="BSH11" s="120"/>
      <c r="BSI11" s="120"/>
      <c r="BSJ11" s="120"/>
      <c r="BSK11" s="120"/>
      <c r="BSL11" s="120"/>
      <c r="BSM11" s="120"/>
      <c r="BSN11" s="120"/>
      <c r="BSO11" s="120"/>
      <c r="BSP11" s="120"/>
      <c r="BSQ11" s="120"/>
      <c r="BSR11" s="120"/>
      <c r="BSS11" s="120"/>
      <c r="BST11" s="120"/>
      <c r="BSU11" s="120"/>
      <c r="BSV11" s="120"/>
      <c r="BSW11" s="120"/>
      <c r="BSX11" s="120"/>
      <c r="BSY11" s="120"/>
      <c r="BSZ11" s="120"/>
      <c r="BTA11" s="120"/>
      <c r="BTB11" s="120"/>
      <c r="BTC11" s="120"/>
      <c r="BTD11" s="120"/>
      <c r="BTE11" s="120"/>
      <c r="BTF11" s="120"/>
      <c r="BTG11" s="120"/>
      <c r="BTH11" s="120"/>
      <c r="BTI11" s="120"/>
      <c r="BTJ11" s="120"/>
      <c r="BTK11" s="120"/>
      <c r="BTL11" s="120"/>
      <c r="BTM11" s="120"/>
      <c r="BTN11" s="120"/>
      <c r="BTO11" s="120"/>
      <c r="BTP11" s="120"/>
      <c r="BTQ11" s="120"/>
      <c r="BTR11" s="120"/>
      <c r="BTS11" s="120"/>
      <c r="BTT11" s="120"/>
      <c r="BTU11" s="120"/>
      <c r="BTV11" s="120"/>
      <c r="BTW11" s="120"/>
      <c r="BTX11" s="120"/>
      <c r="BTY11" s="120"/>
      <c r="BTZ11" s="120"/>
      <c r="BUA11" s="120"/>
      <c r="BUB11" s="120"/>
      <c r="BUC11" s="120"/>
      <c r="BUD11" s="120"/>
      <c r="BUE11" s="120"/>
      <c r="BUF11" s="120"/>
      <c r="BUG11" s="120"/>
      <c r="BUH11" s="120"/>
      <c r="BUI11" s="120"/>
      <c r="BUJ11" s="120"/>
      <c r="BUK11" s="120"/>
      <c r="BUL11" s="120"/>
      <c r="BUM11" s="120"/>
      <c r="BUN11" s="120"/>
      <c r="BUO11" s="120"/>
      <c r="BUP11" s="120"/>
      <c r="BUQ11" s="120"/>
      <c r="BUR11" s="120"/>
      <c r="BUS11" s="120"/>
      <c r="BUT11" s="120"/>
      <c r="BUU11" s="120"/>
      <c r="BUV11" s="120"/>
      <c r="BUW11" s="120"/>
      <c r="BUX11" s="120"/>
      <c r="BUY11" s="120"/>
      <c r="BUZ11" s="120"/>
      <c r="BVA11" s="120"/>
      <c r="BVB11" s="120"/>
      <c r="BVC11" s="120"/>
      <c r="BVD11" s="120"/>
      <c r="BVE11" s="120"/>
      <c r="BVF11" s="120"/>
      <c r="BVG11" s="120"/>
      <c r="BVH11" s="120"/>
      <c r="BVI11" s="120"/>
      <c r="BVJ11" s="120"/>
      <c r="BVK11" s="120"/>
      <c r="BVL11" s="120"/>
      <c r="BVM11" s="120"/>
      <c r="BVN11" s="120"/>
      <c r="BVO11" s="120"/>
      <c r="BVP11" s="120"/>
      <c r="BVQ11" s="120"/>
      <c r="BVR11" s="120"/>
      <c r="BVS11" s="120"/>
      <c r="BVT11" s="120"/>
      <c r="BVU11" s="120"/>
      <c r="BVV11" s="120"/>
      <c r="BVW11" s="120"/>
      <c r="BVX11" s="120"/>
      <c r="BVY11" s="120"/>
      <c r="BVZ11" s="120"/>
      <c r="BWA11" s="120"/>
      <c r="BWB11" s="120"/>
      <c r="BWC11" s="120"/>
      <c r="BWD11" s="120"/>
      <c r="BWE11" s="120"/>
      <c r="BWF11" s="120"/>
      <c r="BWG11" s="120"/>
      <c r="BWH11" s="120"/>
      <c r="BWI11" s="120"/>
      <c r="BWJ11" s="120"/>
      <c r="BWK11" s="120"/>
      <c r="BWL11" s="120"/>
      <c r="BWM11" s="120"/>
      <c r="BWN11" s="120"/>
      <c r="BWO11" s="120"/>
      <c r="BWP11" s="120"/>
      <c r="BWQ11" s="120"/>
      <c r="BWR11" s="120"/>
      <c r="BWS11" s="120"/>
      <c r="BWT11" s="120"/>
      <c r="BWU11" s="120"/>
      <c r="BWV11" s="120"/>
      <c r="BWW11" s="120"/>
      <c r="BWX11" s="120"/>
      <c r="BWY11" s="120"/>
      <c r="BWZ11" s="120"/>
      <c r="BXA11" s="120"/>
      <c r="BXB11" s="120"/>
      <c r="BXC11" s="120"/>
      <c r="BXD11" s="120"/>
      <c r="BXE11" s="120"/>
      <c r="BXF11" s="120"/>
      <c r="BXG11" s="120"/>
      <c r="BXH11" s="120"/>
      <c r="BXI11" s="120"/>
      <c r="BXJ11" s="120"/>
      <c r="BXK11" s="120"/>
      <c r="BXL11" s="120"/>
      <c r="BXM11" s="120"/>
      <c r="BXN11" s="120"/>
      <c r="BXO11" s="120"/>
      <c r="BXP11" s="120"/>
      <c r="BXQ11" s="120"/>
      <c r="BXR11" s="120"/>
      <c r="BXS11" s="120"/>
      <c r="BXT11" s="120"/>
      <c r="BXU11" s="120"/>
      <c r="BXV11" s="120"/>
      <c r="BXW11" s="120"/>
      <c r="BXX11" s="120"/>
      <c r="BXY11" s="120"/>
      <c r="BXZ11" s="120"/>
      <c r="BYA11" s="120"/>
      <c r="BYB11" s="120"/>
      <c r="BYC11" s="120"/>
      <c r="BYD11" s="120"/>
      <c r="BYE11" s="120"/>
      <c r="BYF11" s="120"/>
      <c r="BYG11" s="120"/>
      <c r="BYH11" s="120"/>
      <c r="BYI11" s="120"/>
      <c r="BYJ11" s="120"/>
      <c r="BYK11" s="120"/>
      <c r="BYL11" s="120"/>
      <c r="BYM11" s="120"/>
      <c r="BYN11" s="120"/>
      <c r="BYO11" s="120"/>
      <c r="BYP11" s="120"/>
      <c r="BYQ11" s="120"/>
      <c r="BYR11" s="120"/>
      <c r="BYS11" s="120"/>
      <c r="BYT11" s="120"/>
      <c r="BYU11" s="120"/>
      <c r="BYV11" s="120"/>
      <c r="BYW11" s="120"/>
      <c r="BYX11" s="120"/>
      <c r="BYY11" s="120"/>
      <c r="BYZ11" s="120"/>
      <c r="BZA11" s="120"/>
      <c r="BZB11" s="120"/>
      <c r="BZC11" s="120"/>
      <c r="BZD11" s="120"/>
      <c r="BZE11" s="120"/>
      <c r="BZF11" s="120"/>
      <c r="BZG11" s="120"/>
      <c r="BZH11" s="120"/>
      <c r="BZI11" s="120"/>
      <c r="BZJ11" s="120"/>
      <c r="BZK11" s="120"/>
      <c r="BZL11" s="120"/>
      <c r="BZM11" s="120"/>
      <c r="BZN11" s="120"/>
      <c r="BZO11" s="120"/>
      <c r="BZP11" s="120"/>
      <c r="BZQ11" s="120"/>
      <c r="BZR11" s="120"/>
      <c r="BZS11" s="120"/>
      <c r="BZT11" s="120"/>
      <c r="BZU11" s="120"/>
      <c r="BZV11" s="120"/>
      <c r="BZW11" s="120"/>
      <c r="BZX11" s="120"/>
      <c r="BZY11" s="120"/>
      <c r="BZZ11" s="120"/>
      <c r="CAA11" s="120"/>
      <c r="CAB11" s="120"/>
      <c r="CAC11" s="120"/>
      <c r="CAD11" s="120"/>
      <c r="CAE11" s="120"/>
      <c r="CAF11" s="120"/>
      <c r="CAG11" s="120"/>
      <c r="CAH11" s="120"/>
      <c r="CAI11" s="120"/>
      <c r="CAJ11" s="120"/>
      <c r="CAK11" s="120"/>
      <c r="CAL11" s="120"/>
      <c r="CAM11" s="120"/>
      <c r="CAN11" s="120"/>
      <c r="CAO11" s="120"/>
      <c r="CAP11" s="120"/>
      <c r="CAQ11" s="120"/>
      <c r="CAR11" s="120"/>
      <c r="CAS11" s="120"/>
      <c r="CAT11" s="120"/>
      <c r="CAU11" s="120"/>
      <c r="CAV11" s="120"/>
      <c r="CAW11" s="120"/>
      <c r="CAX11" s="120"/>
      <c r="CAY11" s="120"/>
      <c r="CAZ11" s="120"/>
      <c r="CBA11" s="120"/>
      <c r="CBB11" s="120"/>
      <c r="CBC11" s="120"/>
      <c r="CBD11" s="120"/>
      <c r="CBE11" s="120"/>
      <c r="CBF11" s="120"/>
      <c r="CBG11" s="120"/>
      <c r="CBH11" s="120"/>
      <c r="CBI11" s="120"/>
      <c r="CBJ11" s="120"/>
      <c r="CBK11" s="120"/>
      <c r="CBL11" s="120"/>
      <c r="CBM11" s="120"/>
      <c r="CBN11" s="120"/>
      <c r="CBO11" s="120"/>
      <c r="CBP11" s="120"/>
      <c r="CBQ11" s="120"/>
      <c r="CBR11" s="120"/>
      <c r="CBS11" s="120"/>
      <c r="CBT11" s="120"/>
      <c r="CBU11" s="120"/>
      <c r="CBV11" s="120"/>
      <c r="CBW11" s="120"/>
      <c r="CBX11" s="120"/>
      <c r="CBY11" s="120"/>
      <c r="CBZ11" s="120"/>
      <c r="CCA11" s="120"/>
      <c r="CCB11" s="120"/>
      <c r="CCC11" s="120"/>
      <c r="CCD11" s="120"/>
      <c r="CCE11" s="120"/>
      <c r="CCF11" s="120"/>
      <c r="CCG11" s="120"/>
      <c r="CCH11" s="120"/>
      <c r="CCI11" s="120"/>
      <c r="CCJ11" s="120"/>
      <c r="CCK11" s="120"/>
      <c r="CCL11" s="120"/>
      <c r="CCM11" s="120"/>
      <c r="CCN11" s="120"/>
      <c r="CCO11" s="120"/>
      <c r="CCP11" s="120"/>
      <c r="CCQ11" s="120"/>
      <c r="CCR11" s="120"/>
      <c r="CCS11" s="120"/>
      <c r="CCT11" s="120"/>
      <c r="CCU11" s="120"/>
      <c r="CCV11" s="120"/>
      <c r="CCW11" s="120"/>
      <c r="CCX11" s="120"/>
      <c r="CCY11" s="120"/>
      <c r="CCZ11" s="120"/>
      <c r="CDA11" s="120"/>
      <c r="CDB11" s="120"/>
      <c r="CDC11" s="120"/>
      <c r="CDD11" s="120"/>
      <c r="CDE11" s="120"/>
      <c r="CDF11" s="120"/>
      <c r="CDG11" s="120"/>
      <c r="CDH11" s="120"/>
      <c r="CDI11" s="120"/>
      <c r="CDJ11" s="120"/>
      <c r="CDK11" s="120"/>
      <c r="CDL11" s="120"/>
      <c r="CDM11" s="120"/>
      <c r="CDN11" s="120"/>
      <c r="CDO11" s="120"/>
      <c r="CDP11" s="120"/>
      <c r="CDQ11" s="120"/>
      <c r="CDR11" s="120"/>
      <c r="CDS11" s="120"/>
      <c r="CDT11" s="120"/>
      <c r="CDU11" s="120"/>
      <c r="CDV11" s="120"/>
      <c r="CDW11" s="120"/>
      <c r="CDX11" s="120"/>
      <c r="CDY11" s="120"/>
      <c r="CDZ11" s="120"/>
      <c r="CEA11" s="120"/>
      <c r="CEB11" s="120"/>
      <c r="CEC11" s="120"/>
      <c r="CED11" s="120"/>
      <c r="CEE11" s="120"/>
      <c r="CEF11" s="120"/>
      <c r="CEG11" s="120"/>
      <c r="CEH11" s="120"/>
      <c r="CEI11" s="120"/>
      <c r="CEJ11" s="120"/>
      <c r="CEK11" s="120"/>
      <c r="CEL11" s="120"/>
      <c r="CEM11" s="120"/>
      <c r="CEN11" s="120"/>
      <c r="CEO11" s="120"/>
      <c r="CEP11" s="120"/>
      <c r="CEQ11" s="120"/>
      <c r="CER11" s="120"/>
      <c r="CES11" s="120"/>
      <c r="CET11" s="120"/>
      <c r="CEU11" s="120"/>
      <c r="CEV11" s="120"/>
      <c r="CEW11" s="120"/>
      <c r="CEX11" s="120"/>
      <c r="CEY11" s="120"/>
      <c r="CEZ11" s="120"/>
      <c r="CFA11" s="120"/>
      <c r="CFB11" s="120"/>
      <c r="CFC11" s="120"/>
      <c r="CFD11" s="120"/>
      <c r="CFE11" s="120"/>
      <c r="CFF11" s="120"/>
      <c r="CFG11" s="120"/>
      <c r="CFH11" s="120"/>
      <c r="CFI11" s="120"/>
      <c r="CFJ11" s="120"/>
      <c r="CFK11" s="120"/>
      <c r="CFL11" s="120"/>
      <c r="CFM11" s="120"/>
      <c r="CFN11" s="120"/>
      <c r="CFO11" s="120"/>
      <c r="CFP11" s="120"/>
      <c r="CFQ11" s="120"/>
      <c r="CFR11" s="120"/>
      <c r="CFS11" s="120"/>
      <c r="CFT11" s="120"/>
      <c r="CFU11" s="120"/>
      <c r="CFV11" s="120"/>
      <c r="CFW11" s="120"/>
      <c r="CFX11" s="120"/>
      <c r="CFY11" s="120"/>
      <c r="CFZ11" s="120"/>
      <c r="CGA11" s="120"/>
      <c r="CGB11" s="120"/>
      <c r="CGC11" s="120"/>
      <c r="CGD11" s="120"/>
      <c r="CGE11" s="120"/>
      <c r="CGF11" s="120"/>
      <c r="CGG11" s="120"/>
      <c r="CGH11" s="120"/>
      <c r="CGI11" s="120"/>
      <c r="CGJ11" s="120"/>
      <c r="CGK11" s="120"/>
      <c r="CGL11" s="120"/>
      <c r="CGM11" s="120"/>
      <c r="CGN11" s="120"/>
      <c r="CGO11" s="120"/>
      <c r="CGP11" s="120"/>
      <c r="CGQ11" s="120"/>
      <c r="CGR11" s="120"/>
      <c r="CGS11" s="120"/>
      <c r="CGT11" s="120"/>
      <c r="CGU11" s="120"/>
      <c r="CGV11" s="120"/>
      <c r="CGW11" s="120"/>
      <c r="CGX11" s="120"/>
      <c r="CGY11" s="120"/>
      <c r="CGZ11" s="120"/>
      <c r="CHA11" s="120"/>
      <c r="CHB11" s="120"/>
      <c r="CHC11" s="120"/>
      <c r="CHD11" s="120"/>
      <c r="CHE11" s="120"/>
      <c r="CHF11" s="120"/>
      <c r="CHG11" s="120"/>
      <c r="CHH11" s="120"/>
      <c r="CHI11" s="120"/>
      <c r="CHJ11" s="120"/>
      <c r="CHK11" s="120"/>
      <c r="CHL11" s="120"/>
      <c r="CHM11" s="120"/>
      <c r="CHN11" s="120"/>
      <c r="CHO11" s="120"/>
      <c r="CHP11" s="120"/>
      <c r="CHQ11" s="120"/>
      <c r="CHR11" s="120"/>
      <c r="CHS11" s="120"/>
      <c r="CHT11" s="120"/>
      <c r="CHU11" s="120"/>
      <c r="CHV11" s="120"/>
      <c r="CHW11" s="120"/>
      <c r="CHX11" s="120"/>
      <c r="CHY11" s="120"/>
      <c r="CHZ11" s="120"/>
      <c r="CIA11" s="120"/>
      <c r="CIB11" s="120"/>
      <c r="CIC11" s="120"/>
      <c r="CID11" s="120"/>
      <c r="CIE11" s="120"/>
      <c r="CIF11" s="120"/>
      <c r="CIG11" s="120"/>
      <c r="CIH11" s="120"/>
      <c r="CII11" s="120"/>
      <c r="CIJ11" s="120"/>
      <c r="CIK11" s="120"/>
      <c r="CIL11" s="120"/>
      <c r="CIM11" s="120"/>
      <c r="CIN11" s="120"/>
      <c r="CIO11" s="120"/>
      <c r="CIP11" s="120"/>
      <c r="CIQ11" s="120"/>
      <c r="CIR11" s="120"/>
      <c r="CIS11" s="120"/>
      <c r="CIT11" s="120"/>
      <c r="CIU11" s="120"/>
      <c r="CIV11" s="120"/>
      <c r="CIW11" s="120"/>
      <c r="CIX11" s="120"/>
      <c r="CIY11" s="120"/>
      <c r="CIZ11" s="120"/>
      <c r="CJA11" s="120"/>
      <c r="CJB11" s="120"/>
      <c r="CJC11" s="120"/>
      <c r="CJD11" s="120"/>
      <c r="CJE11" s="120"/>
      <c r="CJF11" s="120"/>
      <c r="CJG11" s="120"/>
      <c r="CJH11" s="120"/>
      <c r="CJI11" s="120"/>
      <c r="CJJ11" s="120"/>
      <c r="CJK11" s="120"/>
      <c r="CJL11" s="120"/>
      <c r="CJM11" s="120"/>
      <c r="CJN11" s="120"/>
      <c r="CJO11" s="120"/>
      <c r="CJP11" s="120"/>
      <c r="CJQ11" s="120"/>
      <c r="CJR11" s="120"/>
      <c r="CJS11" s="120"/>
      <c r="CJT11" s="120"/>
      <c r="CJU11" s="120"/>
      <c r="CJV11" s="120"/>
      <c r="CJW11" s="120"/>
      <c r="CJX11" s="120"/>
      <c r="CJY11" s="120"/>
      <c r="CJZ11" s="120"/>
      <c r="CKA11" s="120"/>
      <c r="CKB11" s="120"/>
      <c r="CKC11" s="120"/>
      <c r="CKD11" s="120"/>
      <c r="CKE11" s="120"/>
      <c r="CKF11" s="120"/>
      <c r="CKG11" s="120"/>
      <c r="CKH11" s="120"/>
      <c r="CKI11" s="120"/>
      <c r="CKJ11" s="120"/>
      <c r="CKK11" s="120"/>
      <c r="CKL11" s="120"/>
      <c r="CKM11" s="120"/>
      <c r="CKN11" s="120"/>
      <c r="CKO11" s="120"/>
      <c r="CKP11" s="120"/>
      <c r="CKQ11" s="120"/>
      <c r="CKR11" s="120"/>
      <c r="CKS11" s="120"/>
      <c r="CKT11" s="120"/>
      <c r="CKU11" s="120"/>
      <c r="CKV11" s="120"/>
      <c r="CKW11" s="120"/>
      <c r="CKX11" s="120"/>
      <c r="CKY11" s="120"/>
      <c r="CKZ11" s="120"/>
      <c r="CLA11" s="120"/>
      <c r="CLB11" s="120"/>
      <c r="CLC11" s="120"/>
      <c r="CLD11" s="120"/>
      <c r="CLE11" s="120"/>
      <c r="CLF11" s="120"/>
      <c r="CLG11" s="120"/>
      <c r="CLH11" s="120"/>
      <c r="CLI11" s="120"/>
      <c r="CLJ11" s="120"/>
      <c r="CLK11" s="120"/>
      <c r="CLL11" s="120"/>
      <c r="CLM11" s="120"/>
      <c r="CLN11" s="120"/>
      <c r="CLO11" s="120"/>
      <c r="CLP11" s="120"/>
      <c r="CLQ11" s="120"/>
      <c r="CLR11" s="120"/>
      <c r="CLS11" s="120"/>
      <c r="CLT11" s="120"/>
      <c r="CLU11" s="120"/>
      <c r="CLV11" s="120"/>
      <c r="CLW11" s="120"/>
      <c r="CLX11" s="120"/>
      <c r="CLY11" s="120"/>
      <c r="CLZ11" s="120"/>
      <c r="CMA11" s="120"/>
      <c r="CMB11" s="120"/>
      <c r="CMC11" s="120"/>
      <c r="CMD11" s="120"/>
      <c r="CME11" s="120"/>
      <c r="CMF11" s="120"/>
      <c r="CMG11" s="120"/>
      <c r="CMH11" s="120"/>
      <c r="CMI11" s="120"/>
      <c r="CMJ11" s="120"/>
      <c r="CMK11" s="120"/>
      <c r="CML11" s="120"/>
      <c r="CMM11" s="120"/>
      <c r="CMN11" s="120"/>
      <c r="CMO11" s="120"/>
      <c r="CMP11" s="120"/>
      <c r="CMQ11" s="120"/>
      <c r="CMR11" s="120"/>
      <c r="CMS11" s="120"/>
      <c r="CMT11" s="120"/>
      <c r="CMU11" s="120"/>
      <c r="CMV11" s="120"/>
      <c r="CMW11" s="120"/>
      <c r="CMX11" s="120"/>
      <c r="CMY11" s="120"/>
      <c r="CMZ11" s="120"/>
      <c r="CNA11" s="120"/>
      <c r="CNB11" s="120"/>
      <c r="CNC11" s="120"/>
      <c r="CND11" s="120"/>
      <c r="CNE11" s="120"/>
      <c r="CNF11" s="120"/>
      <c r="CNG11" s="120"/>
      <c r="CNH11" s="120"/>
      <c r="CNI11" s="120"/>
      <c r="CNJ11" s="120"/>
      <c r="CNK11" s="120"/>
      <c r="CNL11" s="120"/>
      <c r="CNM11" s="120"/>
      <c r="CNN11" s="120"/>
      <c r="CNO11" s="120"/>
      <c r="CNP11" s="120"/>
      <c r="CNQ11" s="120"/>
      <c r="CNR11" s="120"/>
      <c r="CNS11" s="120"/>
      <c r="CNT11" s="120"/>
      <c r="CNU11" s="120"/>
      <c r="CNV11" s="120"/>
      <c r="CNW11" s="120"/>
      <c r="CNX11" s="120"/>
      <c r="CNY11" s="120"/>
      <c r="CNZ11" s="120"/>
      <c r="COA11" s="120"/>
      <c r="COB11" s="120"/>
      <c r="COC11" s="120"/>
      <c r="COD11" s="120"/>
      <c r="COE11" s="120"/>
      <c r="COF11" s="120"/>
      <c r="COG11" s="120"/>
      <c r="COH11" s="120"/>
      <c r="COI11" s="120"/>
      <c r="COJ11" s="120"/>
      <c r="COK11" s="120"/>
      <c r="COL11" s="120"/>
      <c r="COM11" s="120"/>
      <c r="CON11" s="120"/>
      <c r="COO11" s="120"/>
      <c r="COP11" s="120"/>
      <c r="COQ11" s="120"/>
      <c r="COR11" s="120"/>
      <c r="COS11" s="120"/>
      <c r="COT11" s="120"/>
      <c r="COU11" s="120"/>
      <c r="COV11" s="120"/>
      <c r="COW11" s="120"/>
      <c r="COX11" s="120"/>
      <c r="COY11" s="120"/>
      <c r="COZ11" s="120"/>
      <c r="CPA11" s="120"/>
      <c r="CPB11" s="120"/>
      <c r="CPC11" s="120"/>
      <c r="CPD11" s="120"/>
      <c r="CPE11" s="120"/>
      <c r="CPF11" s="120"/>
      <c r="CPG11" s="120"/>
      <c r="CPH11" s="120"/>
      <c r="CPI11" s="120"/>
      <c r="CPJ11" s="120"/>
      <c r="CPK11" s="120"/>
      <c r="CPL11" s="120"/>
      <c r="CPM11" s="120"/>
      <c r="CPN11" s="120"/>
      <c r="CPO11" s="120"/>
      <c r="CPP11" s="120"/>
      <c r="CPQ11" s="120"/>
      <c r="CPR11" s="120"/>
      <c r="CPS11" s="120"/>
      <c r="CPT11" s="120"/>
      <c r="CPU11" s="120"/>
      <c r="CPV11" s="120"/>
      <c r="CPW11" s="120"/>
      <c r="CPX11" s="120"/>
      <c r="CPY11" s="120"/>
      <c r="CPZ11" s="120"/>
      <c r="CQA11" s="120"/>
      <c r="CQB11" s="120"/>
      <c r="CQC11" s="120"/>
      <c r="CQD11" s="120"/>
      <c r="CQE11" s="120"/>
      <c r="CQF11" s="120"/>
      <c r="CQG11" s="120"/>
      <c r="CQH11" s="120"/>
      <c r="CQI11" s="120"/>
      <c r="CQJ11" s="120"/>
      <c r="CQK11" s="120"/>
      <c r="CQL11" s="120"/>
      <c r="CQM11" s="120"/>
      <c r="CQN11" s="120"/>
      <c r="CQO11" s="120"/>
      <c r="CQP11" s="120"/>
      <c r="CQQ11" s="120"/>
      <c r="CQR11" s="120"/>
      <c r="CQS11" s="120"/>
      <c r="CQT11" s="120"/>
      <c r="CQU11" s="120"/>
      <c r="CQV11" s="120"/>
      <c r="CQW11" s="120"/>
      <c r="CQX11" s="120"/>
      <c r="CQY11" s="120"/>
      <c r="CQZ11" s="120"/>
      <c r="CRA11" s="120"/>
      <c r="CRB11" s="120"/>
      <c r="CRC11" s="120"/>
      <c r="CRD11" s="120"/>
      <c r="CRE11" s="120"/>
      <c r="CRF11" s="120"/>
      <c r="CRG11" s="120"/>
      <c r="CRH11" s="120"/>
      <c r="CRI11" s="120"/>
      <c r="CRJ11" s="120"/>
      <c r="CRK11" s="120"/>
      <c r="CRL11" s="120"/>
      <c r="CRM11" s="120"/>
      <c r="CRN11" s="120"/>
      <c r="CRO11" s="120"/>
      <c r="CRP11" s="120"/>
      <c r="CRQ11" s="120"/>
      <c r="CRR11" s="120"/>
      <c r="CRS11" s="120"/>
      <c r="CRT11" s="120"/>
      <c r="CRU11" s="120"/>
      <c r="CRV11" s="120"/>
      <c r="CRW11" s="120"/>
      <c r="CRX11" s="120"/>
      <c r="CRY11" s="120"/>
      <c r="CRZ11" s="120"/>
      <c r="CSA11" s="120"/>
      <c r="CSB11" s="120"/>
      <c r="CSC11" s="120"/>
      <c r="CSD11" s="120"/>
      <c r="CSE11" s="120"/>
      <c r="CSF11" s="120"/>
      <c r="CSG11" s="120"/>
      <c r="CSH11" s="120"/>
      <c r="CSI11" s="120"/>
      <c r="CSJ11" s="120"/>
      <c r="CSK11" s="120"/>
      <c r="CSL11" s="120"/>
      <c r="CSM11" s="120"/>
      <c r="CSN11" s="120"/>
      <c r="CSO11" s="120"/>
      <c r="CSP11" s="120"/>
      <c r="CSQ11" s="120"/>
      <c r="CSR11" s="120"/>
      <c r="CSS11" s="120"/>
      <c r="CST11" s="120"/>
      <c r="CSU11" s="120"/>
      <c r="CSV11" s="120"/>
      <c r="CSW11" s="120"/>
      <c r="CSX11" s="120"/>
      <c r="CSY11" s="120"/>
      <c r="CSZ11" s="120"/>
      <c r="CTA11" s="120"/>
      <c r="CTB11" s="120"/>
      <c r="CTC11" s="120"/>
      <c r="CTD11" s="120"/>
      <c r="CTE11" s="120"/>
      <c r="CTF11" s="120"/>
      <c r="CTG11" s="120"/>
      <c r="CTH11" s="120"/>
      <c r="CTI11" s="120"/>
      <c r="CTJ11" s="120"/>
      <c r="CTK11" s="120"/>
      <c r="CTL11" s="120"/>
      <c r="CTM11" s="120"/>
      <c r="CTN11" s="120"/>
      <c r="CTO11" s="120"/>
      <c r="CTP11" s="120"/>
      <c r="CTQ11" s="120"/>
      <c r="CTR11" s="120"/>
      <c r="CTS11" s="120"/>
      <c r="CTT11" s="120"/>
      <c r="CTU11" s="120"/>
      <c r="CTV11" s="120"/>
      <c r="CTW11" s="120"/>
      <c r="CTX11" s="120"/>
      <c r="CTY11" s="120"/>
      <c r="CTZ11" s="120"/>
      <c r="CUA11" s="120"/>
      <c r="CUB11" s="120"/>
      <c r="CUC11" s="120"/>
      <c r="CUD11" s="120"/>
      <c r="CUE11" s="120"/>
      <c r="CUF11" s="120"/>
      <c r="CUG11" s="120"/>
      <c r="CUH11" s="120"/>
      <c r="CUI11" s="120"/>
      <c r="CUJ11" s="120"/>
      <c r="CUK11" s="120"/>
      <c r="CUL11" s="120"/>
      <c r="CUM11" s="120"/>
      <c r="CUN11" s="120"/>
      <c r="CUO11" s="120"/>
      <c r="CUP11" s="120"/>
      <c r="CUQ11" s="120"/>
      <c r="CUR11" s="120"/>
      <c r="CUS11" s="120"/>
      <c r="CUT11" s="120"/>
      <c r="CUU11" s="120"/>
      <c r="CUV11" s="120"/>
      <c r="CUW11" s="120"/>
      <c r="CUX11" s="120"/>
      <c r="CUY11" s="120"/>
      <c r="CUZ11" s="120"/>
      <c r="CVA11" s="120"/>
      <c r="CVB11" s="120"/>
      <c r="CVC11" s="120"/>
      <c r="CVD11" s="120"/>
      <c r="CVE11" s="120"/>
      <c r="CVF11" s="120"/>
      <c r="CVG11" s="120"/>
      <c r="CVH11" s="120"/>
      <c r="CVI11" s="120"/>
      <c r="CVJ11" s="120"/>
      <c r="CVK11" s="120"/>
      <c r="CVL11" s="120"/>
      <c r="CVM11" s="120"/>
      <c r="CVN11" s="120"/>
      <c r="CVO11" s="120"/>
      <c r="CVP11" s="120"/>
      <c r="CVQ11" s="120"/>
      <c r="CVR11" s="120"/>
      <c r="CVS11" s="120"/>
      <c r="CVT11" s="120"/>
      <c r="CVU11" s="120"/>
      <c r="CVV11" s="120"/>
      <c r="CVW11" s="120"/>
      <c r="CVX11" s="120"/>
      <c r="CVY11" s="120"/>
      <c r="CVZ11" s="120"/>
      <c r="CWA11" s="120"/>
      <c r="CWB11" s="120"/>
      <c r="CWC11" s="120"/>
      <c r="CWD11" s="120"/>
      <c r="CWE11" s="120"/>
      <c r="CWF11" s="120"/>
      <c r="CWG11" s="120"/>
      <c r="CWH11" s="120"/>
      <c r="CWI11" s="120"/>
      <c r="CWJ11" s="120"/>
      <c r="CWK11" s="120"/>
      <c r="CWL11" s="120"/>
      <c r="CWM11" s="120"/>
      <c r="CWN11" s="120"/>
      <c r="CWO11" s="120"/>
      <c r="CWP11" s="120"/>
      <c r="CWQ11" s="120"/>
      <c r="CWR11" s="120"/>
      <c r="CWS11" s="120"/>
      <c r="CWT11" s="120"/>
      <c r="CWU11" s="120"/>
      <c r="CWV11" s="120"/>
      <c r="CWW11" s="120"/>
      <c r="CWX11" s="120"/>
      <c r="CWY11" s="120"/>
      <c r="CWZ11" s="120"/>
      <c r="CXA11" s="120"/>
      <c r="CXB11" s="120"/>
      <c r="CXC11" s="120"/>
      <c r="CXD11" s="120"/>
      <c r="CXE11" s="120"/>
      <c r="CXF11" s="120"/>
      <c r="CXG11" s="120"/>
      <c r="CXH11" s="120"/>
      <c r="CXI11" s="120"/>
      <c r="CXJ11" s="120"/>
      <c r="CXK11" s="120"/>
      <c r="CXL11" s="120"/>
      <c r="CXM11" s="120"/>
      <c r="CXN11" s="120"/>
      <c r="CXO11" s="120"/>
      <c r="CXP11" s="120"/>
      <c r="CXQ11" s="120"/>
      <c r="CXR11" s="120"/>
      <c r="CXS11" s="120"/>
      <c r="CXT11" s="120"/>
      <c r="CXU11" s="120"/>
      <c r="CXV11" s="120"/>
      <c r="CXW11" s="120"/>
      <c r="CXX11" s="120"/>
      <c r="CXY11" s="120"/>
      <c r="CXZ11" s="120"/>
      <c r="CYA11" s="120"/>
      <c r="CYB11" s="120"/>
      <c r="CYC11" s="120"/>
      <c r="CYD11" s="120"/>
      <c r="CYE11" s="120"/>
      <c r="CYF11" s="120"/>
      <c r="CYG11" s="120"/>
      <c r="CYH11" s="120"/>
      <c r="CYI11" s="120"/>
      <c r="CYJ11" s="120"/>
      <c r="CYK11" s="120"/>
      <c r="CYL11" s="120"/>
      <c r="CYM11" s="120"/>
      <c r="CYN11" s="120"/>
      <c r="CYO11" s="120"/>
      <c r="CYP11" s="120"/>
      <c r="CYQ11" s="120"/>
      <c r="CYR11" s="120"/>
      <c r="CYS11" s="120"/>
      <c r="CYT11" s="120"/>
      <c r="CYU11" s="120"/>
      <c r="CYV11" s="120"/>
      <c r="CYW11" s="120"/>
      <c r="CYX11" s="120"/>
      <c r="CYY11" s="120"/>
      <c r="CYZ11" s="120"/>
      <c r="CZA11" s="120"/>
      <c r="CZB11" s="120"/>
      <c r="CZC11" s="120"/>
      <c r="CZD11" s="120"/>
      <c r="CZE11" s="120"/>
      <c r="CZF11" s="120"/>
      <c r="CZG11" s="120"/>
      <c r="CZH11" s="120"/>
      <c r="CZI11" s="120"/>
      <c r="CZJ11" s="120"/>
      <c r="CZK11" s="120"/>
      <c r="CZL11" s="120"/>
      <c r="CZM11" s="120"/>
      <c r="CZN11" s="120"/>
      <c r="CZO11" s="120"/>
      <c r="CZP11" s="120"/>
      <c r="CZQ11" s="120"/>
      <c r="CZR11" s="120"/>
      <c r="CZS11" s="120"/>
      <c r="CZT11" s="120"/>
      <c r="CZU11" s="120"/>
      <c r="CZV11" s="120"/>
      <c r="CZW11" s="120"/>
      <c r="CZX11" s="120"/>
      <c r="CZY11" s="120"/>
      <c r="CZZ11" s="120"/>
      <c r="DAA11" s="120"/>
      <c r="DAB11" s="120"/>
      <c r="DAC11" s="120"/>
      <c r="DAD11" s="120"/>
      <c r="DAE11" s="120"/>
      <c r="DAF11" s="120"/>
      <c r="DAG11" s="120"/>
      <c r="DAH11" s="120"/>
      <c r="DAI11" s="120"/>
      <c r="DAJ11" s="120"/>
      <c r="DAK11" s="120"/>
      <c r="DAL11" s="120"/>
      <c r="DAM11" s="120"/>
      <c r="DAN11" s="120"/>
      <c r="DAO11" s="120"/>
      <c r="DAP11" s="120"/>
      <c r="DAQ11" s="120"/>
      <c r="DAR11" s="120"/>
      <c r="DAS11" s="120"/>
      <c r="DAT11" s="120"/>
      <c r="DAU11" s="120"/>
      <c r="DAV11" s="120"/>
      <c r="DAW11" s="120"/>
      <c r="DAX11" s="120"/>
      <c r="DAY11" s="120"/>
      <c r="DAZ11" s="120"/>
      <c r="DBA11" s="120"/>
      <c r="DBB11" s="120"/>
      <c r="DBC11" s="120"/>
      <c r="DBD11" s="120"/>
      <c r="DBE11" s="120"/>
      <c r="DBF11" s="120"/>
      <c r="DBG11" s="120"/>
      <c r="DBH11" s="120"/>
      <c r="DBI11" s="120"/>
      <c r="DBJ11" s="120"/>
      <c r="DBK11" s="120"/>
      <c r="DBL11" s="120"/>
      <c r="DBM11" s="120"/>
      <c r="DBN11" s="120"/>
      <c r="DBO11" s="120"/>
      <c r="DBP11" s="120"/>
      <c r="DBQ11" s="120"/>
      <c r="DBR11" s="120"/>
      <c r="DBS11" s="120"/>
      <c r="DBT11" s="120"/>
      <c r="DBU11" s="120"/>
      <c r="DBV11" s="120"/>
      <c r="DBW11" s="120"/>
      <c r="DBX11" s="120"/>
      <c r="DBY11" s="120"/>
      <c r="DBZ11" s="120"/>
      <c r="DCA11" s="120"/>
      <c r="DCB11" s="120"/>
      <c r="DCC11" s="120"/>
      <c r="DCD11" s="120"/>
      <c r="DCE11" s="120"/>
      <c r="DCF11" s="120"/>
      <c r="DCG11" s="120"/>
      <c r="DCH11" s="120"/>
      <c r="DCI11" s="120"/>
      <c r="DCJ11" s="120"/>
      <c r="DCK11" s="120"/>
      <c r="DCL11" s="120"/>
      <c r="DCM11" s="120"/>
      <c r="DCN11" s="120"/>
      <c r="DCO11" s="120"/>
      <c r="DCP11" s="120"/>
      <c r="DCQ11" s="120"/>
      <c r="DCR11" s="120"/>
      <c r="DCS11" s="120"/>
      <c r="DCT11" s="120"/>
      <c r="DCU11" s="120"/>
      <c r="DCV11" s="120"/>
      <c r="DCW11" s="120"/>
      <c r="DCX11" s="120"/>
      <c r="DCY11" s="120"/>
      <c r="DCZ11" s="120"/>
      <c r="DDA11" s="120"/>
      <c r="DDB11" s="120"/>
      <c r="DDC11" s="120"/>
      <c r="DDD11" s="120"/>
      <c r="DDE11" s="120"/>
      <c r="DDF11" s="120"/>
      <c r="DDG11" s="120"/>
      <c r="DDH11" s="120"/>
      <c r="DDI11" s="120"/>
      <c r="DDJ11" s="120"/>
      <c r="DDK11" s="120"/>
      <c r="DDL11" s="120"/>
      <c r="DDM11" s="120"/>
      <c r="DDN11" s="120"/>
      <c r="DDO11" s="120"/>
      <c r="DDP11" s="120"/>
      <c r="DDQ11" s="120"/>
      <c r="DDR11" s="120"/>
      <c r="DDS11" s="120"/>
      <c r="DDT11" s="120"/>
      <c r="DDU11" s="120"/>
      <c r="DDV11" s="120"/>
      <c r="DDW11" s="120"/>
      <c r="DDX11" s="120"/>
      <c r="DDY11" s="120"/>
      <c r="DDZ11" s="120"/>
      <c r="DEA11" s="120"/>
      <c r="DEB11" s="120"/>
      <c r="DEC11" s="120"/>
      <c r="DED11" s="120"/>
      <c r="DEE11" s="120"/>
      <c r="DEF11" s="120"/>
      <c r="DEG11" s="120"/>
      <c r="DEH11" s="120"/>
      <c r="DEI11" s="120"/>
      <c r="DEJ11" s="120"/>
      <c r="DEK11" s="120"/>
      <c r="DEL11" s="120"/>
      <c r="DEM11" s="120"/>
      <c r="DEN11" s="120"/>
      <c r="DEO11" s="120"/>
      <c r="DEP11" s="120"/>
      <c r="DEQ11" s="120"/>
      <c r="DER11" s="120"/>
      <c r="DES11" s="120"/>
      <c r="DET11" s="120"/>
      <c r="DEU11" s="120"/>
      <c r="DEV11" s="120"/>
      <c r="DEW11" s="120"/>
      <c r="DEX11" s="120"/>
      <c r="DEY11" s="120"/>
      <c r="DEZ11" s="120"/>
      <c r="DFA11" s="120"/>
      <c r="DFB11" s="120"/>
      <c r="DFC11" s="120"/>
      <c r="DFD11" s="120"/>
      <c r="DFE11" s="120"/>
      <c r="DFF11" s="120"/>
      <c r="DFG11" s="120"/>
      <c r="DFH11" s="120"/>
      <c r="DFI11" s="120"/>
      <c r="DFJ11" s="120"/>
      <c r="DFK11" s="120"/>
      <c r="DFL11" s="120"/>
      <c r="DFM11" s="120"/>
      <c r="DFN11" s="120"/>
      <c r="DFO11" s="120"/>
      <c r="DFP11" s="120"/>
      <c r="DFQ11" s="120"/>
      <c r="DFR11" s="120"/>
      <c r="DFS11" s="120"/>
      <c r="DFT11" s="120"/>
      <c r="DFU11" s="120"/>
      <c r="DFV11" s="120"/>
      <c r="DFW11" s="120"/>
      <c r="DFX11" s="120"/>
      <c r="DFY11" s="120"/>
      <c r="DFZ11" s="120"/>
      <c r="DGA11" s="120"/>
      <c r="DGB11" s="120"/>
      <c r="DGC11" s="120"/>
      <c r="DGD11" s="120"/>
      <c r="DGE11" s="120"/>
      <c r="DGF11" s="120"/>
      <c r="DGG11" s="120"/>
      <c r="DGH11" s="120"/>
      <c r="DGI11" s="120"/>
      <c r="DGJ11" s="120"/>
      <c r="DGK11" s="120"/>
      <c r="DGL11" s="120"/>
      <c r="DGM11" s="120"/>
      <c r="DGN11" s="120"/>
      <c r="DGO11" s="120"/>
      <c r="DGP11" s="120"/>
      <c r="DGQ11" s="120"/>
      <c r="DGR11" s="120"/>
      <c r="DGS11" s="120"/>
      <c r="DGT11" s="120"/>
      <c r="DGU11" s="120"/>
      <c r="DGV11" s="120"/>
      <c r="DGW11" s="120"/>
      <c r="DGX11" s="120"/>
      <c r="DGY11" s="120"/>
      <c r="DGZ11" s="120"/>
      <c r="DHA11" s="120"/>
      <c r="DHB11" s="120"/>
      <c r="DHC11" s="120"/>
      <c r="DHD11" s="120"/>
      <c r="DHE11" s="120"/>
      <c r="DHF11" s="120"/>
      <c r="DHG11" s="120"/>
      <c r="DHH11" s="120"/>
      <c r="DHI11" s="120"/>
      <c r="DHJ11" s="120"/>
      <c r="DHK11" s="120"/>
      <c r="DHL11" s="120"/>
      <c r="DHM11" s="120"/>
      <c r="DHN11" s="120"/>
      <c r="DHO11" s="120"/>
      <c r="DHP11" s="120"/>
      <c r="DHQ11" s="120"/>
      <c r="DHR11" s="120"/>
      <c r="DHS11" s="120"/>
      <c r="DHT11" s="120"/>
      <c r="DHU11" s="120"/>
      <c r="DHV11" s="120"/>
      <c r="DHW11" s="120"/>
      <c r="DHX11" s="120"/>
      <c r="DHY11" s="120"/>
      <c r="DHZ11" s="120"/>
      <c r="DIA11" s="120"/>
      <c r="DIB11" s="120"/>
      <c r="DIC11" s="120"/>
      <c r="DID11" s="120"/>
      <c r="DIE11" s="120"/>
      <c r="DIF11" s="120"/>
      <c r="DIG11" s="120"/>
      <c r="DIH11" s="120"/>
      <c r="DII11" s="120"/>
      <c r="DIJ11" s="120"/>
      <c r="DIK11" s="120"/>
      <c r="DIL11" s="120"/>
      <c r="DIM11" s="120"/>
      <c r="DIN11" s="120"/>
      <c r="DIO11" s="120"/>
      <c r="DIP11" s="120"/>
      <c r="DIQ11" s="120"/>
      <c r="DIR11" s="120"/>
      <c r="DIS11" s="120"/>
      <c r="DIT11" s="120"/>
      <c r="DIU11" s="120"/>
      <c r="DIV11" s="120"/>
      <c r="DIW11" s="120"/>
      <c r="DIX11" s="120"/>
      <c r="DIY11" s="120"/>
      <c r="DIZ11" s="120"/>
      <c r="DJA11" s="120"/>
      <c r="DJB11" s="120"/>
      <c r="DJC11" s="120"/>
      <c r="DJD11" s="120"/>
      <c r="DJE11" s="120"/>
      <c r="DJF11" s="120"/>
      <c r="DJG11" s="120"/>
      <c r="DJH11" s="120"/>
      <c r="DJI11" s="120"/>
      <c r="DJJ11" s="120"/>
      <c r="DJK11" s="120"/>
      <c r="DJL11" s="120"/>
      <c r="DJM11" s="120"/>
      <c r="DJN11" s="120"/>
      <c r="DJO11" s="120"/>
      <c r="DJP11" s="120"/>
      <c r="DJQ11" s="120"/>
      <c r="DJR11" s="120"/>
      <c r="DJS11" s="120"/>
      <c r="DJT11" s="120"/>
      <c r="DJU11" s="120"/>
      <c r="DJV11" s="120"/>
      <c r="DJW11" s="120"/>
      <c r="DJX11" s="120"/>
      <c r="DJY11" s="120"/>
      <c r="DJZ11" s="120"/>
      <c r="DKA11" s="120"/>
      <c r="DKB11" s="120"/>
      <c r="DKC11" s="120"/>
      <c r="DKD11" s="120"/>
      <c r="DKE11" s="120"/>
      <c r="DKF11" s="120"/>
      <c r="DKG11" s="120"/>
      <c r="DKH11" s="120"/>
      <c r="DKI11" s="120"/>
      <c r="DKJ11" s="120"/>
      <c r="DKK11" s="120"/>
      <c r="DKL11" s="120"/>
      <c r="DKM11" s="120"/>
      <c r="DKN11" s="120"/>
      <c r="DKO11" s="120"/>
      <c r="DKP11" s="120"/>
      <c r="DKQ11" s="120"/>
      <c r="DKR11" s="120"/>
      <c r="DKS11" s="120"/>
      <c r="DKT11" s="120"/>
      <c r="DKU11" s="120"/>
      <c r="DKV11" s="120"/>
      <c r="DKW11" s="120"/>
      <c r="DKX11" s="120"/>
      <c r="DKY11" s="120"/>
      <c r="DKZ11" s="120"/>
      <c r="DLA11" s="120"/>
      <c r="DLB11" s="120"/>
      <c r="DLC11" s="120"/>
      <c r="DLD11" s="120"/>
      <c r="DLE11" s="120"/>
      <c r="DLF11" s="120"/>
      <c r="DLG11" s="120"/>
      <c r="DLH11" s="120"/>
      <c r="DLI11" s="120"/>
      <c r="DLJ11" s="120"/>
      <c r="DLK11" s="120"/>
      <c r="DLL11" s="120"/>
      <c r="DLM11" s="120"/>
      <c r="DLN11" s="120"/>
      <c r="DLO11" s="120"/>
      <c r="DLP11" s="120"/>
      <c r="DLQ11" s="120"/>
      <c r="DLR11" s="120"/>
      <c r="DLS11" s="120"/>
      <c r="DLT11" s="120"/>
      <c r="DLU11" s="120"/>
      <c r="DLV11" s="120"/>
      <c r="DLW11" s="120"/>
      <c r="DLX11" s="120"/>
      <c r="DLY11" s="120"/>
      <c r="DLZ11" s="120"/>
      <c r="DMA11" s="120"/>
      <c r="DMB11" s="120"/>
      <c r="DMC11" s="120"/>
      <c r="DMD11" s="120"/>
      <c r="DME11" s="120"/>
      <c r="DMF11" s="120"/>
      <c r="DMG11" s="120"/>
      <c r="DMH11" s="120"/>
      <c r="DMI11" s="120"/>
      <c r="DMJ11" s="120"/>
      <c r="DMK11" s="120"/>
      <c r="DML11" s="120"/>
      <c r="DMM11" s="120"/>
      <c r="DMN11" s="120"/>
      <c r="DMO11" s="120"/>
      <c r="DMP11" s="120"/>
      <c r="DMQ11" s="120"/>
      <c r="DMR11" s="120"/>
      <c r="DMS11" s="120"/>
      <c r="DMT11" s="120"/>
      <c r="DMU11" s="120"/>
      <c r="DMV11" s="120"/>
      <c r="DMW11" s="120"/>
      <c r="DMX11" s="120"/>
      <c r="DMY11" s="120"/>
      <c r="DMZ11" s="120"/>
      <c r="DNA11" s="120"/>
      <c r="DNB11" s="120"/>
      <c r="DNC11" s="120"/>
      <c r="DND11" s="120"/>
      <c r="DNE11" s="120"/>
      <c r="DNF11" s="120"/>
      <c r="DNG11" s="120"/>
      <c r="DNH11" s="120"/>
      <c r="DNI11" s="120"/>
      <c r="DNJ11" s="120"/>
      <c r="DNK11" s="120"/>
      <c r="DNL11" s="120"/>
      <c r="DNM11" s="120"/>
      <c r="DNN11" s="120"/>
      <c r="DNO11" s="120"/>
      <c r="DNP11" s="120"/>
      <c r="DNQ11" s="120"/>
      <c r="DNR11" s="120"/>
      <c r="DNS11" s="120"/>
      <c r="DNT11" s="120"/>
      <c r="DNU11" s="120"/>
      <c r="DNV11" s="120"/>
      <c r="DNW11" s="120"/>
      <c r="DNX11" s="120"/>
      <c r="DNY11" s="120"/>
      <c r="DNZ11" s="120"/>
      <c r="DOA11" s="120"/>
      <c r="DOB11" s="120"/>
      <c r="DOC11" s="120"/>
      <c r="DOD11" s="120"/>
      <c r="DOE11" s="120"/>
      <c r="DOF11" s="120"/>
      <c r="DOG11" s="120"/>
      <c r="DOH11" s="120"/>
      <c r="DOI11" s="120"/>
      <c r="DOJ11" s="120"/>
      <c r="DOK11" s="120"/>
      <c r="DOL11" s="120"/>
      <c r="DOM11" s="120"/>
      <c r="DON11" s="120"/>
      <c r="DOO11" s="120"/>
      <c r="DOP11" s="120"/>
      <c r="DOQ11" s="120"/>
      <c r="DOR11" s="120"/>
      <c r="DOS11" s="120"/>
      <c r="DOT11" s="120"/>
      <c r="DOU11" s="120"/>
      <c r="DOV11" s="120"/>
      <c r="DOW11" s="120"/>
      <c r="DOX11" s="120"/>
      <c r="DOY11" s="120"/>
      <c r="DOZ11" s="120"/>
      <c r="DPA11" s="120"/>
      <c r="DPB11" s="120"/>
      <c r="DPC11" s="120"/>
      <c r="DPD11" s="120"/>
      <c r="DPE11" s="120"/>
      <c r="DPF11" s="120"/>
      <c r="DPG11" s="120"/>
      <c r="DPH11" s="120"/>
      <c r="DPI11" s="120"/>
      <c r="DPJ11" s="120"/>
      <c r="DPK11" s="120"/>
      <c r="DPL11" s="120"/>
      <c r="DPM11" s="120"/>
      <c r="DPN11" s="120"/>
      <c r="DPO11" s="120"/>
      <c r="DPP11" s="120"/>
      <c r="DPQ11" s="120"/>
      <c r="DPR11" s="120"/>
      <c r="DPS11" s="120"/>
      <c r="DPT11" s="120"/>
      <c r="DPU11" s="120"/>
      <c r="DPV11" s="120"/>
      <c r="DPW11" s="120"/>
      <c r="DPX11" s="120"/>
      <c r="DPY11" s="120"/>
      <c r="DPZ11" s="120"/>
      <c r="DQA11" s="120"/>
      <c r="DQB11" s="120"/>
      <c r="DQC11" s="120"/>
      <c r="DQD11" s="120"/>
      <c r="DQE11" s="120"/>
      <c r="DQF11" s="120"/>
      <c r="DQG11" s="120"/>
      <c r="DQH11" s="120"/>
      <c r="DQI11" s="120"/>
      <c r="DQJ11" s="120"/>
      <c r="DQK11" s="120"/>
      <c r="DQL11" s="120"/>
      <c r="DQM11" s="120"/>
      <c r="DQN11" s="120"/>
      <c r="DQO11" s="120"/>
      <c r="DQP11" s="120"/>
      <c r="DQQ11" s="120"/>
      <c r="DQR11" s="120"/>
      <c r="DQS11" s="120"/>
      <c r="DQT11" s="120"/>
      <c r="DQU11" s="120"/>
      <c r="DQV11" s="120"/>
      <c r="DQW11" s="120"/>
      <c r="DQX11" s="120"/>
      <c r="DQY11" s="120"/>
      <c r="DQZ11" s="120"/>
      <c r="DRA11" s="120"/>
      <c r="DRB11" s="120"/>
      <c r="DRC11" s="120"/>
      <c r="DRD11" s="120"/>
      <c r="DRE11" s="120"/>
      <c r="DRF11" s="120"/>
      <c r="DRG11" s="120"/>
      <c r="DRH11" s="120"/>
      <c r="DRI11" s="120"/>
      <c r="DRJ11" s="120"/>
      <c r="DRK11" s="120"/>
      <c r="DRL11" s="120"/>
      <c r="DRM11" s="120"/>
      <c r="DRN11" s="120"/>
      <c r="DRO11" s="120"/>
      <c r="DRP11" s="120"/>
      <c r="DRQ11" s="120"/>
      <c r="DRR11" s="120"/>
      <c r="DRS11" s="120"/>
      <c r="DRT11" s="120"/>
      <c r="DRU11" s="120"/>
      <c r="DRV11" s="120"/>
      <c r="DRW11" s="120"/>
      <c r="DRX11" s="120"/>
      <c r="DRY11" s="120"/>
      <c r="DRZ11" s="120"/>
      <c r="DSA11" s="120"/>
      <c r="DSB11" s="120"/>
      <c r="DSC11" s="120"/>
      <c r="DSD11" s="120"/>
      <c r="DSE11" s="120"/>
      <c r="DSF11" s="120"/>
      <c r="DSG11" s="120"/>
      <c r="DSH11" s="120"/>
      <c r="DSI11" s="120"/>
      <c r="DSJ11" s="120"/>
      <c r="DSK11" s="120"/>
      <c r="DSL11" s="120"/>
      <c r="DSM11" s="120"/>
      <c r="DSN11" s="120"/>
      <c r="DSO11" s="120"/>
      <c r="DSP11" s="120"/>
      <c r="DSQ11" s="120"/>
      <c r="DSR11" s="120"/>
      <c r="DSS11" s="120"/>
      <c r="DST11" s="120"/>
      <c r="DSU11" s="120"/>
      <c r="DSV11" s="120"/>
      <c r="DSW11" s="120"/>
      <c r="DSX11" s="120"/>
      <c r="DSY11" s="120"/>
      <c r="DSZ11" s="120"/>
      <c r="DTA11" s="120"/>
      <c r="DTB11" s="120"/>
      <c r="DTC11" s="120"/>
      <c r="DTD11" s="120"/>
      <c r="DTE11" s="120"/>
      <c r="DTF11" s="120"/>
      <c r="DTG11" s="120"/>
      <c r="DTH11" s="120"/>
      <c r="DTI11" s="120"/>
      <c r="DTJ11" s="120"/>
      <c r="DTK11" s="120"/>
      <c r="DTL11" s="120"/>
      <c r="DTM11" s="120"/>
      <c r="DTN11" s="120"/>
      <c r="DTO11" s="120"/>
      <c r="DTP11" s="120"/>
      <c r="DTQ11" s="120"/>
      <c r="DTR11" s="120"/>
      <c r="DTS11" s="120"/>
      <c r="DTT11" s="120"/>
      <c r="DTU11" s="120"/>
      <c r="DTV11" s="120"/>
      <c r="DTW11" s="120"/>
      <c r="DTX11" s="120"/>
      <c r="DTY11" s="120"/>
      <c r="DTZ11" s="120"/>
      <c r="DUA11" s="120"/>
      <c r="DUB11" s="120"/>
      <c r="DUC11" s="120"/>
      <c r="DUD11" s="120"/>
      <c r="DUE11" s="120"/>
      <c r="DUF11" s="120"/>
      <c r="DUG11" s="120"/>
      <c r="DUH11" s="120"/>
      <c r="DUI11" s="120"/>
      <c r="DUJ11" s="120"/>
      <c r="DUK11" s="120"/>
      <c r="DUL11" s="120"/>
      <c r="DUM11" s="120"/>
      <c r="DUN11" s="120"/>
      <c r="DUO11" s="120"/>
      <c r="DUP11" s="120"/>
      <c r="DUQ11" s="120"/>
      <c r="DUR11" s="120"/>
      <c r="DUS11" s="120"/>
      <c r="DUT11" s="120"/>
      <c r="DUU11" s="120"/>
      <c r="DUV11" s="120"/>
      <c r="DUW11" s="120"/>
      <c r="DUX11" s="120"/>
      <c r="DUY11" s="120"/>
      <c r="DUZ11" s="120"/>
      <c r="DVA11" s="120"/>
      <c r="DVB11" s="120"/>
      <c r="DVC11" s="120"/>
      <c r="DVD11" s="120"/>
      <c r="DVE11" s="120"/>
      <c r="DVF11" s="120"/>
      <c r="DVG11" s="120"/>
      <c r="DVH11" s="120"/>
      <c r="DVI11" s="120"/>
      <c r="DVJ11" s="120"/>
      <c r="DVK11" s="120"/>
      <c r="DVL11" s="120"/>
      <c r="DVM11" s="120"/>
      <c r="DVN11" s="120"/>
      <c r="DVO11" s="120"/>
      <c r="DVP11" s="120"/>
      <c r="DVQ11" s="120"/>
      <c r="DVR11" s="120"/>
      <c r="DVS11" s="120"/>
      <c r="DVT11" s="120"/>
      <c r="DVU11" s="120"/>
      <c r="DVV11" s="120"/>
      <c r="DVW11" s="120"/>
      <c r="DVX11" s="120"/>
      <c r="DVY11" s="120"/>
      <c r="DVZ11" s="120"/>
      <c r="DWA11" s="120"/>
      <c r="DWB11" s="120"/>
      <c r="DWC11" s="120"/>
      <c r="DWD11" s="120"/>
      <c r="DWE11" s="120"/>
      <c r="DWF11" s="120"/>
      <c r="DWG11" s="120"/>
      <c r="DWH11" s="120"/>
      <c r="DWI11" s="120"/>
      <c r="DWJ11" s="120"/>
      <c r="DWK11" s="120"/>
      <c r="DWL11" s="120"/>
      <c r="DWM11" s="120"/>
      <c r="DWN11" s="120"/>
      <c r="DWO11" s="120"/>
      <c r="DWP11" s="120"/>
      <c r="DWQ11" s="120"/>
      <c r="DWR11" s="120"/>
      <c r="DWS11" s="120"/>
      <c r="DWT11" s="120"/>
      <c r="DWU11" s="120"/>
      <c r="DWV11" s="120"/>
      <c r="DWW11" s="120"/>
      <c r="DWX11" s="120"/>
      <c r="DWY11" s="120"/>
      <c r="DWZ11" s="120"/>
      <c r="DXA11" s="120"/>
      <c r="DXB11" s="120"/>
      <c r="DXC11" s="120"/>
      <c r="DXD11" s="120"/>
      <c r="DXE11" s="120"/>
      <c r="DXF11" s="120"/>
      <c r="DXG11" s="120"/>
      <c r="DXH11" s="120"/>
      <c r="DXI11" s="120"/>
      <c r="DXJ11" s="120"/>
      <c r="DXK11" s="120"/>
      <c r="DXL11" s="120"/>
      <c r="DXM11" s="120"/>
      <c r="DXN11" s="120"/>
      <c r="DXO11" s="120"/>
      <c r="DXP11" s="120"/>
      <c r="DXQ11" s="120"/>
      <c r="DXR11" s="120"/>
      <c r="DXS11" s="120"/>
      <c r="DXT11" s="120"/>
      <c r="DXU11" s="120"/>
      <c r="DXV11" s="120"/>
      <c r="DXW11" s="120"/>
      <c r="DXX11" s="120"/>
      <c r="DXY11" s="120"/>
      <c r="DXZ11" s="120"/>
      <c r="DYA11" s="120"/>
      <c r="DYB11" s="120"/>
      <c r="DYC11" s="120"/>
      <c r="DYD11" s="120"/>
      <c r="DYE11" s="120"/>
      <c r="DYF11" s="120"/>
      <c r="DYG11" s="120"/>
      <c r="DYH11" s="120"/>
      <c r="DYI11" s="120"/>
      <c r="DYJ11" s="120"/>
      <c r="DYK11" s="120"/>
      <c r="DYL11" s="120"/>
      <c r="DYM11" s="120"/>
      <c r="DYN11" s="120"/>
      <c r="DYO11" s="120"/>
      <c r="DYP11" s="120"/>
      <c r="DYQ11" s="120"/>
      <c r="DYR11" s="120"/>
      <c r="DYS11" s="120"/>
      <c r="DYT11" s="120"/>
      <c r="DYU11" s="120"/>
      <c r="DYV11" s="120"/>
      <c r="DYW11" s="120"/>
      <c r="DYX11" s="120"/>
      <c r="DYY11" s="120"/>
      <c r="DYZ11" s="120"/>
      <c r="DZA11" s="120"/>
      <c r="DZB11" s="120"/>
      <c r="DZC11" s="120"/>
      <c r="DZD11" s="120"/>
      <c r="DZE11" s="120"/>
      <c r="DZF11" s="120"/>
      <c r="DZG11" s="120"/>
      <c r="DZH11" s="120"/>
      <c r="DZI11" s="120"/>
      <c r="DZJ11" s="120"/>
      <c r="DZK11" s="120"/>
      <c r="DZL11" s="120"/>
      <c r="DZM11" s="120"/>
      <c r="DZN11" s="120"/>
      <c r="DZO11" s="120"/>
      <c r="DZP11" s="120"/>
      <c r="DZQ11" s="120"/>
      <c r="DZR11" s="120"/>
      <c r="DZS11" s="120"/>
      <c r="DZT11" s="120"/>
      <c r="DZU11" s="120"/>
      <c r="DZV11" s="120"/>
      <c r="DZW11" s="120"/>
      <c r="DZX11" s="120"/>
      <c r="DZY11" s="120"/>
      <c r="DZZ11" s="120"/>
      <c r="EAA11" s="120"/>
      <c r="EAB11" s="120"/>
      <c r="EAC11" s="120"/>
      <c r="EAD11" s="120"/>
      <c r="EAE11" s="120"/>
      <c r="EAF11" s="120"/>
      <c r="EAG11" s="120"/>
      <c r="EAH11" s="120"/>
      <c r="EAI11" s="120"/>
      <c r="EAJ11" s="120"/>
      <c r="EAK11" s="120"/>
      <c r="EAL11" s="120"/>
      <c r="EAM11" s="120"/>
      <c r="EAN11" s="120"/>
      <c r="EAO11" s="120"/>
      <c r="EAP11" s="120"/>
      <c r="EAQ11" s="120"/>
      <c r="EAR11" s="120"/>
      <c r="EAS11" s="120"/>
      <c r="EAT11" s="120"/>
      <c r="EAU11" s="120"/>
      <c r="EAV11" s="120"/>
      <c r="EAW11" s="120"/>
      <c r="EAX11" s="120"/>
      <c r="EAY11" s="120"/>
      <c r="EAZ11" s="120"/>
      <c r="EBA11" s="120"/>
      <c r="EBB11" s="120"/>
      <c r="EBC11" s="120"/>
      <c r="EBD11" s="120"/>
      <c r="EBE11" s="120"/>
      <c r="EBF11" s="120"/>
      <c r="EBG11" s="120"/>
      <c r="EBH11" s="120"/>
      <c r="EBI11" s="120"/>
      <c r="EBJ11" s="120"/>
      <c r="EBK11" s="120"/>
      <c r="EBL11" s="120"/>
      <c r="EBM11" s="120"/>
      <c r="EBN11" s="120"/>
      <c r="EBO11" s="120"/>
      <c r="EBP11" s="120"/>
      <c r="EBQ11" s="120"/>
      <c r="EBR11" s="120"/>
      <c r="EBS11" s="120"/>
      <c r="EBT11" s="120"/>
      <c r="EBU11" s="120"/>
      <c r="EBV11" s="120"/>
      <c r="EBW11" s="120"/>
      <c r="EBX11" s="120"/>
      <c r="EBY11" s="120"/>
      <c r="EBZ11" s="120"/>
      <c r="ECA11" s="120"/>
      <c r="ECB11" s="120"/>
      <c r="ECC11" s="120"/>
      <c r="ECD11" s="120"/>
      <c r="ECE11" s="120"/>
      <c r="ECF11" s="120"/>
      <c r="ECG11" s="120"/>
      <c r="ECH11" s="120"/>
      <c r="ECI11" s="120"/>
      <c r="ECJ11" s="120"/>
      <c r="ECK11" s="120"/>
      <c r="ECL11" s="120"/>
      <c r="ECM11" s="120"/>
      <c r="ECN11" s="120"/>
      <c r="ECO11" s="120"/>
      <c r="ECP11" s="120"/>
      <c r="ECQ11" s="120"/>
      <c r="ECR11" s="120"/>
      <c r="ECS11" s="120"/>
      <c r="ECT11" s="120"/>
      <c r="ECU11" s="120"/>
      <c r="ECV11" s="120"/>
      <c r="ECW11" s="120"/>
      <c r="ECX11" s="120"/>
      <c r="ECY11" s="120"/>
      <c r="ECZ11" s="120"/>
      <c r="EDA11" s="120"/>
      <c r="EDB11" s="120"/>
      <c r="EDC11" s="120"/>
      <c r="EDD11" s="120"/>
      <c r="EDE11" s="120"/>
      <c r="EDF11" s="120"/>
      <c r="EDG11" s="120"/>
      <c r="EDH11" s="120"/>
      <c r="EDI11" s="120"/>
      <c r="EDJ11" s="120"/>
      <c r="EDK11" s="120"/>
      <c r="EDL11" s="120"/>
      <c r="EDM11" s="120"/>
      <c r="EDN11" s="120"/>
      <c r="EDO11" s="120"/>
      <c r="EDP11" s="120"/>
      <c r="EDQ11" s="120"/>
      <c r="EDR11" s="120"/>
      <c r="EDS11" s="120"/>
      <c r="EDT11" s="120"/>
      <c r="EDU11" s="120"/>
      <c r="EDV11" s="120"/>
      <c r="EDW11" s="120"/>
      <c r="EDX11" s="120"/>
      <c r="EDY11" s="120"/>
      <c r="EDZ11" s="120"/>
      <c r="EEA11" s="120"/>
      <c r="EEB11" s="120"/>
      <c r="EEC11" s="120"/>
      <c r="EED11" s="120"/>
      <c r="EEE11" s="120"/>
      <c r="EEF11" s="120"/>
      <c r="EEG11" s="120"/>
      <c r="EEH11" s="120"/>
      <c r="EEI11" s="120"/>
      <c r="EEJ11" s="120"/>
      <c r="EEK11" s="120"/>
      <c r="EEL11" s="120"/>
      <c r="EEM11" s="120"/>
      <c r="EEN11" s="120"/>
      <c r="EEO11" s="120"/>
      <c r="EEP11" s="120"/>
      <c r="EEQ11" s="120"/>
      <c r="EER11" s="120"/>
      <c r="EES11" s="120"/>
      <c r="EET11" s="120"/>
      <c r="EEU11" s="120"/>
      <c r="EEV11" s="120"/>
      <c r="EEW11" s="120"/>
      <c r="EEX11" s="120"/>
      <c r="EEY11" s="120"/>
      <c r="EEZ11" s="120"/>
      <c r="EFA11" s="120"/>
      <c r="EFB11" s="120"/>
      <c r="EFC11" s="120"/>
      <c r="EFD11" s="120"/>
      <c r="EFE11" s="120"/>
      <c r="EFF11" s="120"/>
      <c r="EFG11" s="120"/>
      <c r="EFH11" s="120"/>
      <c r="EFI11" s="120"/>
      <c r="EFJ11" s="120"/>
      <c r="EFK11" s="120"/>
      <c r="EFL11" s="120"/>
      <c r="EFM11" s="120"/>
      <c r="EFN11" s="120"/>
      <c r="EFO11" s="120"/>
      <c r="EFP11" s="120"/>
      <c r="EFQ11" s="120"/>
      <c r="EFR11" s="120"/>
      <c r="EFS11" s="120"/>
      <c r="EFT11" s="120"/>
      <c r="EFU11" s="120"/>
      <c r="EFV11" s="120"/>
      <c r="EFW11" s="120"/>
      <c r="EFX11" s="120"/>
      <c r="EFY11" s="120"/>
      <c r="EFZ11" s="120"/>
      <c r="EGA11" s="120"/>
      <c r="EGB11" s="120"/>
      <c r="EGC11" s="120"/>
      <c r="EGD11" s="120"/>
      <c r="EGE11" s="120"/>
      <c r="EGF11" s="120"/>
      <c r="EGG11" s="120"/>
      <c r="EGH11" s="120"/>
      <c r="EGI11" s="120"/>
      <c r="EGJ11" s="120"/>
      <c r="EGK11" s="120"/>
      <c r="EGL11" s="120"/>
      <c r="EGM11" s="120"/>
      <c r="EGN11" s="120"/>
      <c r="EGO11" s="120"/>
      <c r="EGP11" s="120"/>
      <c r="EGQ11" s="120"/>
      <c r="EGR11" s="120"/>
      <c r="EGS11" s="120"/>
      <c r="EGT11" s="120"/>
      <c r="EGU11" s="120"/>
      <c r="EGV11" s="120"/>
      <c r="EGW11" s="120"/>
      <c r="EGX11" s="120"/>
      <c r="EGY11" s="120"/>
      <c r="EGZ11" s="120"/>
      <c r="EHA11" s="120"/>
      <c r="EHB11" s="120"/>
      <c r="EHC11" s="120"/>
      <c r="EHD11" s="120"/>
      <c r="EHE11" s="120"/>
      <c r="EHF11" s="120"/>
      <c r="EHG11" s="120"/>
      <c r="EHH11" s="120"/>
      <c r="EHI11" s="120"/>
      <c r="EHJ11" s="120"/>
      <c r="EHK11" s="120"/>
      <c r="EHL11" s="120"/>
      <c r="EHM11" s="120"/>
      <c r="EHN11" s="120"/>
      <c r="EHO11" s="120"/>
      <c r="EHP11" s="120"/>
      <c r="EHQ11" s="120"/>
      <c r="EHR11" s="120"/>
      <c r="EHS11" s="120"/>
      <c r="EHT11" s="120"/>
      <c r="EHU11" s="120"/>
      <c r="EHV11" s="120"/>
      <c r="EHW11" s="120"/>
      <c r="EHX11" s="120"/>
      <c r="EHY11" s="120"/>
      <c r="EHZ11" s="120"/>
      <c r="EIA11" s="120"/>
      <c r="EIB11" s="120"/>
      <c r="EIC11" s="120"/>
      <c r="EID11" s="120"/>
      <c r="EIE11" s="120"/>
      <c r="EIF11" s="120"/>
      <c r="EIG11" s="120"/>
      <c r="EIH11" s="120"/>
      <c r="EII11" s="120"/>
      <c r="EIJ11" s="120"/>
      <c r="EIK11" s="120"/>
      <c r="EIL11" s="120"/>
      <c r="EIM11" s="120"/>
      <c r="EIN11" s="120"/>
      <c r="EIO11" s="120"/>
      <c r="EIP11" s="120"/>
      <c r="EIQ11" s="120"/>
      <c r="EIR11" s="120"/>
      <c r="EIS11" s="120"/>
      <c r="EIT11" s="120"/>
      <c r="EIU11" s="120"/>
      <c r="EIV11" s="120"/>
      <c r="EIW11" s="120"/>
      <c r="EIX11" s="120"/>
      <c r="EIY11" s="120"/>
      <c r="EIZ11" s="120"/>
      <c r="EJA11" s="120"/>
      <c r="EJB11" s="120"/>
      <c r="EJC11" s="120"/>
      <c r="EJD11" s="120"/>
      <c r="EJE11" s="120"/>
      <c r="EJF11" s="120"/>
      <c r="EJG11" s="120"/>
      <c r="EJH11" s="120"/>
      <c r="EJI11" s="120"/>
      <c r="EJJ11" s="120"/>
      <c r="EJK11" s="120"/>
      <c r="EJL11" s="120"/>
      <c r="EJM11" s="120"/>
      <c r="EJN11" s="120"/>
      <c r="EJO11" s="120"/>
      <c r="EJP11" s="120"/>
      <c r="EJQ11" s="120"/>
      <c r="EJR11" s="120"/>
      <c r="EJS11" s="120"/>
      <c r="EJT11" s="120"/>
      <c r="EJU11" s="120"/>
      <c r="EJV11" s="120"/>
      <c r="EJW11" s="120"/>
      <c r="EJX11" s="120"/>
      <c r="EJY11" s="120"/>
      <c r="EJZ11" s="120"/>
      <c r="EKA11" s="120"/>
      <c r="EKB11" s="120"/>
      <c r="EKC11" s="120"/>
      <c r="EKD11" s="120"/>
      <c r="EKE11" s="120"/>
      <c r="EKF11" s="120"/>
      <c r="EKG11" s="120"/>
      <c r="EKH11" s="120"/>
      <c r="EKI11" s="120"/>
      <c r="EKJ11" s="120"/>
      <c r="EKK11" s="120"/>
      <c r="EKL11" s="120"/>
      <c r="EKM11" s="120"/>
      <c r="EKN11" s="120"/>
      <c r="EKO11" s="120"/>
      <c r="EKP11" s="120"/>
      <c r="EKQ11" s="120"/>
      <c r="EKR11" s="120"/>
      <c r="EKS11" s="120"/>
      <c r="EKT11" s="120"/>
      <c r="EKU11" s="120"/>
      <c r="EKV11" s="120"/>
      <c r="EKW11" s="120"/>
      <c r="EKX11" s="120"/>
      <c r="EKY11" s="120"/>
      <c r="EKZ11" s="120"/>
      <c r="ELA11" s="120"/>
      <c r="ELB11" s="120"/>
      <c r="ELC11" s="120"/>
      <c r="ELD11" s="120"/>
      <c r="ELE11" s="120"/>
      <c r="ELF11" s="120"/>
      <c r="ELG11" s="120"/>
      <c r="ELH11" s="120"/>
      <c r="ELI11" s="120"/>
      <c r="ELJ11" s="120"/>
      <c r="ELK11" s="120"/>
      <c r="ELL11" s="120"/>
      <c r="ELM11" s="120"/>
      <c r="ELN11" s="120"/>
      <c r="ELO11" s="120"/>
      <c r="ELP11" s="120"/>
      <c r="ELQ11" s="120"/>
      <c r="ELR11" s="120"/>
      <c r="ELS11" s="120"/>
      <c r="ELT11" s="120"/>
      <c r="ELU11" s="120"/>
      <c r="ELV11" s="120"/>
      <c r="ELW11" s="120"/>
      <c r="ELX11" s="120"/>
      <c r="ELY11" s="120"/>
      <c r="ELZ11" s="120"/>
      <c r="EMA11" s="120"/>
      <c r="EMB11" s="120"/>
      <c r="EMC11" s="120"/>
      <c r="EMD11" s="120"/>
      <c r="EME11" s="120"/>
      <c r="EMF11" s="120"/>
      <c r="EMG11" s="120"/>
      <c r="EMH11" s="120"/>
      <c r="EMI11" s="120"/>
      <c r="EMJ11" s="120"/>
      <c r="EMK11" s="120"/>
      <c r="EML11" s="120"/>
      <c r="EMM11" s="120"/>
      <c r="EMN11" s="120"/>
      <c r="EMO11" s="120"/>
      <c r="EMP11" s="120"/>
      <c r="EMQ11" s="120"/>
      <c r="EMR11" s="120"/>
      <c r="EMS11" s="120"/>
      <c r="EMT11" s="120"/>
      <c r="EMU11" s="120"/>
      <c r="EMV11" s="120"/>
      <c r="EMW11" s="120"/>
      <c r="EMX11" s="120"/>
      <c r="EMY11" s="120"/>
      <c r="EMZ11" s="120"/>
      <c r="ENA11" s="120"/>
      <c r="ENB11" s="120"/>
      <c r="ENC11" s="120"/>
      <c r="END11" s="120"/>
      <c r="ENE11" s="120"/>
      <c r="ENF11" s="120"/>
      <c r="ENG11" s="120"/>
      <c r="ENH11" s="120"/>
      <c r="ENI11" s="120"/>
      <c r="ENJ11" s="120"/>
      <c r="ENK11" s="120"/>
      <c r="ENL11" s="120"/>
      <c r="ENM11" s="120"/>
      <c r="ENN11" s="120"/>
      <c r="ENO11" s="120"/>
      <c r="ENP11" s="120"/>
      <c r="ENQ11" s="120"/>
      <c r="ENR11" s="120"/>
      <c r="ENS11" s="120"/>
      <c r="ENT11" s="120"/>
      <c r="ENU11" s="120"/>
      <c r="ENV11" s="120"/>
      <c r="ENW11" s="120"/>
      <c r="ENX11" s="120"/>
      <c r="ENY11" s="120"/>
      <c r="ENZ11" s="120"/>
      <c r="EOA11" s="120"/>
      <c r="EOB11" s="120"/>
      <c r="EOC11" s="120"/>
      <c r="EOD11" s="120"/>
      <c r="EOE11" s="120"/>
      <c r="EOF11" s="120"/>
      <c r="EOG11" s="120"/>
      <c r="EOH11" s="120"/>
      <c r="EOI11" s="120"/>
      <c r="EOJ11" s="120"/>
      <c r="EOK11" s="120"/>
      <c r="EOL11" s="120"/>
      <c r="EOM11" s="120"/>
      <c r="EON11" s="120"/>
      <c r="EOO11" s="120"/>
      <c r="EOP11" s="120"/>
      <c r="EOQ11" s="120"/>
      <c r="EOR11" s="120"/>
      <c r="EOS11" s="120"/>
      <c r="EOT11" s="120"/>
      <c r="EOU11" s="120"/>
      <c r="EOV11" s="120"/>
      <c r="EOW11" s="120"/>
      <c r="EOX11" s="120"/>
      <c r="EOY11" s="120"/>
      <c r="EOZ11" s="120"/>
      <c r="EPA11" s="120"/>
      <c r="EPB11" s="120"/>
      <c r="EPC11" s="120"/>
      <c r="EPD11" s="120"/>
      <c r="EPE11" s="120"/>
      <c r="EPF11" s="120"/>
      <c r="EPG11" s="120"/>
      <c r="EPH11" s="120"/>
      <c r="EPI11" s="120"/>
      <c r="EPJ11" s="120"/>
      <c r="EPK11" s="120"/>
      <c r="EPL11" s="120"/>
      <c r="EPM11" s="120"/>
      <c r="EPN11" s="120"/>
      <c r="EPO11" s="120"/>
      <c r="EPP11" s="120"/>
      <c r="EPQ11" s="120"/>
      <c r="EPR11" s="120"/>
      <c r="EPS11" s="120"/>
      <c r="EPT11" s="120"/>
      <c r="EPU11" s="120"/>
      <c r="EPV11" s="120"/>
      <c r="EPW11" s="120"/>
      <c r="EPX11" s="120"/>
      <c r="EPY11" s="120"/>
      <c r="EPZ11" s="120"/>
      <c r="EQA11" s="120"/>
      <c r="EQB11" s="120"/>
      <c r="EQC11" s="120"/>
      <c r="EQD11" s="120"/>
      <c r="EQE11" s="120"/>
      <c r="EQF11" s="120"/>
      <c r="EQG11" s="120"/>
      <c r="EQH11" s="120"/>
      <c r="EQI11" s="120"/>
      <c r="EQJ11" s="120"/>
      <c r="EQK11" s="120"/>
      <c r="EQL11" s="120"/>
      <c r="EQM11" s="120"/>
      <c r="EQN11" s="120"/>
      <c r="EQO11" s="120"/>
      <c r="EQP11" s="120"/>
      <c r="EQQ11" s="120"/>
      <c r="EQR11" s="120"/>
      <c r="EQS11" s="120"/>
      <c r="EQT11" s="120"/>
      <c r="EQU11" s="120"/>
      <c r="EQV11" s="120"/>
      <c r="EQW11" s="120"/>
      <c r="EQX11" s="120"/>
      <c r="EQY11" s="120"/>
      <c r="EQZ11" s="120"/>
      <c r="ERA11" s="120"/>
      <c r="ERB11" s="120"/>
      <c r="ERC11" s="120"/>
      <c r="ERD11" s="120"/>
      <c r="ERE11" s="120"/>
      <c r="ERF11" s="120"/>
      <c r="ERG11" s="120"/>
      <c r="ERH11" s="120"/>
      <c r="ERI11" s="120"/>
      <c r="ERJ11" s="120"/>
      <c r="ERK11" s="120"/>
      <c r="ERL11" s="120"/>
      <c r="ERM11" s="120"/>
      <c r="ERN11" s="120"/>
      <c r="ERO11" s="120"/>
      <c r="ERP11" s="120"/>
      <c r="ERQ11" s="120"/>
      <c r="ERR11" s="120"/>
      <c r="ERS11" s="120"/>
      <c r="ERT11" s="120"/>
      <c r="ERU11" s="120"/>
      <c r="ERV11" s="120"/>
      <c r="ERW11" s="120"/>
      <c r="ERX11" s="120"/>
      <c r="ERY11" s="120"/>
      <c r="ERZ11" s="120"/>
      <c r="ESA11" s="120"/>
      <c r="ESB11" s="120"/>
      <c r="ESC11" s="120"/>
      <c r="ESD11" s="120"/>
      <c r="ESE11" s="120"/>
      <c r="ESF11" s="120"/>
      <c r="ESG11" s="120"/>
      <c r="ESH11" s="120"/>
      <c r="ESI11" s="120"/>
      <c r="ESJ11" s="120"/>
      <c r="ESK11" s="120"/>
      <c r="ESL11" s="120"/>
      <c r="ESM11" s="120"/>
      <c r="ESN11" s="120"/>
      <c r="ESO11" s="120"/>
      <c r="ESP11" s="120"/>
      <c r="ESQ11" s="120"/>
      <c r="ESR11" s="120"/>
      <c r="ESS11" s="120"/>
      <c r="EST11" s="120"/>
      <c r="ESU11" s="120"/>
      <c r="ESV11" s="120"/>
      <c r="ESW11" s="120"/>
      <c r="ESX11" s="120"/>
      <c r="ESY11" s="120"/>
      <c r="ESZ11" s="120"/>
      <c r="ETA11" s="120"/>
      <c r="ETB11" s="120"/>
      <c r="ETC11" s="120"/>
      <c r="ETD11" s="120"/>
      <c r="ETE11" s="120"/>
      <c r="ETF11" s="120"/>
      <c r="ETG11" s="120"/>
      <c r="ETH11" s="120"/>
      <c r="ETI11" s="120"/>
      <c r="ETJ11" s="120"/>
      <c r="ETK11" s="120"/>
      <c r="ETL11" s="120"/>
      <c r="ETM11" s="120"/>
      <c r="ETN11" s="120"/>
      <c r="ETO11" s="120"/>
      <c r="ETP11" s="120"/>
      <c r="ETQ11" s="120"/>
      <c r="ETR11" s="120"/>
      <c r="ETS11" s="120"/>
      <c r="ETT11" s="120"/>
      <c r="ETU11" s="120"/>
      <c r="ETV11" s="120"/>
      <c r="ETW11" s="120"/>
      <c r="ETX11" s="120"/>
      <c r="ETY11" s="120"/>
      <c r="ETZ11" s="120"/>
      <c r="EUA11" s="120"/>
      <c r="EUB11" s="120"/>
      <c r="EUC11" s="120"/>
      <c r="EUD11" s="120"/>
      <c r="EUE11" s="120"/>
      <c r="EUF11" s="120"/>
      <c r="EUG11" s="120"/>
      <c r="EUH11" s="120"/>
      <c r="EUI11" s="120"/>
      <c r="EUJ11" s="120"/>
      <c r="EUK11" s="120"/>
      <c r="EUL11" s="120"/>
      <c r="EUM11" s="120"/>
      <c r="EUN11" s="120"/>
      <c r="EUO11" s="120"/>
      <c r="EUP11" s="120"/>
      <c r="EUQ11" s="120"/>
      <c r="EUR11" s="120"/>
      <c r="EUS11" s="120"/>
      <c r="EUT11" s="120"/>
      <c r="EUU11" s="120"/>
      <c r="EUV11" s="120"/>
      <c r="EUW11" s="120"/>
      <c r="EUX11" s="120"/>
      <c r="EUY11" s="120"/>
      <c r="EUZ11" s="120"/>
      <c r="EVA11" s="120"/>
      <c r="EVB11" s="120"/>
      <c r="EVC11" s="120"/>
      <c r="EVD11" s="120"/>
      <c r="EVE11" s="120"/>
      <c r="EVF11" s="120"/>
      <c r="EVG11" s="120"/>
      <c r="EVH11" s="120"/>
      <c r="EVI11" s="120"/>
      <c r="EVJ11" s="120"/>
      <c r="EVK11" s="120"/>
      <c r="EVL11" s="120"/>
      <c r="EVM11" s="120"/>
      <c r="EVN11" s="120"/>
      <c r="EVO11" s="120"/>
      <c r="EVP11" s="120"/>
      <c r="EVQ11" s="120"/>
      <c r="EVR11" s="120"/>
      <c r="EVS11" s="120"/>
      <c r="EVT11" s="120"/>
      <c r="EVU11" s="120"/>
      <c r="EVV11" s="120"/>
      <c r="EVW11" s="120"/>
      <c r="EVX11" s="120"/>
      <c r="EVY11" s="120"/>
      <c r="EVZ11" s="120"/>
      <c r="EWA11" s="120"/>
      <c r="EWB11" s="120"/>
      <c r="EWC11" s="120"/>
      <c r="EWD11" s="120"/>
      <c r="EWE11" s="120"/>
      <c r="EWF11" s="120"/>
      <c r="EWG11" s="120"/>
      <c r="EWH11" s="120"/>
      <c r="EWI11" s="120"/>
      <c r="EWJ11" s="120"/>
      <c r="EWK11" s="120"/>
      <c r="EWL11" s="120"/>
      <c r="EWM11" s="120"/>
      <c r="EWN11" s="120"/>
      <c r="EWO11" s="120"/>
      <c r="EWP11" s="120"/>
      <c r="EWQ11" s="120"/>
      <c r="EWR11" s="120"/>
      <c r="EWS11" s="120"/>
      <c r="EWT11" s="120"/>
      <c r="EWU11" s="120"/>
      <c r="EWV11" s="120"/>
      <c r="EWW11" s="120"/>
      <c r="EWX11" s="120"/>
      <c r="EWY11" s="120"/>
      <c r="EWZ11" s="120"/>
      <c r="EXA11" s="120"/>
      <c r="EXB11" s="120"/>
      <c r="EXC11" s="120"/>
      <c r="EXD11" s="120"/>
      <c r="EXE11" s="120"/>
      <c r="EXF11" s="120"/>
      <c r="EXG11" s="120"/>
      <c r="EXH11" s="120"/>
      <c r="EXI11" s="120"/>
      <c r="EXJ11" s="120"/>
      <c r="EXK11" s="120"/>
      <c r="EXL11" s="120"/>
      <c r="EXM11" s="120"/>
      <c r="EXN11" s="120"/>
      <c r="EXO11" s="120"/>
      <c r="EXP11" s="120"/>
      <c r="EXQ11" s="120"/>
      <c r="EXR11" s="120"/>
      <c r="EXS11" s="120"/>
      <c r="EXT11" s="120"/>
      <c r="EXU11" s="120"/>
      <c r="EXV11" s="120"/>
      <c r="EXW11" s="120"/>
      <c r="EXX11" s="120"/>
      <c r="EXY11" s="120"/>
      <c r="EXZ11" s="120"/>
      <c r="EYA11" s="120"/>
      <c r="EYB11" s="120"/>
      <c r="EYC11" s="120"/>
      <c r="EYD11" s="120"/>
      <c r="EYE11" s="120"/>
      <c r="EYF11" s="120"/>
      <c r="EYG11" s="120"/>
      <c r="EYH11" s="120"/>
      <c r="EYI11" s="120"/>
      <c r="EYJ11" s="120"/>
      <c r="EYK11" s="120"/>
      <c r="EYL11" s="120"/>
      <c r="EYM11" s="120"/>
      <c r="EYN11" s="120"/>
      <c r="EYO11" s="120"/>
      <c r="EYP11" s="120"/>
      <c r="EYQ11" s="120"/>
      <c r="EYR11" s="120"/>
      <c r="EYS11" s="120"/>
      <c r="EYT11" s="120"/>
      <c r="EYU11" s="120"/>
      <c r="EYV11" s="120"/>
      <c r="EYW11" s="120"/>
      <c r="EYX11" s="120"/>
      <c r="EYY11" s="120"/>
      <c r="EYZ11" s="120"/>
      <c r="EZA11" s="120"/>
      <c r="EZB11" s="120"/>
      <c r="EZC11" s="120"/>
      <c r="EZD11" s="120"/>
      <c r="EZE11" s="120"/>
      <c r="EZF11" s="120"/>
      <c r="EZG11" s="120"/>
      <c r="EZH11" s="120"/>
      <c r="EZI11" s="120"/>
      <c r="EZJ11" s="120"/>
      <c r="EZK11" s="120"/>
      <c r="EZL11" s="120"/>
      <c r="EZM11" s="120"/>
      <c r="EZN11" s="120"/>
      <c r="EZO11" s="120"/>
      <c r="EZP11" s="120"/>
      <c r="EZQ11" s="120"/>
      <c r="EZR11" s="120"/>
      <c r="EZS11" s="120"/>
      <c r="EZT11" s="120"/>
      <c r="EZU11" s="120"/>
      <c r="EZV11" s="120"/>
      <c r="EZW11" s="120"/>
      <c r="EZX11" s="120"/>
      <c r="EZY11" s="120"/>
      <c r="EZZ11" s="120"/>
      <c r="FAA11" s="120"/>
      <c r="FAB11" s="120"/>
      <c r="FAC11" s="120"/>
      <c r="FAD11" s="120"/>
      <c r="FAE11" s="120"/>
      <c r="FAF11" s="120"/>
      <c r="FAG11" s="120"/>
      <c r="FAH11" s="120"/>
      <c r="FAI11" s="120"/>
      <c r="FAJ11" s="120"/>
      <c r="FAK11" s="120"/>
      <c r="FAL11" s="120"/>
      <c r="FAM11" s="120"/>
      <c r="FAN11" s="120"/>
      <c r="FAO11" s="120"/>
      <c r="FAP11" s="120"/>
      <c r="FAQ11" s="120"/>
      <c r="FAR11" s="120"/>
      <c r="FAS11" s="120"/>
      <c r="FAT11" s="120"/>
      <c r="FAU11" s="120"/>
      <c r="FAV11" s="120"/>
      <c r="FAW11" s="120"/>
      <c r="FAX11" s="120"/>
      <c r="FAY11" s="120"/>
      <c r="FAZ11" s="120"/>
      <c r="FBA11" s="120"/>
      <c r="FBB11" s="120"/>
      <c r="FBC11" s="120"/>
      <c r="FBD11" s="120"/>
      <c r="FBE11" s="120"/>
      <c r="FBF11" s="120"/>
      <c r="FBG11" s="120"/>
      <c r="FBH11" s="120"/>
      <c r="FBI11" s="120"/>
      <c r="FBJ11" s="120"/>
      <c r="FBK11" s="120"/>
      <c r="FBL11" s="120"/>
      <c r="FBM11" s="120"/>
      <c r="FBN11" s="120"/>
      <c r="FBO11" s="120"/>
      <c r="FBP11" s="120"/>
      <c r="FBQ11" s="120"/>
      <c r="FBR11" s="120"/>
      <c r="FBS11" s="120"/>
      <c r="FBT11" s="120"/>
      <c r="FBU11" s="120"/>
      <c r="FBV11" s="120"/>
      <c r="FBW11" s="120"/>
      <c r="FBX11" s="120"/>
      <c r="FBY11" s="120"/>
      <c r="FBZ11" s="120"/>
      <c r="FCA11" s="120"/>
      <c r="FCB11" s="120"/>
      <c r="FCC11" s="120"/>
      <c r="FCD11" s="120"/>
      <c r="FCE11" s="120"/>
      <c r="FCF11" s="120"/>
      <c r="FCG11" s="120"/>
      <c r="FCH11" s="120"/>
      <c r="FCI11" s="120"/>
      <c r="FCJ11" s="120"/>
      <c r="FCK11" s="120"/>
      <c r="FCL11" s="120"/>
      <c r="FCM11" s="120"/>
      <c r="FCN11" s="120"/>
      <c r="FCO11" s="120"/>
      <c r="FCP11" s="120"/>
      <c r="FCQ11" s="120"/>
      <c r="FCR11" s="120"/>
      <c r="FCS11" s="120"/>
      <c r="FCT11" s="120"/>
      <c r="FCU11" s="120"/>
      <c r="FCV11" s="120"/>
      <c r="FCW11" s="120"/>
      <c r="FCX11" s="120"/>
      <c r="FCY11" s="120"/>
      <c r="FCZ11" s="120"/>
      <c r="FDA11" s="120"/>
      <c r="FDB11" s="120"/>
      <c r="FDC11" s="120"/>
      <c r="FDD11" s="120"/>
      <c r="FDE11" s="120"/>
      <c r="FDF11" s="120"/>
      <c r="FDG11" s="120"/>
      <c r="FDH11" s="120"/>
      <c r="FDI11" s="120"/>
      <c r="FDJ11" s="120"/>
      <c r="FDK11" s="120"/>
      <c r="FDL11" s="120"/>
      <c r="FDM11" s="120"/>
      <c r="FDN11" s="120"/>
      <c r="FDO11" s="120"/>
      <c r="FDP11" s="120"/>
      <c r="FDQ11" s="120"/>
      <c r="FDR11" s="120"/>
      <c r="FDS11" s="120"/>
      <c r="FDT11" s="120"/>
      <c r="FDU11" s="120"/>
      <c r="FDV11" s="120"/>
      <c r="FDW11" s="120"/>
      <c r="FDX11" s="120"/>
      <c r="FDY11" s="120"/>
      <c r="FDZ11" s="120"/>
      <c r="FEA11" s="120"/>
      <c r="FEB11" s="120"/>
      <c r="FEC11" s="120"/>
      <c r="FED11" s="120"/>
      <c r="FEE11" s="120"/>
      <c r="FEF11" s="120"/>
      <c r="FEG11" s="120"/>
      <c r="FEH11" s="120"/>
      <c r="FEI11" s="120"/>
      <c r="FEJ11" s="120"/>
      <c r="FEK11" s="120"/>
      <c r="FEL11" s="120"/>
      <c r="FEM11" s="120"/>
      <c r="FEN11" s="120"/>
      <c r="FEO11" s="120"/>
      <c r="FEP11" s="120"/>
      <c r="FEQ11" s="120"/>
      <c r="FER11" s="120"/>
      <c r="FES11" s="120"/>
      <c r="FET11" s="120"/>
      <c r="FEU11" s="120"/>
      <c r="FEV11" s="120"/>
      <c r="FEW11" s="120"/>
      <c r="FEX11" s="120"/>
      <c r="FEY11" s="120"/>
      <c r="FEZ11" s="120"/>
      <c r="FFA11" s="120"/>
      <c r="FFB11" s="120"/>
      <c r="FFC11" s="120"/>
      <c r="FFD11" s="120"/>
      <c r="FFE11" s="120"/>
      <c r="FFF11" s="120"/>
      <c r="FFG11" s="120"/>
      <c r="FFH11" s="120"/>
      <c r="FFI11" s="120"/>
      <c r="FFJ11" s="120"/>
      <c r="FFK11" s="120"/>
      <c r="FFL11" s="120"/>
      <c r="FFM11" s="120"/>
      <c r="FFN11" s="120"/>
      <c r="FFO11" s="120"/>
      <c r="FFP11" s="120"/>
      <c r="FFQ11" s="120"/>
      <c r="FFR11" s="120"/>
      <c r="FFS11" s="120"/>
      <c r="FFT11" s="120"/>
      <c r="FFU11" s="120"/>
      <c r="FFV11" s="120"/>
      <c r="FFW11" s="120"/>
      <c r="FFX11" s="120"/>
      <c r="FFY11" s="120"/>
      <c r="FFZ11" s="120"/>
      <c r="FGA11" s="120"/>
      <c r="FGB11" s="120"/>
      <c r="FGC11" s="120"/>
      <c r="FGD11" s="120"/>
      <c r="FGE11" s="120"/>
      <c r="FGF11" s="120"/>
      <c r="FGG11" s="120"/>
      <c r="FGH11" s="120"/>
      <c r="FGI11" s="120"/>
      <c r="FGJ11" s="120"/>
      <c r="FGK11" s="120"/>
      <c r="FGL11" s="120"/>
      <c r="FGM11" s="120"/>
      <c r="FGN11" s="120"/>
      <c r="FGO11" s="120"/>
      <c r="FGP11" s="120"/>
      <c r="FGQ11" s="120"/>
      <c r="FGR11" s="120"/>
      <c r="FGS11" s="120"/>
      <c r="FGT11" s="120"/>
      <c r="FGU11" s="120"/>
      <c r="FGV11" s="120"/>
      <c r="FGW11" s="120"/>
      <c r="FGX11" s="120"/>
      <c r="FGY11" s="120"/>
      <c r="FGZ11" s="120"/>
      <c r="FHA11" s="120"/>
      <c r="FHB11" s="120"/>
      <c r="FHC11" s="120"/>
      <c r="FHD11" s="120"/>
      <c r="FHE11" s="120"/>
      <c r="FHF11" s="120"/>
      <c r="FHG11" s="120"/>
      <c r="FHH11" s="120"/>
      <c r="FHI11" s="120"/>
      <c r="FHJ11" s="120"/>
      <c r="FHK11" s="120"/>
      <c r="FHL11" s="120"/>
      <c r="FHM11" s="120"/>
      <c r="FHN11" s="120"/>
      <c r="FHO11" s="120"/>
      <c r="FHP11" s="120"/>
      <c r="FHQ11" s="120"/>
      <c r="FHR11" s="120"/>
      <c r="FHS11" s="120"/>
      <c r="FHT11" s="120"/>
      <c r="FHU11" s="120"/>
      <c r="FHV11" s="120"/>
      <c r="FHW11" s="120"/>
      <c r="FHX11" s="120"/>
      <c r="FHY11" s="120"/>
      <c r="FHZ11" s="120"/>
      <c r="FIA11" s="120"/>
      <c r="FIB11" s="120"/>
      <c r="FIC11" s="120"/>
      <c r="FID11" s="120"/>
      <c r="FIE11" s="120"/>
      <c r="FIF11" s="120"/>
      <c r="FIG11" s="120"/>
      <c r="FIH11" s="120"/>
      <c r="FII11" s="120"/>
      <c r="FIJ11" s="120"/>
      <c r="FIK11" s="120"/>
      <c r="FIL11" s="120"/>
      <c r="FIM11" s="120"/>
      <c r="FIN11" s="120"/>
      <c r="FIO11" s="120"/>
      <c r="FIP11" s="120"/>
      <c r="FIQ11" s="120"/>
      <c r="FIR11" s="120"/>
      <c r="FIS11" s="120"/>
      <c r="FIT11" s="120"/>
      <c r="FIU11" s="120"/>
      <c r="FIV11" s="120"/>
      <c r="FIW11" s="120"/>
      <c r="FIX11" s="120"/>
      <c r="FIY11" s="120"/>
      <c r="FIZ11" s="120"/>
      <c r="FJA11" s="120"/>
      <c r="FJB11" s="120"/>
      <c r="FJC11" s="120"/>
      <c r="FJD11" s="120"/>
      <c r="FJE11" s="120"/>
      <c r="FJF11" s="120"/>
      <c r="FJG11" s="120"/>
      <c r="FJH11" s="120"/>
      <c r="FJI11" s="120"/>
      <c r="FJJ11" s="120"/>
      <c r="FJK11" s="120"/>
      <c r="FJL11" s="120"/>
      <c r="FJM11" s="120"/>
      <c r="FJN11" s="120"/>
      <c r="FJO11" s="120"/>
      <c r="FJP11" s="120"/>
      <c r="FJQ11" s="120"/>
      <c r="FJR11" s="120"/>
      <c r="FJS11" s="120"/>
      <c r="FJT11" s="120"/>
      <c r="FJU11" s="120"/>
      <c r="FJV11" s="120"/>
      <c r="FJW11" s="120"/>
      <c r="FJX11" s="120"/>
      <c r="FJY11" s="120"/>
      <c r="FJZ11" s="120"/>
      <c r="FKA11" s="120"/>
      <c r="FKB11" s="120"/>
      <c r="FKC11" s="120"/>
      <c r="FKD11" s="120"/>
      <c r="FKE11" s="120"/>
      <c r="FKF11" s="120"/>
      <c r="FKG11" s="120"/>
      <c r="FKH11" s="120"/>
      <c r="FKI11" s="120"/>
      <c r="FKJ11" s="120"/>
      <c r="FKK11" s="120"/>
      <c r="FKL11" s="120"/>
      <c r="FKM11" s="120"/>
      <c r="FKN11" s="120"/>
      <c r="FKO11" s="120"/>
      <c r="FKP11" s="120"/>
      <c r="FKQ11" s="120"/>
      <c r="FKR11" s="120"/>
      <c r="FKS11" s="120"/>
      <c r="FKT11" s="120"/>
      <c r="FKU11" s="120"/>
      <c r="FKV11" s="120"/>
      <c r="FKW11" s="120"/>
      <c r="FKX11" s="120"/>
      <c r="FKY11" s="120"/>
      <c r="FKZ11" s="120"/>
      <c r="FLA11" s="120"/>
      <c r="FLB11" s="120"/>
      <c r="FLC11" s="120"/>
      <c r="FLD11" s="120"/>
      <c r="FLE11" s="120"/>
      <c r="FLF11" s="120"/>
      <c r="FLG11" s="120"/>
      <c r="FLH11" s="120"/>
      <c r="FLI11" s="120"/>
      <c r="FLJ11" s="120"/>
      <c r="FLK11" s="120"/>
      <c r="FLL11" s="120"/>
      <c r="FLM11" s="120"/>
      <c r="FLN11" s="120"/>
      <c r="FLO11" s="120"/>
      <c r="FLP11" s="120"/>
      <c r="FLQ11" s="120"/>
      <c r="FLR11" s="120"/>
      <c r="FLS11" s="120"/>
      <c r="FLT11" s="120"/>
      <c r="FLU11" s="120"/>
      <c r="FLV11" s="120"/>
      <c r="FLW11" s="120"/>
      <c r="FLX11" s="120"/>
      <c r="FLY11" s="120"/>
      <c r="FLZ11" s="120"/>
      <c r="FMA11" s="120"/>
      <c r="FMB11" s="120"/>
      <c r="FMC11" s="120"/>
      <c r="FMD11" s="120"/>
      <c r="FME11" s="120"/>
      <c r="FMF11" s="120"/>
      <c r="FMG11" s="120"/>
      <c r="FMH11" s="120"/>
      <c r="FMI11" s="120"/>
      <c r="FMJ11" s="120"/>
      <c r="FMK11" s="120"/>
      <c r="FML11" s="120"/>
      <c r="FMM11" s="120"/>
      <c r="FMN11" s="120"/>
      <c r="FMO11" s="120"/>
      <c r="FMP11" s="120"/>
      <c r="FMQ11" s="120"/>
      <c r="FMR11" s="120"/>
      <c r="FMS11" s="120"/>
      <c r="FMT11" s="120"/>
      <c r="FMU11" s="120"/>
      <c r="FMV11" s="120"/>
      <c r="FMW11" s="120"/>
      <c r="FMX11" s="120"/>
      <c r="FMY11" s="120"/>
      <c r="FMZ11" s="120"/>
      <c r="FNA11" s="120"/>
      <c r="FNB11" s="120"/>
      <c r="FNC11" s="120"/>
      <c r="FND11" s="120"/>
      <c r="FNE11" s="120"/>
      <c r="FNF11" s="120"/>
      <c r="FNG11" s="120"/>
      <c r="FNH11" s="120"/>
      <c r="FNI11" s="120"/>
      <c r="FNJ11" s="120"/>
      <c r="FNK11" s="120"/>
      <c r="FNL11" s="120"/>
      <c r="FNM11" s="120"/>
      <c r="FNN11" s="120"/>
      <c r="FNO11" s="120"/>
      <c r="FNP11" s="120"/>
      <c r="FNQ11" s="120"/>
      <c r="FNR11" s="120"/>
      <c r="FNS11" s="120"/>
      <c r="FNT11" s="120"/>
      <c r="FNU11" s="120"/>
      <c r="FNV11" s="120"/>
      <c r="FNW11" s="120"/>
      <c r="FNX11" s="120"/>
      <c r="FNY11" s="120"/>
      <c r="FNZ11" s="120"/>
      <c r="FOA11" s="120"/>
      <c r="FOB11" s="120"/>
      <c r="FOC11" s="120"/>
      <c r="FOD11" s="120"/>
      <c r="FOE11" s="120"/>
      <c r="FOF11" s="120"/>
      <c r="FOG11" s="120"/>
      <c r="FOH11" s="120"/>
      <c r="FOI11" s="120"/>
      <c r="FOJ11" s="120"/>
      <c r="FOK11" s="120"/>
      <c r="FOL11" s="120"/>
      <c r="FOM11" s="120"/>
      <c r="FON11" s="120"/>
      <c r="FOO11" s="120"/>
      <c r="FOP11" s="120"/>
      <c r="FOQ11" s="120"/>
      <c r="FOR11" s="120"/>
      <c r="FOS11" s="120"/>
      <c r="FOT11" s="120"/>
      <c r="FOU11" s="120"/>
      <c r="FOV11" s="120"/>
      <c r="FOW11" s="120"/>
      <c r="FOX11" s="120"/>
      <c r="FOY11" s="120"/>
      <c r="FOZ11" s="120"/>
      <c r="FPA11" s="120"/>
      <c r="FPB11" s="120"/>
      <c r="FPC11" s="120"/>
      <c r="FPD11" s="120"/>
      <c r="FPE11" s="120"/>
      <c r="FPF11" s="120"/>
      <c r="FPG11" s="120"/>
      <c r="FPH11" s="120"/>
      <c r="FPI11" s="120"/>
      <c r="FPJ11" s="120"/>
      <c r="FPK11" s="120"/>
      <c r="FPL11" s="120"/>
      <c r="FPM11" s="120"/>
      <c r="FPN11" s="120"/>
      <c r="FPO11" s="120"/>
      <c r="FPP11" s="120"/>
      <c r="FPQ11" s="120"/>
      <c r="FPR11" s="120"/>
      <c r="FPS11" s="120"/>
      <c r="FPT11" s="120"/>
      <c r="FPU11" s="120"/>
      <c r="FPV11" s="120"/>
      <c r="FPW11" s="120"/>
      <c r="FPX11" s="120"/>
      <c r="FPY11" s="120"/>
      <c r="FPZ11" s="120"/>
      <c r="FQA11" s="120"/>
      <c r="FQB11" s="120"/>
      <c r="FQC11" s="120"/>
      <c r="FQD11" s="120"/>
      <c r="FQE11" s="120"/>
      <c r="FQF11" s="120"/>
      <c r="FQG11" s="120"/>
      <c r="FQH11" s="120"/>
      <c r="FQI11" s="120"/>
      <c r="FQJ11" s="120"/>
      <c r="FQK11" s="120"/>
      <c r="FQL11" s="120"/>
      <c r="FQM11" s="120"/>
      <c r="FQN11" s="120"/>
      <c r="FQO11" s="120"/>
      <c r="FQP11" s="120"/>
      <c r="FQQ11" s="120"/>
      <c r="FQR11" s="120"/>
      <c r="FQS11" s="120"/>
      <c r="FQT11" s="120"/>
      <c r="FQU11" s="120"/>
      <c r="FQV11" s="120"/>
      <c r="FQW11" s="120"/>
      <c r="FQX11" s="120"/>
      <c r="FQY11" s="120"/>
      <c r="FQZ11" s="120"/>
      <c r="FRA11" s="120"/>
      <c r="FRB11" s="120"/>
      <c r="FRC11" s="120"/>
      <c r="FRD11" s="120"/>
      <c r="FRE11" s="120"/>
      <c r="FRF11" s="120"/>
      <c r="FRG11" s="120"/>
      <c r="FRH11" s="120"/>
      <c r="FRI11" s="120"/>
      <c r="FRJ11" s="120"/>
      <c r="FRK11" s="120"/>
      <c r="FRL11" s="120"/>
      <c r="FRM11" s="120"/>
      <c r="FRN11" s="120"/>
      <c r="FRO11" s="120"/>
      <c r="FRP11" s="120"/>
      <c r="FRQ11" s="120"/>
      <c r="FRR11" s="120"/>
      <c r="FRS11" s="120"/>
      <c r="FRT11" s="120"/>
      <c r="FRU11" s="120"/>
      <c r="FRV11" s="120"/>
      <c r="FRW11" s="120"/>
      <c r="FRX11" s="120"/>
      <c r="FRY11" s="120"/>
      <c r="FRZ11" s="120"/>
      <c r="FSA11" s="120"/>
      <c r="FSB11" s="120"/>
      <c r="FSC11" s="120"/>
      <c r="FSD11" s="120"/>
      <c r="FSE11" s="120"/>
      <c r="FSF11" s="120"/>
      <c r="FSG11" s="120"/>
      <c r="FSH11" s="120"/>
      <c r="FSI11" s="120"/>
      <c r="FSJ11" s="120"/>
      <c r="FSK11" s="120"/>
      <c r="FSL11" s="120"/>
      <c r="FSM11" s="120"/>
      <c r="FSN11" s="120"/>
      <c r="FSO11" s="120"/>
      <c r="FSP11" s="120"/>
      <c r="FSQ11" s="120"/>
      <c r="FSR11" s="120"/>
      <c r="FSS11" s="120"/>
      <c r="FST11" s="120"/>
      <c r="FSU11" s="120"/>
      <c r="FSV11" s="120"/>
      <c r="FSW11" s="120"/>
      <c r="FSX11" s="120"/>
      <c r="FSY11" s="120"/>
      <c r="FSZ11" s="120"/>
      <c r="FTA11" s="120"/>
      <c r="FTB11" s="120"/>
      <c r="FTC11" s="120"/>
      <c r="FTD11" s="120"/>
      <c r="FTE11" s="120"/>
      <c r="FTF11" s="120"/>
      <c r="FTG11" s="120"/>
      <c r="FTH11" s="120"/>
      <c r="FTI11" s="120"/>
      <c r="FTJ11" s="120"/>
      <c r="FTK11" s="120"/>
      <c r="FTL11" s="120"/>
      <c r="FTM11" s="120"/>
      <c r="FTN11" s="120"/>
      <c r="FTO11" s="120"/>
      <c r="FTP11" s="120"/>
      <c r="FTQ11" s="120"/>
      <c r="FTR11" s="120"/>
      <c r="FTS11" s="120"/>
      <c r="FTT11" s="120"/>
      <c r="FTU11" s="120"/>
      <c r="FTV11" s="120"/>
      <c r="FTW11" s="120"/>
      <c r="FTX11" s="120"/>
      <c r="FTY11" s="120"/>
      <c r="FTZ11" s="120"/>
      <c r="FUA11" s="120"/>
      <c r="FUB11" s="120"/>
      <c r="FUC11" s="120"/>
      <c r="FUD11" s="120"/>
      <c r="FUE11" s="120"/>
      <c r="FUF11" s="120"/>
      <c r="FUG11" s="120"/>
      <c r="FUH11" s="120"/>
      <c r="FUI11" s="120"/>
      <c r="FUJ11" s="120"/>
      <c r="FUK11" s="120"/>
      <c r="FUL11" s="120"/>
      <c r="FUM11" s="120"/>
      <c r="FUN11" s="120"/>
      <c r="FUO11" s="120"/>
      <c r="FUP11" s="120"/>
      <c r="FUQ11" s="120"/>
      <c r="FUR11" s="120"/>
      <c r="FUS11" s="120"/>
      <c r="FUT11" s="120"/>
      <c r="FUU11" s="120"/>
      <c r="FUV11" s="120"/>
      <c r="FUW11" s="120"/>
      <c r="FUX11" s="120"/>
      <c r="FUY11" s="120"/>
      <c r="FUZ11" s="120"/>
      <c r="FVA11" s="120"/>
      <c r="FVB11" s="120"/>
      <c r="FVC11" s="120"/>
      <c r="FVD11" s="120"/>
      <c r="FVE11" s="120"/>
      <c r="FVF11" s="120"/>
      <c r="FVG11" s="120"/>
      <c r="FVH11" s="120"/>
      <c r="FVI11" s="120"/>
      <c r="FVJ11" s="120"/>
      <c r="FVK11" s="120"/>
      <c r="FVL11" s="120"/>
      <c r="FVM11" s="120"/>
      <c r="FVN11" s="120"/>
      <c r="FVO11" s="120"/>
      <c r="FVP11" s="120"/>
      <c r="FVQ11" s="120"/>
      <c r="FVR11" s="120"/>
      <c r="FVS11" s="120"/>
      <c r="FVT11" s="120"/>
      <c r="FVU11" s="120"/>
      <c r="FVV11" s="120"/>
      <c r="FVW11" s="120"/>
      <c r="FVX11" s="120"/>
      <c r="FVY11" s="120"/>
      <c r="FVZ11" s="120"/>
      <c r="FWA11" s="120"/>
      <c r="FWB11" s="120"/>
      <c r="FWC11" s="120"/>
      <c r="FWD11" s="120"/>
      <c r="FWE11" s="120"/>
      <c r="FWF11" s="120"/>
      <c r="FWG11" s="120"/>
      <c r="FWH11" s="120"/>
      <c r="FWI11" s="120"/>
      <c r="FWJ11" s="120"/>
      <c r="FWK11" s="120"/>
      <c r="FWL11" s="120"/>
      <c r="FWM11" s="120"/>
      <c r="FWN11" s="120"/>
      <c r="FWO11" s="120"/>
      <c r="FWP11" s="120"/>
      <c r="FWQ11" s="120"/>
      <c r="FWR11" s="120"/>
      <c r="FWS11" s="120"/>
      <c r="FWT11" s="120"/>
      <c r="FWU11" s="120"/>
      <c r="FWV11" s="120"/>
      <c r="FWW11" s="120"/>
      <c r="FWX11" s="120"/>
      <c r="FWY11" s="120"/>
      <c r="FWZ11" s="120"/>
      <c r="FXA11" s="120"/>
      <c r="FXB11" s="120"/>
      <c r="FXC11" s="120"/>
      <c r="FXD11" s="120"/>
      <c r="FXE11" s="120"/>
      <c r="FXF11" s="120"/>
      <c r="FXG11" s="120"/>
      <c r="FXH11" s="120"/>
      <c r="FXI11" s="120"/>
      <c r="FXJ11" s="120"/>
      <c r="FXK11" s="120"/>
      <c r="FXL11" s="120"/>
      <c r="FXM11" s="120"/>
      <c r="FXN11" s="120"/>
      <c r="FXO11" s="120"/>
      <c r="FXP11" s="120"/>
      <c r="FXQ11" s="120"/>
      <c r="FXR11" s="120"/>
      <c r="FXS11" s="120"/>
      <c r="FXT11" s="120"/>
      <c r="FXU11" s="120"/>
      <c r="FXV11" s="120"/>
      <c r="FXW11" s="120"/>
      <c r="FXX11" s="120"/>
      <c r="FXY11" s="120"/>
      <c r="FXZ11" s="120"/>
      <c r="FYA11" s="120"/>
      <c r="FYB11" s="120"/>
      <c r="FYC11" s="120"/>
      <c r="FYD11" s="120"/>
      <c r="FYE11" s="120"/>
      <c r="FYF11" s="120"/>
      <c r="FYG11" s="120"/>
      <c r="FYH11" s="120"/>
      <c r="FYI11" s="120"/>
      <c r="FYJ11" s="120"/>
      <c r="FYK11" s="120"/>
      <c r="FYL11" s="120"/>
      <c r="FYM11" s="120"/>
      <c r="FYN11" s="120"/>
      <c r="FYO11" s="120"/>
      <c r="FYP11" s="120"/>
      <c r="FYQ11" s="120"/>
      <c r="FYR11" s="120"/>
      <c r="FYS11" s="120"/>
      <c r="FYT11" s="120"/>
      <c r="FYU11" s="120"/>
      <c r="FYV11" s="120"/>
      <c r="FYW11" s="120"/>
      <c r="FYX11" s="120"/>
      <c r="FYY11" s="120"/>
      <c r="FYZ11" s="120"/>
      <c r="FZA11" s="120"/>
      <c r="FZB11" s="120"/>
      <c r="FZC11" s="120"/>
      <c r="FZD11" s="120"/>
      <c r="FZE11" s="120"/>
      <c r="FZF11" s="120"/>
      <c r="FZG11" s="120"/>
      <c r="FZH11" s="120"/>
      <c r="FZI11" s="120"/>
      <c r="FZJ11" s="120"/>
      <c r="FZK11" s="120"/>
      <c r="FZL11" s="120"/>
      <c r="FZM11" s="120"/>
      <c r="FZN11" s="120"/>
      <c r="FZO11" s="120"/>
      <c r="FZP11" s="120"/>
      <c r="FZQ11" s="120"/>
      <c r="FZR11" s="120"/>
      <c r="FZS11" s="120"/>
      <c r="FZT11" s="120"/>
      <c r="FZU11" s="120"/>
      <c r="FZV11" s="120"/>
      <c r="FZW11" s="120"/>
      <c r="FZX11" s="120"/>
      <c r="FZY11" s="120"/>
      <c r="FZZ11" s="120"/>
      <c r="GAA11" s="120"/>
      <c r="GAB11" s="120"/>
      <c r="GAC11" s="120"/>
      <c r="GAD11" s="120"/>
      <c r="GAE11" s="120"/>
      <c r="GAF11" s="120"/>
      <c r="GAG11" s="120"/>
      <c r="GAH11" s="120"/>
      <c r="GAI11" s="120"/>
      <c r="GAJ11" s="120"/>
      <c r="GAK11" s="120"/>
      <c r="GAL11" s="120"/>
      <c r="GAM11" s="120"/>
      <c r="GAN11" s="120"/>
      <c r="GAO11" s="120"/>
      <c r="GAP11" s="120"/>
      <c r="GAQ11" s="120"/>
      <c r="GAR11" s="120"/>
      <c r="GAS11" s="120"/>
      <c r="GAT11" s="120"/>
      <c r="GAU11" s="120"/>
      <c r="GAV11" s="120"/>
      <c r="GAW11" s="120"/>
      <c r="GAX11" s="120"/>
      <c r="GAY11" s="120"/>
      <c r="GAZ11" s="120"/>
      <c r="GBA11" s="120"/>
      <c r="GBB11" s="120"/>
      <c r="GBC11" s="120"/>
      <c r="GBD11" s="120"/>
      <c r="GBE11" s="120"/>
      <c r="GBF11" s="120"/>
      <c r="GBG11" s="120"/>
      <c r="GBH11" s="120"/>
      <c r="GBI11" s="120"/>
      <c r="GBJ11" s="120"/>
      <c r="GBK11" s="120"/>
      <c r="GBL11" s="120"/>
      <c r="GBM11" s="120"/>
      <c r="GBN11" s="120"/>
      <c r="GBO11" s="120"/>
      <c r="GBP11" s="120"/>
      <c r="GBQ11" s="120"/>
      <c r="GBR11" s="120"/>
      <c r="GBS11" s="120"/>
      <c r="GBT11" s="120"/>
      <c r="GBU11" s="120"/>
      <c r="GBV11" s="120"/>
      <c r="GBW11" s="120"/>
      <c r="GBX11" s="120"/>
      <c r="GBY11" s="120"/>
      <c r="GBZ11" s="120"/>
      <c r="GCA11" s="120"/>
      <c r="GCB11" s="120"/>
      <c r="GCC11" s="120"/>
      <c r="GCD11" s="120"/>
      <c r="GCE11" s="120"/>
      <c r="GCF11" s="120"/>
      <c r="GCG11" s="120"/>
      <c r="GCH11" s="120"/>
      <c r="GCI11" s="120"/>
      <c r="GCJ11" s="120"/>
      <c r="GCK11" s="120"/>
      <c r="GCL11" s="120"/>
      <c r="GCM11" s="120"/>
      <c r="GCN11" s="120"/>
      <c r="GCO11" s="120"/>
      <c r="GCP11" s="120"/>
      <c r="GCQ11" s="120"/>
      <c r="GCR11" s="120"/>
      <c r="GCS11" s="120"/>
      <c r="GCT11" s="120"/>
      <c r="GCU11" s="120"/>
      <c r="GCV11" s="120"/>
      <c r="GCW11" s="120"/>
      <c r="GCX11" s="120"/>
      <c r="GCY11" s="120"/>
      <c r="GCZ11" s="120"/>
      <c r="GDA11" s="120"/>
      <c r="GDB11" s="120"/>
      <c r="GDC11" s="120"/>
      <c r="GDD11" s="120"/>
      <c r="GDE11" s="120"/>
      <c r="GDF11" s="120"/>
      <c r="GDG11" s="120"/>
      <c r="GDH11" s="120"/>
      <c r="GDI11" s="120"/>
      <c r="GDJ11" s="120"/>
      <c r="GDK11" s="120"/>
      <c r="GDL11" s="120"/>
      <c r="GDM11" s="120"/>
      <c r="GDN11" s="120"/>
      <c r="GDO11" s="120"/>
      <c r="GDP11" s="120"/>
      <c r="GDQ11" s="120"/>
      <c r="GDR11" s="120"/>
      <c r="GDS11" s="120"/>
      <c r="GDT11" s="120"/>
      <c r="GDU11" s="120"/>
      <c r="GDV11" s="120"/>
      <c r="GDW11" s="120"/>
      <c r="GDX11" s="120"/>
      <c r="GDY11" s="120"/>
      <c r="GDZ11" s="120"/>
      <c r="GEA11" s="120"/>
      <c r="GEB11" s="120"/>
      <c r="GEC11" s="120"/>
      <c r="GED11" s="120"/>
      <c r="GEE11" s="120"/>
      <c r="GEF11" s="120"/>
      <c r="GEG11" s="120"/>
      <c r="GEH11" s="120"/>
      <c r="GEI11" s="120"/>
      <c r="GEJ11" s="120"/>
      <c r="GEK11" s="120"/>
      <c r="GEL11" s="120"/>
      <c r="GEM11" s="120"/>
      <c r="GEN11" s="120"/>
      <c r="GEO11" s="120"/>
      <c r="GEP11" s="120"/>
      <c r="GEQ11" s="120"/>
      <c r="GER11" s="120"/>
      <c r="GES11" s="120"/>
      <c r="GET11" s="120"/>
      <c r="GEU11" s="120"/>
      <c r="GEV11" s="120"/>
      <c r="GEW11" s="120"/>
      <c r="GEX11" s="120"/>
      <c r="GEY11" s="120"/>
      <c r="GEZ11" s="120"/>
      <c r="GFA11" s="120"/>
      <c r="GFB11" s="120"/>
      <c r="GFC11" s="120"/>
      <c r="GFD11" s="120"/>
      <c r="GFE11" s="120"/>
      <c r="GFF11" s="120"/>
      <c r="GFG11" s="120"/>
      <c r="GFH11" s="120"/>
      <c r="GFI11" s="120"/>
      <c r="GFJ11" s="120"/>
      <c r="GFK11" s="120"/>
      <c r="GFL11" s="120"/>
      <c r="GFM11" s="120"/>
      <c r="GFN11" s="120"/>
      <c r="GFO11" s="120"/>
      <c r="GFP11" s="120"/>
      <c r="GFQ11" s="120"/>
      <c r="GFR11" s="120"/>
      <c r="GFS11" s="120"/>
      <c r="GFT11" s="120"/>
      <c r="GFU11" s="120"/>
      <c r="GFV11" s="120"/>
      <c r="GFW11" s="120"/>
      <c r="GFX11" s="120"/>
      <c r="GFY11" s="120"/>
      <c r="GFZ11" s="120"/>
      <c r="GGA11" s="120"/>
      <c r="GGB11" s="120"/>
      <c r="GGC11" s="120"/>
      <c r="GGD11" s="120"/>
      <c r="GGE11" s="120"/>
      <c r="GGF11" s="120"/>
      <c r="GGG11" s="120"/>
      <c r="GGH11" s="120"/>
      <c r="GGI11" s="120"/>
      <c r="GGJ11" s="120"/>
      <c r="GGK11" s="120"/>
      <c r="GGL11" s="120"/>
      <c r="GGM11" s="120"/>
      <c r="GGN11" s="120"/>
      <c r="GGO11" s="120"/>
      <c r="GGP11" s="120"/>
      <c r="GGQ11" s="120"/>
      <c r="GGR11" s="120"/>
      <c r="GGS11" s="120"/>
      <c r="GGT11" s="120"/>
      <c r="GGU11" s="120"/>
      <c r="GGV11" s="120"/>
      <c r="GGW11" s="120"/>
      <c r="GGX11" s="120"/>
      <c r="GGY11" s="120"/>
      <c r="GGZ11" s="120"/>
      <c r="GHA11" s="120"/>
      <c r="GHB11" s="120"/>
      <c r="GHC11" s="120"/>
      <c r="GHD11" s="120"/>
      <c r="GHE11" s="120"/>
      <c r="GHF11" s="120"/>
      <c r="GHG11" s="120"/>
      <c r="GHH11" s="120"/>
      <c r="GHI11" s="120"/>
      <c r="GHJ11" s="120"/>
      <c r="GHK11" s="120"/>
      <c r="GHL11" s="120"/>
      <c r="GHM11" s="120"/>
      <c r="GHN11" s="120"/>
      <c r="GHO11" s="120"/>
      <c r="GHP11" s="120"/>
      <c r="GHQ11" s="120"/>
      <c r="GHR11" s="120"/>
      <c r="GHS11" s="120"/>
      <c r="GHT11" s="120"/>
      <c r="GHU11" s="120"/>
      <c r="GHV11" s="120"/>
      <c r="GHW11" s="120"/>
      <c r="GHX11" s="120"/>
      <c r="GHY11" s="120"/>
      <c r="GHZ11" s="120"/>
      <c r="GIA11" s="120"/>
      <c r="GIB11" s="120"/>
      <c r="GIC11" s="120"/>
      <c r="GID11" s="120"/>
      <c r="GIE11" s="120"/>
      <c r="GIF11" s="120"/>
      <c r="GIG11" s="120"/>
      <c r="GIH11" s="120"/>
      <c r="GII11" s="120"/>
      <c r="GIJ11" s="120"/>
      <c r="GIK11" s="120"/>
      <c r="GIL11" s="120"/>
      <c r="GIM11" s="120"/>
      <c r="GIN11" s="120"/>
      <c r="GIO11" s="120"/>
      <c r="GIP11" s="120"/>
      <c r="GIQ11" s="120"/>
      <c r="GIR11" s="120"/>
      <c r="GIS11" s="120"/>
      <c r="GIT11" s="120"/>
      <c r="GIU11" s="120"/>
      <c r="GIV11" s="120"/>
      <c r="GIW11" s="120"/>
      <c r="GIX11" s="120"/>
      <c r="GIY11" s="120"/>
      <c r="GIZ11" s="120"/>
      <c r="GJA11" s="120"/>
      <c r="GJB11" s="120"/>
      <c r="GJC11" s="120"/>
      <c r="GJD11" s="120"/>
      <c r="GJE11" s="120"/>
      <c r="GJF11" s="120"/>
      <c r="GJG11" s="120"/>
      <c r="GJH11" s="120"/>
      <c r="GJI11" s="120"/>
      <c r="GJJ11" s="120"/>
      <c r="GJK11" s="120"/>
      <c r="GJL11" s="120"/>
      <c r="GJM11" s="120"/>
      <c r="GJN11" s="120"/>
      <c r="GJO11" s="120"/>
      <c r="GJP11" s="120"/>
      <c r="GJQ11" s="120"/>
      <c r="GJR11" s="120"/>
      <c r="GJS11" s="120"/>
      <c r="GJT11" s="120"/>
      <c r="GJU11" s="120"/>
      <c r="GJV11" s="120"/>
      <c r="GJW11" s="120"/>
      <c r="GJX11" s="120"/>
      <c r="GJY11" s="120"/>
      <c r="GJZ11" s="120"/>
      <c r="GKA11" s="120"/>
      <c r="GKB11" s="120"/>
      <c r="GKC11" s="120"/>
      <c r="GKD11" s="120"/>
      <c r="GKE11" s="120"/>
      <c r="GKF11" s="120"/>
      <c r="GKG11" s="120"/>
      <c r="GKH11" s="120"/>
      <c r="GKI11" s="120"/>
      <c r="GKJ11" s="120"/>
      <c r="GKK11" s="120"/>
      <c r="GKL11" s="120"/>
      <c r="GKM11" s="120"/>
      <c r="GKN11" s="120"/>
      <c r="GKO11" s="120"/>
      <c r="GKP11" s="120"/>
      <c r="GKQ11" s="120"/>
      <c r="GKR11" s="120"/>
      <c r="GKS11" s="120"/>
      <c r="GKT11" s="120"/>
      <c r="GKU11" s="120"/>
      <c r="GKV11" s="120"/>
      <c r="GKW11" s="120"/>
      <c r="GKX11" s="120"/>
      <c r="GKY11" s="120"/>
      <c r="GKZ11" s="120"/>
      <c r="GLA11" s="120"/>
      <c r="GLB11" s="120"/>
      <c r="GLC11" s="120"/>
      <c r="GLD11" s="120"/>
      <c r="GLE11" s="120"/>
      <c r="GLF11" s="120"/>
      <c r="GLG11" s="120"/>
      <c r="GLH11" s="120"/>
      <c r="GLI11" s="120"/>
      <c r="GLJ11" s="120"/>
      <c r="GLK11" s="120"/>
      <c r="GLL11" s="120"/>
      <c r="GLM11" s="120"/>
      <c r="GLN11" s="120"/>
      <c r="GLO11" s="120"/>
      <c r="GLP11" s="120"/>
      <c r="GLQ11" s="120"/>
      <c r="GLR11" s="120"/>
      <c r="GLS11" s="120"/>
      <c r="GLT11" s="120"/>
      <c r="GLU11" s="120"/>
      <c r="GLV11" s="120"/>
      <c r="GLW11" s="120"/>
      <c r="GLX11" s="120"/>
      <c r="GLY11" s="120"/>
      <c r="GLZ11" s="120"/>
      <c r="GMA11" s="120"/>
      <c r="GMB11" s="120"/>
      <c r="GMC11" s="120"/>
      <c r="GMD11" s="120"/>
      <c r="GME11" s="120"/>
      <c r="GMF11" s="120"/>
      <c r="GMG11" s="120"/>
      <c r="GMH11" s="120"/>
      <c r="GMI11" s="120"/>
      <c r="GMJ11" s="120"/>
      <c r="GMK11" s="120"/>
      <c r="GML11" s="120"/>
      <c r="GMM11" s="120"/>
      <c r="GMN11" s="120"/>
      <c r="GMO11" s="120"/>
      <c r="GMP11" s="120"/>
      <c r="GMQ11" s="120"/>
      <c r="GMR11" s="120"/>
      <c r="GMS11" s="120"/>
      <c r="GMT11" s="120"/>
      <c r="GMU11" s="120"/>
      <c r="GMV11" s="120"/>
      <c r="GMW11" s="120"/>
      <c r="GMX11" s="120"/>
      <c r="GMY11" s="120"/>
      <c r="GMZ11" s="120"/>
      <c r="GNA11" s="120"/>
      <c r="GNB11" s="120"/>
      <c r="GNC11" s="120"/>
      <c r="GND11" s="120"/>
      <c r="GNE11" s="120"/>
      <c r="GNF11" s="120"/>
      <c r="GNG11" s="120"/>
      <c r="GNH11" s="120"/>
      <c r="GNI11" s="120"/>
      <c r="GNJ11" s="120"/>
      <c r="GNK11" s="120"/>
      <c r="GNL11" s="120"/>
      <c r="GNM11" s="120"/>
      <c r="GNN11" s="120"/>
      <c r="GNO11" s="120"/>
      <c r="GNP11" s="120"/>
      <c r="GNQ11" s="120"/>
      <c r="GNR11" s="120"/>
      <c r="GNS11" s="120"/>
      <c r="GNT11" s="120"/>
      <c r="GNU11" s="120"/>
      <c r="GNV11" s="120"/>
      <c r="GNW11" s="120"/>
      <c r="GNX11" s="120"/>
      <c r="GNY11" s="120"/>
      <c r="GNZ11" s="120"/>
      <c r="GOA11" s="120"/>
      <c r="GOB11" s="120"/>
      <c r="GOC11" s="120"/>
      <c r="GOD11" s="120"/>
      <c r="GOE11" s="120"/>
      <c r="GOF11" s="120"/>
      <c r="GOG11" s="120"/>
      <c r="GOH11" s="120"/>
      <c r="GOI11" s="120"/>
      <c r="GOJ11" s="120"/>
      <c r="GOK11" s="120"/>
      <c r="GOL11" s="120"/>
      <c r="GOM11" s="120"/>
      <c r="GON11" s="120"/>
      <c r="GOO11" s="120"/>
      <c r="GOP11" s="120"/>
      <c r="GOQ11" s="120"/>
      <c r="GOR11" s="120"/>
      <c r="GOS11" s="120"/>
      <c r="GOT11" s="120"/>
      <c r="GOU11" s="120"/>
      <c r="GOV11" s="120"/>
      <c r="GOW11" s="120"/>
      <c r="GOX11" s="120"/>
      <c r="GOY11" s="120"/>
      <c r="GOZ11" s="120"/>
      <c r="GPA11" s="120"/>
      <c r="GPB11" s="120"/>
      <c r="GPC11" s="120"/>
      <c r="GPD11" s="120"/>
      <c r="GPE11" s="120"/>
      <c r="GPF11" s="120"/>
      <c r="GPG11" s="120"/>
      <c r="GPH11" s="120"/>
      <c r="GPI11" s="120"/>
      <c r="GPJ11" s="120"/>
      <c r="GPK11" s="120"/>
      <c r="GPL11" s="120"/>
      <c r="GPM11" s="120"/>
      <c r="GPN11" s="120"/>
      <c r="GPO11" s="120"/>
      <c r="GPP11" s="120"/>
      <c r="GPQ11" s="120"/>
      <c r="GPR11" s="120"/>
      <c r="GPS11" s="120"/>
      <c r="GPT11" s="120"/>
      <c r="GPU11" s="120"/>
      <c r="GPV11" s="120"/>
      <c r="GPW11" s="120"/>
      <c r="GPX11" s="120"/>
      <c r="GPY11" s="120"/>
      <c r="GPZ11" s="120"/>
      <c r="GQA11" s="120"/>
      <c r="GQB11" s="120"/>
      <c r="GQC11" s="120"/>
      <c r="GQD11" s="120"/>
      <c r="GQE11" s="120"/>
      <c r="GQF11" s="120"/>
      <c r="GQG11" s="120"/>
      <c r="GQH11" s="120"/>
      <c r="GQI11" s="120"/>
      <c r="GQJ11" s="120"/>
      <c r="GQK11" s="120"/>
      <c r="GQL11" s="120"/>
      <c r="GQM11" s="120"/>
      <c r="GQN11" s="120"/>
      <c r="GQO11" s="120"/>
      <c r="GQP11" s="120"/>
      <c r="GQQ11" s="120"/>
      <c r="GQR11" s="120"/>
      <c r="GQS11" s="120"/>
      <c r="GQT11" s="120"/>
      <c r="GQU11" s="120"/>
      <c r="GQV11" s="120"/>
      <c r="GQW11" s="120"/>
      <c r="GQX11" s="120"/>
      <c r="GQY11" s="120"/>
      <c r="GQZ11" s="120"/>
      <c r="GRA11" s="120"/>
      <c r="GRB11" s="120"/>
      <c r="GRC11" s="120"/>
      <c r="GRD11" s="120"/>
      <c r="GRE11" s="120"/>
      <c r="GRF11" s="120"/>
      <c r="GRG11" s="120"/>
      <c r="GRH11" s="120"/>
      <c r="GRI11" s="120"/>
      <c r="GRJ11" s="120"/>
      <c r="GRK11" s="120"/>
      <c r="GRL11" s="120"/>
      <c r="GRM11" s="120"/>
      <c r="GRN11" s="120"/>
      <c r="GRO11" s="120"/>
      <c r="GRP11" s="120"/>
      <c r="GRQ11" s="120"/>
      <c r="GRR11" s="120"/>
      <c r="GRS11" s="120"/>
      <c r="GRT11" s="120"/>
      <c r="GRU11" s="120"/>
      <c r="GRV11" s="120"/>
      <c r="GRW11" s="120"/>
      <c r="GRX11" s="120"/>
      <c r="GRY11" s="120"/>
      <c r="GRZ11" s="120"/>
      <c r="GSA11" s="120"/>
      <c r="GSB11" s="120"/>
      <c r="GSC11" s="120"/>
      <c r="GSD11" s="120"/>
      <c r="GSE11" s="120"/>
      <c r="GSF11" s="120"/>
      <c r="GSG11" s="120"/>
      <c r="GSH11" s="120"/>
      <c r="GSI11" s="120"/>
      <c r="GSJ11" s="120"/>
      <c r="GSK11" s="120"/>
      <c r="GSL11" s="120"/>
      <c r="GSM11" s="120"/>
      <c r="GSN11" s="120"/>
      <c r="GSO11" s="120"/>
      <c r="GSP11" s="120"/>
      <c r="GSQ11" s="120"/>
      <c r="GSR11" s="120"/>
      <c r="GSS11" s="120"/>
      <c r="GST11" s="120"/>
      <c r="GSU11" s="120"/>
      <c r="GSV11" s="120"/>
      <c r="GSW11" s="120"/>
      <c r="GSX11" s="120"/>
      <c r="GSY11" s="120"/>
      <c r="GSZ11" s="120"/>
      <c r="GTA11" s="120"/>
      <c r="GTB11" s="120"/>
      <c r="GTC11" s="120"/>
      <c r="GTD11" s="120"/>
      <c r="GTE11" s="120"/>
      <c r="GTF11" s="120"/>
      <c r="GTG11" s="120"/>
      <c r="GTH11" s="120"/>
      <c r="GTI11" s="120"/>
      <c r="GTJ11" s="120"/>
      <c r="GTK11" s="120"/>
      <c r="GTL11" s="120"/>
      <c r="GTM11" s="120"/>
      <c r="GTN11" s="120"/>
      <c r="GTO11" s="120"/>
      <c r="GTP11" s="120"/>
      <c r="GTQ11" s="120"/>
      <c r="GTR11" s="120"/>
      <c r="GTS11" s="120"/>
      <c r="GTT11" s="120"/>
      <c r="GTU11" s="120"/>
      <c r="GTV11" s="120"/>
      <c r="GTW11" s="120"/>
      <c r="GTX11" s="120"/>
      <c r="GTY11" s="120"/>
      <c r="GTZ11" s="120"/>
      <c r="GUA11" s="120"/>
      <c r="GUB11" s="120"/>
      <c r="GUC11" s="120"/>
      <c r="GUD11" s="120"/>
      <c r="GUE11" s="120"/>
      <c r="GUF11" s="120"/>
      <c r="GUG11" s="120"/>
      <c r="GUH11" s="120"/>
      <c r="GUI11" s="120"/>
      <c r="GUJ11" s="120"/>
      <c r="GUK11" s="120"/>
      <c r="GUL11" s="120"/>
      <c r="GUM11" s="120"/>
      <c r="GUN11" s="120"/>
      <c r="GUO11" s="120"/>
      <c r="GUP11" s="120"/>
      <c r="GUQ11" s="120"/>
      <c r="GUR11" s="120"/>
      <c r="GUS11" s="120"/>
      <c r="GUT11" s="120"/>
      <c r="GUU11" s="120"/>
      <c r="GUV11" s="120"/>
      <c r="GUW11" s="120"/>
      <c r="GUX11" s="120"/>
      <c r="GUY11" s="120"/>
      <c r="GUZ11" s="120"/>
      <c r="GVA11" s="120"/>
      <c r="GVB11" s="120"/>
      <c r="GVC11" s="120"/>
      <c r="GVD11" s="120"/>
      <c r="GVE11" s="120"/>
      <c r="GVF11" s="120"/>
      <c r="GVG11" s="120"/>
      <c r="GVH11" s="120"/>
      <c r="GVI11" s="120"/>
      <c r="GVJ11" s="120"/>
      <c r="GVK11" s="120"/>
      <c r="GVL11" s="120"/>
      <c r="GVM11" s="120"/>
      <c r="GVN11" s="120"/>
      <c r="GVO11" s="120"/>
      <c r="GVP11" s="120"/>
      <c r="GVQ11" s="120"/>
      <c r="GVR11" s="120"/>
      <c r="GVS11" s="120"/>
      <c r="GVT11" s="120"/>
      <c r="GVU11" s="120"/>
      <c r="GVV11" s="120"/>
      <c r="GVW11" s="120"/>
      <c r="GVX11" s="120"/>
      <c r="GVY11" s="120"/>
      <c r="GVZ11" s="120"/>
      <c r="GWA11" s="120"/>
      <c r="GWB11" s="120"/>
      <c r="GWC11" s="120"/>
      <c r="GWD11" s="120"/>
      <c r="GWE11" s="120"/>
      <c r="GWF11" s="120"/>
      <c r="GWG11" s="120"/>
      <c r="GWH11" s="120"/>
      <c r="GWI11" s="120"/>
      <c r="GWJ11" s="120"/>
      <c r="GWK11" s="120"/>
      <c r="GWL11" s="120"/>
      <c r="GWM11" s="120"/>
      <c r="GWN11" s="120"/>
      <c r="GWO11" s="120"/>
      <c r="GWP11" s="120"/>
      <c r="GWQ11" s="120"/>
      <c r="GWR11" s="120"/>
      <c r="GWS11" s="120"/>
      <c r="GWT11" s="120"/>
      <c r="GWU11" s="120"/>
      <c r="GWV11" s="120"/>
      <c r="GWW11" s="120"/>
      <c r="GWX11" s="120"/>
      <c r="GWY11" s="120"/>
      <c r="GWZ11" s="120"/>
      <c r="GXA11" s="120"/>
      <c r="GXB11" s="120"/>
      <c r="GXC11" s="120"/>
      <c r="GXD11" s="120"/>
      <c r="GXE11" s="120"/>
      <c r="GXF11" s="120"/>
      <c r="GXG11" s="120"/>
      <c r="GXH11" s="120"/>
      <c r="GXI11" s="120"/>
      <c r="GXJ11" s="120"/>
      <c r="GXK11" s="120"/>
      <c r="GXL11" s="120"/>
      <c r="GXM11" s="120"/>
      <c r="GXN11" s="120"/>
      <c r="GXO11" s="120"/>
      <c r="GXP11" s="120"/>
      <c r="GXQ11" s="120"/>
      <c r="GXR11" s="120"/>
      <c r="GXS11" s="120"/>
      <c r="GXT11" s="120"/>
      <c r="GXU11" s="120"/>
      <c r="GXV11" s="120"/>
      <c r="GXW11" s="120"/>
      <c r="GXX11" s="120"/>
      <c r="GXY11" s="120"/>
      <c r="GXZ11" s="120"/>
      <c r="GYA11" s="120"/>
      <c r="GYB11" s="120"/>
      <c r="GYC11" s="120"/>
      <c r="GYD11" s="120"/>
      <c r="GYE11" s="120"/>
      <c r="GYF11" s="120"/>
      <c r="GYG11" s="120"/>
      <c r="GYH11" s="120"/>
      <c r="GYI11" s="120"/>
      <c r="GYJ11" s="120"/>
      <c r="GYK11" s="120"/>
      <c r="GYL11" s="120"/>
      <c r="GYM11" s="120"/>
      <c r="GYN11" s="120"/>
      <c r="GYO11" s="120"/>
      <c r="GYP11" s="120"/>
      <c r="GYQ11" s="120"/>
      <c r="GYR11" s="120"/>
      <c r="GYS11" s="120"/>
      <c r="GYT11" s="120"/>
      <c r="GYU11" s="120"/>
      <c r="GYV11" s="120"/>
      <c r="GYW11" s="120"/>
      <c r="GYX11" s="120"/>
      <c r="GYY11" s="120"/>
      <c r="GYZ11" s="120"/>
      <c r="GZA11" s="120"/>
      <c r="GZB11" s="120"/>
      <c r="GZC11" s="120"/>
      <c r="GZD11" s="120"/>
      <c r="GZE11" s="120"/>
      <c r="GZF11" s="120"/>
      <c r="GZG11" s="120"/>
      <c r="GZH11" s="120"/>
      <c r="GZI11" s="120"/>
      <c r="GZJ11" s="120"/>
      <c r="GZK11" s="120"/>
      <c r="GZL11" s="120"/>
      <c r="GZM11" s="120"/>
      <c r="GZN11" s="120"/>
      <c r="GZO11" s="120"/>
      <c r="GZP11" s="120"/>
      <c r="GZQ11" s="120"/>
      <c r="GZR11" s="120"/>
      <c r="GZS11" s="120"/>
      <c r="GZT11" s="120"/>
      <c r="GZU11" s="120"/>
      <c r="GZV11" s="120"/>
      <c r="GZW11" s="120"/>
      <c r="GZX11" s="120"/>
      <c r="GZY11" s="120"/>
      <c r="GZZ11" s="120"/>
      <c r="HAA11" s="120"/>
      <c r="HAB11" s="120"/>
      <c r="HAC11" s="120"/>
      <c r="HAD11" s="120"/>
      <c r="HAE11" s="120"/>
      <c r="HAF11" s="120"/>
      <c r="HAG11" s="120"/>
      <c r="HAH11" s="120"/>
      <c r="HAI11" s="120"/>
      <c r="HAJ11" s="120"/>
      <c r="HAK11" s="120"/>
      <c r="HAL11" s="120"/>
      <c r="HAM11" s="120"/>
      <c r="HAN11" s="120"/>
      <c r="HAO11" s="120"/>
      <c r="HAP11" s="120"/>
      <c r="HAQ11" s="120"/>
      <c r="HAR11" s="120"/>
      <c r="HAS11" s="120"/>
      <c r="HAT11" s="120"/>
      <c r="HAU11" s="120"/>
      <c r="HAV11" s="120"/>
      <c r="HAW11" s="120"/>
      <c r="HAX11" s="120"/>
      <c r="HAY11" s="120"/>
      <c r="HAZ11" s="120"/>
      <c r="HBA11" s="120"/>
      <c r="HBB11" s="120"/>
      <c r="HBC11" s="120"/>
      <c r="HBD11" s="120"/>
      <c r="HBE11" s="120"/>
      <c r="HBF11" s="120"/>
      <c r="HBG11" s="120"/>
      <c r="HBH11" s="120"/>
      <c r="HBI11" s="120"/>
      <c r="HBJ11" s="120"/>
      <c r="HBK11" s="120"/>
      <c r="HBL11" s="120"/>
      <c r="HBM11" s="120"/>
      <c r="HBN11" s="120"/>
      <c r="HBO11" s="120"/>
      <c r="HBP11" s="120"/>
      <c r="HBQ11" s="120"/>
      <c r="HBR11" s="120"/>
      <c r="HBS11" s="120"/>
      <c r="HBT11" s="120"/>
      <c r="HBU11" s="120"/>
      <c r="HBV11" s="120"/>
      <c r="HBW11" s="120"/>
      <c r="HBX11" s="120"/>
      <c r="HBY11" s="120"/>
      <c r="HBZ11" s="120"/>
      <c r="HCA11" s="120"/>
      <c r="HCB11" s="120"/>
      <c r="HCC11" s="120"/>
      <c r="HCD11" s="120"/>
      <c r="HCE11" s="120"/>
      <c r="HCF11" s="120"/>
      <c r="HCG11" s="120"/>
      <c r="HCH11" s="120"/>
      <c r="HCI11" s="120"/>
      <c r="HCJ11" s="120"/>
      <c r="HCK11" s="120"/>
      <c r="HCL11" s="120"/>
      <c r="HCM11" s="120"/>
      <c r="HCN11" s="120"/>
      <c r="HCO11" s="120"/>
      <c r="HCP11" s="120"/>
      <c r="HCQ11" s="120"/>
      <c r="HCR11" s="120"/>
      <c r="HCS11" s="120"/>
      <c r="HCT11" s="120"/>
      <c r="HCU11" s="120"/>
      <c r="HCV11" s="120"/>
      <c r="HCW11" s="120"/>
      <c r="HCX11" s="120"/>
      <c r="HCY11" s="120"/>
      <c r="HCZ11" s="120"/>
      <c r="HDA11" s="120"/>
      <c r="HDB11" s="120"/>
      <c r="HDC11" s="120"/>
      <c r="HDD11" s="120"/>
      <c r="HDE11" s="120"/>
      <c r="HDF11" s="120"/>
      <c r="HDG11" s="120"/>
      <c r="HDH11" s="120"/>
      <c r="HDI11" s="120"/>
      <c r="HDJ11" s="120"/>
      <c r="HDK11" s="120"/>
      <c r="HDL11" s="120"/>
      <c r="HDM11" s="120"/>
      <c r="HDN11" s="120"/>
      <c r="HDO11" s="120"/>
      <c r="HDP11" s="120"/>
      <c r="HDQ11" s="120"/>
      <c r="HDR11" s="120"/>
      <c r="HDS11" s="120"/>
      <c r="HDT11" s="120"/>
      <c r="HDU11" s="120"/>
      <c r="HDV11" s="120"/>
      <c r="HDW11" s="120"/>
      <c r="HDX11" s="120"/>
      <c r="HDY11" s="120"/>
      <c r="HDZ11" s="120"/>
      <c r="HEA11" s="120"/>
      <c r="HEB11" s="120"/>
      <c r="HEC11" s="120"/>
      <c r="HED11" s="120"/>
      <c r="HEE11" s="120"/>
      <c r="HEF11" s="120"/>
      <c r="HEG11" s="120"/>
      <c r="HEH11" s="120"/>
      <c r="HEI11" s="120"/>
      <c r="HEJ11" s="120"/>
      <c r="HEK11" s="120"/>
      <c r="HEL11" s="120"/>
      <c r="HEM11" s="120"/>
      <c r="HEN11" s="120"/>
      <c r="HEO11" s="120"/>
      <c r="HEP11" s="120"/>
      <c r="HEQ11" s="120"/>
      <c r="HER11" s="120"/>
      <c r="HES11" s="120"/>
      <c r="HET11" s="120"/>
      <c r="HEU11" s="120"/>
      <c r="HEV11" s="120"/>
      <c r="HEW11" s="120"/>
      <c r="HEX11" s="120"/>
      <c r="HEY11" s="120"/>
      <c r="HEZ11" s="120"/>
      <c r="HFA11" s="120"/>
      <c r="HFB11" s="120"/>
      <c r="HFC11" s="120"/>
      <c r="HFD11" s="120"/>
      <c r="HFE11" s="120"/>
      <c r="HFF11" s="120"/>
      <c r="HFG11" s="120"/>
      <c r="HFH11" s="120"/>
      <c r="HFI11" s="120"/>
      <c r="HFJ11" s="120"/>
      <c r="HFK11" s="120"/>
      <c r="HFL11" s="120"/>
      <c r="HFM11" s="120"/>
      <c r="HFN11" s="120"/>
      <c r="HFO11" s="120"/>
      <c r="HFP11" s="120"/>
      <c r="HFQ11" s="120"/>
      <c r="HFR11" s="120"/>
      <c r="HFS11" s="120"/>
      <c r="HFT11" s="120"/>
      <c r="HFU11" s="120"/>
      <c r="HFV11" s="120"/>
      <c r="HFW11" s="120"/>
      <c r="HFX11" s="120"/>
      <c r="HFY11" s="120"/>
      <c r="HFZ11" s="120"/>
      <c r="HGA11" s="120"/>
      <c r="HGB11" s="120"/>
      <c r="HGC11" s="120"/>
      <c r="HGD11" s="120"/>
      <c r="HGE11" s="120"/>
      <c r="HGF11" s="120"/>
      <c r="HGG11" s="120"/>
      <c r="HGH11" s="120"/>
      <c r="HGI11" s="120"/>
      <c r="HGJ11" s="120"/>
      <c r="HGK11" s="120"/>
      <c r="HGL11" s="120"/>
      <c r="HGM11" s="120"/>
      <c r="HGN11" s="120"/>
      <c r="HGO11" s="120"/>
      <c r="HGP11" s="120"/>
      <c r="HGQ11" s="120"/>
      <c r="HGR11" s="120"/>
      <c r="HGS11" s="120"/>
      <c r="HGT11" s="120"/>
      <c r="HGU11" s="120"/>
      <c r="HGV11" s="120"/>
      <c r="HGW11" s="120"/>
      <c r="HGX11" s="120"/>
      <c r="HGY11" s="120"/>
      <c r="HGZ11" s="120"/>
      <c r="HHA11" s="120"/>
      <c r="HHB11" s="120"/>
      <c r="HHC11" s="120"/>
      <c r="HHD11" s="120"/>
      <c r="HHE11" s="120"/>
      <c r="HHF11" s="120"/>
      <c r="HHG11" s="120"/>
      <c r="HHH11" s="120"/>
      <c r="HHI11" s="120"/>
      <c r="HHJ11" s="120"/>
      <c r="HHK11" s="120"/>
      <c r="HHL11" s="120"/>
      <c r="HHM11" s="120"/>
      <c r="HHN11" s="120"/>
      <c r="HHO11" s="120"/>
      <c r="HHP11" s="120"/>
      <c r="HHQ11" s="120"/>
      <c r="HHR11" s="120"/>
      <c r="HHS11" s="120"/>
      <c r="HHT11" s="120"/>
      <c r="HHU11" s="120"/>
      <c r="HHV11" s="120"/>
      <c r="HHW11" s="120"/>
      <c r="HHX11" s="120"/>
      <c r="HHY11" s="120"/>
      <c r="HHZ11" s="120"/>
      <c r="HIA11" s="120"/>
      <c r="HIB11" s="120"/>
      <c r="HIC11" s="120"/>
      <c r="HID11" s="120"/>
      <c r="HIE11" s="120"/>
      <c r="HIF11" s="120"/>
      <c r="HIG11" s="120"/>
      <c r="HIH11" s="120"/>
      <c r="HII11" s="120"/>
      <c r="HIJ11" s="120"/>
      <c r="HIK11" s="120"/>
      <c r="HIL11" s="120"/>
      <c r="HIM11" s="120"/>
      <c r="HIN11" s="120"/>
      <c r="HIO11" s="120"/>
      <c r="HIP11" s="120"/>
      <c r="HIQ11" s="120"/>
      <c r="HIR11" s="120"/>
      <c r="HIS11" s="120"/>
      <c r="HIT11" s="120"/>
      <c r="HIU11" s="120"/>
      <c r="HIV11" s="120"/>
      <c r="HIW11" s="120"/>
      <c r="HIX11" s="120"/>
      <c r="HIY11" s="120"/>
      <c r="HIZ11" s="120"/>
      <c r="HJA11" s="120"/>
      <c r="HJB11" s="120"/>
      <c r="HJC11" s="120"/>
      <c r="HJD11" s="120"/>
      <c r="HJE11" s="120"/>
      <c r="HJF11" s="120"/>
      <c r="HJG11" s="120"/>
      <c r="HJH11" s="120"/>
      <c r="HJI11" s="120"/>
      <c r="HJJ11" s="120"/>
      <c r="HJK11" s="120"/>
      <c r="HJL11" s="120"/>
      <c r="HJM11" s="120"/>
      <c r="HJN11" s="120"/>
      <c r="HJO11" s="120"/>
      <c r="HJP11" s="120"/>
      <c r="HJQ11" s="120"/>
      <c r="HJR11" s="120"/>
      <c r="HJS11" s="120"/>
      <c r="HJT11" s="120"/>
      <c r="HJU11" s="120"/>
      <c r="HJV11" s="120"/>
      <c r="HJW11" s="120"/>
      <c r="HJX11" s="120"/>
      <c r="HJY11" s="120"/>
      <c r="HJZ11" s="120"/>
      <c r="HKA11" s="120"/>
      <c r="HKB11" s="120"/>
      <c r="HKC11" s="120"/>
      <c r="HKD11" s="120"/>
      <c r="HKE11" s="120"/>
      <c r="HKF11" s="120"/>
      <c r="HKG11" s="120"/>
      <c r="HKH11" s="120"/>
      <c r="HKI11" s="120"/>
      <c r="HKJ11" s="120"/>
      <c r="HKK11" s="120"/>
      <c r="HKL11" s="120"/>
      <c r="HKM11" s="120"/>
      <c r="HKN11" s="120"/>
      <c r="HKO11" s="120"/>
      <c r="HKP11" s="120"/>
      <c r="HKQ11" s="120"/>
      <c r="HKR11" s="120"/>
      <c r="HKS11" s="120"/>
      <c r="HKT11" s="120"/>
      <c r="HKU11" s="120"/>
      <c r="HKV11" s="120"/>
      <c r="HKW11" s="120"/>
      <c r="HKX11" s="120"/>
      <c r="HKY11" s="120"/>
      <c r="HKZ11" s="120"/>
      <c r="HLA11" s="120"/>
      <c r="HLB11" s="120"/>
      <c r="HLC11" s="120"/>
      <c r="HLD11" s="120"/>
      <c r="HLE11" s="120"/>
      <c r="HLF11" s="120"/>
      <c r="HLG11" s="120"/>
      <c r="HLH11" s="120"/>
      <c r="HLI11" s="120"/>
      <c r="HLJ11" s="120"/>
      <c r="HLK11" s="120"/>
      <c r="HLL11" s="120"/>
      <c r="HLM11" s="120"/>
      <c r="HLN11" s="120"/>
      <c r="HLO11" s="120"/>
      <c r="HLP11" s="120"/>
      <c r="HLQ11" s="120"/>
      <c r="HLR11" s="120"/>
      <c r="HLS11" s="120"/>
      <c r="HLT11" s="120"/>
      <c r="HLU11" s="120"/>
      <c r="HLV11" s="120"/>
      <c r="HLW11" s="120"/>
      <c r="HLX11" s="120"/>
      <c r="HLY11" s="120"/>
      <c r="HLZ11" s="120"/>
      <c r="HMA11" s="120"/>
      <c r="HMB11" s="120"/>
      <c r="HMC11" s="120"/>
      <c r="HMD11" s="120"/>
      <c r="HME11" s="120"/>
      <c r="HMF11" s="120"/>
      <c r="HMG11" s="120"/>
      <c r="HMH11" s="120"/>
      <c r="HMI11" s="120"/>
      <c r="HMJ11" s="120"/>
      <c r="HMK11" s="120"/>
      <c r="HML11" s="120"/>
      <c r="HMM11" s="120"/>
      <c r="HMN11" s="120"/>
      <c r="HMO11" s="120"/>
      <c r="HMP11" s="120"/>
      <c r="HMQ11" s="120"/>
      <c r="HMR11" s="120"/>
      <c r="HMS11" s="120"/>
      <c r="HMT11" s="120"/>
      <c r="HMU11" s="120"/>
      <c r="HMV11" s="120"/>
      <c r="HMW11" s="120"/>
      <c r="HMX11" s="120"/>
      <c r="HMY11" s="120"/>
      <c r="HMZ11" s="120"/>
      <c r="HNA11" s="120"/>
      <c r="HNB11" s="120"/>
      <c r="HNC11" s="120"/>
      <c r="HND11" s="120"/>
      <c r="HNE11" s="120"/>
      <c r="HNF11" s="120"/>
      <c r="HNG11" s="120"/>
      <c r="HNH11" s="120"/>
      <c r="HNI11" s="120"/>
      <c r="HNJ11" s="120"/>
      <c r="HNK11" s="120"/>
      <c r="HNL11" s="120"/>
      <c r="HNM11" s="120"/>
      <c r="HNN11" s="120"/>
      <c r="HNO11" s="120"/>
      <c r="HNP11" s="120"/>
      <c r="HNQ11" s="120"/>
      <c r="HNR11" s="120"/>
      <c r="HNS11" s="120"/>
      <c r="HNT11" s="120"/>
      <c r="HNU11" s="120"/>
      <c r="HNV11" s="120"/>
      <c r="HNW11" s="120"/>
      <c r="HNX11" s="120"/>
      <c r="HNY11" s="120"/>
      <c r="HNZ11" s="120"/>
      <c r="HOA11" s="120"/>
      <c r="HOB11" s="120"/>
      <c r="HOC11" s="120"/>
      <c r="HOD11" s="120"/>
      <c r="HOE11" s="120"/>
      <c r="HOF11" s="120"/>
      <c r="HOG11" s="120"/>
      <c r="HOH11" s="120"/>
      <c r="HOI11" s="120"/>
      <c r="HOJ11" s="120"/>
      <c r="HOK11" s="120"/>
      <c r="HOL11" s="120"/>
      <c r="HOM11" s="120"/>
      <c r="HON11" s="120"/>
      <c r="HOO11" s="120"/>
      <c r="HOP11" s="120"/>
      <c r="HOQ11" s="120"/>
      <c r="HOR11" s="120"/>
      <c r="HOS11" s="120"/>
      <c r="HOT11" s="120"/>
      <c r="HOU11" s="120"/>
      <c r="HOV11" s="120"/>
      <c r="HOW11" s="120"/>
      <c r="HOX11" s="120"/>
      <c r="HOY11" s="120"/>
      <c r="HOZ11" s="120"/>
      <c r="HPA11" s="120"/>
      <c r="HPB11" s="120"/>
      <c r="HPC11" s="120"/>
      <c r="HPD11" s="120"/>
      <c r="HPE11" s="120"/>
      <c r="HPF11" s="120"/>
      <c r="HPG11" s="120"/>
      <c r="HPH11" s="120"/>
      <c r="HPI11" s="120"/>
      <c r="HPJ11" s="120"/>
      <c r="HPK11" s="120"/>
      <c r="HPL11" s="120"/>
      <c r="HPM11" s="120"/>
      <c r="HPN11" s="120"/>
      <c r="HPO11" s="120"/>
      <c r="HPP11" s="120"/>
      <c r="HPQ11" s="120"/>
      <c r="HPR11" s="120"/>
      <c r="HPS11" s="120"/>
      <c r="HPT11" s="120"/>
      <c r="HPU11" s="120"/>
      <c r="HPV11" s="120"/>
      <c r="HPW11" s="120"/>
      <c r="HPX11" s="120"/>
      <c r="HPY11" s="120"/>
      <c r="HPZ11" s="120"/>
      <c r="HQA11" s="120"/>
      <c r="HQB11" s="120"/>
      <c r="HQC11" s="120"/>
      <c r="HQD11" s="120"/>
      <c r="HQE11" s="120"/>
      <c r="HQF11" s="120"/>
      <c r="HQG11" s="120"/>
      <c r="HQH11" s="120"/>
      <c r="HQI11" s="120"/>
      <c r="HQJ11" s="120"/>
      <c r="HQK11" s="120"/>
      <c r="HQL11" s="120"/>
      <c r="HQM11" s="120"/>
      <c r="HQN11" s="120"/>
      <c r="HQO11" s="120"/>
      <c r="HQP11" s="120"/>
      <c r="HQQ11" s="120"/>
      <c r="HQR11" s="120"/>
      <c r="HQS11" s="120"/>
      <c r="HQT11" s="120"/>
      <c r="HQU11" s="120"/>
      <c r="HQV11" s="120"/>
      <c r="HQW11" s="120"/>
      <c r="HQX11" s="120"/>
      <c r="HQY11" s="120"/>
      <c r="HQZ11" s="120"/>
      <c r="HRA11" s="120"/>
      <c r="HRB11" s="120"/>
      <c r="HRC11" s="120"/>
      <c r="HRD11" s="120"/>
      <c r="HRE11" s="120"/>
      <c r="HRF11" s="120"/>
      <c r="HRG11" s="120"/>
      <c r="HRH11" s="120"/>
      <c r="HRI11" s="120"/>
      <c r="HRJ11" s="120"/>
      <c r="HRK11" s="120"/>
      <c r="HRL11" s="120"/>
      <c r="HRM11" s="120"/>
      <c r="HRN11" s="120"/>
      <c r="HRO11" s="120"/>
      <c r="HRP11" s="120"/>
      <c r="HRQ11" s="120"/>
      <c r="HRR11" s="120"/>
      <c r="HRS11" s="120"/>
      <c r="HRT11" s="120"/>
      <c r="HRU11" s="120"/>
      <c r="HRV11" s="120"/>
      <c r="HRW11" s="120"/>
      <c r="HRX11" s="120"/>
      <c r="HRY11" s="120"/>
      <c r="HRZ11" s="120"/>
      <c r="HSA11" s="120"/>
      <c r="HSB11" s="120"/>
      <c r="HSC11" s="120"/>
      <c r="HSD11" s="120"/>
      <c r="HSE11" s="120"/>
      <c r="HSF11" s="120"/>
      <c r="HSG11" s="120"/>
      <c r="HSH11" s="120"/>
      <c r="HSI11" s="120"/>
      <c r="HSJ11" s="120"/>
      <c r="HSK11" s="120"/>
      <c r="HSL11" s="120"/>
      <c r="HSM11" s="120"/>
      <c r="HSN11" s="120"/>
      <c r="HSO11" s="120"/>
      <c r="HSP11" s="120"/>
      <c r="HSQ11" s="120"/>
      <c r="HSR11" s="120"/>
      <c r="HSS11" s="120"/>
      <c r="HST11" s="120"/>
      <c r="HSU11" s="120"/>
      <c r="HSV11" s="120"/>
      <c r="HSW11" s="120"/>
      <c r="HSX11" s="120"/>
      <c r="HSY11" s="120"/>
      <c r="HSZ11" s="120"/>
      <c r="HTA11" s="120"/>
      <c r="HTB11" s="120"/>
      <c r="HTC11" s="120"/>
      <c r="HTD11" s="120"/>
      <c r="HTE11" s="120"/>
      <c r="HTF11" s="120"/>
      <c r="HTG11" s="120"/>
      <c r="HTH11" s="120"/>
      <c r="HTI11" s="120"/>
      <c r="HTJ11" s="120"/>
      <c r="HTK11" s="120"/>
      <c r="HTL11" s="120"/>
      <c r="HTM11" s="120"/>
      <c r="HTN11" s="120"/>
      <c r="HTO11" s="120"/>
      <c r="HTP11" s="120"/>
      <c r="HTQ11" s="120"/>
      <c r="HTR11" s="120"/>
      <c r="HTS11" s="120"/>
      <c r="HTT11" s="120"/>
      <c r="HTU11" s="120"/>
      <c r="HTV11" s="120"/>
      <c r="HTW11" s="120"/>
      <c r="HTX11" s="120"/>
      <c r="HTY11" s="120"/>
      <c r="HTZ11" s="120"/>
      <c r="HUA11" s="120"/>
      <c r="HUB11" s="120"/>
      <c r="HUC11" s="120"/>
      <c r="HUD11" s="120"/>
      <c r="HUE11" s="120"/>
      <c r="HUF11" s="120"/>
      <c r="HUG11" s="120"/>
      <c r="HUH11" s="120"/>
      <c r="HUI11" s="120"/>
      <c r="HUJ11" s="120"/>
      <c r="HUK11" s="120"/>
      <c r="HUL11" s="120"/>
      <c r="HUM11" s="120"/>
      <c r="HUN11" s="120"/>
      <c r="HUO11" s="120"/>
      <c r="HUP11" s="120"/>
      <c r="HUQ11" s="120"/>
      <c r="HUR11" s="120"/>
      <c r="HUS11" s="120"/>
      <c r="HUT11" s="120"/>
      <c r="HUU11" s="120"/>
      <c r="HUV11" s="120"/>
      <c r="HUW11" s="120"/>
      <c r="HUX11" s="120"/>
      <c r="HUY11" s="120"/>
      <c r="HUZ11" s="120"/>
      <c r="HVA11" s="120"/>
      <c r="HVB11" s="120"/>
      <c r="HVC11" s="120"/>
      <c r="HVD11" s="120"/>
      <c r="HVE11" s="120"/>
      <c r="HVF11" s="120"/>
      <c r="HVG11" s="120"/>
      <c r="HVH11" s="120"/>
      <c r="HVI11" s="120"/>
      <c r="HVJ11" s="120"/>
      <c r="HVK11" s="120"/>
      <c r="HVL11" s="120"/>
      <c r="HVM11" s="120"/>
      <c r="HVN11" s="120"/>
      <c r="HVO11" s="120"/>
      <c r="HVP11" s="120"/>
      <c r="HVQ11" s="120"/>
      <c r="HVR11" s="120"/>
      <c r="HVS11" s="120"/>
      <c r="HVT11" s="120"/>
      <c r="HVU11" s="120"/>
      <c r="HVV11" s="120"/>
      <c r="HVW11" s="120"/>
      <c r="HVX11" s="120"/>
      <c r="HVY11" s="120"/>
      <c r="HVZ11" s="120"/>
      <c r="HWA11" s="120"/>
      <c r="HWB11" s="120"/>
      <c r="HWC11" s="120"/>
      <c r="HWD11" s="120"/>
      <c r="HWE11" s="120"/>
      <c r="HWF11" s="120"/>
      <c r="HWG11" s="120"/>
      <c r="HWH11" s="120"/>
      <c r="HWI11" s="120"/>
      <c r="HWJ11" s="120"/>
      <c r="HWK11" s="120"/>
      <c r="HWL11" s="120"/>
      <c r="HWM11" s="120"/>
      <c r="HWN11" s="120"/>
      <c r="HWO11" s="120"/>
      <c r="HWP11" s="120"/>
      <c r="HWQ11" s="120"/>
      <c r="HWR11" s="120"/>
      <c r="HWS11" s="120"/>
      <c r="HWT11" s="120"/>
      <c r="HWU11" s="120"/>
      <c r="HWV11" s="120"/>
      <c r="HWW11" s="120"/>
      <c r="HWX11" s="120"/>
      <c r="HWY11" s="120"/>
      <c r="HWZ11" s="120"/>
      <c r="HXA11" s="120"/>
      <c r="HXB11" s="120"/>
      <c r="HXC11" s="120"/>
      <c r="HXD11" s="120"/>
      <c r="HXE11" s="120"/>
      <c r="HXF11" s="120"/>
      <c r="HXG11" s="120"/>
      <c r="HXH11" s="120"/>
      <c r="HXI11" s="120"/>
      <c r="HXJ11" s="120"/>
      <c r="HXK11" s="120"/>
      <c r="HXL11" s="120"/>
      <c r="HXM11" s="120"/>
      <c r="HXN11" s="120"/>
      <c r="HXO11" s="120"/>
      <c r="HXP11" s="120"/>
      <c r="HXQ11" s="120"/>
      <c r="HXR11" s="120"/>
      <c r="HXS11" s="120"/>
      <c r="HXT11" s="120"/>
      <c r="HXU11" s="120"/>
      <c r="HXV11" s="120"/>
      <c r="HXW11" s="120"/>
      <c r="HXX11" s="120"/>
      <c r="HXY11" s="120"/>
      <c r="HXZ11" s="120"/>
      <c r="HYA11" s="120"/>
      <c r="HYB11" s="120"/>
      <c r="HYC11" s="120"/>
      <c r="HYD11" s="120"/>
      <c r="HYE11" s="120"/>
      <c r="HYF11" s="120"/>
      <c r="HYG11" s="120"/>
      <c r="HYH11" s="120"/>
      <c r="HYI11" s="120"/>
      <c r="HYJ11" s="120"/>
      <c r="HYK11" s="120"/>
      <c r="HYL11" s="120"/>
      <c r="HYM11" s="120"/>
      <c r="HYN11" s="120"/>
      <c r="HYO11" s="120"/>
      <c r="HYP11" s="120"/>
      <c r="HYQ11" s="120"/>
      <c r="HYR11" s="120"/>
      <c r="HYS11" s="120"/>
      <c r="HYT11" s="120"/>
      <c r="HYU11" s="120"/>
      <c r="HYV11" s="120"/>
      <c r="HYW11" s="120"/>
      <c r="HYX11" s="120"/>
      <c r="HYY11" s="120"/>
      <c r="HYZ11" s="120"/>
      <c r="HZA11" s="120"/>
      <c r="HZB11" s="120"/>
      <c r="HZC11" s="120"/>
      <c r="HZD11" s="120"/>
      <c r="HZE11" s="120"/>
      <c r="HZF11" s="120"/>
      <c r="HZG11" s="120"/>
      <c r="HZH11" s="120"/>
      <c r="HZI11" s="120"/>
      <c r="HZJ11" s="120"/>
      <c r="HZK11" s="120"/>
      <c r="HZL11" s="120"/>
      <c r="HZM11" s="120"/>
      <c r="HZN11" s="120"/>
      <c r="HZO11" s="120"/>
      <c r="HZP11" s="120"/>
      <c r="HZQ11" s="120"/>
      <c r="HZR11" s="120"/>
      <c r="HZS11" s="120"/>
      <c r="HZT11" s="120"/>
      <c r="HZU11" s="120"/>
      <c r="HZV11" s="120"/>
      <c r="HZW11" s="120"/>
      <c r="HZX11" s="120"/>
      <c r="HZY11" s="120"/>
      <c r="HZZ11" s="120"/>
      <c r="IAA11" s="120"/>
      <c r="IAB11" s="120"/>
      <c r="IAC11" s="120"/>
      <c r="IAD11" s="120"/>
      <c r="IAE11" s="120"/>
      <c r="IAF11" s="120"/>
      <c r="IAG11" s="120"/>
      <c r="IAH11" s="120"/>
      <c r="IAI11" s="120"/>
      <c r="IAJ11" s="120"/>
      <c r="IAK11" s="120"/>
      <c r="IAL11" s="120"/>
      <c r="IAM11" s="120"/>
      <c r="IAN11" s="120"/>
      <c r="IAO11" s="120"/>
      <c r="IAP11" s="120"/>
      <c r="IAQ11" s="120"/>
      <c r="IAR11" s="120"/>
      <c r="IAS11" s="120"/>
      <c r="IAT11" s="120"/>
      <c r="IAU11" s="120"/>
      <c r="IAV11" s="120"/>
      <c r="IAW11" s="120"/>
      <c r="IAX11" s="120"/>
      <c r="IAY11" s="120"/>
      <c r="IAZ11" s="120"/>
      <c r="IBA11" s="120"/>
      <c r="IBB11" s="120"/>
      <c r="IBC11" s="120"/>
      <c r="IBD11" s="120"/>
      <c r="IBE11" s="120"/>
      <c r="IBF11" s="120"/>
      <c r="IBG11" s="120"/>
      <c r="IBH11" s="120"/>
      <c r="IBI11" s="120"/>
      <c r="IBJ11" s="120"/>
      <c r="IBK11" s="120"/>
      <c r="IBL11" s="120"/>
      <c r="IBM11" s="120"/>
      <c r="IBN11" s="120"/>
      <c r="IBO11" s="120"/>
      <c r="IBP11" s="120"/>
      <c r="IBQ11" s="120"/>
      <c r="IBR11" s="120"/>
      <c r="IBS11" s="120"/>
      <c r="IBT11" s="120"/>
      <c r="IBU11" s="120"/>
      <c r="IBV11" s="120"/>
      <c r="IBW11" s="120"/>
      <c r="IBX11" s="120"/>
      <c r="IBY11" s="120"/>
      <c r="IBZ11" s="120"/>
      <c r="ICA11" s="120"/>
      <c r="ICB11" s="120"/>
      <c r="ICC11" s="120"/>
      <c r="ICD11" s="120"/>
      <c r="ICE11" s="120"/>
      <c r="ICF11" s="120"/>
      <c r="ICG11" s="120"/>
      <c r="ICH11" s="120"/>
      <c r="ICI11" s="120"/>
      <c r="ICJ11" s="120"/>
      <c r="ICK11" s="120"/>
      <c r="ICL11" s="120"/>
      <c r="ICM11" s="120"/>
      <c r="ICN11" s="120"/>
      <c r="ICO11" s="120"/>
      <c r="ICP11" s="120"/>
      <c r="ICQ11" s="120"/>
      <c r="ICR11" s="120"/>
      <c r="ICS11" s="120"/>
      <c r="ICT11" s="120"/>
      <c r="ICU11" s="120"/>
      <c r="ICV11" s="120"/>
      <c r="ICW11" s="120"/>
      <c r="ICX11" s="120"/>
      <c r="ICY11" s="120"/>
      <c r="ICZ11" s="120"/>
      <c r="IDA11" s="120"/>
      <c r="IDB11" s="120"/>
      <c r="IDC11" s="120"/>
      <c r="IDD11" s="120"/>
      <c r="IDE11" s="120"/>
      <c r="IDF11" s="120"/>
      <c r="IDG11" s="120"/>
      <c r="IDH11" s="120"/>
      <c r="IDI11" s="120"/>
      <c r="IDJ11" s="120"/>
      <c r="IDK11" s="120"/>
      <c r="IDL11" s="120"/>
      <c r="IDM11" s="120"/>
      <c r="IDN11" s="120"/>
      <c r="IDO11" s="120"/>
      <c r="IDP11" s="120"/>
      <c r="IDQ11" s="120"/>
      <c r="IDR11" s="120"/>
      <c r="IDS11" s="120"/>
      <c r="IDT11" s="120"/>
      <c r="IDU11" s="120"/>
      <c r="IDV11" s="120"/>
      <c r="IDW11" s="120"/>
      <c r="IDX11" s="120"/>
      <c r="IDY11" s="120"/>
      <c r="IDZ11" s="120"/>
      <c r="IEA11" s="120"/>
      <c r="IEB11" s="120"/>
      <c r="IEC11" s="120"/>
      <c r="IED11" s="120"/>
      <c r="IEE11" s="120"/>
      <c r="IEF11" s="120"/>
      <c r="IEG11" s="120"/>
      <c r="IEH11" s="120"/>
      <c r="IEI11" s="120"/>
      <c r="IEJ11" s="120"/>
      <c r="IEK11" s="120"/>
      <c r="IEL11" s="120"/>
      <c r="IEM11" s="120"/>
      <c r="IEN11" s="120"/>
      <c r="IEO11" s="120"/>
      <c r="IEP11" s="120"/>
      <c r="IEQ11" s="120"/>
      <c r="IER11" s="120"/>
      <c r="IES11" s="120"/>
      <c r="IET11" s="120"/>
      <c r="IEU11" s="120"/>
      <c r="IEV11" s="120"/>
      <c r="IEW11" s="120"/>
      <c r="IEX11" s="120"/>
      <c r="IEY11" s="120"/>
      <c r="IEZ11" s="120"/>
      <c r="IFA11" s="120"/>
      <c r="IFB11" s="120"/>
      <c r="IFC11" s="120"/>
      <c r="IFD11" s="120"/>
      <c r="IFE11" s="120"/>
      <c r="IFF11" s="120"/>
      <c r="IFG11" s="120"/>
      <c r="IFH11" s="120"/>
      <c r="IFI11" s="120"/>
      <c r="IFJ11" s="120"/>
      <c r="IFK11" s="120"/>
      <c r="IFL11" s="120"/>
      <c r="IFM11" s="120"/>
      <c r="IFN11" s="120"/>
      <c r="IFO11" s="120"/>
      <c r="IFP11" s="120"/>
      <c r="IFQ11" s="120"/>
      <c r="IFR11" s="120"/>
      <c r="IFS11" s="120"/>
      <c r="IFT11" s="120"/>
      <c r="IFU11" s="120"/>
      <c r="IFV11" s="120"/>
      <c r="IFW11" s="120"/>
      <c r="IFX11" s="120"/>
      <c r="IFY11" s="120"/>
      <c r="IFZ11" s="120"/>
      <c r="IGA11" s="120"/>
      <c r="IGB11" s="120"/>
      <c r="IGC11" s="120"/>
      <c r="IGD11" s="120"/>
      <c r="IGE11" s="120"/>
      <c r="IGF11" s="120"/>
      <c r="IGG11" s="120"/>
      <c r="IGH11" s="120"/>
      <c r="IGI11" s="120"/>
      <c r="IGJ11" s="120"/>
      <c r="IGK11" s="120"/>
      <c r="IGL11" s="120"/>
      <c r="IGM11" s="120"/>
      <c r="IGN11" s="120"/>
      <c r="IGO11" s="120"/>
      <c r="IGP11" s="120"/>
      <c r="IGQ11" s="120"/>
      <c r="IGR11" s="120"/>
      <c r="IGS11" s="120"/>
      <c r="IGT11" s="120"/>
      <c r="IGU11" s="120"/>
      <c r="IGV11" s="120"/>
      <c r="IGW11" s="120"/>
      <c r="IGX11" s="120"/>
      <c r="IGY11" s="120"/>
      <c r="IGZ11" s="120"/>
      <c r="IHA11" s="120"/>
      <c r="IHB11" s="120"/>
      <c r="IHC11" s="120"/>
      <c r="IHD11" s="120"/>
      <c r="IHE11" s="120"/>
      <c r="IHF11" s="120"/>
      <c r="IHG11" s="120"/>
      <c r="IHH11" s="120"/>
      <c r="IHI11" s="120"/>
      <c r="IHJ11" s="120"/>
      <c r="IHK11" s="120"/>
      <c r="IHL11" s="120"/>
      <c r="IHM11" s="120"/>
      <c r="IHN11" s="120"/>
      <c r="IHO11" s="120"/>
      <c r="IHP11" s="120"/>
      <c r="IHQ11" s="120"/>
      <c r="IHR11" s="120"/>
      <c r="IHS11" s="120"/>
      <c r="IHT11" s="120"/>
      <c r="IHU11" s="120"/>
      <c r="IHV11" s="120"/>
      <c r="IHW11" s="120"/>
      <c r="IHX11" s="120"/>
      <c r="IHY11" s="120"/>
      <c r="IHZ11" s="120"/>
      <c r="IIA11" s="120"/>
      <c r="IIB11" s="120"/>
      <c r="IIC11" s="120"/>
      <c r="IID11" s="120"/>
      <c r="IIE11" s="120"/>
      <c r="IIF11" s="120"/>
      <c r="IIG11" s="120"/>
      <c r="IIH11" s="120"/>
      <c r="III11" s="120"/>
      <c r="IIJ11" s="120"/>
      <c r="IIK11" s="120"/>
      <c r="IIL11" s="120"/>
      <c r="IIM11" s="120"/>
      <c r="IIN11" s="120"/>
      <c r="IIO11" s="120"/>
      <c r="IIP11" s="120"/>
      <c r="IIQ11" s="120"/>
      <c r="IIR11" s="120"/>
      <c r="IIS11" s="120"/>
      <c r="IIT11" s="120"/>
      <c r="IIU11" s="120"/>
      <c r="IIV11" s="120"/>
      <c r="IIW11" s="120"/>
      <c r="IIX11" s="120"/>
      <c r="IIY11" s="120"/>
      <c r="IIZ11" s="120"/>
      <c r="IJA11" s="120"/>
      <c r="IJB11" s="120"/>
      <c r="IJC11" s="120"/>
      <c r="IJD11" s="120"/>
      <c r="IJE11" s="120"/>
      <c r="IJF11" s="120"/>
      <c r="IJG11" s="120"/>
      <c r="IJH11" s="120"/>
      <c r="IJI11" s="120"/>
      <c r="IJJ11" s="120"/>
      <c r="IJK11" s="120"/>
      <c r="IJL11" s="120"/>
      <c r="IJM11" s="120"/>
      <c r="IJN11" s="120"/>
      <c r="IJO11" s="120"/>
      <c r="IJP11" s="120"/>
      <c r="IJQ11" s="120"/>
      <c r="IJR11" s="120"/>
      <c r="IJS11" s="120"/>
      <c r="IJT11" s="120"/>
      <c r="IJU11" s="120"/>
      <c r="IJV11" s="120"/>
      <c r="IJW11" s="120"/>
      <c r="IJX11" s="120"/>
      <c r="IJY11" s="120"/>
      <c r="IJZ11" s="120"/>
      <c r="IKA11" s="120"/>
      <c r="IKB11" s="120"/>
      <c r="IKC11" s="120"/>
      <c r="IKD11" s="120"/>
      <c r="IKE11" s="120"/>
      <c r="IKF11" s="120"/>
      <c r="IKG11" s="120"/>
      <c r="IKH11" s="120"/>
      <c r="IKI11" s="120"/>
      <c r="IKJ11" s="120"/>
      <c r="IKK11" s="120"/>
      <c r="IKL11" s="120"/>
      <c r="IKM11" s="120"/>
      <c r="IKN11" s="120"/>
      <c r="IKO11" s="120"/>
      <c r="IKP11" s="120"/>
      <c r="IKQ11" s="120"/>
      <c r="IKR11" s="120"/>
      <c r="IKS11" s="120"/>
      <c r="IKT11" s="120"/>
      <c r="IKU11" s="120"/>
      <c r="IKV11" s="120"/>
      <c r="IKW11" s="120"/>
      <c r="IKX11" s="120"/>
      <c r="IKY11" s="120"/>
      <c r="IKZ11" s="120"/>
      <c r="ILA11" s="120"/>
      <c r="ILB11" s="120"/>
      <c r="ILC11" s="120"/>
      <c r="ILD11" s="120"/>
      <c r="ILE11" s="120"/>
      <c r="ILF11" s="120"/>
      <c r="ILG11" s="120"/>
      <c r="ILH11" s="120"/>
      <c r="ILI11" s="120"/>
      <c r="ILJ11" s="120"/>
      <c r="ILK11" s="120"/>
      <c r="ILL11" s="120"/>
      <c r="ILM11" s="120"/>
      <c r="ILN11" s="120"/>
      <c r="ILO11" s="120"/>
      <c r="ILP11" s="120"/>
      <c r="ILQ11" s="120"/>
      <c r="ILR11" s="120"/>
      <c r="ILS11" s="120"/>
      <c r="ILT11" s="120"/>
      <c r="ILU11" s="120"/>
      <c r="ILV11" s="120"/>
      <c r="ILW11" s="120"/>
      <c r="ILX11" s="120"/>
      <c r="ILY11" s="120"/>
      <c r="ILZ11" s="120"/>
      <c r="IMA11" s="120"/>
      <c r="IMB11" s="120"/>
      <c r="IMC11" s="120"/>
      <c r="IMD11" s="120"/>
      <c r="IME11" s="120"/>
      <c r="IMF11" s="120"/>
      <c r="IMG11" s="120"/>
      <c r="IMH11" s="120"/>
      <c r="IMI11" s="120"/>
      <c r="IMJ11" s="120"/>
      <c r="IMK11" s="120"/>
      <c r="IML11" s="120"/>
      <c r="IMM11" s="120"/>
      <c r="IMN11" s="120"/>
      <c r="IMO11" s="120"/>
      <c r="IMP11" s="120"/>
      <c r="IMQ11" s="120"/>
      <c r="IMR11" s="120"/>
      <c r="IMS11" s="120"/>
      <c r="IMT11" s="120"/>
      <c r="IMU11" s="120"/>
      <c r="IMV11" s="120"/>
      <c r="IMW11" s="120"/>
      <c r="IMX11" s="120"/>
      <c r="IMY11" s="120"/>
      <c r="IMZ11" s="120"/>
      <c r="INA11" s="120"/>
      <c r="INB11" s="120"/>
      <c r="INC11" s="120"/>
      <c r="IND11" s="120"/>
      <c r="INE11" s="120"/>
      <c r="INF11" s="120"/>
      <c r="ING11" s="120"/>
      <c r="INH11" s="120"/>
      <c r="INI11" s="120"/>
      <c r="INJ11" s="120"/>
      <c r="INK11" s="120"/>
      <c r="INL11" s="120"/>
      <c r="INM11" s="120"/>
      <c r="INN11" s="120"/>
      <c r="INO11" s="120"/>
      <c r="INP11" s="120"/>
      <c r="INQ11" s="120"/>
      <c r="INR11" s="120"/>
      <c r="INS11" s="120"/>
      <c r="INT11" s="120"/>
      <c r="INU11" s="120"/>
      <c r="INV11" s="120"/>
      <c r="INW11" s="120"/>
      <c r="INX11" s="120"/>
      <c r="INY11" s="120"/>
      <c r="INZ11" s="120"/>
      <c r="IOA11" s="120"/>
      <c r="IOB11" s="120"/>
      <c r="IOC11" s="120"/>
      <c r="IOD11" s="120"/>
      <c r="IOE11" s="120"/>
      <c r="IOF11" s="120"/>
      <c r="IOG11" s="120"/>
      <c r="IOH11" s="120"/>
      <c r="IOI11" s="120"/>
      <c r="IOJ11" s="120"/>
      <c r="IOK11" s="120"/>
      <c r="IOL11" s="120"/>
      <c r="IOM11" s="120"/>
      <c r="ION11" s="120"/>
      <c r="IOO11" s="120"/>
      <c r="IOP11" s="120"/>
      <c r="IOQ11" s="120"/>
      <c r="IOR11" s="120"/>
      <c r="IOS11" s="120"/>
      <c r="IOT11" s="120"/>
      <c r="IOU11" s="120"/>
      <c r="IOV11" s="120"/>
      <c r="IOW11" s="120"/>
      <c r="IOX11" s="120"/>
      <c r="IOY11" s="120"/>
      <c r="IOZ11" s="120"/>
      <c r="IPA11" s="120"/>
      <c r="IPB11" s="120"/>
      <c r="IPC11" s="120"/>
      <c r="IPD11" s="120"/>
      <c r="IPE11" s="120"/>
      <c r="IPF11" s="120"/>
      <c r="IPG11" s="120"/>
      <c r="IPH11" s="120"/>
      <c r="IPI11" s="120"/>
      <c r="IPJ11" s="120"/>
      <c r="IPK11" s="120"/>
      <c r="IPL11" s="120"/>
      <c r="IPM11" s="120"/>
      <c r="IPN11" s="120"/>
      <c r="IPO11" s="120"/>
      <c r="IPP11" s="120"/>
      <c r="IPQ11" s="120"/>
      <c r="IPR11" s="120"/>
      <c r="IPS11" s="120"/>
      <c r="IPT11" s="120"/>
      <c r="IPU11" s="120"/>
      <c r="IPV11" s="120"/>
      <c r="IPW11" s="120"/>
      <c r="IPX11" s="120"/>
      <c r="IPY11" s="120"/>
      <c r="IPZ11" s="120"/>
      <c r="IQA11" s="120"/>
      <c r="IQB11" s="120"/>
      <c r="IQC11" s="120"/>
      <c r="IQD11" s="120"/>
      <c r="IQE11" s="120"/>
      <c r="IQF11" s="120"/>
      <c r="IQG11" s="120"/>
      <c r="IQH11" s="120"/>
      <c r="IQI11" s="120"/>
      <c r="IQJ11" s="120"/>
      <c r="IQK11" s="120"/>
      <c r="IQL11" s="120"/>
      <c r="IQM11" s="120"/>
      <c r="IQN11" s="120"/>
      <c r="IQO11" s="120"/>
      <c r="IQP11" s="120"/>
      <c r="IQQ11" s="120"/>
      <c r="IQR11" s="120"/>
      <c r="IQS11" s="120"/>
      <c r="IQT11" s="120"/>
      <c r="IQU11" s="120"/>
      <c r="IQV11" s="120"/>
      <c r="IQW11" s="120"/>
      <c r="IQX11" s="120"/>
      <c r="IQY11" s="120"/>
      <c r="IQZ11" s="120"/>
      <c r="IRA11" s="120"/>
      <c r="IRB11" s="120"/>
      <c r="IRC11" s="120"/>
      <c r="IRD11" s="120"/>
      <c r="IRE11" s="120"/>
      <c r="IRF11" s="120"/>
      <c r="IRG11" s="120"/>
      <c r="IRH11" s="120"/>
      <c r="IRI11" s="120"/>
      <c r="IRJ11" s="120"/>
      <c r="IRK11" s="120"/>
      <c r="IRL11" s="120"/>
      <c r="IRM11" s="120"/>
      <c r="IRN11" s="120"/>
      <c r="IRO11" s="120"/>
      <c r="IRP11" s="120"/>
      <c r="IRQ11" s="120"/>
      <c r="IRR11" s="120"/>
      <c r="IRS11" s="120"/>
      <c r="IRT11" s="120"/>
      <c r="IRU11" s="120"/>
      <c r="IRV11" s="120"/>
      <c r="IRW11" s="120"/>
      <c r="IRX11" s="120"/>
      <c r="IRY11" s="120"/>
      <c r="IRZ11" s="120"/>
      <c r="ISA11" s="120"/>
      <c r="ISB11" s="120"/>
      <c r="ISC11" s="120"/>
      <c r="ISD11" s="120"/>
      <c r="ISE11" s="120"/>
      <c r="ISF11" s="120"/>
      <c r="ISG11" s="120"/>
      <c r="ISH11" s="120"/>
      <c r="ISI11" s="120"/>
      <c r="ISJ11" s="120"/>
      <c r="ISK11" s="120"/>
      <c r="ISL11" s="120"/>
      <c r="ISM11" s="120"/>
      <c r="ISN11" s="120"/>
      <c r="ISO11" s="120"/>
      <c r="ISP11" s="120"/>
      <c r="ISQ11" s="120"/>
      <c r="ISR11" s="120"/>
      <c r="ISS11" s="120"/>
      <c r="IST11" s="120"/>
      <c r="ISU11" s="120"/>
      <c r="ISV11" s="120"/>
      <c r="ISW11" s="120"/>
      <c r="ISX11" s="120"/>
      <c r="ISY11" s="120"/>
      <c r="ISZ11" s="120"/>
      <c r="ITA11" s="120"/>
      <c r="ITB11" s="120"/>
      <c r="ITC11" s="120"/>
      <c r="ITD11" s="120"/>
      <c r="ITE11" s="120"/>
      <c r="ITF11" s="120"/>
      <c r="ITG11" s="120"/>
      <c r="ITH11" s="120"/>
      <c r="ITI11" s="120"/>
      <c r="ITJ11" s="120"/>
      <c r="ITK11" s="120"/>
      <c r="ITL11" s="120"/>
      <c r="ITM11" s="120"/>
      <c r="ITN11" s="120"/>
      <c r="ITO11" s="120"/>
      <c r="ITP11" s="120"/>
      <c r="ITQ11" s="120"/>
      <c r="ITR11" s="120"/>
      <c r="ITS11" s="120"/>
      <c r="ITT11" s="120"/>
      <c r="ITU11" s="120"/>
      <c r="ITV11" s="120"/>
      <c r="ITW11" s="120"/>
      <c r="ITX11" s="120"/>
      <c r="ITY11" s="120"/>
      <c r="ITZ11" s="120"/>
      <c r="IUA11" s="120"/>
      <c r="IUB11" s="120"/>
      <c r="IUC11" s="120"/>
      <c r="IUD11" s="120"/>
      <c r="IUE11" s="120"/>
      <c r="IUF11" s="120"/>
      <c r="IUG11" s="120"/>
      <c r="IUH11" s="120"/>
      <c r="IUI11" s="120"/>
      <c r="IUJ11" s="120"/>
      <c r="IUK11" s="120"/>
      <c r="IUL11" s="120"/>
      <c r="IUM11" s="120"/>
      <c r="IUN11" s="120"/>
      <c r="IUO11" s="120"/>
      <c r="IUP11" s="120"/>
      <c r="IUQ11" s="120"/>
      <c r="IUR11" s="120"/>
      <c r="IUS11" s="120"/>
      <c r="IUT11" s="120"/>
      <c r="IUU11" s="120"/>
      <c r="IUV11" s="120"/>
      <c r="IUW11" s="120"/>
      <c r="IUX11" s="120"/>
      <c r="IUY11" s="120"/>
      <c r="IUZ11" s="120"/>
      <c r="IVA11" s="120"/>
      <c r="IVB11" s="120"/>
      <c r="IVC11" s="120"/>
      <c r="IVD11" s="120"/>
      <c r="IVE11" s="120"/>
      <c r="IVF11" s="120"/>
      <c r="IVG11" s="120"/>
      <c r="IVH11" s="120"/>
      <c r="IVI11" s="120"/>
      <c r="IVJ11" s="120"/>
      <c r="IVK11" s="120"/>
      <c r="IVL11" s="120"/>
      <c r="IVM11" s="120"/>
      <c r="IVN11" s="120"/>
      <c r="IVO11" s="120"/>
      <c r="IVP11" s="120"/>
      <c r="IVQ11" s="120"/>
      <c r="IVR11" s="120"/>
      <c r="IVS11" s="120"/>
      <c r="IVT11" s="120"/>
      <c r="IVU11" s="120"/>
      <c r="IVV11" s="120"/>
      <c r="IVW11" s="120"/>
      <c r="IVX11" s="120"/>
      <c r="IVY11" s="120"/>
      <c r="IVZ11" s="120"/>
      <c r="IWA11" s="120"/>
      <c r="IWB11" s="120"/>
      <c r="IWC11" s="120"/>
      <c r="IWD11" s="120"/>
      <c r="IWE11" s="120"/>
      <c r="IWF11" s="120"/>
      <c r="IWG11" s="120"/>
      <c r="IWH11" s="120"/>
      <c r="IWI11" s="120"/>
      <c r="IWJ11" s="120"/>
      <c r="IWK11" s="120"/>
      <c r="IWL11" s="120"/>
      <c r="IWM11" s="120"/>
      <c r="IWN11" s="120"/>
      <c r="IWO11" s="120"/>
      <c r="IWP11" s="120"/>
      <c r="IWQ11" s="120"/>
      <c r="IWR11" s="120"/>
      <c r="IWS11" s="120"/>
      <c r="IWT11" s="120"/>
      <c r="IWU11" s="120"/>
      <c r="IWV11" s="120"/>
      <c r="IWW11" s="120"/>
      <c r="IWX11" s="120"/>
      <c r="IWY11" s="120"/>
      <c r="IWZ11" s="120"/>
      <c r="IXA11" s="120"/>
      <c r="IXB11" s="120"/>
      <c r="IXC11" s="120"/>
      <c r="IXD11" s="120"/>
      <c r="IXE11" s="120"/>
      <c r="IXF11" s="120"/>
      <c r="IXG11" s="120"/>
      <c r="IXH11" s="120"/>
      <c r="IXI11" s="120"/>
      <c r="IXJ11" s="120"/>
      <c r="IXK11" s="120"/>
      <c r="IXL11" s="120"/>
      <c r="IXM11" s="120"/>
      <c r="IXN11" s="120"/>
      <c r="IXO11" s="120"/>
      <c r="IXP11" s="120"/>
      <c r="IXQ11" s="120"/>
      <c r="IXR11" s="120"/>
      <c r="IXS11" s="120"/>
      <c r="IXT11" s="120"/>
      <c r="IXU11" s="120"/>
      <c r="IXV11" s="120"/>
      <c r="IXW11" s="120"/>
      <c r="IXX11" s="120"/>
      <c r="IXY11" s="120"/>
      <c r="IXZ11" s="120"/>
      <c r="IYA11" s="120"/>
      <c r="IYB11" s="120"/>
      <c r="IYC11" s="120"/>
      <c r="IYD11" s="120"/>
      <c r="IYE11" s="120"/>
      <c r="IYF11" s="120"/>
      <c r="IYG11" s="120"/>
      <c r="IYH11" s="120"/>
      <c r="IYI11" s="120"/>
      <c r="IYJ11" s="120"/>
      <c r="IYK11" s="120"/>
      <c r="IYL11" s="120"/>
      <c r="IYM11" s="120"/>
      <c r="IYN11" s="120"/>
      <c r="IYO11" s="120"/>
      <c r="IYP11" s="120"/>
      <c r="IYQ11" s="120"/>
      <c r="IYR11" s="120"/>
      <c r="IYS11" s="120"/>
      <c r="IYT11" s="120"/>
      <c r="IYU11" s="120"/>
      <c r="IYV11" s="120"/>
      <c r="IYW11" s="120"/>
      <c r="IYX11" s="120"/>
      <c r="IYY11" s="120"/>
      <c r="IYZ11" s="120"/>
      <c r="IZA11" s="120"/>
      <c r="IZB11" s="120"/>
      <c r="IZC11" s="120"/>
      <c r="IZD11" s="120"/>
      <c r="IZE11" s="120"/>
      <c r="IZF11" s="120"/>
      <c r="IZG11" s="120"/>
      <c r="IZH11" s="120"/>
      <c r="IZI11" s="120"/>
      <c r="IZJ11" s="120"/>
      <c r="IZK11" s="120"/>
      <c r="IZL11" s="120"/>
      <c r="IZM11" s="120"/>
      <c r="IZN11" s="120"/>
      <c r="IZO11" s="120"/>
      <c r="IZP11" s="120"/>
      <c r="IZQ11" s="120"/>
      <c r="IZR11" s="120"/>
      <c r="IZS11" s="120"/>
      <c r="IZT11" s="120"/>
      <c r="IZU11" s="120"/>
      <c r="IZV11" s="120"/>
      <c r="IZW11" s="120"/>
      <c r="IZX11" s="120"/>
      <c r="IZY11" s="120"/>
      <c r="IZZ11" s="120"/>
      <c r="JAA11" s="120"/>
      <c r="JAB11" s="120"/>
      <c r="JAC11" s="120"/>
      <c r="JAD11" s="120"/>
      <c r="JAE11" s="120"/>
      <c r="JAF11" s="120"/>
      <c r="JAG11" s="120"/>
      <c r="JAH11" s="120"/>
      <c r="JAI11" s="120"/>
      <c r="JAJ11" s="120"/>
      <c r="JAK11" s="120"/>
      <c r="JAL11" s="120"/>
      <c r="JAM11" s="120"/>
      <c r="JAN11" s="120"/>
      <c r="JAO11" s="120"/>
      <c r="JAP11" s="120"/>
      <c r="JAQ11" s="120"/>
      <c r="JAR11" s="120"/>
      <c r="JAS11" s="120"/>
      <c r="JAT11" s="120"/>
      <c r="JAU11" s="120"/>
      <c r="JAV11" s="120"/>
      <c r="JAW11" s="120"/>
      <c r="JAX11" s="120"/>
      <c r="JAY11" s="120"/>
      <c r="JAZ11" s="120"/>
      <c r="JBA11" s="120"/>
      <c r="JBB11" s="120"/>
      <c r="JBC11" s="120"/>
      <c r="JBD11" s="120"/>
      <c r="JBE11" s="120"/>
      <c r="JBF11" s="120"/>
      <c r="JBG11" s="120"/>
      <c r="JBH11" s="120"/>
      <c r="JBI11" s="120"/>
      <c r="JBJ11" s="120"/>
      <c r="JBK11" s="120"/>
      <c r="JBL11" s="120"/>
      <c r="JBM11" s="120"/>
      <c r="JBN11" s="120"/>
      <c r="JBO11" s="120"/>
      <c r="JBP11" s="120"/>
      <c r="JBQ11" s="120"/>
      <c r="JBR11" s="120"/>
      <c r="JBS11" s="120"/>
      <c r="JBT11" s="120"/>
      <c r="JBU11" s="120"/>
      <c r="JBV11" s="120"/>
      <c r="JBW11" s="120"/>
      <c r="JBX11" s="120"/>
      <c r="JBY11" s="120"/>
      <c r="JBZ11" s="120"/>
      <c r="JCA11" s="120"/>
      <c r="JCB11" s="120"/>
      <c r="JCC11" s="120"/>
      <c r="JCD11" s="120"/>
      <c r="JCE11" s="120"/>
      <c r="JCF11" s="120"/>
      <c r="JCG11" s="120"/>
      <c r="JCH11" s="120"/>
      <c r="JCI11" s="120"/>
      <c r="JCJ11" s="120"/>
      <c r="JCK11" s="120"/>
      <c r="JCL11" s="120"/>
      <c r="JCM11" s="120"/>
      <c r="JCN11" s="120"/>
      <c r="JCO11" s="120"/>
      <c r="JCP11" s="120"/>
      <c r="JCQ11" s="120"/>
      <c r="JCR11" s="120"/>
      <c r="JCS11" s="120"/>
      <c r="JCT11" s="120"/>
      <c r="JCU11" s="120"/>
      <c r="JCV11" s="120"/>
      <c r="JCW11" s="120"/>
      <c r="JCX11" s="120"/>
      <c r="JCY11" s="120"/>
      <c r="JCZ11" s="120"/>
      <c r="JDA11" s="120"/>
      <c r="JDB11" s="120"/>
      <c r="JDC11" s="120"/>
      <c r="JDD11" s="120"/>
      <c r="JDE11" s="120"/>
      <c r="JDF11" s="120"/>
      <c r="JDG11" s="120"/>
      <c r="JDH11" s="120"/>
      <c r="JDI11" s="120"/>
      <c r="JDJ11" s="120"/>
      <c r="JDK11" s="120"/>
      <c r="JDL11" s="120"/>
      <c r="JDM11" s="120"/>
      <c r="JDN11" s="120"/>
      <c r="JDO11" s="120"/>
      <c r="JDP11" s="120"/>
      <c r="JDQ11" s="120"/>
      <c r="JDR11" s="120"/>
      <c r="JDS11" s="120"/>
      <c r="JDT11" s="120"/>
      <c r="JDU11" s="120"/>
      <c r="JDV11" s="120"/>
      <c r="JDW11" s="120"/>
      <c r="JDX11" s="120"/>
      <c r="JDY11" s="120"/>
      <c r="JDZ11" s="120"/>
      <c r="JEA11" s="120"/>
      <c r="JEB11" s="120"/>
      <c r="JEC11" s="120"/>
      <c r="JED11" s="120"/>
      <c r="JEE11" s="120"/>
      <c r="JEF11" s="120"/>
      <c r="JEG11" s="120"/>
      <c r="JEH11" s="120"/>
      <c r="JEI11" s="120"/>
      <c r="JEJ11" s="120"/>
      <c r="JEK11" s="120"/>
      <c r="JEL11" s="120"/>
      <c r="JEM11" s="120"/>
      <c r="JEN11" s="120"/>
      <c r="JEO11" s="120"/>
      <c r="JEP11" s="120"/>
      <c r="JEQ11" s="120"/>
      <c r="JER11" s="120"/>
      <c r="JES11" s="120"/>
      <c r="JET11" s="120"/>
      <c r="JEU11" s="120"/>
      <c r="JEV11" s="120"/>
      <c r="JEW11" s="120"/>
      <c r="JEX11" s="120"/>
      <c r="JEY11" s="120"/>
      <c r="JEZ11" s="120"/>
      <c r="JFA11" s="120"/>
      <c r="JFB11" s="120"/>
      <c r="JFC11" s="120"/>
      <c r="JFD11" s="120"/>
      <c r="JFE11" s="120"/>
      <c r="JFF11" s="120"/>
      <c r="JFG11" s="120"/>
      <c r="JFH11" s="120"/>
      <c r="JFI11" s="120"/>
      <c r="JFJ11" s="120"/>
      <c r="JFK11" s="120"/>
      <c r="JFL11" s="120"/>
      <c r="JFM11" s="120"/>
      <c r="JFN11" s="120"/>
      <c r="JFO11" s="120"/>
      <c r="JFP11" s="120"/>
      <c r="JFQ11" s="120"/>
      <c r="JFR11" s="120"/>
      <c r="JFS11" s="120"/>
      <c r="JFT11" s="120"/>
      <c r="JFU11" s="120"/>
      <c r="JFV11" s="120"/>
      <c r="JFW11" s="120"/>
      <c r="JFX11" s="120"/>
      <c r="JFY11" s="120"/>
      <c r="JFZ11" s="120"/>
      <c r="JGA11" s="120"/>
      <c r="JGB11" s="120"/>
      <c r="JGC11" s="120"/>
      <c r="JGD11" s="120"/>
      <c r="JGE11" s="120"/>
      <c r="JGF11" s="120"/>
      <c r="JGG11" s="120"/>
      <c r="JGH11" s="120"/>
      <c r="JGI11" s="120"/>
      <c r="JGJ11" s="120"/>
      <c r="JGK11" s="120"/>
      <c r="JGL11" s="120"/>
      <c r="JGM11" s="120"/>
      <c r="JGN11" s="120"/>
      <c r="JGO11" s="120"/>
      <c r="JGP11" s="120"/>
      <c r="JGQ11" s="120"/>
      <c r="JGR11" s="120"/>
      <c r="JGS11" s="120"/>
      <c r="JGT11" s="120"/>
      <c r="JGU11" s="120"/>
      <c r="JGV11" s="120"/>
      <c r="JGW11" s="120"/>
      <c r="JGX11" s="120"/>
      <c r="JGY11" s="120"/>
      <c r="JGZ11" s="120"/>
      <c r="JHA11" s="120"/>
      <c r="JHB11" s="120"/>
      <c r="JHC11" s="120"/>
      <c r="JHD11" s="120"/>
      <c r="JHE11" s="120"/>
      <c r="JHF11" s="120"/>
      <c r="JHG11" s="120"/>
      <c r="JHH11" s="120"/>
      <c r="JHI11" s="120"/>
      <c r="JHJ11" s="120"/>
      <c r="JHK11" s="120"/>
      <c r="JHL11" s="120"/>
      <c r="JHM11" s="120"/>
      <c r="JHN11" s="120"/>
      <c r="JHO11" s="120"/>
      <c r="JHP11" s="120"/>
      <c r="JHQ11" s="120"/>
      <c r="JHR11" s="120"/>
      <c r="JHS11" s="120"/>
      <c r="JHT11" s="120"/>
      <c r="JHU11" s="120"/>
      <c r="JHV11" s="120"/>
      <c r="JHW11" s="120"/>
      <c r="JHX11" s="120"/>
      <c r="JHY11" s="120"/>
      <c r="JHZ11" s="120"/>
      <c r="JIA11" s="120"/>
      <c r="JIB11" s="120"/>
      <c r="JIC11" s="120"/>
      <c r="JID11" s="120"/>
      <c r="JIE11" s="120"/>
      <c r="JIF11" s="120"/>
      <c r="JIG11" s="120"/>
      <c r="JIH11" s="120"/>
      <c r="JII11" s="120"/>
      <c r="JIJ11" s="120"/>
      <c r="JIK11" s="120"/>
      <c r="JIL11" s="120"/>
      <c r="JIM11" s="120"/>
      <c r="JIN11" s="120"/>
      <c r="JIO11" s="120"/>
      <c r="JIP11" s="120"/>
      <c r="JIQ11" s="120"/>
      <c r="JIR11" s="120"/>
      <c r="JIS11" s="120"/>
      <c r="JIT11" s="120"/>
      <c r="JIU11" s="120"/>
      <c r="JIV11" s="120"/>
      <c r="JIW11" s="120"/>
      <c r="JIX11" s="120"/>
      <c r="JIY11" s="120"/>
      <c r="JIZ11" s="120"/>
      <c r="JJA11" s="120"/>
      <c r="JJB11" s="120"/>
      <c r="JJC11" s="120"/>
      <c r="JJD11" s="120"/>
      <c r="JJE11" s="120"/>
      <c r="JJF11" s="120"/>
      <c r="JJG11" s="120"/>
      <c r="JJH11" s="120"/>
      <c r="JJI11" s="120"/>
      <c r="JJJ11" s="120"/>
      <c r="JJK11" s="120"/>
      <c r="JJL11" s="120"/>
      <c r="JJM11" s="120"/>
      <c r="JJN11" s="120"/>
      <c r="JJO11" s="120"/>
      <c r="JJP11" s="120"/>
      <c r="JJQ11" s="120"/>
      <c r="JJR11" s="120"/>
      <c r="JJS11" s="120"/>
      <c r="JJT11" s="120"/>
      <c r="JJU11" s="120"/>
      <c r="JJV11" s="120"/>
      <c r="JJW11" s="120"/>
      <c r="JJX11" s="120"/>
      <c r="JJY11" s="120"/>
      <c r="JJZ11" s="120"/>
      <c r="JKA11" s="120"/>
      <c r="JKB11" s="120"/>
      <c r="JKC11" s="120"/>
      <c r="JKD11" s="120"/>
      <c r="JKE11" s="120"/>
      <c r="JKF11" s="120"/>
      <c r="JKG11" s="120"/>
      <c r="JKH11" s="120"/>
      <c r="JKI11" s="120"/>
      <c r="JKJ11" s="120"/>
      <c r="JKK11" s="120"/>
      <c r="JKL11" s="120"/>
      <c r="JKM11" s="120"/>
      <c r="JKN11" s="120"/>
      <c r="JKO11" s="120"/>
      <c r="JKP11" s="120"/>
      <c r="JKQ11" s="120"/>
      <c r="JKR11" s="120"/>
      <c r="JKS11" s="120"/>
      <c r="JKT11" s="120"/>
      <c r="JKU11" s="120"/>
      <c r="JKV11" s="120"/>
      <c r="JKW11" s="120"/>
      <c r="JKX11" s="120"/>
      <c r="JKY11" s="120"/>
      <c r="JKZ11" s="120"/>
      <c r="JLA11" s="120"/>
      <c r="JLB11" s="120"/>
      <c r="JLC11" s="120"/>
      <c r="JLD11" s="120"/>
      <c r="JLE11" s="120"/>
      <c r="JLF11" s="120"/>
      <c r="JLG11" s="120"/>
      <c r="JLH11" s="120"/>
      <c r="JLI11" s="120"/>
      <c r="JLJ11" s="120"/>
      <c r="JLK11" s="120"/>
      <c r="JLL11" s="120"/>
      <c r="JLM11" s="120"/>
      <c r="JLN11" s="120"/>
      <c r="JLO11" s="120"/>
      <c r="JLP11" s="120"/>
      <c r="JLQ11" s="120"/>
      <c r="JLR11" s="120"/>
      <c r="JLS11" s="120"/>
      <c r="JLT11" s="120"/>
      <c r="JLU11" s="120"/>
      <c r="JLV11" s="120"/>
      <c r="JLW11" s="120"/>
      <c r="JLX11" s="120"/>
      <c r="JLY11" s="120"/>
      <c r="JLZ11" s="120"/>
      <c r="JMA11" s="120"/>
      <c r="JMB11" s="120"/>
      <c r="JMC11" s="120"/>
      <c r="JMD11" s="120"/>
      <c r="JME11" s="120"/>
      <c r="JMF11" s="120"/>
      <c r="JMG11" s="120"/>
      <c r="JMH11" s="120"/>
      <c r="JMI11" s="120"/>
      <c r="JMJ11" s="120"/>
      <c r="JMK11" s="120"/>
      <c r="JML11" s="120"/>
      <c r="JMM11" s="120"/>
      <c r="JMN11" s="120"/>
      <c r="JMO11" s="120"/>
      <c r="JMP11" s="120"/>
      <c r="JMQ11" s="120"/>
      <c r="JMR11" s="120"/>
      <c r="JMS11" s="120"/>
      <c r="JMT11" s="120"/>
      <c r="JMU11" s="120"/>
      <c r="JMV11" s="120"/>
      <c r="JMW11" s="120"/>
      <c r="JMX11" s="120"/>
      <c r="JMY11" s="120"/>
      <c r="JMZ11" s="120"/>
      <c r="JNA11" s="120"/>
      <c r="JNB11" s="120"/>
      <c r="JNC11" s="120"/>
      <c r="JND11" s="120"/>
      <c r="JNE11" s="120"/>
      <c r="JNF11" s="120"/>
      <c r="JNG11" s="120"/>
      <c r="JNH11" s="120"/>
      <c r="JNI11" s="120"/>
      <c r="JNJ11" s="120"/>
      <c r="JNK11" s="120"/>
      <c r="JNL11" s="120"/>
      <c r="JNM11" s="120"/>
      <c r="JNN11" s="120"/>
      <c r="JNO11" s="120"/>
      <c r="JNP11" s="120"/>
      <c r="JNQ11" s="120"/>
      <c r="JNR11" s="120"/>
      <c r="JNS11" s="120"/>
      <c r="JNT11" s="120"/>
      <c r="JNU11" s="120"/>
      <c r="JNV11" s="120"/>
      <c r="JNW11" s="120"/>
      <c r="JNX11" s="120"/>
      <c r="JNY11" s="120"/>
      <c r="JNZ11" s="120"/>
      <c r="JOA11" s="120"/>
      <c r="JOB11" s="120"/>
      <c r="JOC11" s="120"/>
      <c r="JOD11" s="120"/>
      <c r="JOE11" s="120"/>
      <c r="JOF11" s="120"/>
      <c r="JOG11" s="120"/>
      <c r="JOH11" s="120"/>
      <c r="JOI11" s="120"/>
      <c r="JOJ11" s="120"/>
      <c r="JOK11" s="120"/>
      <c r="JOL11" s="120"/>
      <c r="JOM11" s="120"/>
      <c r="JON11" s="120"/>
      <c r="JOO11" s="120"/>
      <c r="JOP11" s="120"/>
      <c r="JOQ11" s="120"/>
      <c r="JOR11" s="120"/>
      <c r="JOS11" s="120"/>
      <c r="JOT11" s="120"/>
      <c r="JOU11" s="120"/>
      <c r="JOV11" s="120"/>
      <c r="JOW11" s="120"/>
      <c r="JOX11" s="120"/>
      <c r="JOY11" s="120"/>
      <c r="JOZ11" s="120"/>
      <c r="JPA11" s="120"/>
      <c r="JPB11" s="120"/>
      <c r="JPC11" s="120"/>
      <c r="JPD11" s="120"/>
      <c r="JPE11" s="120"/>
      <c r="JPF11" s="120"/>
      <c r="JPG11" s="120"/>
      <c r="JPH11" s="120"/>
      <c r="JPI11" s="120"/>
      <c r="JPJ11" s="120"/>
      <c r="JPK11" s="120"/>
      <c r="JPL11" s="120"/>
      <c r="JPM11" s="120"/>
      <c r="JPN11" s="120"/>
      <c r="JPO11" s="120"/>
      <c r="JPP11" s="120"/>
      <c r="JPQ11" s="120"/>
      <c r="JPR11" s="120"/>
      <c r="JPS11" s="120"/>
      <c r="JPT11" s="120"/>
      <c r="JPU11" s="120"/>
      <c r="JPV11" s="120"/>
      <c r="JPW11" s="120"/>
      <c r="JPX11" s="120"/>
      <c r="JPY11" s="120"/>
      <c r="JPZ11" s="120"/>
      <c r="JQA11" s="120"/>
      <c r="JQB11" s="120"/>
      <c r="JQC11" s="120"/>
      <c r="JQD11" s="120"/>
      <c r="JQE11" s="120"/>
      <c r="JQF11" s="120"/>
      <c r="JQG11" s="120"/>
      <c r="JQH11" s="120"/>
      <c r="JQI11" s="120"/>
      <c r="JQJ11" s="120"/>
      <c r="JQK11" s="120"/>
      <c r="JQL11" s="120"/>
      <c r="JQM11" s="120"/>
      <c r="JQN11" s="120"/>
      <c r="JQO11" s="120"/>
      <c r="JQP11" s="120"/>
      <c r="JQQ11" s="120"/>
      <c r="JQR11" s="120"/>
      <c r="JQS11" s="120"/>
      <c r="JQT11" s="120"/>
      <c r="JQU11" s="120"/>
      <c r="JQV11" s="120"/>
      <c r="JQW11" s="120"/>
      <c r="JQX11" s="120"/>
      <c r="JQY11" s="120"/>
      <c r="JQZ11" s="120"/>
      <c r="JRA11" s="120"/>
      <c r="JRB11" s="120"/>
      <c r="JRC11" s="120"/>
      <c r="JRD11" s="120"/>
      <c r="JRE11" s="120"/>
      <c r="JRF11" s="120"/>
      <c r="JRG11" s="120"/>
      <c r="JRH11" s="120"/>
      <c r="JRI11" s="120"/>
      <c r="JRJ11" s="120"/>
      <c r="JRK11" s="120"/>
      <c r="JRL11" s="120"/>
      <c r="JRM11" s="120"/>
      <c r="JRN11" s="120"/>
      <c r="JRO11" s="120"/>
      <c r="JRP11" s="120"/>
      <c r="JRQ11" s="120"/>
      <c r="JRR11" s="120"/>
      <c r="JRS11" s="120"/>
      <c r="JRT11" s="120"/>
      <c r="JRU11" s="120"/>
      <c r="JRV11" s="120"/>
      <c r="JRW11" s="120"/>
      <c r="JRX11" s="120"/>
      <c r="JRY11" s="120"/>
      <c r="JRZ11" s="120"/>
      <c r="JSA11" s="120"/>
      <c r="JSB11" s="120"/>
      <c r="JSC11" s="120"/>
      <c r="JSD11" s="120"/>
      <c r="JSE11" s="120"/>
      <c r="JSF11" s="120"/>
      <c r="JSG11" s="120"/>
      <c r="JSH11" s="120"/>
      <c r="JSI11" s="120"/>
      <c r="JSJ11" s="120"/>
      <c r="JSK11" s="120"/>
      <c r="JSL11" s="120"/>
      <c r="JSM11" s="120"/>
      <c r="JSN11" s="120"/>
      <c r="JSO11" s="120"/>
      <c r="JSP11" s="120"/>
      <c r="JSQ11" s="120"/>
      <c r="JSR11" s="120"/>
      <c r="JSS11" s="120"/>
      <c r="JST11" s="120"/>
      <c r="JSU11" s="120"/>
      <c r="JSV11" s="120"/>
      <c r="JSW11" s="120"/>
      <c r="JSX11" s="120"/>
      <c r="JSY11" s="120"/>
      <c r="JSZ11" s="120"/>
      <c r="JTA11" s="120"/>
      <c r="JTB11" s="120"/>
      <c r="JTC11" s="120"/>
      <c r="JTD11" s="120"/>
      <c r="JTE11" s="120"/>
      <c r="JTF11" s="120"/>
      <c r="JTG11" s="120"/>
      <c r="JTH11" s="120"/>
      <c r="JTI11" s="120"/>
      <c r="JTJ11" s="120"/>
      <c r="JTK11" s="120"/>
      <c r="JTL11" s="120"/>
      <c r="JTM11" s="120"/>
      <c r="JTN11" s="120"/>
      <c r="JTO11" s="120"/>
      <c r="JTP11" s="120"/>
      <c r="JTQ11" s="120"/>
      <c r="JTR11" s="120"/>
      <c r="JTS11" s="120"/>
      <c r="JTT11" s="120"/>
      <c r="JTU11" s="120"/>
      <c r="JTV11" s="120"/>
      <c r="JTW11" s="120"/>
      <c r="JTX11" s="120"/>
      <c r="JTY11" s="120"/>
      <c r="JTZ11" s="120"/>
      <c r="JUA11" s="120"/>
      <c r="JUB11" s="120"/>
      <c r="JUC11" s="120"/>
      <c r="JUD11" s="120"/>
      <c r="JUE11" s="120"/>
      <c r="JUF11" s="120"/>
      <c r="JUG11" s="120"/>
      <c r="JUH11" s="120"/>
      <c r="JUI11" s="120"/>
      <c r="JUJ11" s="120"/>
      <c r="JUK11" s="120"/>
      <c r="JUL11" s="120"/>
      <c r="JUM11" s="120"/>
      <c r="JUN11" s="120"/>
      <c r="JUO11" s="120"/>
      <c r="JUP11" s="120"/>
      <c r="JUQ11" s="120"/>
      <c r="JUR11" s="120"/>
      <c r="JUS11" s="120"/>
      <c r="JUT11" s="120"/>
      <c r="JUU11" s="120"/>
      <c r="JUV11" s="120"/>
      <c r="JUW11" s="120"/>
      <c r="JUX11" s="120"/>
      <c r="JUY11" s="120"/>
      <c r="JUZ11" s="120"/>
      <c r="JVA11" s="120"/>
      <c r="JVB11" s="120"/>
      <c r="JVC11" s="120"/>
      <c r="JVD11" s="120"/>
      <c r="JVE11" s="120"/>
      <c r="JVF11" s="120"/>
      <c r="JVG11" s="120"/>
      <c r="JVH11" s="120"/>
      <c r="JVI11" s="120"/>
      <c r="JVJ11" s="120"/>
      <c r="JVK11" s="120"/>
      <c r="JVL11" s="120"/>
      <c r="JVM11" s="120"/>
      <c r="JVN11" s="120"/>
      <c r="JVO11" s="120"/>
      <c r="JVP11" s="120"/>
      <c r="JVQ11" s="120"/>
      <c r="JVR11" s="120"/>
      <c r="JVS11" s="120"/>
      <c r="JVT11" s="120"/>
      <c r="JVU11" s="120"/>
      <c r="JVV11" s="120"/>
      <c r="JVW11" s="120"/>
      <c r="JVX11" s="120"/>
      <c r="JVY11" s="120"/>
      <c r="JVZ11" s="120"/>
      <c r="JWA11" s="120"/>
      <c r="JWB11" s="120"/>
      <c r="JWC11" s="120"/>
      <c r="JWD11" s="120"/>
      <c r="JWE11" s="120"/>
      <c r="JWF11" s="120"/>
      <c r="JWG11" s="120"/>
      <c r="JWH11" s="120"/>
      <c r="JWI11" s="120"/>
      <c r="JWJ11" s="120"/>
      <c r="JWK11" s="120"/>
      <c r="JWL11" s="120"/>
      <c r="JWM11" s="120"/>
      <c r="JWN11" s="120"/>
      <c r="JWO11" s="120"/>
      <c r="JWP11" s="120"/>
      <c r="JWQ11" s="120"/>
      <c r="JWR11" s="120"/>
      <c r="JWS11" s="120"/>
      <c r="JWT11" s="120"/>
      <c r="JWU11" s="120"/>
      <c r="JWV11" s="120"/>
      <c r="JWW11" s="120"/>
      <c r="JWX11" s="120"/>
      <c r="JWY11" s="120"/>
      <c r="JWZ11" s="120"/>
      <c r="JXA11" s="120"/>
      <c r="JXB11" s="120"/>
      <c r="JXC11" s="120"/>
      <c r="JXD11" s="120"/>
      <c r="JXE11" s="120"/>
      <c r="JXF11" s="120"/>
      <c r="JXG11" s="120"/>
      <c r="JXH11" s="120"/>
      <c r="JXI11" s="120"/>
      <c r="JXJ11" s="120"/>
      <c r="JXK11" s="120"/>
      <c r="JXL11" s="120"/>
      <c r="JXM11" s="120"/>
      <c r="JXN11" s="120"/>
      <c r="JXO11" s="120"/>
      <c r="JXP11" s="120"/>
      <c r="JXQ11" s="120"/>
      <c r="JXR11" s="120"/>
      <c r="JXS11" s="120"/>
      <c r="JXT11" s="120"/>
      <c r="JXU11" s="120"/>
      <c r="JXV11" s="120"/>
      <c r="JXW11" s="120"/>
      <c r="JXX11" s="120"/>
      <c r="JXY11" s="120"/>
      <c r="JXZ11" s="120"/>
      <c r="JYA11" s="120"/>
      <c r="JYB11" s="120"/>
      <c r="JYC11" s="120"/>
      <c r="JYD11" s="120"/>
      <c r="JYE11" s="120"/>
      <c r="JYF11" s="120"/>
      <c r="JYG11" s="120"/>
      <c r="JYH11" s="120"/>
      <c r="JYI11" s="120"/>
      <c r="JYJ11" s="120"/>
      <c r="JYK11" s="120"/>
      <c r="JYL11" s="120"/>
      <c r="JYM11" s="120"/>
      <c r="JYN11" s="120"/>
      <c r="JYO11" s="120"/>
      <c r="JYP11" s="120"/>
      <c r="JYQ11" s="120"/>
      <c r="JYR11" s="120"/>
      <c r="JYS11" s="120"/>
      <c r="JYT11" s="120"/>
      <c r="JYU11" s="120"/>
      <c r="JYV11" s="120"/>
      <c r="JYW11" s="120"/>
      <c r="JYX11" s="120"/>
      <c r="JYY11" s="120"/>
      <c r="JYZ11" s="120"/>
      <c r="JZA11" s="120"/>
      <c r="JZB11" s="120"/>
      <c r="JZC11" s="120"/>
      <c r="JZD11" s="120"/>
      <c r="JZE11" s="120"/>
      <c r="JZF11" s="120"/>
      <c r="JZG11" s="120"/>
      <c r="JZH11" s="120"/>
      <c r="JZI11" s="120"/>
      <c r="JZJ11" s="120"/>
      <c r="JZK11" s="120"/>
      <c r="JZL11" s="120"/>
      <c r="JZM11" s="120"/>
      <c r="JZN11" s="120"/>
      <c r="JZO11" s="120"/>
      <c r="JZP11" s="120"/>
      <c r="JZQ11" s="120"/>
      <c r="JZR11" s="120"/>
      <c r="JZS11" s="120"/>
      <c r="JZT11" s="120"/>
      <c r="JZU11" s="120"/>
      <c r="JZV11" s="120"/>
      <c r="JZW11" s="120"/>
      <c r="JZX11" s="120"/>
      <c r="JZY11" s="120"/>
      <c r="JZZ11" s="120"/>
      <c r="KAA11" s="120"/>
      <c r="KAB11" s="120"/>
      <c r="KAC11" s="120"/>
      <c r="KAD11" s="120"/>
      <c r="KAE11" s="120"/>
      <c r="KAF11" s="120"/>
      <c r="KAG11" s="120"/>
      <c r="KAH11" s="120"/>
      <c r="KAI11" s="120"/>
      <c r="KAJ11" s="120"/>
      <c r="KAK11" s="120"/>
      <c r="KAL11" s="120"/>
      <c r="KAM11" s="120"/>
      <c r="KAN11" s="120"/>
      <c r="KAO11" s="120"/>
      <c r="KAP11" s="120"/>
      <c r="KAQ11" s="120"/>
      <c r="KAR11" s="120"/>
      <c r="KAS11" s="120"/>
      <c r="KAT11" s="120"/>
      <c r="KAU11" s="120"/>
      <c r="KAV11" s="120"/>
      <c r="KAW11" s="120"/>
      <c r="KAX11" s="120"/>
      <c r="KAY11" s="120"/>
      <c r="KAZ11" s="120"/>
      <c r="KBA11" s="120"/>
      <c r="KBB11" s="120"/>
      <c r="KBC11" s="120"/>
      <c r="KBD11" s="120"/>
      <c r="KBE11" s="120"/>
      <c r="KBF11" s="120"/>
      <c r="KBG11" s="120"/>
      <c r="KBH11" s="120"/>
      <c r="KBI11" s="120"/>
      <c r="KBJ11" s="120"/>
      <c r="KBK11" s="120"/>
      <c r="KBL11" s="120"/>
      <c r="KBM11" s="120"/>
      <c r="KBN11" s="120"/>
      <c r="KBO11" s="120"/>
      <c r="KBP11" s="120"/>
      <c r="KBQ11" s="120"/>
      <c r="KBR11" s="120"/>
      <c r="KBS11" s="120"/>
      <c r="KBT11" s="120"/>
      <c r="KBU11" s="120"/>
      <c r="KBV11" s="120"/>
      <c r="KBW11" s="120"/>
      <c r="KBX11" s="120"/>
      <c r="KBY11" s="120"/>
      <c r="KBZ11" s="120"/>
      <c r="KCA11" s="120"/>
      <c r="KCB11" s="120"/>
      <c r="KCC11" s="120"/>
      <c r="KCD11" s="120"/>
      <c r="KCE11" s="120"/>
      <c r="KCF11" s="120"/>
      <c r="KCG11" s="120"/>
      <c r="KCH11" s="120"/>
      <c r="KCI11" s="120"/>
      <c r="KCJ11" s="120"/>
      <c r="KCK11" s="120"/>
      <c r="KCL11" s="120"/>
      <c r="KCM11" s="120"/>
      <c r="KCN11" s="120"/>
      <c r="KCO11" s="120"/>
      <c r="KCP11" s="120"/>
      <c r="KCQ11" s="120"/>
      <c r="KCR11" s="120"/>
      <c r="KCS11" s="120"/>
      <c r="KCT11" s="120"/>
      <c r="KCU11" s="120"/>
      <c r="KCV11" s="120"/>
      <c r="KCW11" s="120"/>
      <c r="KCX11" s="120"/>
      <c r="KCY11" s="120"/>
      <c r="KCZ11" s="120"/>
      <c r="KDA11" s="120"/>
      <c r="KDB11" s="120"/>
      <c r="KDC11" s="120"/>
      <c r="KDD11" s="120"/>
      <c r="KDE11" s="120"/>
      <c r="KDF11" s="120"/>
      <c r="KDG11" s="120"/>
      <c r="KDH11" s="120"/>
      <c r="KDI11" s="120"/>
      <c r="KDJ11" s="120"/>
      <c r="KDK11" s="120"/>
      <c r="KDL11" s="120"/>
      <c r="KDM11" s="120"/>
      <c r="KDN11" s="120"/>
      <c r="KDO11" s="120"/>
      <c r="KDP11" s="120"/>
      <c r="KDQ11" s="120"/>
      <c r="KDR11" s="120"/>
      <c r="KDS11" s="120"/>
      <c r="KDT11" s="120"/>
      <c r="KDU11" s="120"/>
      <c r="KDV11" s="120"/>
      <c r="KDW11" s="120"/>
      <c r="KDX11" s="120"/>
      <c r="KDY11" s="120"/>
      <c r="KDZ11" s="120"/>
      <c r="KEA11" s="120"/>
      <c r="KEB11" s="120"/>
      <c r="KEC11" s="120"/>
      <c r="KED11" s="120"/>
      <c r="KEE11" s="120"/>
      <c r="KEF11" s="120"/>
      <c r="KEG11" s="120"/>
      <c r="KEH11" s="120"/>
      <c r="KEI11" s="120"/>
      <c r="KEJ11" s="120"/>
      <c r="KEK11" s="120"/>
      <c r="KEL11" s="120"/>
      <c r="KEM11" s="120"/>
      <c r="KEN11" s="120"/>
      <c r="KEO11" s="120"/>
      <c r="KEP11" s="120"/>
      <c r="KEQ11" s="120"/>
      <c r="KER11" s="120"/>
      <c r="KES11" s="120"/>
      <c r="KET11" s="120"/>
      <c r="KEU11" s="120"/>
      <c r="KEV11" s="120"/>
      <c r="KEW11" s="120"/>
      <c r="KEX11" s="120"/>
      <c r="KEY11" s="120"/>
      <c r="KEZ11" s="120"/>
      <c r="KFA11" s="120"/>
      <c r="KFB11" s="120"/>
      <c r="KFC11" s="120"/>
      <c r="KFD11" s="120"/>
      <c r="KFE11" s="120"/>
      <c r="KFF11" s="120"/>
      <c r="KFG11" s="120"/>
      <c r="KFH11" s="120"/>
      <c r="KFI11" s="120"/>
      <c r="KFJ11" s="120"/>
      <c r="KFK11" s="120"/>
      <c r="KFL11" s="120"/>
      <c r="KFM11" s="120"/>
      <c r="KFN11" s="120"/>
      <c r="KFO11" s="120"/>
      <c r="KFP11" s="120"/>
      <c r="KFQ11" s="120"/>
      <c r="KFR11" s="120"/>
      <c r="KFS11" s="120"/>
      <c r="KFT11" s="120"/>
      <c r="KFU11" s="120"/>
      <c r="KFV11" s="120"/>
      <c r="KFW11" s="120"/>
      <c r="KFX11" s="120"/>
      <c r="KFY11" s="120"/>
      <c r="KFZ11" s="120"/>
      <c r="KGA11" s="120"/>
      <c r="KGB11" s="120"/>
      <c r="KGC11" s="120"/>
      <c r="KGD11" s="120"/>
      <c r="KGE11" s="120"/>
      <c r="KGF11" s="120"/>
      <c r="KGG11" s="120"/>
      <c r="KGH11" s="120"/>
      <c r="KGI11" s="120"/>
      <c r="KGJ11" s="120"/>
      <c r="KGK11" s="120"/>
      <c r="KGL11" s="120"/>
      <c r="KGM11" s="120"/>
      <c r="KGN11" s="120"/>
      <c r="KGO11" s="120"/>
      <c r="KGP11" s="120"/>
      <c r="KGQ11" s="120"/>
      <c r="KGR11" s="120"/>
      <c r="KGS11" s="120"/>
      <c r="KGT11" s="120"/>
      <c r="KGU11" s="120"/>
      <c r="KGV11" s="120"/>
      <c r="KGW11" s="120"/>
      <c r="KGX11" s="120"/>
      <c r="KGY11" s="120"/>
      <c r="KGZ11" s="120"/>
      <c r="KHA11" s="120"/>
      <c r="KHB11" s="120"/>
      <c r="KHC11" s="120"/>
      <c r="KHD11" s="120"/>
      <c r="KHE11" s="120"/>
      <c r="KHF11" s="120"/>
      <c r="KHG11" s="120"/>
      <c r="KHH11" s="120"/>
      <c r="KHI11" s="120"/>
      <c r="KHJ11" s="120"/>
      <c r="KHK11" s="120"/>
      <c r="KHL11" s="120"/>
      <c r="KHM11" s="120"/>
      <c r="KHN11" s="120"/>
      <c r="KHO11" s="120"/>
      <c r="KHP11" s="120"/>
      <c r="KHQ11" s="120"/>
      <c r="KHR11" s="120"/>
      <c r="KHS11" s="120"/>
      <c r="KHT11" s="120"/>
      <c r="KHU11" s="120"/>
      <c r="KHV11" s="120"/>
      <c r="KHW11" s="120"/>
      <c r="KHX11" s="120"/>
      <c r="KHY11" s="120"/>
      <c r="KHZ11" s="120"/>
      <c r="KIA11" s="120"/>
      <c r="KIB11" s="120"/>
      <c r="KIC11" s="120"/>
      <c r="KID11" s="120"/>
      <c r="KIE11" s="120"/>
      <c r="KIF11" s="120"/>
      <c r="KIG11" s="120"/>
      <c r="KIH11" s="120"/>
      <c r="KII11" s="120"/>
      <c r="KIJ11" s="120"/>
      <c r="KIK11" s="120"/>
      <c r="KIL11" s="120"/>
      <c r="KIM11" s="120"/>
      <c r="KIN11" s="120"/>
      <c r="KIO11" s="120"/>
      <c r="KIP11" s="120"/>
      <c r="KIQ11" s="120"/>
      <c r="KIR11" s="120"/>
      <c r="KIS11" s="120"/>
      <c r="KIT11" s="120"/>
      <c r="KIU11" s="120"/>
      <c r="KIV11" s="120"/>
      <c r="KIW11" s="120"/>
      <c r="KIX11" s="120"/>
      <c r="KIY11" s="120"/>
      <c r="KIZ11" s="120"/>
      <c r="KJA11" s="120"/>
      <c r="KJB11" s="120"/>
      <c r="KJC11" s="120"/>
      <c r="KJD11" s="120"/>
      <c r="KJE11" s="120"/>
      <c r="KJF11" s="120"/>
      <c r="KJG11" s="120"/>
      <c r="KJH11" s="120"/>
      <c r="KJI11" s="120"/>
      <c r="KJJ11" s="120"/>
      <c r="KJK11" s="120"/>
      <c r="KJL11" s="120"/>
      <c r="KJM11" s="120"/>
      <c r="KJN11" s="120"/>
      <c r="KJO11" s="120"/>
      <c r="KJP11" s="120"/>
      <c r="KJQ11" s="120"/>
      <c r="KJR11" s="120"/>
      <c r="KJS11" s="120"/>
      <c r="KJT11" s="120"/>
      <c r="KJU11" s="120"/>
      <c r="KJV11" s="120"/>
      <c r="KJW11" s="120"/>
      <c r="KJX11" s="120"/>
      <c r="KJY11" s="120"/>
      <c r="KJZ11" s="120"/>
      <c r="KKA11" s="120"/>
      <c r="KKB11" s="120"/>
      <c r="KKC11" s="120"/>
      <c r="KKD11" s="120"/>
      <c r="KKE11" s="120"/>
      <c r="KKF11" s="120"/>
      <c r="KKG11" s="120"/>
      <c r="KKH11" s="120"/>
      <c r="KKI11" s="120"/>
      <c r="KKJ11" s="120"/>
      <c r="KKK11" s="120"/>
      <c r="KKL11" s="120"/>
      <c r="KKM11" s="120"/>
      <c r="KKN11" s="120"/>
      <c r="KKO11" s="120"/>
      <c r="KKP11" s="120"/>
      <c r="KKQ11" s="120"/>
      <c r="KKR11" s="120"/>
      <c r="KKS11" s="120"/>
      <c r="KKT11" s="120"/>
      <c r="KKU11" s="120"/>
      <c r="KKV11" s="120"/>
      <c r="KKW11" s="120"/>
      <c r="KKX11" s="120"/>
      <c r="KKY11" s="120"/>
      <c r="KKZ11" s="120"/>
      <c r="KLA11" s="120"/>
      <c r="KLB11" s="120"/>
      <c r="KLC11" s="120"/>
      <c r="KLD11" s="120"/>
      <c r="KLE11" s="120"/>
      <c r="KLF11" s="120"/>
      <c r="KLG11" s="120"/>
      <c r="KLH11" s="120"/>
      <c r="KLI11" s="120"/>
      <c r="KLJ11" s="120"/>
      <c r="KLK11" s="120"/>
      <c r="KLL11" s="120"/>
      <c r="KLM11" s="120"/>
      <c r="KLN11" s="120"/>
      <c r="KLO11" s="120"/>
      <c r="KLP11" s="120"/>
      <c r="KLQ11" s="120"/>
      <c r="KLR11" s="120"/>
      <c r="KLS11" s="120"/>
      <c r="KLT11" s="120"/>
      <c r="KLU11" s="120"/>
      <c r="KLV11" s="120"/>
      <c r="KLW11" s="120"/>
      <c r="KLX11" s="120"/>
      <c r="KLY11" s="120"/>
      <c r="KLZ11" s="120"/>
      <c r="KMA11" s="120"/>
      <c r="KMB11" s="120"/>
      <c r="KMC11" s="120"/>
      <c r="KMD11" s="120"/>
      <c r="KME11" s="120"/>
      <c r="KMF11" s="120"/>
      <c r="KMG11" s="120"/>
      <c r="KMH11" s="120"/>
      <c r="KMI11" s="120"/>
      <c r="KMJ11" s="120"/>
      <c r="KMK11" s="120"/>
      <c r="KML11" s="120"/>
      <c r="KMM11" s="120"/>
      <c r="KMN11" s="120"/>
      <c r="KMO11" s="120"/>
      <c r="KMP11" s="120"/>
      <c r="KMQ11" s="120"/>
      <c r="KMR11" s="120"/>
      <c r="KMS11" s="120"/>
      <c r="KMT11" s="120"/>
      <c r="KMU11" s="120"/>
      <c r="KMV11" s="120"/>
      <c r="KMW11" s="120"/>
      <c r="KMX11" s="120"/>
      <c r="KMY11" s="120"/>
      <c r="KMZ11" s="120"/>
      <c r="KNA11" s="120"/>
      <c r="KNB11" s="120"/>
      <c r="KNC11" s="120"/>
      <c r="KND11" s="120"/>
      <c r="KNE11" s="120"/>
      <c r="KNF11" s="120"/>
      <c r="KNG11" s="120"/>
      <c r="KNH11" s="120"/>
      <c r="KNI11" s="120"/>
      <c r="KNJ11" s="120"/>
      <c r="KNK11" s="120"/>
      <c r="KNL11" s="120"/>
      <c r="KNM11" s="120"/>
      <c r="KNN11" s="120"/>
      <c r="KNO11" s="120"/>
      <c r="KNP11" s="120"/>
      <c r="KNQ11" s="120"/>
      <c r="KNR11" s="120"/>
      <c r="KNS11" s="120"/>
      <c r="KNT11" s="120"/>
      <c r="KNU11" s="120"/>
      <c r="KNV11" s="120"/>
      <c r="KNW11" s="120"/>
      <c r="KNX11" s="120"/>
      <c r="KNY11" s="120"/>
      <c r="KNZ11" s="120"/>
      <c r="KOA11" s="120"/>
      <c r="KOB11" s="120"/>
      <c r="KOC11" s="120"/>
      <c r="KOD11" s="120"/>
      <c r="KOE11" s="120"/>
      <c r="KOF11" s="120"/>
      <c r="KOG11" s="120"/>
      <c r="KOH11" s="120"/>
      <c r="KOI11" s="120"/>
      <c r="KOJ11" s="120"/>
      <c r="KOK11" s="120"/>
      <c r="KOL11" s="120"/>
      <c r="KOM11" s="120"/>
      <c r="KON11" s="120"/>
      <c r="KOO11" s="120"/>
      <c r="KOP11" s="120"/>
      <c r="KOQ11" s="120"/>
      <c r="KOR11" s="120"/>
      <c r="KOS11" s="120"/>
      <c r="KOT11" s="120"/>
      <c r="KOU11" s="120"/>
      <c r="KOV11" s="120"/>
      <c r="KOW11" s="120"/>
      <c r="KOX11" s="120"/>
      <c r="KOY11" s="120"/>
      <c r="KOZ11" s="120"/>
      <c r="KPA11" s="120"/>
      <c r="KPB11" s="120"/>
      <c r="KPC11" s="120"/>
      <c r="KPD11" s="120"/>
      <c r="KPE11" s="120"/>
      <c r="KPF11" s="120"/>
      <c r="KPG11" s="120"/>
      <c r="KPH11" s="120"/>
      <c r="KPI11" s="120"/>
      <c r="KPJ11" s="120"/>
      <c r="KPK11" s="120"/>
      <c r="KPL11" s="120"/>
      <c r="KPM11" s="120"/>
      <c r="KPN11" s="120"/>
      <c r="KPO11" s="120"/>
      <c r="KPP11" s="120"/>
      <c r="KPQ11" s="120"/>
      <c r="KPR11" s="120"/>
      <c r="KPS11" s="120"/>
      <c r="KPT11" s="120"/>
      <c r="KPU11" s="120"/>
      <c r="KPV11" s="120"/>
      <c r="KPW11" s="120"/>
      <c r="KPX11" s="120"/>
      <c r="KPY11" s="120"/>
      <c r="KPZ11" s="120"/>
      <c r="KQA11" s="120"/>
      <c r="KQB11" s="120"/>
      <c r="KQC11" s="120"/>
      <c r="KQD11" s="120"/>
      <c r="KQE11" s="120"/>
      <c r="KQF11" s="120"/>
      <c r="KQG11" s="120"/>
      <c r="KQH11" s="120"/>
      <c r="KQI11" s="120"/>
      <c r="KQJ11" s="120"/>
      <c r="KQK11" s="120"/>
      <c r="KQL11" s="120"/>
      <c r="KQM11" s="120"/>
      <c r="KQN11" s="120"/>
      <c r="KQO11" s="120"/>
      <c r="KQP11" s="120"/>
      <c r="KQQ11" s="120"/>
      <c r="KQR11" s="120"/>
      <c r="KQS11" s="120"/>
      <c r="KQT11" s="120"/>
      <c r="KQU11" s="120"/>
      <c r="KQV11" s="120"/>
      <c r="KQW11" s="120"/>
      <c r="KQX11" s="120"/>
      <c r="KQY11" s="120"/>
      <c r="KQZ11" s="120"/>
      <c r="KRA11" s="120"/>
      <c r="KRB11" s="120"/>
      <c r="KRC11" s="120"/>
      <c r="KRD11" s="120"/>
      <c r="KRE11" s="120"/>
      <c r="KRF11" s="120"/>
      <c r="KRG11" s="120"/>
      <c r="KRH11" s="120"/>
      <c r="KRI11" s="120"/>
      <c r="KRJ11" s="120"/>
      <c r="KRK11" s="120"/>
      <c r="KRL11" s="120"/>
      <c r="KRM11" s="120"/>
      <c r="KRN11" s="120"/>
      <c r="KRO11" s="120"/>
      <c r="KRP11" s="120"/>
      <c r="KRQ11" s="120"/>
      <c r="KRR11" s="120"/>
      <c r="KRS11" s="120"/>
      <c r="KRT11" s="120"/>
      <c r="KRU11" s="120"/>
      <c r="KRV11" s="120"/>
      <c r="KRW11" s="120"/>
      <c r="KRX11" s="120"/>
      <c r="KRY11" s="120"/>
      <c r="KRZ11" s="120"/>
      <c r="KSA11" s="120"/>
      <c r="KSB11" s="120"/>
      <c r="KSC11" s="120"/>
      <c r="KSD11" s="120"/>
      <c r="KSE11" s="120"/>
      <c r="KSF11" s="120"/>
      <c r="KSG11" s="120"/>
      <c r="KSH11" s="120"/>
      <c r="KSI11" s="120"/>
      <c r="KSJ11" s="120"/>
      <c r="KSK11" s="120"/>
      <c r="KSL11" s="120"/>
      <c r="KSM11" s="120"/>
      <c r="KSN11" s="120"/>
      <c r="KSO11" s="120"/>
      <c r="KSP11" s="120"/>
      <c r="KSQ11" s="120"/>
      <c r="KSR11" s="120"/>
      <c r="KSS11" s="120"/>
      <c r="KST11" s="120"/>
      <c r="KSU11" s="120"/>
      <c r="KSV11" s="120"/>
      <c r="KSW11" s="120"/>
      <c r="KSX11" s="120"/>
      <c r="KSY11" s="120"/>
      <c r="KSZ11" s="120"/>
      <c r="KTA11" s="120"/>
      <c r="KTB11" s="120"/>
      <c r="KTC11" s="120"/>
      <c r="KTD11" s="120"/>
      <c r="KTE11" s="120"/>
      <c r="KTF11" s="120"/>
      <c r="KTG11" s="120"/>
      <c r="KTH11" s="120"/>
      <c r="KTI11" s="120"/>
      <c r="KTJ11" s="120"/>
      <c r="KTK11" s="120"/>
      <c r="KTL11" s="120"/>
      <c r="KTM11" s="120"/>
      <c r="KTN11" s="120"/>
      <c r="KTO11" s="120"/>
      <c r="KTP11" s="120"/>
      <c r="KTQ11" s="120"/>
      <c r="KTR11" s="120"/>
      <c r="KTS11" s="120"/>
      <c r="KTT11" s="120"/>
      <c r="KTU11" s="120"/>
      <c r="KTV11" s="120"/>
      <c r="KTW11" s="120"/>
      <c r="KTX11" s="120"/>
      <c r="KTY11" s="120"/>
      <c r="KTZ11" s="120"/>
      <c r="KUA11" s="120"/>
      <c r="KUB11" s="120"/>
      <c r="KUC11" s="120"/>
      <c r="KUD11" s="120"/>
      <c r="KUE11" s="120"/>
      <c r="KUF11" s="120"/>
      <c r="KUG11" s="120"/>
      <c r="KUH11" s="120"/>
      <c r="KUI11" s="120"/>
      <c r="KUJ11" s="120"/>
      <c r="KUK11" s="120"/>
      <c r="KUL11" s="120"/>
      <c r="KUM11" s="120"/>
      <c r="KUN11" s="120"/>
      <c r="KUO11" s="120"/>
      <c r="KUP11" s="120"/>
      <c r="KUQ11" s="120"/>
      <c r="KUR11" s="120"/>
      <c r="KUS11" s="120"/>
      <c r="KUT11" s="120"/>
      <c r="KUU11" s="120"/>
      <c r="KUV11" s="120"/>
      <c r="KUW11" s="120"/>
      <c r="KUX11" s="120"/>
      <c r="KUY11" s="120"/>
      <c r="KUZ11" s="120"/>
      <c r="KVA11" s="120"/>
      <c r="KVB11" s="120"/>
      <c r="KVC11" s="120"/>
      <c r="KVD11" s="120"/>
      <c r="KVE11" s="120"/>
      <c r="KVF11" s="120"/>
      <c r="KVG11" s="120"/>
      <c r="KVH11" s="120"/>
      <c r="KVI11" s="120"/>
      <c r="KVJ11" s="120"/>
      <c r="KVK11" s="120"/>
      <c r="KVL11" s="120"/>
      <c r="KVM11" s="120"/>
      <c r="KVN11" s="120"/>
      <c r="KVO11" s="120"/>
      <c r="KVP11" s="120"/>
      <c r="KVQ11" s="120"/>
      <c r="KVR11" s="120"/>
      <c r="KVS11" s="120"/>
      <c r="KVT11" s="120"/>
      <c r="KVU11" s="120"/>
      <c r="KVV11" s="120"/>
      <c r="KVW11" s="120"/>
      <c r="KVX11" s="120"/>
      <c r="KVY11" s="120"/>
      <c r="KVZ11" s="120"/>
      <c r="KWA11" s="120"/>
      <c r="KWB11" s="120"/>
      <c r="KWC11" s="120"/>
      <c r="KWD11" s="120"/>
      <c r="KWE11" s="120"/>
      <c r="KWF11" s="120"/>
      <c r="KWG11" s="120"/>
      <c r="KWH11" s="120"/>
      <c r="KWI11" s="120"/>
      <c r="KWJ11" s="120"/>
      <c r="KWK11" s="120"/>
      <c r="KWL11" s="120"/>
      <c r="KWM11" s="120"/>
      <c r="KWN11" s="120"/>
      <c r="KWO11" s="120"/>
      <c r="KWP11" s="120"/>
      <c r="KWQ11" s="120"/>
      <c r="KWR11" s="120"/>
      <c r="KWS11" s="120"/>
      <c r="KWT11" s="120"/>
      <c r="KWU11" s="120"/>
      <c r="KWV11" s="120"/>
      <c r="KWW11" s="120"/>
      <c r="KWX11" s="120"/>
      <c r="KWY11" s="120"/>
      <c r="KWZ11" s="120"/>
      <c r="KXA11" s="120"/>
      <c r="KXB11" s="120"/>
      <c r="KXC11" s="120"/>
      <c r="KXD11" s="120"/>
      <c r="KXE11" s="120"/>
      <c r="KXF11" s="120"/>
      <c r="KXG11" s="120"/>
      <c r="KXH11" s="120"/>
      <c r="KXI11" s="120"/>
      <c r="KXJ11" s="120"/>
      <c r="KXK11" s="120"/>
      <c r="KXL11" s="120"/>
      <c r="KXM11" s="120"/>
      <c r="KXN11" s="120"/>
      <c r="KXO11" s="120"/>
      <c r="KXP11" s="120"/>
      <c r="KXQ11" s="120"/>
      <c r="KXR11" s="120"/>
      <c r="KXS11" s="120"/>
      <c r="KXT11" s="120"/>
      <c r="KXU11" s="120"/>
      <c r="KXV11" s="120"/>
      <c r="KXW11" s="120"/>
      <c r="KXX11" s="120"/>
      <c r="KXY11" s="120"/>
      <c r="KXZ11" s="120"/>
      <c r="KYA11" s="120"/>
      <c r="KYB11" s="120"/>
      <c r="KYC11" s="120"/>
      <c r="KYD11" s="120"/>
      <c r="KYE11" s="120"/>
      <c r="KYF11" s="120"/>
      <c r="KYG11" s="120"/>
      <c r="KYH11" s="120"/>
      <c r="KYI11" s="120"/>
      <c r="KYJ11" s="120"/>
      <c r="KYK11" s="120"/>
      <c r="KYL11" s="120"/>
      <c r="KYM11" s="120"/>
      <c r="KYN11" s="120"/>
      <c r="KYO11" s="120"/>
      <c r="KYP11" s="120"/>
      <c r="KYQ11" s="120"/>
      <c r="KYR11" s="120"/>
      <c r="KYS11" s="120"/>
      <c r="KYT11" s="120"/>
      <c r="KYU11" s="120"/>
      <c r="KYV11" s="120"/>
      <c r="KYW11" s="120"/>
      <c r="KYX11" s="120"/>
      <c r="KYY11" s="120"/>
      <c r="KYZ11" s="120"/>
      <c r="KZA11" s="120"/>
      <c r="KZB11" s="120"/>
      <c r="KZC11" s="120"/>
      <c r="KZD11" s="120"/>
      <c r="KZE11" s="120"/>
      <c r="KZF11" s="120"/>
      <c r="KZG11" s="120"/>
      <c r="KZH11" s="120"/>
      <c r="KZI11" s="120"/>
      <c r="KZJ11" s="120"/>
      <c r="KZK11" s="120"/>
      <c r="KZL11" s="120"/>
      <c r="KZM11" s="120"/>
      <c r="KZN11" s="120"/>
      <c r="KZO11" s="120"/>
      <c r="KZP11" s="120"/>
      <c r="KZQ11" s="120"/>
      <c r="KZR11" s="120"/>
      <c r="KZS11" s="120"/>
      <c r="KZT11" s="120"/>
      <c r="KZU11" s="120"/>
      <c r="KZV11" s="120"/>
      <c r="KZW11" s="120"/>
      <c r="KZX11" s="120"/>
      <c r="KZY11" s="120"/>
      <c r="KZZ11" s="120"/>
      <c r="LAA11" s="120"/>
      <c r="LAB11" s="120"/>
      <c r="LAC11" s="120"/>
      <c r="LAD11" s="120"/>
      <c r="LAE11" s="120"/>
      <c r="LAF11" s="120"/>
      <c r="LAG11" s="120"/>
      <c r="LAH11" s="120"/>
      <c r="LAI11" s="120"/>
      <c r="LAJ11" s="120"/>
      <c r="LAK11" s="120"/>
      <c r="LAL11" s="120"/>
      <c r="LAM11" s="120"/>
      <c r="LAN11" s="120"/>
      <c r="LAO11" s="120"/>
      <c r="LAP11" s="120"/>
      <c r="LAQ11" s="120"/>
      <c r="LAR11" s="120"/>
      <c r="LAS11" s="120"/>
      <c r="LAT11" s="120"/>
      <c r="LAU11" s="120"/>
      <c r="LAV11" s="120"/>
      <c r="LAW11" s="120"/>
      <c r="LAX11" s="120"/>
      <c r="LAY11" s="120"/>
      <c r="LAZ11" s="120"/>
      <c r="LBA11" s="120"/>
      <c r="LBB11" s="120"/>
      <c r="LBC11" s="120"/>
      <c r="LBD11" s="120"/>
      <c r="LBE11" s="120"/>
      <c r="LBF11" s="120"/>
      <c r="LBG11" s="120"/>
      <c r="LBH11" s="120"/>
      <c r="LBI11" s="120"/>
      <c r="LBJ11" s="120"/>
      <c r="LBK11" s="120"/>
      <c r="LBL11" s="120"/>
      <c r="LBM11" s="120"/>
      <c r="LBN11" s="120"/>
      <c r="LBO11" s="120"/>
      <c r="LBP11" s="120"/>
      <c r="LBQ11" s="120"/>
      <c r="LBR11" s="120"/>
      <c r="LBS11" s="120"/>
      <c r="LBT11" s="120"/>
      <c r="LBU11" s="120"/>
      <c r="LBV11" s="120"/>
      <c r="LBW11" s="120"/>
      <c r="LBX11" s="120"/>
      <c r="LBY11" s="120"/>
      <c r="LBZ11" s="120"/>
      <c r="LCA11" s="120"/>
      <c r="LCB11" s="120"/>
      <c r="LCC11" s="120"/>
      <c r="LCD11" s="120"/>
      <c r="LCE11" s="120"/>
      <c r="LCF11" s="120"/>
      <c r="LCG11" s="120"/>
      <c r="LCH11" s="120"/>
      <c r="LCI11" s="120"/>
      <c r="LCJ11" s="120"/>
      <c r="LCK11" s="120"/>
      <c r="LCL11" s="120"/>
      <c r="LCM11" s="120"/>
      <c r="LCN11" s="120"/>
      <c r="LCO11" s="120"/>
      <c r="LCP11" s="120"/>
      <c r="LCQ11" s="120"/>
      <c r="LCR11" s="120"/>
      <c r="LCS11" s="120"/>
      <c r="LCT11" s="120"/>
      <c r="LCU11" s="120"/>
      <c r="LCV11" s="120"/>
      <c r="LCW11" s="120"/>
      <c r="LCX11" s="120"/>
      <c r="LCY11" s="120"/>
      <c r="LCZ11" s="120"/>
      <c r="LDA11" s="120"/>
      <c r="LDB11" s="120"/>
      <c r="LDC11" s="120"/>
      <c r="LDD11" s="120"/>
      <c r="LDE11" s="120"/>
      <c r="LDF11" s="120"/>
      <c r="LDG11" s="120"/>
      <c r="LDH11" s="120"/>
      <c r="LDI11" s="120"/>
      <c r="LDJ11" s="120"/>
      <c r="LDK11" s="120"/>
      <c r="LDL11" s="120"/>
      <c r="LDM11" s="120"/>
      <c r="LDN11" s="120"/>
      <c r="LDO11" s="120"/>
      <c r="LDP11" s="120"/>
      <c r="LDQ11" s="120"/>
      <c r="LDR11" s="120"/>
      <c r="LDS11" s="120"/>
      <c r="LDT11" s="120"/>
      <c r="LDU11" s="120"/>
      <c r="LDV11" s="120"/>
      <c r="LDW11" s="120"/>
      <c r="LDX11" s="120"/>
      <c r="LDY11" s="120"/>
      <c r="LDZ11" s="120"/>
      <c r="LEA11" s="120"/>
      <c r="LEB11" s="120"/>
      <c r="LEC11" s="120"/>
      <c r="LED11" s="120"/>
      <c r="LEE11" s="120"/>
      <c r="LEF11" s="120"/>
      <c r="LEG11" s="120"/>
      <c r="LEH11" s="120"/>
      <c r="LEI11" s="120"/>
      <c r="LEJ11" s="120"/>
      <c r="LEK11" s="120"/>
      <c r="LEL11" s="120"/>
      <c r="LEM11" s="120"/>
      <c r="LEN11" s="120"/>
      <c r="LEO11" s="120"/>
      <c r="LEP11" s="120"/>
      <c r="LEQ11" s="120"/>
      <c r="LER11" s="120"/>
      <c r="LES11" s="120"/>
      <c r="LET11" s="120"/>
      <c r="LEU11" s="120"/>
      <c r="LEV11" s="120"/>
      <c r="LEW11" s="120"/>
      <c r="LEX11" s="120"/>
      <c r="LEY11" s="120"/>
      <c r="LEZ11" s="120"/>
      <c r="LFA11" s="120"/>
      <c r="LFB11" s="120"/>
      <c r="LFC11" s="120"/>
      <c r="LFD11" s="120"/>
      <c r="LFE11" s="120"/>
      <c r="LFF11" s="120"/>
      <c r="LFG11" s="120"/>
      <c r="LFH11" s="120"/>
      <c r="LFI11" s="120"/>
      <c r="LFJ11" s="120"/>
      <c r="LFK11" s="120"/>
      <c r="LFL11" s="120"/>
      <c r="LFM11" s="120"/>
      <c r="LFN11" s="120"/>
      <c r="LFO11" s="120"/>
      <c r="LFP11" s="120"/>
      <c r="LFQ11" s="120"/>
      <c r="LFR11" s="120"/>
      <c r="LFS11" s="120"/>
      <c r="LFT11" s="120"/>
      <c r="LFU11" s="120"/>
      <c r="LFV11" s="120"/>
      <c r="LFW11" s="120"/>
      <c r="LFX11" s="120"/>
      <c r="LFY11" s="120"/>
      <c r="LFZ11" s="120"/>
      <c r="LGA11" s="120"/>
      <c r="LGB11" s="120"/>
      <c r="LGC11" s="120"/>
      <c r="LGD11" s="120"/>
      <c r="LGE11" s="120"/>
      <c r="LGF11" s="120"/>
      <c r="LGG11" s="120"/>
      <c r="LGH11" s="120"/>
      <c r="LGI11" s="120"/>
      <c r="LGJ11" s="120"/>
      <c r="LGK11" s="120"/>
      <c r="LGL11" s="120"/>
      <c r="LGM11" s="120"/>
      <c r="LGN11" s="120"/>
      <c r="LGO11" s="120"/>
      <c r="LGP11" s="120"/>
      <c r="LGQ11" s="120"/>
      <c r="LGR11" s="120"/>
      <c r="LGS11" s="120"/>
      <c r="LGT11" s="120"/>
      <c r="LGU11" s="120"/>
      <c r="LGV11" s="120"/>
      <c r="LGW11" s="120"/>
      <c r="LGX11" s="120"/>
      <c r="LGY11" s="120"/>
      <c r="LGZ11" s="120"/>
      <c r="LHA11" s="120"/>
      <c r="LHB11" s="120"/>
      <c r="LHC11" s="120"/>
      <c r="LHD11" s="120"/>
      <c r="LHE11" s="120"/>
      <c r="LHF11" s="120"/>
      <c r="LHG11" s="120"/>
      <c r="LHH11" s="120"/>
      <c r="LHI11" s="120"/>
      <c r="LHJ11" s="120"/>
      <c r="LHK11" s="120"/>
      <c r="LHL11" s="120"/>
      <c r="LHM11" s="120"/>
      <c r="LHN11" s="120"/>
      <c r="LHO11" s="120"/>
      <c r="LHP11" s="120"/>
      <c r="LHQ11" s="120"/>
      <c r="LHR11" s="120"/>
      <c r="LHS11" s="120"/>
      <c r="LHT11" s="120"/>
      <c r="LHU11" s="120"/>
      <c r="LHV11" s="120"/>
      <c r="LHW11" s="120"/>
      <c r="LHX11" s="120"/>
      <c r="LHY11" s="120"/>
      <c r="LHZ11" s="120"/>
      <c r="LIA11" s="120"/>
      <c r="LIB11" s="120"/>
      <c r="LIC11" s="120"/>
      <c r="LID11" s="120"/>
      <c r="LIE11" s="120"/>
      <c r="LIF11" s="120"/>
      <c r="LIG11" s="120"/>
      <c r="LIH11" s="120"/>
      <c r="LII11" s="120"/>
      <c r="LIJ11" s="120"/>
      <c r="LIK11" s="120"/>
      <c r="LIL11" s="120"/>
      <c r="LIM11" s="120"/>
      <c r="LIN11" s="120"/>
      <c r="LIO11" s="120"/>
      <c r="LIP11" s="120"/>
      <c r="LIQ11" s="120"/>
      <c r="LIR11" s="120"/>
      <c r="LIS11" s="120"/>
      <c r="LIT11" s="120"/>
      <c r="LIU11" s="120"/>
      <c r="LIV11" s="120"/>
      <c r="LIW11" s="120"/>
      <c r="LIX11" s="120"/>
      <c r="LIY11" s="120"/>
      <c r="LIZ11" s="120"/>
      <c r="LJA11" s="120"/>
      <c r="LJB11" s="120"/>
      <c r="LJC11" s="120"/>
      <c r="LJD11" s="120"/>
      <c r="LJE11" s="120"/>
      <c r="LJF11" s="120"/>
      <c r="LJG11" s="120"/>
      <c r="LJH11" s="120"/>
      <c r="LJI11" s="120"/>
      <c r="LJJ11" s="120"/>
      <c r="LJK11" s="120"/>
      <c r="LJL11" s="120"/>
      <c r="LJM11" s="120"/>
      <c r="LJN11" s="120"/>
      <c r="LJO11" s="120"/>
      <c r="LJP11" s="120"/>
      <c r="LJQ11" s="120"/>
      <c r="LJR11" s="120"/>
      <c r="LJS11" s="120"/>
      <c r="LJT11" s="120"/>
      <c r="LJU11" s="120"/>
      <c r="LJV11" s="120"/>
      <c r="LJW11" s="120"/>
      <c r="LJX11" s="120"/>
      <c r="LJY11" s="120"/>
      <c r="LJZ11" s="120"/>
      <c r="LKA11" s="120"/>
      <c r="LKB11" s="120"/>
      <c r="LKC11" s="120"/>
      <c r="LKD11" s="120"/>
      <c r="LKE11" s="120"/>
      <c r="LKF11" s="120"/>
      <c r="LKG11" s="120"/>
      <c r="LKH11" s="120"/>
      <c r="LKI11" s="120"/>
      <c r="LKJ11" s="120"/>
      <c r="LKK11" s="120"/>
      <c r="LKL11" s="120"/>
      <c r="LKM11" s="120"/>
      <c r="LKN11" s="120"/>
      <c r="LKO11" s="120"/>
      <c r="LKP11" s="120"/>
      <c r="LKQ11" s="120"/>
      <c r="LKR11" s="120"/>
      <c r="LKS11" s="120"/>
      <c r="LKT11" s="120"/>
      <c r="LKU11" s="120"/>
      <c r="LKV11" s="120"/>
      <c r="LKW11" s="120"/>
      <c r="LKX11" s="120"/>
      <c r="LKY11" s="120"/>
      <c r="LKZ11" s="120"/>
      <c r="LLA11" s="120"/>
      <c r="LLB11" s="120"/>
      <c r="LLC11" s="120"/>
      <c r="LLD11" s="120"/>
      <c r="LLE11" s="120"/>
      <c r="LLF11" s="120"/>
      <c r="LLG11" s="120"/>
      <c r="LLH11" s="120"/>
      <c r="LLI11" s="120"/>
      <c r="LLJ11" s="120"/>
      <c r="LLK11" s="120"/>
      <c r="LLL11" s="120"/>
      <c r="LLM11" s="120"/>
      <c r="LLN11" s="120"/>
      <c r="LLO11" s="120"/>
      <c r="LLP11" s="120"/>
      <c r="LLQ11" s="120"/>
      <c r="LLR11" s="120"/>
      <c r="LLS11" s="120"/>
      <c r="LLT11" s="120"/>
      <c r="LLU11" s="120"/>
      <c r="LLV11" s="120"/>
      <c r="LLW11" s="120"/>
      <c r="LLX11" s="120"/>
      <c r="LLY11" s="120"/>
      <c r="LLZ11" s="120"/>
      <c r="LMA11" s="120"/>
      <c r="LMB11" s="120"/>
      <c r="LMC11" s="120"/>
      <c r="LMD11" s="120"/>
      <c r="LME11" s="120"/>
      <c r="LMF11" s="120"/>
      <c r="LMG11" s="120"/>
      <c r="LMH11" s="120"/>
      <c r="LMI11" s="120"/>
      <c r="LMJ11" s="120"/>
      <c r="LMK11" s="120"/>
      <c r="LML11" s="120"/>
      <c r="LMM11" s="120"/>
      <c r="LMN11" s="120"/>
      <c r="LMO11" s="120"/>
      <c r="LMP11" s="120"/>
      <c r="LMQ11" s="120"/>
      <c r="LMR11" s="120"/>
      <c r="LMS11" s="120"/>
      <c r="LMT11" s="120"/>
      <c r="LMU11" s="120"/>
      <c r="LMV11" s="120"/>
      <c r="LMW11" s="120"/>
      <c r="LMX11" s="120"/>
      <c r="LMY11" s="120"/>
      <c r="LMZ11" s="120"/>
      <c r="LNA11" s="120"/>
      <c r="LNB11" s="120"/>
      <c r="LNC11" s="120"/>
      <c r="LND11" s="120"/>
      <c r="LNE11" s="120"/>
      <c r="LNF11" s="120"/>
      <c r="LNG11" s="120"/>
      <c r="LNH11" s="120"/>
      <c r="LNI11" s="120"/>
      <c r="LNJ11" s="120"/>
      <c r="LNK11" s="120"/>
      <c r="LNL11" s="120"/>
      <c r="LNM11" s="120"/>
      <c r="LNN11" s="120"/>
      <c r="LNO11" s="120"/>
      <c r="LNP11" s="120"/>
      <c r="LNQ11" s="120"/>
      <c r="LNR11" s="120"/>
      <c r="LNS11" s="120"/>
      <c r="LNT11" s="120"/>
      <c r="LNU11" s="120"/>
      <c r="LNV11" s="120"/>
      <c r="LNW11" s="120"/>
      <c r="LNX11" s="120"/>
      <c r="LNY11" s="120"/>
      <c r="LNZ11" s="120"/>
      <c r="LOA11" s="120"/>
      <c r="LOB11" s="120"/>
      <c r="LOC11" s="120"/>
      <c r="LOD11" s="120"/>
      <c r="LOE11" s="120"/>
      <c r="LOF11" s="120"/>
      <c r="LOG11" s="120"/>
      <c r="LOH11" s="120"/>
      <c r="LOI11" s="120"/>
      <c r="LOJ11" s="120"/>
      <c r="LOK11" s="120"/>
      <c r="LOL11" s="120"/>
      <c r="LOM11" s="120"/>
      <c r="LON11" s="120"/>
      <c r="LOO11" s="120"/>
      <c r="LOP11" s="120"/>
      <c r="LOQ11" s="120"/>
      <c r="LOR11" s="120"/>
      <c r="LOS11" s="120"/>
      <c r="LOT11" s="120"/>
      <c r="LOU11" s="120"/>
      <c r="LOV11" s="120"/>
      <c r="LOW11" s="120"/>
      <c r="LOX11" s="120"/>
      <c r="LOY11" s="120"/>
      <c r="LOZ11" s="120"/>
      <c r="LPA11" s="120"/>
      <c r="LPB11" s="120"/>
      <c r="LPC11" s="120"/>
      <c r="LPD11" s="120"/>
      <c r="LPE11" s="120"/>
      <c r="LPF11" s="120"/>
      <c r="LPG11" s="120"/>
      <c r="LPH11" s="120"/>
      <c r="LPI11" s="120"/>
      <c r="LPJ11" s="120"/>
      <c r="LPK11" s="120"/>
      <c r="LPL11" s="120"/>
      <c r="LPM11" s="120"/>
      <c r="LPN11" s="120"/>
      <c r="LPO11" s="120"/>
      <c r="LPP11" s="120"/>
      <c r="LPQ11" s="120"/>
      <c r="LPR11" s="120"/>
      <c r="LPS11" s="120"/>
      <c r="LPT11" s="120"/>
      <c r="LPU11" s="120"/>
      <c r="LPV11" s="120"/>
      <c r="LPW11" s="120"/>
      <c r="LPX11" s="120"/>
      <c r="LPY11" s="120"/>
      <c r="LPZ11" s="120"/>
      <c r="LQA11" s="120"/>
      <c r="LQB11" s="120"/>
      <c r="LQC11" s="120"/>
      <c r="LQD11" s="120"/>
      <c r="LQE11" s="120"/>
      <c r="LQF11" s="120"/>
      <c r="LQG11" s="120"/>
      <c r="LQH11" s="120"/>
      <c r="LQI11" s="120"/>
      <c r="LQJ11" s="120"/>
      <c r="LQK11" s="120"/>
      <c r="LQL11" s="120"/>
      <c r="LQM11" s="120"/>
      <c r="LQN11" s="120"/>
      <c r="LQO11" s="120"/>
      <c r="LQP11" s="120"/>
      <c r="LQQ11" s="120"/>
      <c r="LQR11" s="120"/>
      <c r="LQS11" s="120"/>
      <c r="LQT11" s="120"/>
      <c r="LQU11" s="120"/>
      <c r="LQV11" s="120"/>
      <c r="LQW11" s="120"/>
      <c r="LQX11" s="120"/>
      <c r="LQY11" s="120"/>
      <c r="LQZ11" s="120"/>
      <c r="LRA11" s="120"/>
      <c r="LRB11" s="120"/>
      <c r="LRC11" s="120"/>
      <c r="LRD11" s="120"/>
      <c r="LRE11" s="120"/>
      <c r="LRF11" s="120"/>
      <c r="LRG11" s="120"/>
      <c r="LRH11" s="120"/>
      <c r="LRI11" s="120"/>
      <c r="LRJ11" s="120"/>
      <c r="LRK11" s="120"/>
      <c r="LRL11" s="120"/>
      <c r="LRM11" s="120"/>
      <c r="LRN11" s="120"/>
      <c r="LRO11" s="120"/>
      <c r="LRP11" s="120"/>
      <c r="LRQ11" s="120"/>
      <c r="LRR11" s="120"/>
      <c r="LRS11" s="120"/>
      <c r="LRT11" s="120"/>
      <c r="LRU11" s="120"/>
      <c r="LRV11" s="120"/>
      <c r="LRW11" s="120"/>
      <c r="LRX11" s="120"/>
      <c r="LRY11" s="120"/>
      <c r="LRZ11" s="120"/>
      <c r="LSA11" s="120"/>
      <c r="LSB11" s="120"/>
      <c r="LSC11" s="120"/>
      <c r="LSD11" s="120"/>
      <c r="LSE11" s="120"/>
      <c r="LSF11" s="120"/>
      <c r="LSG11" s="120"/>
      <c r="LSH11" s="120"/>
      <c r="LSI11" s="120"/>
      <c r="LSJ11" s="120"/>
      <c r="LSK11" s="120"/>
      <c r="LSL11" s="120"/>
      <c r="LSM11" s="120"/>
      <c r="LSN11" s="120"/>
      <c r="LSO11" s="120"/>
      <c r="LSP11" s="120"/>
      <c r="LSQ11" s="120"/>
      <c r="LSR11" s="120"/>
      <c r="LSS11" s="120"/>
      <c r="LST11" s="120"/>
      <c r="LSU11" s="120"/>
      <c r="LSV11" s="120"/>
      <c r="LSW11" s="120"/>
      <c r="LSX11" s="120"/>
      <c r="LSY11" s="120"/>
      <c r="LSZ11" s="120"/>
      <c r="LTA11" s="120"/>
      <c r="LTB11" s="120"/>
      <c r="LTC11" s="120"/>
      <c r="LTD11" s="120"/>
      <c r="LTE11" s="120"/>
      <c r="LTF11" s="120"/>
      <c r="LTG11" s="120"/>
      <c r="LTH11" s="120"/>
      <c r="LTI11" s="120"/>
      <c r="LTJ11" s="120"/>
      <c r="LTK11" s="120"/>
      <c r="LTL11" s="120"/>
      <c r="LTM11" s="120"/>
      <c r="LTN11" s="120"/>
      <c r="LTO11" s="120"/>
      <c r="LTP11" s="120"/>
      <c r="LTQ11" s="120"/>
      <c r="LTR11" s="120"/>
      <c r="LTS11" s="120"/>
      <c r="LTT11" s="120"/>
      <c r="LTU11" s="120"/>
      <c r="LTV11" s="120"/>
      <c r="LTW11" s="120"/>
      <c r="LTX11" s="120"/>
      <c r="LTY11" s="120"/>
      <c r="LTZ11" s="120"/>
      <c r="LUA11" s="120"/>
      <c r="LUB11" s="120"/>
      <c r="LUC11" s="120"/>
      <c r="LUD11" s="120"/>
      <c r="LUE11" s="120"/>
      <c r="LUF11" s="120"/>
      <c r="LUG11" s="120"/>
      <c r="LUH11" s="120"/>
      <c r="LUI11" s="120"/>
      <c r="LUJ11" s="120"/>
      <c r="LUK11" s="120"/>
      <c r="LUL11" s="120"/>
      <c r="LUM11" s="120"/>
      <c r="LUN11" s="120"/>
      <c r="LUO11" s="120"/>
      <c r="LUP11" s="120"/>
      <c r="LUQ11" s="120"/>
      <c r="LUR11" s="120"/>
      <c r="LUS11" s="120"/>
      <c r="LUT11" s="120"/>
      <c r="LUU11" s="120"/>
      <c r="LUV11" s="120"/>
      <c r="LUW11" s="120"/>
      <c r="LUX11" s="120"/>
      <c r="LUY11" s="120"/>
      <c r="LUZ11" s="120"/>
      <c r="LVA11" s="120"/>
      <c r="LVB11" s="120"/>
      <c r="LVC11" s="120"/>
      <c r="LVD11" s="120"/>
      <c r="LVE11" s="120"/>
      <c r="LVF11" s="120"/>
      <c r="LVG11" s="120"/>
      <c r="LVH11" s="120"/>
      <c r="LVI11" s="120"/>
      <c r="LVJ11" s="120"/>
      <c r="LVK11" s="120"/>
      <c r="LVL11" s="120"/>
      <c r="LVM11" s="120"/>
      <c r="LVN11" s="120"/>
      <c r="LVO11" s="120"/>
      <c r="LVP11" s="120"/>
      <c r="LVQ11" s="120"/>
      <c r="LVR11" s="120"/>
      <c r="LVS11" s="120"/>
      <c r="LVT11" s="120"/>
      <c r="LVU11" s="120"/>
      <c r="LVV11" s="120"/>
      <c r="LVW11" s="120"/>
      <c r="LVX11" s="120"/>
      <c r="LVY11" s="120"/>
      <c r="LVZ11" s="120"/>
      <c r="LWA11" s="120"/>
      <c r="LWB11" s="120"/>
      <c r="LWC11" s="120"/>
      <c r="LWD11" s="120"/>
      <c r="LWE11" s="120"/>
      <c r="LWF11" s="120"/>
      <c r="LWG11" s="120"/>
      <c r="LWH11" s="120"/>
      <c r="LWI11" s="120"/>
      <c r="LWJ11" s="120"/>
      <c r="LWK11" s="120"/>
      <c r="LWL11" s="120"/>
      <c r="LWM11" s="120"/>
      <c r="LWN11" s="120"/>
      <c r="LWO11" s="120"/>
      <c r="LWP11" s="120"/>
      <c r="LWQ11" s="120"/>
      <c r="LWR11" s="120"/>
      <c r="LWS11" s="120"/>
      <c r="LWT11" s="120"/>
      <c r="LWU11" s="120"/>
      <c r="LWV11" s="120"/>
      <c r="LWW11" s="120"/>
      <c r="LWX11" s="120"/>
      <c r="LWY11" s="120"/>
      <c r="LWZ11" s="120"/>
      <c r="LXA11" s="120"/>
      <c r="LXB11" s="120"/>
      <c r="LXC11" s="120"/>
      <c r="LXD11" s="120"/>
      <c r="LXE11" s="120"/>
      <c r="LXF11" s="120"/>
      <c r="LXG11" s="120"/>
      <c r="LXH11" s="120"/>
      <c r="LXI11" s="120"/>
      <c r="LXJ11" s="120"/>
      <c r="LXK11" s="120"/>
      <c r="LXL11" s="120"/>
      <c r="LXM11" s="120"/>
      <c r="LXN11" s="120"/>
      <c r="LXO11" s="120"/>
      <c r="LXP11" s="120"/>
      <c r="LXQ11" s="120"/>
      <c r="LXR11" s="120"/>
      <c r="LXS11" s="120"/>
      <c r="LXT11" s="120"/>
      <c r="LXU11" s="120"/>
      <c r="LXV11" s="120"/>
      <c r="LXW11" s="120"/>
      <c r="LXX11" s="120"/>
      <c r="LXY11" s="120"/>
      <c r="LXZ11" s="120"/>
      <c r="LYA11" s="120"/>
      <c r="LYB11" s="120"/>
      <c r="LYC11" s="120"/>
      <c r="LYD11" s="120"/>
      <c r="LYE11" s="120"/>
      <c r="LYF11" s="120"/>
      <c r="LYG11" s="120"/>
      <c r="LYH11" s="120"/>
      <c r="LYI11" s="120"/>
      <c r="LYJ11" s="120"/>
      <c r="LYK11" s="120"/>
      <c r="LYL11" s="120"/>
      <c r="LYM11" s="120"/>
      <c r="LYN11" s="120"/>
      <c r="LYO11" s="120"/>
      <c r="LYP11" s="120"/>
      <c r="LYQ11" s="120"/>
      <c r="LYR11" s="120"/>
      <c r="LYS11" s="120"/>
      <c r="LYT11" s="120"/>
      <c r="LYU11" s="120"/>
      <c r="LYV11" s="120"/>
      <c r="LYW11" s="120"/>
      <c r="LYX11" s="120"/>
      <c r="LYY11" s="120"/>
      <c r="LYZ11" s="120"/>
      <c r="LZA11" s="120"/>
      <c r="LZB11" s="120"/>
      <c r="LZC11" s="120"/>
      <c r="LZD11" s="120"/>
      <c r="LZE11" s="120"/>
      <c r="LZF11" s="120"/>
      <c r="LZG11" s="120"/>
      <c r="LZH11" s="120"/>
      <c r="LZI11" s="120"/>
      <c r="LZJ11" s="120"/>
      <c r="LZK11" s="120"/>
      <c r="LZL11" s="120"/>
      <c r="LZM11" s="120"/>
      <c r="LZN11" s="120"/>
      <c r="LZO11" s="120"/>
      <c r="LZP11" s="120"/>
      <c r="LZQ11" s="120"/>
      <c r="LZR11" s="120"/>
      <c r="LZS11" s="120"/>
      <c r="LZT11" s="120"/>
      <c r="LZU11" s="120"/>
      <c r="LZV11" s="120"/>
      <c r="LZW11" s="120"/>
      <c r="LZX11" s="120"/>
      <c r="LZY11" s="120"/>
      <c r="LZZ11" s="120"/>
      <c r="MAA11" s="120"/>
      <c r="MAB11" s="120"/>
      <c r="MAC11" s="120"/>
      <c r="MAD11" s="120"/>
      <c r="MAE11" s="120"/>
      <c r="MAF11" s="120"/>
      <c r="MAG11" s="120"/>
      <c r="MAH11" s="120"/>
      <c r="MAI11" s="120"/>
      <c r="MAJ11" s="120"/>
      <c r="MAK11" s="120"/>
      <c r="MAL11" s="120"/>
      <c r="MAM11" s="120"/>
      <c r="MAN11" s="120"/>
      <c r="MAO11" s="120"/>
      <c r="MAP11" s="120"/>
      <c r="MAQ11" s="120"/>
      <c r="MAR11" s="120"/>
      <c r="MAS11" s="120"/>
      <c r="MAT11" s="120"/>
      <c r="MAU11" s="120"/>
      <c r="MAV11" s="120"/>
      <c r="MAW11" s="120"/>
      <c r="MAX11" s="120"/>
      <c r="MAY11" s="120"/>
      <c r="MAZ11" s="120"/>
      <c r="MBA11" s="120"/>
      <c r="MBB11" s="120"/>
      <c r="MBC11" s="120"/>
      <c r="MBD11" s="120"/>
      <c r="MBE11" s="120"/>
      <c r="MBF11" s="120"/>
      <c r="MBG11" s="120"/>
      <c r="MBH11" s="120"/>
      <c r="MBI11" s="120"/>
      <c r="MBJ11" s="120"/>
      <c r="MBK11" s="120"/>
      <c r="MBL11" s="120"/>
      <c r="MBM11" s="120"/>
      <c r="MBN11" s="120"/>
      <c r="MBO11" s="120"/>
      <c r="MBP11" s="120"/>
      <c r="MBQ11" s="120"/>
      <c r="MBR11" s="120"/>
      <c r="MBS11" s="120"/>
      <c r="MBT11" s="120"/>
      <c r="MBU11" s="120"/>
      <c r="MBV11" s="120"/>
      <c r="MBW11" s="120"/>
      <c r="MBX11" s="120"/>
      <c r="MBY11" s="120"/>
      <c r="MBZ11" s="120"/>
      <c r="MCA11" s="120"/>
      <c r="MCB11" s="120"/>
      <c r="MCC11" s="120"/>
      <c r="MCD11" s="120"/>
      <c r="MCE11" s="120"/>
      <c r="MCF11" s="120"/>
      <c r="MCG11" s="120"/>
      <c r="MCH11" s="120"/>
      <c r="MCI11" s="120"/>
      <c r="MCJ11" s="120"/>
      <c r="MCK11" s="120"/>
      <c r="MCL11" s="120"/>
      <c r="MCM11" s="120"/>
      <c r="MCN11" s="120"/>
      <c r="MCO11" s="120"/>
      <c r="MCP11" s="120"/>
      <c r="MCQ11" s="120"/>
      <c r="MCR11" s="120"/>
      <c r="MCS11" s="120"/>
      <c r="MCT11" s="120"/>
      <c r="MCU11" s="120"/>
      <c r="MCV11" s="120"/>
      <c r="MCW11" s="120"/>
      <c r="MCX11" s="120"/>
      <c r="MCY11" s="120"/>
      <c r="MCZ11" s="120"/>
      <c r="MDA11" s="120"/>
      <c r="MDB11" s="120"/>
      <c r="MDC11" s="120"/>
      <c r="MDD11" s="120"/>
      <c r="MDE11" s="120"/>
      <c r="MDF11" s="120"/>
      <c r="MDG11" s="120"/>
      <c r="MDH11" s="120"/>
      <c r="MDI11" s="120"/>
      <c r="MDJ11" s="120"/>
      <c r="MDK11" s="120"/>
      <c r="MDL11" s="120"/>
      <c r="MDM11" s="120"/>
      <c r="MDN11" s="120"/>
      <c r="MDO11" s="120"/>
      <c r="MDP11" s="120"/>
      <c r="MDQ11" s="120"/>
      <c r="MDR11" s="120"/>
      <c r="MDS11" s="120"/>
      <c r="MDT11" s="120"/>
      <c r="MDU11" s="120"/>
      <c r="MDV11" s="120"/>
      <c r="MDW11" s="120"/>
      <c r="MDX11" s="120"/>
      <c r="MDY11" s="120"/>
      <c r="MDZ11" s="120"/>
      <c r="MEA11" s="120"/>
      <c r="MEB11" s="120"/>
      <c r="MEC11" s="120"/>
      <c r="MED11" s="120"/>
      <c r="MEE11" s="120"/>
      <c r="MEF11" s="120"/>
      <c r="MEG11" s="120"/>
      <c r="MEH11" s="120"/>
      <c r="MEI11" s="120"/>
      <c r="MEJ11" s="120"/>
      <c r="MEK11" s="120"/>
      <c r="MEL11" s="120"/>
      <c r="MEM11" s="120"/>
      <c r="MEN11" s="120"/>
      <c r="MEO11" s="120"/>
      <c r="MEP11" s="120"/>
      <c r="MEQ11" s="120"/>
      <c r="MER11" s="120"/>
      <c r="MES11" s="120"/>
      <c r="MET11" s="120"/>
      <c r="MEU11" s="120"/>
      <c r="MEV11" s="120"/>
      <c r="MEW11" s="120"/>
      <c r="MEX11" s="120"/>
      <c r="MEY11" s="120"/>
      <c r="MEZ11" s="120"/>
      <c r="MFA11" s="120"/>
      <c r="MFB11" s="120"/>
      <c r="MFC11" s="120"/>
      <c r="MFD11" s="120"/>
      <c r="MFE11" s="120"/>
      <c r="MFF11" s="120"/>
      <c r="MFG11" s="120"/>
      <c r="MFH11" s="120"/>
      <c r="MFI11" s="120"/>
      <c r="MFJ11" s="120"/>
      <c r="MFK11" s="120"/>
      <c r="MFL11" s="120"/>
      <c r="MFM11" s="120"/>
      <c r="MFN11" s="120"/>
      <c r="MFO11" s="120"/>
      <c r="MFP11" s="120"/>
      <c r="MFQ11" s="120"/>
      <c r="MFR11" s="120"/>
      <c r="MFS11" s="120"/>
      <c r="MFT11" s="120"/>
      <c r="MFU11" s="120"/>
      <c r="MFV11" s="120"/>
      <c r="MFW11" s="120"/>
      <c r="MFX11" s="120"/>
      <c r="MFY11" s="120"/>
      <c r="MFZ11" s="120"/>
      <c r="MGA11" s="120"/>
      <c r="MGB11" s="120"/>
      <c r="MGC11" s="120"/>
      <c r="MGD11" s="120"/>
      <c r="MGE11" s="120"/>
      <c r="MGF11" s="120"/>
      <c r="MGG11" s="120"/>
      <c r="MGH11" s="120"/>
      <c r="MGI11" s="120"/>
      <c r="MGJ11" s="120"/>
      <c r="MGK11" s="120"/>
      <c r="MGL11" s="120"/>
      <c r="MGM11" s="120"/>
      <c r="MGN11" s="120"/>
      <c r="MGO11" s="120"/>
      <c r="MGP11" s="120"/>
      <c r="MGQ11" s="120"/>
      <c r="MGR11" s="120"/>
      <c r="MGS11" s="120"/>
      <c r="MGT11" s="120"/>
      <c r="MGU11" s="120"/>
      <c r="MGV11" s="120"/>
      <c r="MGW11" s="120"/>
      <c r="MGX11" s="120"/>
      <c r="MGY11" s="120"/>
      <c r="MGZ11" s="120"/>
      <c r="MHA11" s="120"/>
      <c r="MHB11" s="120"/>
      <c r="MHC11" s="120"/>
      <c r="MHD11" s="120"/>
      <c r="MHE11" s="120"/>
      <c r="MHF11" s="120"/>
      <c r="MHG11" s="120"/>
      <c r="MHH11" s="120"/>
      <c r="MHI11" s="120"/>
      <c r="MHJ11" s="120"/>
      <c r="MHK11" s="120"/>
      <c r="MHL11" s="120"/>
      <c r="MHM11" s="120"/>
      <c r="MHN11" s="120"/>
      <c r="MHO11" s="120"/>
      <c r="MHP11" s="120"/>
      <c r="MHQ11" s="120"/>
      <c r="MHR11" s="120"/>
      <c r="MHS11" s="120"/>
      <c r="MHT11" s="120"/>
      <c r="MHU11" s="120"/>
      <c r="MHV11" s="120"/>
      <c r="MHW11" s="120"/>
      <c r="MHX11" s="120"/>
      <c r="MHY11" s="120"/>
      <c r="MHZ11" s="120"/>
      <c r="MIA11" s="120"/>
      <c r="MIB11" s="120"/>
      <c r="MIC11" s="120"/>
      <c r="MID11" s="120"/>
      <c r="MIE11" s="120"/>
      <c r="MIF11" s="120"/>
      <c r="MIG11" s="120"/>
      <c r="MIH11" s="120"/>
      <c r="MII11" s="120"/>
      <c r="MIJ11" s="120"/>
      <c r="MIK11" s="120"/>
      <c r="MIL11" s="120"/>
      <c r="MIM11" s="120"/>
      <c r="MIN11" s="120"/>
      <c r="MIO11" s="120"/>
      <c r="MIP11" s="120"/>
      <c r="MIQ11" s="120"/>
      <c r="MIR11" s="120"/>
      <c r="MIS11" s="120"/>
      <c r="MIT11" s="120"/>
      <c r="MIU11" s="120"/>
      <c r="MIV11" s="120"/>
      <c r="MIW11" s="120"/>
      <c r="MIX11" s="120"/>
      <c r="MIY11" s="120"/>
      <c r="MIZ11" s="120"/>
      <c r="MJA11" s="120"/>
      <c r="MJB11" s="120"/>
      <c r="MJC11" s="120"/>
      <c r="MJD11" s="120"/>
      <c r="MJE11" s="120"/>
      <c r="MJF11" s="120"/>
      <c r="MJG11" s="120"/>
      <c r="MJH11" s="120"/>
      <c r="MJI11" s="120"/>
      <c r="MJJ11" s="120"/>
      <c r="MJK11" s="120"/>
      <c r="MJL11" s="120"/>
      <c r="MJM11" s="120"/>
      <c r="MJN11" s="120"/>
      <c r="MJO11" s="120"/>
      <c r="MJP11" s="120"/>
      <c r="MJQ11" s="120"/>
      <c r="MJR11" s="120"/>
      <c r="MJS11" s="120"/>
      <c r="MJT11" s="120"/>
      <c r="MJU11" s="120"/>
      <c r="MJV11" s="120"/>
      <c r="MJW11" s="120"/>
      <c r="MJX11" s="120"/>
      <c r="MJY11" s="120"/>
      <c r="MJZ11" s="120"/>
      <c r="MKA11" s="120"/>
      <c r="MKB11" s="120"/>
      <c r="MKC11" s="120"/>
      <c r="MKD11" s="120"/>
      <c r="MKE11" s="120"/>
      <c r="MKF11" s="120"/>
      <c r="MKG11" s="120"/>
      <c r="MKH11" s="120"/>
      <c r="MKI11" s="120"/>
      <c r="MKJ11" s="120"/>
      <c r="MKK11" s="120"/>
      <c r="MKL11" s="120"/>
      <c r="MKM11" s="120"/>
      <c r="MKN11" s="120"/>
      <c r="MKO11" s="120"/>
      <c r="MKP11" s="120"/>
      <c r="MKQ11" s="120"/>
      <c r="MKR11" s="120"/>
      <c r="MKS11" s="120"/>
      <c r="MKT11" s="120"/>
      <c r="MKU11" s="120"/>
      <c r="MKV11" s="120"/>
      <c r="MKW11" s="120"/>
      <c r="MKX11" s="120"/>
      <c r="MKY11" s="120"/>
      <c r="MKZ11" s="120"/>
      <c r="MLA11" s="120"/>
      <c r="MLB11" s="120"/>
      <c r="MLC11" s="120"/>
      <c r="MLD11" s="120"/>
      <c r="MLE11" s="120"/>
      <c r="MLF11" s="120"/>
      <c r="MLG11" s="120"/>
      <c r="MLH11" s="120"/>
      <c r="MLI11" s="120"/>
      <c r="MLJ11" s="120"/>
      <c r="MLK11" s="120"/>
      <c r="MLL11" s="120"/>
      <c r="MLM11" s="120"/>
      <c r="MLN11" s="120"/>
      <c r="MLO11" s="120"/>
      <c r="MLP11" s="120"/>
      <c r="MLQ11" s="120"/>
      <c r="MLR11" s="120"/>
      <c r="MLS11" s="120"/>
      <c r="MLT11" s="120"/>
      <c r="MLU11" s="120"/>
      <c r="MLV11" s="120"/>
      <c r="MLW11" s="120"/>
      <c r="MLX11" s="120"/>
      <c r="MLY11" s="120"/>
      <c r="MLZ11" s="120"/>
      <c r="MMA11" s="120"/>
      <c r="MMB11" s="120"/>
      <c r="MMC11" s="120"/>
      <c r="MMD11" s="120"/>
      <c r="MME11" s="120"/>
      <c r="MMF11" s="120"/>
      <c r="MMG11" s="120"/>
      <c r="MMH11" s="120"/>
      <c r="MMI11" s="120"/>
      <c r="MMJ11" s="120"/>
      <c r="MMK11" s="120"/>
      <c r="MML11" s="120"/>
      <c r="MMM11" s="120"/>
      <c r="MMN11" s="120"/>
      <c r="MMO11" s="120"/>
      <c r="MMP11" s="120"/>
      <c r="MMQ11" s="120"/>
      <c r="MMR11" s="120"/>
      <c r="MMS11" s="120"/>
      <c r="MMT11" s="120"/>
      <c r="MMU11" s="120"/>
      <c r="MMV11" s="120"/>
      <c r="MMW11" s="120"/>
      <c r="MMX11" s="120"/>
      <c r="MMY11" s="120"/>
      <c r="MMZ11" s="120"/>
      <c r="MNA11" s="120"/>
      <c r="MNB11" s="120"/>
      <c r="MNC11" s="120"/>
      <c r="MND11" s="120"/>
      <c r="MNE11" s="120"/>
      <c r="MNF11" s="120"/>
      <c r="MNG11" s="120"/>
      <c r="MNH11" s="120"/>
      <c r="MNI11" s="120"/>
      <c r="MNJ11" s="120"/>
      <c r="MNK11" s="120"/>
      <c r="MNL11" s="120"/>
      <c r="MNM11" s="120"/>
      <c r="MNN11" s="120"/>
      <c r="MNO11" s="120"/>
      <c r="MNP11" s="120"/>
      <c r="MNQ11" s="120"/>
      <c r="MNR11" s="120"/>
      <c r="MNS11" s="120"/>
      <c r="MNT11" s="120"/>
      <c r="MNU11" s="120"/>
      <c r="MNV11" s="120"/>
      <c r="MNW11" s="120"/>
      <c r="MNX11" s="120"/>
      <c r="MNY11" s="120"/>
      <c r="MNZ11" s="120"/>
      <c r="MOA11" s="120"/>
      <c r="MOB11" s="120"/>
      <c r="MOC11" s="120"/>
      <c r="MOD11" s="120"/>
      <c r="MOE11" s="120"/>
      <c r="MOF11" s="120"/>
      <c r="MOG11" s="120"/>
      <c r="MOH11" s="120"/>
      <c r="MOI11" s="120"/>
      <c r="MOJ11" s="120"/>
      <c r="MOK11" s="120"/>
      <c r="MOL11" s="120"/>
      <c r="MOM11" s="120"/>
      <c r="MON11" s="120"/>
      <c r="MOO11" s="120"/>
      <c r="MOP11" s="120"/>
      <c r="MOQ11" s="120"/>
      <c r="MOR11" s="120"/>
      <c r="MOS11" s="120"/>
      <c r="MOT11" s="120"/>
      <c r="MOU11" s="120"/>
      <c r="MOV11" s="120"/>
      <c r="MOW11" s="120"/>
      <c r="MOX11" s="120"/>
      <c r="MOY11" s="120"/>
      <c r="MOZ11" s="120"/>
      <c r="MPA11" s="120"/>
      <c r="MPB11" s="120"/>
      <c r="MPC11" s="120"/>
      <c r="MPD11" s="120"/>
      <c r="MPE11" s="120"/>
      <c r="MPF11" s="120"/>
      <c r="MPG11" s="120"/>
      <c r="MPH11" s="120"/>
      <c r="MPI11" s="120"/>
      <c r="MPJ11" s="120"/>
      <c r="MPK11" s="120"/>
      <c r="MPL11" s="120"/>
      <c r="MPM11" s="120"/>
      <c r="MPN11" s="120"/>
      <c r="MPO11" s="120"/>
      <c r="MPP11" s="120"/>
      <c r="MPQ11" s="120"/>
      <c r="MPR11" s="120"/>
      <c r="MPS11" s="120"/>
      <c r="MPT11" s="120"/>
      <c r="MPU11" s="120"/>
      <c r="MPV11" s="120"/>
      <c r="MPW11" s="120"/>
      <c r="MPX11" s="120"/>
      <c r="MPY11" s="120"/>
      <c r="MPZ11" s="120"/>
      <c r="MQA11" s="120"/>
      <c r="MQB11" s="120"/>
      <c r="MQC11" s="120"/>
      <c r="MQD11" s="120"/>
      <c r="MQE11" s="120"/>
      <c r="MQF11" s="120"/>
      <c r="MQG11" s="120"/>
      <c r="MQH11" s="120"/>
      <c r="MQI11" s="120"/>
      <c r="MQJ11" s="120"/>
      <c r="MQK11" s="120"/>
      <c r="MQL11" s="120"/>
      <c r="MQM11" s="120"/>
      <c r="MQN11" s="120"/>
      <c r="MQO11" s="120"/>
      <c r="MQP11" s="120"/>
      <c r="MQQ11" s="120"/>
      <c r="MQR11" s="120"/>
      <c r="MQS11" s="120"/>
      <c r="MQT11" s="120"/>
      <c r="MQU11" s="120"/>
      <c r="MQV11" s="120"/>
      <c r="MQW11" s="120"/>
      <c r="MQX11" s="120"/>
      <c r="MQY11" s="120"/>
      <c r="MQZ11" s="120"/>
      <c r="MRA11" s="120"/>
      <c r="MRB11" s="120"/>
      <c r="MRC11" s="120"/>
      <c r="MRD11" s="120"/>
      <c r="MRE11" s="120"/>
      <c r="MRF11" s="120"/>
      <c r="MRG11" s="120"/>
      <c r="MRH11" s="120"/>
      <c r="MRI11" s="120"/>
      <c r="MRJ11" s="120"/>
      <c r="MRK11" s="120"/>
      <c r="MRL11" s="120"/>
      <c r="MRM11" s="120"/>
      <c r="MRN11" s="120"/>
      <c r="MRO11" s="120"/>
      <c r="MRP11" s="120"/>
      <c r="MRQ11" s="120"/>
      <c r="MRR11" s="120"/>
      <c r="MRS11" s="120"/>
      <c r="MRT11" s="120"/>
      <c r="MRU11" s="120"/>
      <c r="MRV11" s="120"/>
      <c r="MRW11" s="120"/>
      <c r="MRX11" s="120"/>
      <c r="MRY11" s="120"/>
      <c r="MRZ11" s="120"/>
      <c r="MSA11" s="120"/>
      <c r="MSB11" s="120"/>
      <c r="MSC11" s="120"/>
      <c r="MSD11" s="120"/>
      <c r="MSE11" s="120"/>
      <c r="MSF11" s="120"/>
      <c r="MSG11" s="120"/>
      <c r="MSH11" s="120"/>
      <c r="MSI11" s="120"/>
      <c r="MSJ11" s="120"/>
      <c r="MSK11" s="120"/>
      <c r="MSL11" s="120"/>
      <c r="MSM11" s="120"/>
      <c r="MSN11" s="120"/>
      <c r="MSO11" s="120"/>
      <c r="MSP11" s="120"/>
      <c r="MSQ11" s="120"/>
      <c r="MSR11" s="120"/>
      <c r="MSS11" s="120"/>
      <c r="MST11" s="120"/>
      <c r="MSU11" s="120"/>
      <c r="MSV11" s="120"/>
      <c r="MSW11" s="120"/>
      <c r="MSX11" s="120"/>
      <c r="MSY11" s="120"/>
      <c r="MSZ11" s="120"/>
      <c r="MTA11" s="120"/>
      <c r="MTB11" s="120"/>
      <c r="MTC11" s="120"/>
      <c r="MTD11" s="120"/>
      <c r="MTE11" s="120"/>
      <c r="MTF11" s="120"/>
      <c r="MTG11" s="120"/>
      <c r="MTH11" s="120"/>
      <c r="MTI11" s="120"/>
      <c r="MTJ11" s="120"/>
      <c r="MTK11" s="120"/>
      <c r="MTL11" s="120"/>
      <c r="MTM11" s="120"/>
      <c r="MTN11" s="120"/>
      <c r="MTO11" s="120"/>
      <c r="MTP11" s="120"/>
      <c r="MTQ11" s="120"/>
      <c r="MTR11" s="120"/>
      <c r="MTS11" s="120"/>
      <c r="MTT11" s="120"/>
      <c r="MTU11" s="120"/>
      <c r="MTV11" s="120"/>
      <c r="MTW11" s="120"/>
      <c r="MTX11" s="120"/>
      <c r="MTY11" s="120"/>
      <c r="MTZ11" s="120"/>
      <c r="MUA11" s="120"/>
      <c r="MUB11" s="120"/>
      <c r="MUC11" s="120"/>
      <c r="MUD11" s="120"/>
      <c r="MUE11" s="120"/>
      <c r="MUF11" s="120"/>
      <c r="MUG11" s="120"/>
      <c r="MUH11" s="120"/>
      <c r="MUI11" s="120"/>
      <c r="MUJ11" s="120"/>
      <c r="MUK11" s="120"/>
      <c r="MUL11" s="120"/>
      <c r="MUM11" s="120"/>
      <c r="MUN11" s="120"/>
      <c r="MUO11" s="120"/>
      <c r="MUP11" s="120"/>
      <c r="MUQ11" s="120"/>
      <c r="MUR11" s="120"/>
      <c r="MUS11" s="120"/>
      <c r="MUT11" s="120"/>
      <c r="MUU11" s="120"/>
      <c r="MUV11" s="120"/>
      <c r="MUW11" s="120"/>
      <c r="MUX11" s="120"/>
      <c r="MUY11" s="120"/>
      <c r="MUZ11" s="120"/>
      <c r="MVA11" s="120"/>
      <c r="MVB11" s="120"/>
      <c r="MVC11" s="120"/>
      <c r="MVD11" s="120"/>
      <c r="MVE11" s="120"/>
      <c r="MVF11" s="120"/>
      <c r="MVG11" s="120"/>
      <c r="MVH11" s="120"/>
      <c r="MVI11" s="120"/>
      <c r="MVJ11" s="120"/>
      <c r="MVK11" s="120"/>
      <c r="MVL11" s="120"/>
      <c r="MVM11" s="120"/>
      <c r="MVN11" s="120"/>
      <c r="MVO11" s="120"/>
      <c r="MVP11" s="120"/>
      <c r="MVQ11" s="120"/>
      <c r="MVR11" s="120"/>
      <c r="MVS11" s="120"/>
      <c r="MVT11" s="120"/>
      <c r="MVU11" s="120"/>
      <c r="MVV11" s="120"/>
      <c r="MVW11" s="120"/>
      <c r="MVX11" s="120"/>
      <c r="MVY11" s="120"/>
      <c r="MVZ11" s="120"/>
      <c r="MWA11" s="120"/>
      <c r="MWB11" s="120"/>
      <c r="MWC11" s="120"/>
      <c r="MWD11" s="120"/>
      <c r="MWE11" s="120"/>
      <c r="MWF11" s="120"/>
      <c r="MWG11" s="120"/>
      <c r="MWH11" s="120"/>
      <c r="MWI11" s="120"/>
      <c r="MWJ11" s="120"/>
      <c r="MWK11" s="120"/>
      <c r="MWL11" s="120"/>
      <c r="MWM11" s="120"/>
      <c r="MWN11" s="120"/>
      <c r="MWO11" s="120"/>
      <c r="MWP11" s="120"/>
      <c r="MWQ11" s="120"/>
      <c r="MWR11" s="120"/>
      <c r="MWS11" s="120"/>
      <c r="MWT11" s="120"/>
      <c r="MWU11" s="120"/>
      <c r="MWV11" s="120"/>
      <c r="MWW11" s="120"/>
      <c r="MWX11" s="120"/>
      <c r="MWY11" s="120"/>
      <c r="MWZ11" s="120"/>
      <c r="MXA11" s="120"/>
      <c r="MXB11" s="120"/>
      <c r="MXC11" s="120"/>
      <c r="MXD11" s="120"/>
      <c r="MXE11" s="120"/>
      <c r="MXF11" s="120"/>
      <c r="MXG11" s="120"/>
      <c r="MXH11" s="120"/>
      <c r="MXI11" s="120"/>
      <c r="MXJ11" s="120"/>
      <c r="MXK11" s="120"/>
      <c r="MXL11" s="120"/>
      <c r="MXM11" s="120"/>
      <c r="MXN11" s="120"/>
      <c r="MXO11" s="120"/>
      <c r="MXP11" s="120"/>
      <c r="MXQ11" s="120"/>
      <c r="MXR11" s="120"/>
      <c r="MXS11" s="120"/>
      <c r="MXT11" s="120"/>
      <c r="MXU11" s="120"/>
      <c r="MXV11" s="120"/>
      <c r="MXW11" s="120"/>
      <c r="MXX11" s="120"/>
      <c r="MXY11" s="120"/>
      <c r="MXZ11" s="120"/>
      <c r="MYA11" s="120"/>
      <c r="MYB11" s="120"/>
      <c r="MYC11" s="120"/>
      <c r="MYD11" s="120"/>
      <c r="MYE11" s="120"/>
      <c r="MYF11" s="120"/>
      <c r="MYG11" s="120"/>
      <c r="MYH11" s="120"/>
      <c r="MYI11" s="120"/>
      <c r="MYJ11" s="120"/>
      <c r="MYK11" s="120"/>
      <c r="MYL11" s="120"/>
      <c r="MYM11" s="120"/>
      <c r="MYN11" s="120"/>
      <c r="MYO11" s="120"/>
      <c r="MYP11" s="120"/>
      <c r="MYQ11" s="120"/>
      <c r="MYR11" s="120"/>
      <c r="MYS11" s="120"/>
      <c r="MYT11" s="120"/>
      <c r="MYU11" s="120"/>
      <c r="MYV11" s="120"/>
      <c r="MYW11" s="120"/>
      <c r="MYX11" s="120"/>
      <c r="MYY11" s="120"/>
      <c r="MYZ11" s="120"/>
      <c r="MZA11" s="120"/>
      <c r="MZB11" s="120"/>
      <c r="MZC11" s="120"/>
      <c r="MZD11" s="120"/>
      <c r="MZE11" s="120"/>
      <c r="MZF11" s="120"/>
      <c r="MZG11" s="120"/>
      <c r="MZH11" s="120"/>
      <c r="MZI11" s="120"/>
      <c r="MZJ11" s="120"/>
      <c r="MZK11" s="120"/>
      <c r="MZL11" s="120"/>
      <c r="MZM11" s="120"/>
      <c r="MZN11" s="120"/>
      <c r="MZO11" s="120"/>
      <c r="MZP11" s="120"/>
      <c r="MZQ11" s="120"/>
      <c r="MZR11" s="120"/>
      <c r="MZS11" s="120"/>
      <c r="MZT11" s="120"/>
      <c r="MZU11" s="120"/>
      <c r="MZV11" s="120"/>
      <c r="MZW11" s="120"/>
      <c r="MZX11" s="120"/>
      <c r="MZY11" s="120"/>
      <c r="MZZ11" s="120"/>
      <c r="NAA11" s="120"/>
      <c r="NAB11" s="120"/>
      <c r="NAC11" s="120"/>
      <c r="NAD11" s="120"/>
      <c r="NAE11" s="120"/>
      <c r="NAF11" s="120"/>
      <c r="NAG11" s="120"/>
      <c r="NAH11" s="120"/>
      <c r="NAI11" s="120"/>
      <c r="NAJ11" s="120"/>
      <c r="NAK11" s="120"/>
      <c r="NAL11" s="120"/>
      <c r="NAM11" s="120"/>
      <c r="NAN11" s="120"/>
      <c r="NAO11" s="120"/>
      <c r="NAP11" s="120"/>
      <c r="NAQ11" s="120"/>
      <c r="NAR11" s="120"/>
      <c r="NAS11" s="120"/>
      <c r="NAT11" s="120"/>
      <c r="NAU11" s="120"/>
      <c r="NAV11" s="120"/>
      <c r="NAW11" s="120"/>
      <c r="NAX11" s="120"/>
      <c r="NAY11" s="120"/>
      <c r="NAZ11" s="120"/>
      <c r="NBA11" s="120"/>
      <c r="NBB11" s="120"/>
      <c r="NBC11" s="120"/>
      <c r="NBD11" s="120"/>
      <c r="NBE11" s="120"/>
      <c r="NBF11" s="120"/>
      <c r="NBG11" s="120"/>
      <c r="NBH11" s="120"/>
      <c r="NBI11" s="120"/>
      <c r="NBJ11" s="120"/>
      <c r="NBK11" s="120"/>
      <c r="NBL11" s="120"/>
      <c r="NBM11" s="120"/>
      <c r="NBN11" s="120"/>
      <c r="NBO11" s="120"/>
      <c r="NBP11" s="120"/>
      <c r="NBQ11" s="120"/>
      <c r="NBR11" s="120"/>
      <c r="NBS11" s="120"/>
      <c r="NBT11" s="120"/>
      <c r="NBU11" s="120"/>
      <c r="NBV11" s="120"/>
      <c r="NBW11" s="120"/>
      <c r="NBX11" s="120"/>
      <c r="NBY11" s="120"/>
      <c r="NBZ11" s="120"/>
      <c r="NCA11" s="120"/>
      <c r="NCB11" s="120"/>
      <c r="NCC11" s="120"/>
      <c r="NCD11" s="120"/>
      <c r="NCE11" s="120"/>
      <c r="NCF11" s="120"/>
      <c r="NCG11" s="120"/>
      <c r="NCH11" s="120"/>
      <c r="NCI11" s="120"/>
      <c r="NCJ11" s="120"/>
      <c r="NCK11" s="120"/>
      <c r="NCL11" s="120"/>
      <c r="NCM11" s="120"/>
      <c r="NCN11" s="120"/>
      <c r="NCO11" s="120"/>
      <c r="NCP11" s="120"/>
      <c r="NCQ11" s="120"/>
      <c r="NCR11" s="120"/>
      <c r="NCS11" s="120"/>
      <c r="NCT11" s="120"/>
      <c r="NCU11" s="120"/>
      <c r="NCV11" s="120"/>
      <c r="NCW11" s="120"/>
      <c r="NCX11" s="120"/>
      <c r="NCY11" s="120"/>
      <c r="NCZ11" s="120"/>
      <c r="NDA11" s="120"/>
      <c r="NDB11" s="120"/>
      <c r="NDC11" s="120"/>
      <c r="NDD11" s="120"/>
      <c r="NDE11" s="120"/>
      <c r="NDF11" s="120"/>
      <c r="NDG11" s="120"/>
      <c r="NDH11" s="120"/>
      <c r="NDI11" s="120"/>
      <c r="NDJ11" s="120"/>
      <c r="NDK11" s="120"/>
      <c r="NDL11" s="120"/>
      <c r="NDM11" s="120"/>
      <c r="NDN11" s="120"/>
      <c r="NDO11" s="120"/>
      <c r="NDP11" s="120"/>
      <c r="NDQ11" s="120"/>
      <c r="NDR11" s="120"/>
      <c r="NDS11" s="120"/>
      <c r="NDT11" s="120"/>
      <c r="NDU11" s="120"/>
      <c r="NDV11" s="120"/>
      <c r="NDW11" s="120"/>
      <c r="NDX11" s="120"/>
      <c r="NDY11" s="120"/>
      <c r="NDZ11" s="120"/>
      <c r="NEA11" s="120"/>
      <c r="NEB11" s="120"/>
      <c r="NEC11" s="120"/>
      <c r="NED11" s="120"/>
      <c r="NEE11" s="120"/>
      <c r="NEF11" s="120"/>
      <c r="NEG11" s="120"/>
      <c r="NEH11" s="120"/>
      <c r="NEI11" s="120"/>
      <c r="NEJ11" s="120"/>
      <c r="NEK11" s="120"/>
      <c r="NEL11" s="120"/>
      <c r="NEM11" s="120"/>
      <c r="NEN11" s="120"/>
      <c r="NEO11" s="120"/>
      <c r="NEP11" s="120"/>
      <c r="NEQ11" s="120"/>
      <c r="NER11" s="120"/>
      <c r="NES11" s="120"/>
      <c r="NET11" s="120"/>
      <c r="NEU11" s="120"/>
      <c r="NEV11" s="120"/>
      <c r="NEW11" s="120"/>
      <c r="NEX11" s="120"/>
      <c r="NEY11" s="120"/>
      <c r="NEZ11" s="120"/>
      <c r="NFA11" s="120"/>
      <c r="NFB11" s="120"/>
      <c r="NFC11" s="120"/>
      <c r="NFD11" s="120"/>
      <c r="NFE11" s="120"/>
      <c r="NFF11" s="120"/>
      <c r="NFG11" s="120"/>
      <c r="NFH11" s="120"/>
      <c r="NFI11" s="120"/>
      <c r="NFJ11" s="120"/>
      <c r="NFK11" s="120"/>
      <c r="NFL11" s="120"/>
      <c r="NFM11" s="120"/>
      <c r="NFN11" s="120"/>
      <c r="NFO11" s="120"/>
      <c r="NFP11" s="120"/>
      <c r="NFQ11" s="120"/>
      <c r="NFR11" s="120"/>
      <c r="NFS11" s="120"/>
      <c r="NFT11" s="120"/>
      <c r="NFU11" s="120"/>
      <c r="NFV11" s="120"/>
      <c r="NFW11" s="120"/>
      <c r="NFX11" s="120"/>
      <c r="NFY11" s="120"/>
      <c r="NFZ11" s="120"/>
      <c r="NGA11" s="120"/>
      <c r="NGB11" s="120"/>
      <c r="NGC11" s="120"/>
      <c r="NGD11" s="120"/>
      <c r="NGE11" s="120"/>
      <c r="NGF11" s="120"/>
      <c r="NGG11" s="120"/>
      <c r="NGH11" s="120"/>
      <c r="NGI11" s="120"/>
      <c r="NGJ11" s="120"/>
      <c r="NGK11" s="120"/>
      <c r="NGL11" s="120"/>
      <c r="NGM11" s="120"/>
      <c r="NGN11" s="120"/>
      <c r="NGO11" s="120"/>
      <c r="NGP11" s="120"/>
      <c r="NGQ11" s="120"/>
      <c r="NGR11" s="120"/>
      <c r="NGS11" s="120"/>
      <c r="NGT11" s="120"/>
      <c r="NGU11" s="120"/>
      <c r="NGV11" s="120"/>
      <c r="NGW11" s="120"/>
      <c r="NGX11" s="120"/>
      <c r="NGY11" s="120"/>
      <c r="NGZ11" s="120"/>
      <c r="NHA11" s="120"/>
      <c r="NHB11" s="120"/>
      <c r="NHC11" s="120"/>
      <c r="NHD11" s="120"/>
      <c r="NHE11" s="120"/>
      <c r="NHF11" s="120"/>
      <c r="NHG11" s="120"/>
      <c r="NHH11" s="120"/>
      <c r="NHI11" s="120"/>
      <c r="NHJ11" s="120"/>
      <c r="NHK11" s="120"/>
      <c r="NHL11" s="120"/>
      <c r="NHM11" s="120"/>
      <c r="NHN11" s="120"/>
      <c r="NHO11" s="120"/>
      <c r="NHP11" s="120"/>
      <c r="NHQ11" s="120"/>
      <c r="NHR11" s="120"/>
      <c r="NHS11" s="120"/>
      <c r="NHT11" s="120"/>
      <c r="NHU11" s="120"/>
      <c r="NHV11" s="120"/>
      <c r="NHW11" s="120"/>
      <c r="NHX11" s="120"/>
      <c r="NHY11" s="120"/>
      <c r="NHZ11" s="120"/>
      <c r="NIA11" s="120"/>
      <c r="NIB11" s="120"/>
      <c r="NIC11" s="120"/>
      <c r="NID11" s="120"/>
      <c r="NIE11" s="120"/>
      <c r="NIF11" s="120"/>
      <c r="NIG11" s="120"/>
      <c r="NIH11" s="120"/>
      <c r="NII11" s="120"/>
      <c r="NIJ11" s="120"/>
      <c r="NIK11" s="120"/>
      <c r="NIL11" s="120"/>
      <c r="NIM11" s="120"/>
      <c r="NIN11" s="120"/>
      <c r="NIO11" s="120"/>
      <c r="NIP11" s="120"/>
      <c r="NIQ11" s="120"/>
      <c r="NIR11" s="120"/>
      <c r="NIS11" s="120"/>
      <c r="NIT11" s="120"/>
      <c r="NIU11" s="120"/>
      <c r="NIV11" s="120"/>
      <c r="NIW11" s="120"/>
      <c r="NIX11" s="120"/>
      <c r="NIY11" s="120"/>
      <c r="NIZ11" s="120"/>
      <c r="NJA11" s="120"/>
      <c r="NJB11" s="120"/>
      <c r="NJC11" s="120"/>
      <c r="NJD11" s="120"/>
      <c r="NJE11" s="120"/>
      <c r="NJF11" s="120"/>
      <c r="NJG11" s="120"/>
      <c r="NJH11" s="120"/>
      <c r="NJI11" s="120"/>
      <c r="NJJ11" s="120"/>
      <c r="NJK11" s="120"/>
      <c r="NJL11" s="120"/>
      <c r="NJM11" s="120"/>
      <c r="NJN11" s="120"/>
      <c r="NJO11" s="120"/>
      <c r="NJP11" s="120"/>
      <c r="NJQ11" s="120"/>
      <c r="NJR11" s="120"/>
      <c r="NJS11" s="120"/>
      <c r="NJT11" s="120"/>
      <c r="NJU11" s="120"/>
      <c r="NJV11" s="120"/>
      <c r="NJW11" s="120"/>
      <c r="NJX11" s="120"/>
      <c r="NJY11" s="120"/>
      <c r="NJZ11" s="120"/>
      <c r="NKA11" s="120"/>
      <c r="NKB11" s="120"/>
      <c r="NKC11" s="120"/>
      <c r="NKD11" s="120"/>
      <c r="NKE11" s="120"/>
      <c r="NKF11" s="120"/>
      <c r="NKG11" s="120"/>
      <c r="NKH11" s="120"/>
      <c r="NKI11" s="120"/>
      <c r="NKJ11" s="120"/>
      <c r="NKK11" s="120"/>
      <c r="NKL11" s="120"/>
      <c r="NKM11" s="120"/>
      <c r="NKN11" s="120"/>
      <c r="NKO11" s="120"/>
      <c r="NKP11" s="120"/>
      <c r="NKQ11" s="120"/>
      <c r="NKR11" s="120"/>
      <c r="NKS11" s="120"/>
      <c r="NKT11" s="120"/>
      <c r="NKU11" s="120"/>
      <c r="NKV11" s="120"/>
      <c r="NKW11" s="120"/>
      <c r="NKX11" s="120"/>
      <c r="NKY11" s="120"/>
      <c r="NKZ11" s="120"/>
      <c r="NLA11" s="120"/>
      <c r="NLB11" s="120"/>
      <c r="NLC11" s="120"/>
      <c r="NLD11" s="120"/>
      <c r="NLE11" s="120"/>
      <c r="NLF11" s="120"/>
      <c r="NLG11" s="120"/>
      <c r="NLH11" s="120"/>
      <c r="NLI11" s="120"/>
      <c r="NLJ11" s="120"/>
      <c r="NLK11" s="120"/>
      <c r="NLL11" s="120"/>
      <c r="NLM11" s="120"/>
      <c r="NLN11" s="120"/>
      <c r="NLO11" s="120"/>
      <c r="NLP11" s="120"/>
      <c r="NLQ11" s="120"/>
      <c r="NLR11" s="120"/>
      <c r="NLS11" s="120"/>
      <c r="NLT11" s="120"/>
      <c r="NLU11" s="120"/>
      <c r="NLV11" s="120"/>
      <c r="NLW11" s="120"/>
      <c r="NLX11" s="120"/>
      <c r="NLY11" s="120"/>
      <c r="NLZ11" s="120"/>
      <c r="NMA11" s="120"/>
      <c r="NMB11" s="120"/>
      <c r="NMC11" s="120"/>
      <c r="NMD11" s="120"/>
      <c r="NME11" s="120"/>
      <c r="NMF11" s="120"/>
      <c r="NMG11" s="120"/>
      <c r="NMH11" s="120"/>
      <c r="NMI11" s="120"/>
      <c r="NMJ11" s="120"/>
      <c r="NMK11" s="120"/>
      <c r="NML11" s="120"/>
      <c r="NMM11" s="120"/>
      <c r="NMN11" s="120"/>
      <c r="NMO11" s="120"/>
      <c r="NMP11" s="120"/>
      <c r="NMQ11" s="120"/>
      <c r="NMR11" s="120"/>
      <c r="NMS11" s="120"/>
      <c r="NMT11" s="120"/>
      <c r="NMU11" s="120"/>
      <c r="NMV11" s="120"/>
      <c r="NMW11" s="120"/>
      <c r="NMX11" s="120"/>
      <c r="NMY11" s="120"/>
      <c r="NMZ11" s="120"/>
      <c r="NNA11" s="120"/>
      <c r="NNB11" s="120"/>
      <c r="NNC11" s="120"/>
      <c r="NND11" s="120"/>
      <c r="NNE11" s="120"/>
      <c r="NNF11" s="120"/>
      <c r="NNG11" s="120"/>
      <c r="NNH11" s="120"/>
      <c r="NNI11" s="120"/>
      <c r="NNJ11" s="120"/>
      <c r="NNK11" s="120"/>
      <c r="NNL11" s="120"/>
      <c r="NNM11" s="120"/>
      <c r="NNN11" s="120"/>
      <c r="NNO11" s="120"/>
      <c r="NNP11" s="120"/>
      <c r="NNQ11" s="120"/>
      <c r="NNR11" s="120"/>
      <c r="NNS11" s="120"/>
      <c r="NNT11" s="120"/>
      <c r="NNU11" s="120"/>
      <c r="NNV11" s="120"/>
      <c r="NNW11" s="120"/>
      <c r="NNX11" s="120"/>
      <c r="NNY11" s="120"/>
      <c r="NNZ11" s="120"/>
      <c r="NOA11" s="120"/>
      <c r="NOB11" s="120"/>
      <c r="NOC11" s="120"/>
      <c r="NOD11" s="120"/>
      <c r="NOE11" s="120"/>
      <c r="NOF11" s="120"/>
      <c r="NOG11" s="120"/>
      <c r="NOH11" s="120"/>
      <c r="NOI11" s="120"/>
      <c r="NOJ11" s="120"/>
      <c r="NOK11" s="120"/>
      <c r="NOL11" s="120"/>
      <c r="NOM11" s="120"/>
      <c r="NON11" s="120"/>
      <c r="NOO11" s="120"/>
      <c r="NOP11" s="120"/>
      <c r="NOQ11" s="120"/>
      <c r="NOR11" s="120"/>
      <c r="NOS11" s="120"/>
      <c r="NOT11" s="120"/>
      <c r="NOU11" s="120"/>
      <c r="NOV11" s="120"/>
      <c r="NOW11" s="120"/>
      <c r="NOX11" s="120"/>
      <c r="NOY11" s="120"/>
      <c r="NOZ11" s="120"/>
      <c r="NPA11" s="120"/>
      <c r="NPB11" s="120"/>
      <c r="NPC11" s="120"/>
      <c r="NPD11" s="120"/>
      <c r="NPE11" s="120"/>
      <c r="NPF11" s="120"/>
      <c r="NPG11" s="120"/>
      <c r="NPH11" s="120"/>
      <c r="NPI11" s="120"/>
      <c r="NPJ11" s="120"/>
      <c r="NPK11" s="120"/>
      <c r="NPL11" s="120"/>
      <c r="NPM11" s="120"/>
      <c r="NPN11" s="120"/>
      <c r="NPO11" s="120"/>
      <c r="NPP11" s="120"/>
      <c r="NPQ11" s="120"/>
      <c r="NPR11" s="120"/>
      <c r="NPS11" s="120"/>
      <c r="NPT11" s="120"/>
      <c r="NPU11" s="120"/>
      <c r="NPV11" s="120"/>
      <c r="NPW11" s="120"/>
      <c r="NPX11" s="120"/>
      <c r="NPY11" s="120"/>
      <c r="NPZ11" s="120"/>
      <c r="NQA11" s="120"/>
      <c r="NQB11" s="120"/>
      <c r="NQC11" s="120"/>
      <c r="NQD11" s="120"/>
      <c r="NQE11" s="120"/>
      <c r="NQF11" s="120"/>
      <c r="NQG11" s="120"/>
      <c r="NQH11" s="120"/>
      <c r="NQI11" s="120"/>
      <c r="NQJ11" s="120"/>
      <c r="NQK11" s="120"/>
      <c r="NQL11" s="120"/>
      <c r="NQM11" s="120"/>
      <c r="NQN11" s="120"/>
      <c r="NQO11" s="120"/>
      <c r="NQP11" s="120"/>
      <c r="NQQ11" s="120"/>
      <c r="NQR11" s="120"/>
      <c r="NQS11" s="120"/>
      <c r="NQT11" s="120"/>
      <c r="NQU11" s="120"/>
      <c r="NQV11" s="120"/>
      <c r="NQW11" s="120"/>
      <c r="NQX11" s="120"/>
      <c r="NQY11" s="120"/>
      <c r="NQZ11" s="120"/>
      <c r="NRA11" s="120"/>
      <c r="NRB11" s="120"/>
      <c r="NRC11" s="120"/>
      <c r="NRD11" s="120"/>
      <c r="NRE11" s="120"/>
      <c r="NRF11" s="120"/>
      <c r="NRG11" s="120"/>
      <c r="NRH11" s="120"/>
      <c r="NRI11" s="120"/>
      <c r="NRJ11" s="120"/>
      <c r="NRK11" s="120"/>
      <c r="NRL11" s="120"/>
      <c r="NRM11" s="120"/>
      <c r="NRN11" s="120"/>
      <c r="NRO11" s="120"/>
      <c r="NRP11" s="120"/>
      <c r="NRQ11" s="120"/>
      <c r="NRR11" s="120"/>
      <c r="NRS11" s="120"/>
      <c r="NRT11" s="120"/>
      <c r="NRU11" s="120"/>
      <c r="NRV11" s="120"/>
      <c r="NRW11" s="120"/>
      <c r="NRX11" s="120"/>
      <c r="NRY11" s="120"/>
      <c r="NRZ11" s="120"/>
      <c r="NSA11" s="120"/>
      <c r="NSB11" s="120"/>
      <c r="NSC11" s="120"/>
      <c r="NSD11" s="120"/>
      <c r="NSE11" s="120"/>
      <c r="NSF11" s="120"/>
      <c r="NSG11" s="120"/>
      <c r="NSH11" s="120"/>
      <c r="NSI11" s="120"/>
      <c r="NSJ11" s="120"/>
      <c r="NSK11" s="120"/>
      <c r="NSL11" s="120"/>
      <c r="NSM11" s="120"/>
      <c r="NSN11" s="120"/>
      <c r="NSO11" s="120"/>
      <c r="NSP11" s="120"/>
      <c r="NSQ11" s="120"/>
      <c r="NSR11" s="120"/>
      <c r="NSS11" s="120"/>
      <c r="NST11" s="120"/>
      <c r="NSU11" s="120"/>
      <c r="NSV11" s="120"/>
      <c r="NSW11" s="120"/>
      <c r="NSX11" s="120"/>
      <c r="NSY11" s="120"/>
      <c r="NSZ11" s="120"/>
      <c r="NTA11" s="120"/>
      <c r="NTB11" s="120"/>
      <c r="NTC11" s="120"/>
      <c r="NTD11" s="120"/>
      <c r="NTE11" s="120"/>
      <c r="NTF11" s="120"/>
      <c r="NTG11" s="120"/>
      <c r="NTH11" s="120"/>
      <c r="NTI11" s="120"/>
      <c r="NTJ11" s="120"/>
      <c r="NTK11" s="120"/>
      <c r="NTL11" s="120"/>
      <c r="NTM11" s="120"/>
      <c r="NTN11" s="120"/>
      <c r="NTO11" s="120"/>
      <c r="NTP11" s="120"/>
      <c r="NTQ11" s="120"/>
      <c r="NTR11" s="120"/>
      <c r="NTS11" s="120"/>
      <c r="NTT11" s="120"/>
      <c r="NTU11" s="120"/>
      <c r="NTV11" s="120"/>
      <c r="NTW11" s="120"/>
      <c r="NTX11" s="120"/>
      <c r="NTY11" s="120"/>
      <c r="NTZ11" s="120"/>
      <c r="NUA11" s="120"/>
      <c r="NUB11" s="120"/>
      <c r="NUC11" s="120"/>
      <c r="NUD11" s="120"/>
      <c r="NUE11" s="120"/>
      <c r="NUF11" s="120"/>
      <c r="NUG11" s="120"/>
      <c r="NUH11" s="120"/>
      <c r="NUI11" s="120"/>
      <c r="NUJ11" s="120"/>
      <c r="NUK11" s="120"/>
      <c r="NUL11" s="120"/>
      <c r="NUM11" s="120"/>
      <c r="NUN11" s="120"/>
      <c r="NUO11" s="120"/>
      <c r="NUP11" s="120"/>
      <c r="NUQ11" s="120"/>
      <c r="NUR11" s="120"/>
      <c r="NUS11" s="120"/>
      <c r="NUT11" s="120"/>
      <c r="NUU11" s="120"/>
      <c r="NUV11" s="120"/>
      <c r="NUW11" s="120"/>
      <c r="NUX11" s="120"/>
      <c r="NUY11" s="120"/>
      <c r="NUZ11" s="120"/>
      <c r="NVA11" s="120"/>
      <c r="NVB11" s="120"/>
      <c r="NVC11" s="120"/>
      <c r="NVD11" s="120"/>
      <c r="NVE11" s="120"/>
      <c r="NVF11" s="120"/>
      <c r="NVG11" s="120"/>
      <c r="NVH11" s="120"/>
      <c r="NVI11" s="120"/>
      <c r="NVJ11" s="120"/>
      <c r="NVK11" s="120"/>
      <c r="NVL11" s="120"/>
      <c r="NVM11" s="120"/>
      <c r="NVN11" s="120"/>
      <c r="NVO11" s="120"/>
      <c r="NVP11" s="120"/>
      <c r="NVQ11" s="120"/>
      <c r="NVR11" s="120"/>
      <c r="NVS11" s="120"/>
      <c r="NVT11" s="120"/>
      <c r="NVU11" s="120"/>
      <c r="NVV11" s="120"/>
      <c r="NVW11" s="120"/>
      <c r="NVX11" s="120"/>
      <c r="NVY11" s="120"/>
      <c r="NVZ11" s="120"/>
      <c r="NWA11" s="120"/>
      <c r="NWB11" s="120"/>
      <c r="NWC11" s="120"/>
      <c r="NWD11" s="120"/>
      <c r="NWE11" s="120"/>
      <c r="NWF11" s="120"/>
      <c r="NWG11" s="120"/>
      <c r="NWH11" s="120"/>
      <c r="NWI11" s="120"/>
      <c r="NWJ11" s="120"/>
      <c r="NWK11" s="120"/>
      <c r="NWL11" s="120"/>
      <c r="NWM11" s="120"/>
      <c r="NWN11" s="120"/>
      <c r="NWO11" s="120"/>
      <c r="NWP11" s="120"/>
      <c r="NWQ11" s="120"/>
      <c r="NWR11" s="120"/>
      <c r="NWS11" s="120"/>
      <c r="NWT11" s="120"/>
      <c r="NWU11" s="120"/>
      <c r="NWV11" s="120"/>
      <c r="NWW11" s="120"/>
      <c r="NWX11" s="120"/>
      <c r="NWY11" s="120"/>
      <c r="NWZ11" s="120"/>
      <c r="NXA11" s="120"/>
      <c r="NXB11" s="120"/>
      <c r="NXC11" s="120"/>
      <c r="NXD11" s="120"/>
      <c r="NXE11" s="120"/>
      <c r="NXF11" s="120"/>
      <c r="NXG11" s="120"/>
      <c r="NXH11" s="120"/>
      <c r="NXI11" s="120"/>
      <c r="NXJ11" s="120"/>
      <c r="NXK11" s="120"/>
      <c r="NXL11" s="120"/>
      <c r="NXM11" s="120"/>
      <c r="NXN11" s="120"/>
      <c r="NXO11" s="120"/>
      <c r="NXP11" s="120"/>
      <c r="NXQ11" s="120"/>
      <c r="NXR11" s="120"/>
      <c r="NXS11" s="120"/>
      <c r="NXT11" s="120"/>
      <c r="NXU11" s="120"/>
      <c r="NXV11" s="120"/>
      <c r="NXW11" s="120"/>
      <c r="NXX11" s="120"/>
      <c r="NXY11" s="120"/>
      <c r="NXZ11" s="120"/>
      <c r="NYA11" s="120"/>
      <c r="NYB11" s="120"/>
      <c r="NYC11" s="120"/>
      <c r="NYD11" s="120"/>
      <c r="NYE11" s="120"/>
      <c r="NYF11" s="120"/>
      <c r="NYG11" s="120"/>
      <c r="NYH11" s="120"/>
      <c r="NYI11" s="120"/>
      <c r="NYJ11" s="120"/>
      <c r="NYK11" s="120"/>
      <c r="NYL11" s="120"/>
      <c r="NYM11" s="120"/>
      <c r="NYN11" s="120"/>
      <c r="NYO11" s="120"/>
      <c r="NYP11" s="120"/>
      <c r="NYQ11" s="120"/>
      <c r="NYR11" s="120"/>
      <c r="NYS11" s="120"/>
      <c r="NYT11" s="120"/>
      <c r="NYU11" s="120"/>
      <c r="NYV11" s="120"/>
      <c r="NYW11" s="120"/>
      <c r="NYX11" s="120"/>
      <c r="NYY11" s="120"/>
      <c r="NYZ11" s="120"/>
      <c r="NZA11" s="120"/>
      <c r="NZB11" s="120"/>
      <c r="NZC11" s="120"/>
      <c r="NZD11" s="120"/>
      <c r="NZE11" s="120"/>
      <c r="NZF11" s="120"/>
      <c r="NZG11" s="120"/>
      <c r="NZH11" s="120"/>
      <c r="NZI11" s="120"/>
      <c r="NZJ11" s="120"/>
      <c r="NZK11" s="120"/>
      <c r="NZL11" s="120"/>
      <c r="NZM11" s="120"/>
      <c r="NZN11" s="120"/>
      <c r="NZO11" s="120"/>
      <c r="NZP11" s="120"/>
      <c r="NZQ11" s="120"/>
      <c r="NZR11" s="120"/>
      <c r="NZS11" s="120"/>
      <c r="NZT11" s="120"/>
      <c r="NZU11" s="120"/>
      <c r="NZV11" s="120"/>
      <c r="NZW11" s="120"/>
      <c r="NZX11" s="120"/>
      <c r="NZY11" s="120"/>
      <c r="NZZ11" s="120"/>
      <c r="OAA11" s="120"/>
      <c r="OAB11" s="120"/>
      <c r="OAC11" s="120"/>
      <c r="OAD11" s="120"/>
      <c r="OAE11" s="120"/>
      <c r="OAF11" s="120"/>
      <c r="OAG11" s="120"/>
      <c r="OAH11" s="120"/>
      <c r="OAI11" s="120"/>
      <c r="OAJ11" s="120"/>
      <c r="OAK11" s="120"/>
      <c r="OAL11" s="120"/>
      <c r="OAM11" s="120"/>
      <c r="OAN11" s="120"/>
      <c r="OAO11" s="120"/>
      <c r="OAP11" s="120"/>
      <c r="OAQ11" s="120"/>
      <c r="OAR11" s="120"/>
      <c r="OAS11" s="120"/>
      <c r="OAT11" s="120"/>
      <c r="OAU11" s="120"/>
      <c r="OAV11" s="120"/>
      <c r="OAW11" s="120"/>
      <c r="OAX11" s="120"/>
      <c r="OAY11" s="120"/>
      <c r="OAZ11" s="120"/>
      <c r="OBA11" s="120"/>
      <c r="OBB11" s="120"/>
      <c r="OBC11" s="120"/>
      <c r="OBD11" s="120"/>
      <c r="OBE11" s="120"/>
      <c r="OBF11" s="120"/>
      <c r="OBG11" s="120"/>
      <c r="OBH11" s="120"/>
      <c r="OBI11" s="120"/>
      <c r="OBJ11" s="120"/>
      <c r="OBK11" s="120"/>
      <c r="OBL11" s="120"/>
      <c r="OBM11" s="120"/>
      <c r="OBN11" s="120"/>
      <c r="OBO11" s="120"/>
      <c r="OBP11" s="120"/>
      <c r="OBQ11" s="120"/>
      <c r="OBR11" s="120"/>
      <c r="OBS11" s="120"/>
      <c r="OBT11" s="120"/>
      <c r="OBU11" s="120"/>
      <c r="OBV11" s="120"/>
      <c r="OBW11" s="120"/>
      <c r="OBX11" s="120"/>
      <c r="OBY11" s="120"/>
      <c r="OBZ11" s="120"/>
      <c r="OCA11" s="120"/>
      <c r="OCB11" s="120"/>
      <c r="OCC11" s="120"/>
      <c r="OCD11" s="120"/>
      <c r="OCE11" s="120"/>
      <c r="OCF11" s="120"/>
      <c r="OCG11" s="120"/>
      <c r="OCH11" s="120"/>
      <c r="OCI11" s="120"/>
      <c r="OCJ11" s="120"/>
      <c r="OCK11" s="120"/>
      <c r="OCL11" s="120"/>
      <c r="OCM11" s="120"/>
      <c r="OCN11" s="120"/>
      <c r="OCO11" s="120"/>
      <c r="OCP11" s="120"/>
      <c r="OCQ11" s="120"/>
      <c r="OCR11" s="120"/>
      <c r="OCS11" s="120"/>
      <c r="OCT11" s="120"/>
      <c r="OCU11" s="120"/>
      <c r="OCV11" s="120"/>
      <c r="OCW11" s="120"/>
      <c r="OCX11" s="120"/>
      <c r="OCY11" s="120"/>
      <c r="OCZ11" s="120"/>
      <c r="ODA11" s="120"/>
      <c r="ODB11" s="120"/>
      <c r="ODC11" s="120"/>
      <c r="ODD11" s="120"/>
      <c r="ODE11" s="120"/>
      <c r="ODF11" s="120"/>
      <c r="ODG11" s="120"/>
      <c r="ODH11" s="120"/>
      <c r="ODI11" s="120"/>
      <c r="ODJ11" s="120"/>
      <c r="ODK11" s="120"/>
      <c r="ODL11" s="120"/>
      <c r="ODM11" s="120"/>
      <c r="ODN11" s="120"/>
      <c r="ODO11" s="120"/>
      <c r="ODP11" s="120"/>
      <c r="ODQ11" s="120"/>
      <c r="ODR11" s="120"/>
      <c r="ODS11" s="120"/>
      <c r="ODT11" s="120"/>
      <c r="ODU11" s="120"/>
      <c r="ODV11" s="120"/>
      <c r="ODW11" s="120"/>
      <c r="ODX11" s="120"/>
      <c r="ODY11" s="120"/>
      <c r="ODZ11" s="120"/>
      <c r="OEA11" s="120"/>
      <c r="OEB11" s="120"/>
      <c r="OEC11" s="120"/>
      <c r="OED11" s="120"/>
      <c r="OEE11" s="120"/>
      <c r="OEF11" s="120"/>
      <c r="OEG11" s="120"/>
      <c r="OEH11" s="120"/>
      <c r="OEI11" s="120"/>
      <c r="OEJ11" s="120"/>
      <c r="OEK11" s="120"/>
      <c r="OEL11" s="120"/>
      <c r="OEM11" s="120"/>
      <c r="OEN11" s="120"/>
      <c r="OEO11" s="120"/>
      <c r="OEP11" s="120"/>
      <c r="OEQ11" s="120"/>
      <c r="OER11" s="120"/>
      <c r="OES11" s="120"/>
      <c r="OET11" s="120"/>
      <c r="OEU11" s="120"/>
      <c r="OEV11" s="120"/>
      <c r="OEW11" s="120"/>
      <c r="OEX11" s="120"/>
      <c r="OEY11" s="120"/>
      <c r="OEZ11" s="120"/>
      <c r="OFA11" s="120"/>
      <c r="OFB11" s="120"/>
      <c r="OFC11" s="120"/>
      <c r="OFD11" s="120"/>
      <c r="OFE11" s="120"/>
      <c r="OFF11" s="120"/>
      <c r="OFG11" s="120"/>
      <c r="OFH11" s="120"/>
      <c r="OFI11" s="120"/>
      <c r="OFJ11" s="120"/>
      <c r="OFK11" s="120"/>
      <c r="OFL11" s="120"/>
      <c r="OFM11" s="120"/>
      <c r="OFN11" s="120"/>
      <c r="OFO11" s="120"/>
      <c r="OFP11" s="120"/>
      <c r="OFQ11" s="120"/>
      <c r="OFR11" s="120"/>
      <c r="OFS11" s="120"/>
      <c r="OFT11" s="120"/>
      <c r="OFU11" s="120"/>
      <c r="OFV11" s="120"/>
      <c r="OFW11" s="120"/>
      <c r="OFX11" s="120"/>
      <c r="OFY11" s="120"/>
      <c r="OFZ11" s="120"/>
      <c r="OGA11" s="120"/>
      <c r="OGB11" s="120"/>
      <c r="OGC11" s="120"/>
      <c r="OGD11" s="120"/>
      <c r="OGE11" s="120"/>
      <c r="OGF11" s="120"/>
      <c r="OGG11" s="120"/>
      <c r="OGH11" s="120"/>
      <c r="OGI11" s="120"/>
      <c r="OGJ11" s="120"/>
      <c r="OGK11" s="120"/>
      <c r="OGL11" s="120"/>
      <c r="OGM11" s="120"/>
      <c r="OGN11" s="120"/>
      <c r="OGO11" s="120"/>
      <c r="OGP11" s="120"/>
      <c r="OGQ11" s="120"/>
      <c r="OGR11" s="120"/>
      <c r="OGS11" s="120"/>
      <c r="OGT11" s="120"/>
      <c r="OGU11" s="120"/>
      <c r="OGV11" s="120"/>
      <c r="OGW11" s="120"/>
      <c r="OGX11" s="120"/>
      <c r="OGY11" s="120"/>
      <c r="OGZ11" s="120"/>
      <c r="OHA11" s="120"/>
      <c r="OHB11" s="120"/>
      <c r="OHC11" s="120"/>
      <c r="OHD11" s="120"/>
      <c r="OHE11" s="120"/>
      <c r="OHF11" s="120"/>
      <c r="OHG11" s="120"/>
      <c r="OHH11" s="120"/>
      <c r="OHI11" s="120"/>
      <c r="OHJ11" s="120"/>
      <c r="OHK11" s="120"/>
      <c r="OHL11" s="120"/>
      <c r="OHM11" s="120"/>
      <c r="OHN11" s="120"/>
      <c r="OHO11" s="120"/>
      <c r="OHP11" s="120"/>
      <c r="OHQ11" s="120"/>
      <c r="OHR11" s="120"/>
      <c r="OHS11" s="120"/>
      <c r="OHT11" s="120"/>
      <c r="OHU11" s="120"/>
      <c r="OHV11" s="120"/>
      <c r="OHW11" s="120"/>
      <c r="OHX11" s="120"/>
      <c r="OHY11" s="120"/>
      <c r="OHZ11" s="120"/>
      <c r="OIA11" s="120"/>
      <c r="OIB11" s="120"/>
      <c r="OIC11" s="120"/>
      <c r="OID11" s="120"/>
      <c r="OIE11" s="120"/>
      <c r="OIF11" s="120"/>
      <c r="OIG11" s="120"/>
      <c r="OIH11" s="120"/>
      <c r="OII11" s="120"/>
      <c r="OIJ11" s="120"/>
      <c r="OIK11" s="120"/>
      <c r="OIL11" s="120"/>
      <c r="OIM11" s="120"/>
      <c r="OIN11" s="120"/>
      <c r="OIO11" s="120"/>
      <c r="OIP11" s="120"/>
      <c r="OIQ11" s="120"/>
      <c r="OIR11" s="120"/>
      <c r="OIS11" s="120"/>
      <c r="OIT11" s="120"/>
      <c r="OIU11" s="120"/>
      <c r="OIV11" s="120"/>
      <c r="OIW11" s="120"/>
      <c r="OIX11" s="120"/>
      <c r="OIY11" s="120"/>
      <c r="OIZ11" s="120"/>
      <c r="OJA11" s="120"/>
      <c r="OJB11" s="120"/>
      <c r="OJC11" s="120"/>
      <c r="OJD11" s="120"/>
      <c r="OJE11" s="120"/>
      <c r="OJF11" s="120"/>
      <c r="OJG11" s="120"/>
      <c r="OJH11" s="120"/>
      <c r="OJI11" s="120"/>
      <c r="OJJ11" s="120"/>
      <c r="OJK11" s="120"/>
      <c r="OJL11" s="120"/>
      <c r="OJM11" s="120"/>
      <c r="OJN11" s="120"/>
      <c r="OJO11" s="120"/>
      <c r="OJP11" s="120"/>
      <c r="OJQ11" s="120"/>
      <c r="OJR11" s="120"/>
      <c r="OJS11" s="120"/>
      <c r="OJT11" s="120"/>
      <c r="OJU11" s="120"/>
      <c r="OJV11" s="120"/>
      <c r="OJW11" s="120"/>
      <c r="OJX11" s="120"/>
      <c r="OJY11" s="120"/>
      <c r="OJZ11" s="120"/>
      <c r="OKA11" s="120"/>
      <c r="OKB11" s="120"/>
      <c r="OKC11" s="120"/>
      <c r="OKD11" s="120"/>
      <c r="OKE11" s="120"/>
      <c r="OKF11" s="120"/>
      <c r="OKG11" s="120"/>
      <c r="OKH11" s="120"/>
      <c r="OKI11" s="120"/>
      <c r="OKJ11" s="120"/>
      <c r="OKK11" s="120"/>
      <c r="OKL11" s="120"/>
      <c r="OKM11" s="120"/>
      <c r="OKN11" s="120"/>
      <c r="OKO11" s="120"/>
      <c r="OKP11" s="120"/>
      <c r="OKQ11" s="120"/>
      <c r="OKR11" s="120"/>
      <c r="OKS11" s="120"/>
      <c r="OKT11" s="120"/>
      <c r="OKU11" s="120"/>
      <c r="OKV11" s="120"/>
      <c r="OKW11" s="120"/>
      <c r="OKX11" s="120"/>
      <c r="OKY11" s="120"/>
      <c r="OKZ11" s="120"/>
      <c r="OLA11" s="120"/>
      <c r="OLB11" s="120"/>
      <c r="OLC11" s="120"/>
      <c r="OLD11" s="120"/>
      <c r="OLE11" s="120"/>
      <c r="OLF11" s="120"/>
      <c r="OLG11" s="120"/>
      <c r="OLH11" s="120"/>
      <c r="OLI11" s="120"/>
      <c r="OLJ11" s="120"/>
      <c r="OLK11" s="120"/>
      <c r="OLL11" s="120"/>
      <c r="OLM11" s="120"/>
      <c r="OLN11" s="120"/>
      <c r="OLO11" s="120"/>
      <c r="OLP11" s="120"/>
      <c r="OLQ11" s="120"/>
      <c r="OLR11" s="120"/>
      <c r="OLS11" s="120"/>
      <c r="OLT11" s="120"/>
      <c r="OLU11" s="120"/>
      <c r="OLV11" s="120"/>
      <c r="OLW11" s="120"/>
      <c r="OLX11" s="120"/>
      <c r="OLY11" s="120"/>
      <c r="OLZ11" s="120"/>
      <c r="OMA11" s="120"/>
      <c r="OMB11" s="120"/>
      <c r="OMC11" s="120"/>
      <c r="OMD11" s="120"/>
      <c r="OME11" s="120"/>
      <c r="OMF11" s="120"/>
      <c r="OMG11" s="120"/>
      <c r="OMH11" s="120"/>
      <c r="OMI11" s="120"/>
      <c r="OMJ11" s="120"/>
      <c r="OMK11" s="120"/>
      <c r="OML11" s="120"/>
      <c r="OMM11" s="120"/>
      <c r="OMN11" s="120"/>
      <c r="OMO11" s="120"/>
      <c r="OMP11" s="120"/>
      <c r="OMQ11" s="120"/>
      <c r="OMR11" s="120"/>
      <c r="OMS11" s="120"/>
      <c r="OMT11" s="120"/>
      <c r="OMU11" s="120"/>
      <c r="OMV11" s="120"/>
      <c r="OMW11" s="120"/>
      <c r="OMX11" s="120"/>
      <c r="OMY11" s="120"/>
      <c r="OMZ11" s="120"/>
      <c r="ONA11" s="120"/>
      <c r="ONB11" s="120"/>
      <c r="ONC11" s="120"/>
      <c r="OND11" s="120"/>
      <c r="ONE11" s="120"/>
      <c r="ONF11" s="120"/>
      <c r="ONG11" s="120"/>
      <c r="ONH11" s="120"/>
      <c r="ONI11" s="120"/>
      <c r="ONJ11" s="120"/>
      <c r="ONK11" s="120"/>
      <c r="ONL11" s="120"/>
      <c r="ONM11" s="120"/>
      <c r="ONN11" s="120"/>
      <c r="ONO11" s="120"/>
      <c r="ONP11" s="120"/>
      <c r="ONQ11" s="120"/>
      <c r="ONR11" s="120"/>
      <c r="ONS11" s="120"/>
      <c r="ONT11" s="120"/>
      <c r="ONU11" s="120"/>
      <c r="ONV11" s="120"/>
      <c r="ONW11" s="120"/>
      <c r="ONX11" s="120"/>
      <c r="ONY11" s="120"/>
      <c r="ONZ11" s="120"/>
      <c r="OOA11" s="120"/>
      <c r="OOB11" s="120"/>
      <c r="OOC11" s="120"/>
      <c r="OOD11" s="120"/>
      <c r="OOE11" s="120"/>
      <c r="OOF11" s="120"/>
      <c r="OOG11" s="120"/>
      <c r="OOH11" s="120"/>
      <c r="OOI11" s="120"/>
      <c r="OOJ11" s="120"/>
      <c r="OOK11" s="120"/>
      <c r="OOL11" s="120"/>
      <c r="OOM11" s="120"/>
      <c r="OON11" s="120"/>
      <c r="OOO11" s="120"/>
      <c r="OOP11" s="120"/>
      <c r="OOQ11" s="120"/>
      <c r="OOR11" s="120"/>
      <c r="OOS11" s="120"/>
      <c r="OOT11" s="120"/>
      <c r="OOU11" s="120"/>
      <c r="OOV11" s="120"/>
      <c r="OOW11" s="120"/>
      <c r="OOX11" s="120"/>
      <c r="OOY11" s="120"/>
      <c r="OOZ11" s="120"/>
      <c r="OPA11" s="120"/>
      <c r="OPB11" s="120"/>
      <c r="OPC11" s="120"/>
      <c r="OPD11" s="120"/>
      <c r="OPE11" s="120"/>
      <c r="OPF11" s="120"/>
      <c r="OPG11" s="120"/>
      <c r="OPH11" s="120"/>
      <c r="OPI11" s="120"/>
      <c r="OPJ11" s="120"/>
      <c r="OPK11" s="120"/>
      <c r="OPL11" s="120"/>
      <c r="OPM11" s="120"/>
      <c r="OPN11" s="120"/>
      <c r="OPO11" s="120"/>
      <c r="OPP11" s="120"/>
      <c r="OPQ11" s="120"/>
      <c r="OPR11" s="120"/>
      <c r="OPS11" s="120"/>
      <c r="OPT11" s="120"/>
      <c r="OPU11" s="120"/>
      <c r="OPV11" s="120"/>
      <c r="OPW11" s="120"/>
      <c r="OPX11" s="120"/>
      <c r="OPY11" s="120"/>
      <c r="OPZ11" s="120"/>
      <c r="OQA11" s="120"/>
      <c r="OQB11" s="120"/>
      <c r="OQC11" s="120"/>
      <c r="OQD11" s="120"/>
      <c r="OQE11" s="120"/>
      <c r="OQF11" s="120"/>
      <c r="OQG11" s="120"/>
      <c r="OQH11" s="120"/>
      <c r="OQI11" s="120"/>
      <c r="OQJ11" s="120"/>
      <c r="OQK11" s="120"/>
      <c r="OQL11" s="120"/>
      <c r="OQM11" s="120"/>
      <c r="OQN11" s="120"/>
      <c r="OQO11" s="120"/>
      <c r="OQP11" s="120"/>
      <c r="OQQ11" s="120"/>
      <c r="OQR11" s="120"/>
      <c r="OQS11" s="120"/>
      <c r="OQT11" s="120"/>
      <c r="OQU11" s="120"/>
      <c r="OQV11" s="120"/>
      <c r="OQW11" s="120"/>
      <c r="OQX11" s="120"/>
      <c r="OQY11" s="120"/>
      <c r="OQZ11" s="120"/>
      <c r="ORA11" s="120"/>
      <c r="ORB11" s="120"/>
      <c r="ORC11" s="120"/>
      <c r="ORD11" s="120"/>
      <c r="ORE11" s="120"/>
      <c r="ORF11" s="120"/>
      <c r="ORG11" s="120"/>
      <c r="ORH11" s="120"/>
      <c r="ORI11" s="120"/>
      <c r="ORJ11" s="120"/>
      <c r="ORK11" s="120"/>
      <c r="ORL11" s="120"/>
      <c r="ORM11" s="120"/>
      <c r="ORN11" s="120"/>
      <c r="ORO11" s="120"/>
      <c r="ORP11" s="120"/>
      <c r="ORQ11" s="120"/>
      <c r="ORR11" s="120"/>
      <c r="ORS11" s="120"/>
      <c r="ORT11" s="120"/>
      <c r="ORU11" s="120"/>
      <c r="ORV11" s="120"/>
      <c r="ORW11" s="120"/>
      <c r="ORX11" s="120"/>
      <c r="ORY11" s="120"/>
      <c r="ORZ11" s="120"/>
      <c r="OSA11" s="120"/>
      <c r="OSB11" s="120"/>
      <c r="OSC11" s="120"/>
      <c r="OSD11" s="120"/>
      <c r="OSE11" s="120"/>
      <c r="OSF11" s="120"/>
      <c r="OSG11" s="120"/>
      <c r="OSH11" s="120"/>
      <c r="OSI11" s="120"/>
      <c r="OSJ11" s="120"/>
      <c r="OSK11" s="120"/>
      <c r="OSL11" s="120"/>
      <c r="OSM11" s="120"/>
      <c r="OSN11" s="120"/>
      <c r="OSO11" s="120"/>
      <c r="OSP11" s="120"/>
      <c r="OSQ11" s="120"/>
      <c r="OSR11" s="120"/>
      <c r="OSS11" s="120"/>
      <c r="OST11" s="120"/>
      <c r="OSU11" s="120"/>
      <c r="OSV11" s="120"/>
      <c r="OSW11" s="120"/>
      <c r="OSX11" s="120"/>
      <c r="OSY11" s="120"/>
      <c r="OSZ11" s="120"/>
      <c r="OTA11" s="120"/>
      <c r="OTB11" s="120"/>
      <c r="OTC11" s="120"/>
      <c r="OTD11" s="120"/>
      <c r="OTE11" s="120"/>
      <c r="OTF11" s="120"/>
      <c r="OTG11" s="120"/>
      <c r="OTH11" s="120"/>
      <c r="OTI11" s="120"/>
      <c r="OTJ11" s="120"/>
      <c r="OTK11" s="120"/>
      <c r="OTL11" s="120"/>
      <c r="OTM11" s="120"/>
      <c r="OTN11" s="120"/>
      <c r="OTO11" s="120"/>
      <c r="OTP11" s="120"/>
      <c r="OTQ11" s="120"/>
      <c r="OTR11" s="120"/>
      <c r="OTS11" s="120"/>
      <c r="OTT11" s="120"/>
      <c r="OTU11" s="120"/>
      <c r="OTV11" s="120"/>
      <c r="OTW11" s="120"/>
      <c r="OTX11" s="120"/>
      <c r="OTY11" s="120"/>
      <c r="OTZ11" s="120"/>
      <c r="OUA11" s="120"/>
      <c r="OUB11" s="120"/>
      <c r="OUC11" s="120"/>
      <c r="OUD11" s="120"/>
      <c r="OUE11" s="120"/>
      <c r="OUF11" s="120"/>
      <c r="OUG11" s="120"/>
      <c r="OUH11" s="120"/>
      <c r="OUI11" s="120"/>
      <c r="OUJ11" s="120"/>
      <c r="OUK11" s="120"/>
      <c r="OUL11" s="120"/>
      <c r="OUM11" s="120"/>
      <c r="OUN11" s="120"/>
      <c r="OUO11" s="120"/>
      <c r="OUP11" s="120"/>
      <c r="OUQ11" s="120"/>
      <c r="OUR11" s="120"/>
      <c r="OUS11" s="120"/>
      <c r="OUT11" s="120"/>
      <c r="OUU11" s="120"/>
      <c r="OUV11" s="120"/>
      <c r="OUW11" s="120"/>
      <c r="OUX11" s="120"/>
      <c r="OUY11" s="120"/>
      <c r="OUZ11" s="120"/>
      <c r="OVA11" s="120"/>
      <c r="OVB11" s="120"/>
      <c r="OVC11" s="120"/>
      <c r="OVD11" s="120"/>
      <c r="OVE11" s="120"/>
      <c r="OVF11" s="120"/>
      <c r="OVG11" s="120"/>
      <c r="OVH11" s="120"/>
      <c r="OVI11" s="120"/>
      <c r="OVJ11" s="120"/>
      <c r="OVK11" s="120"/>
      <c r="OVL11" s="120"/>
      <c r="OVM11" s="120"/>
      <c r="OVN11" s="120"/>
      <c r="OVO11" s="120"/>
      <c r="OVP11" s="120"/>
      <c r="OVQ11" s="120"/>
      <c r="OVR11" s="120"/>
      <c r="OVS11" s="120"/>
      <c r="OVT11" s="120"/>
      <c r="OVU11" s="120"/>
      <c r="OVV11" s="120"/>
      <c r="OVW11" s="120"/>
      <c r="OVX11" s="120"/>
      <c r="OVY11" s="120"/>
      <c r="OVZ11" s="120"/>
      <c r="OWA11" s="120"/>
      <c r="OWB11" s="120"/>
      <c r="OWC11" s="120"/>
      <c r="OWD11" s="120"/>
      <c r="OWE11" s="120"/>
      <c r="OWF11" s="120"/>
      <c r="OWG11" s="120"/>
      <c r="OWH11" s="120"/>
      <c r="OWI11" s="120"/>
      <c r="OWJ11" s="120"/>
      <c r="OWK11" s="120"/>
      <c r="OWL11" s="120"/>
      <c r="OWM11" s="120"/>
      <c r="OWN11" s="120"/>
      <c r="OWO11" s="120"/>
      <c r="OWP11" s="120"/>
      <c r="OWQ11" s="120"/>
      <c r="OWR11" s="120"/>
      <c r="OWS11" s="120"/>
      <c r="OWT11" s="120"/>
      <c r="OWU11" s="120"/>
      <c r="OWV11" s="120"/>
      <c r="OWW11" s="120"/>
      <c r="OWX11" s="120"/>
      <c r="OWY11" s="120"/>
      <c r="OWZ11" s="120"/>
      <c r="OXA11" s="120"/>
      <c r="OXB11" s="120"/>
      <c r="OXC11" s="120"/>
      <c r="OXD11" s="120"/>
      <c r="OXE11" s="120"/>
      <c r="OXF11" s="120"/>
      <c r="OXG11" s="120"/>
      <c r="OXH11" s="120"/>
      <c r="OXI11" s="120"/>
      <c r="OXJ11" s="120"/>
      <c r="OXK11" s="120"/>
      <c r="OXL11" s="120"/>
      <c r="OXM11" s="120"/>
      <c r="OXN11" s="120"/>
      <c r="OXO11" s="120"/>
      <c r="OXP11" s="120"/>
      <c r="OXQ11" s="120"/>
      <c r="OXR11" s="120"/>
      <c r="OXS11" s="120"/>
      <c r="OXT11" s="120"/>
      <c r="OXU11" s="120"/>
      <c r="OXV11" s="120"/>
      <c r="OXW11" s="120"/>
      <c r="OXX11" s="120"/>
      <c r="OXY11" s="120"/>
      <c r="OXZ11" s="120"/>
      <c r="OYA11" s="120"/>
      <c r="OYB11" s="120"/>
      <c r="OYC11" s="120"/>
      <c r="OYD11" s="120"/>
      <c r="OYE11" s="120"/>
      <c r="OYF11" s="120"/>
      <c r="OYG11" s="120"/>
      <c r="OYH11" s="120"/>
      <c r="OYI11" s="120"/>
      <c r="OYJ11" s="120"/>
      <c r="OYK11" s="120"/>
      <c r="OYL11" s="120"/>
      <c r="OYM11" s="120"/>
      <c r="OYN11" s="120"/>
      <c r="OYO11" s="120"/>
      <c r="OYP11" s="120"/>
      <c r="OYQ11" s="120"/>
      <c r="OYR11" s="120"/>
      <c r="OYS11" s="120"/>
      <c r="OYT11" s="120"/>
      <c r="OYU11" s="120"/>
      <c r="OYV11" s="120"/>
      <c r="OYW11" s="120"/>
      <c r="OYX11" s="120"/>
      <c r="OYY11" s="120"/>
      <c r="OYZ11" s="120"/>
      <c r="OZA11" s="120"/>
      <c r="OZB11" s="120"/>
      <c r="OZC11" s="120"/>
      <c r="OZD11" s="120"/>
      <c r="OZE11" s="120"/>
      <c r="OZF11" s="120"/>
      <c r="OZG11" s="120"/>
      <c r="OZH11" s="120"/>
      <c r="OZI11" s="120"/>
      <c r="OZJ11" s="120"/>
      <c r="OZK11" s="120"/>
      <c r="OZL11" s="120"/>
      <c r="OZM11" s="120"/>
      <c r="OZN11" s="120"/>
      <c r="OZO11" s="120"/>
      <c r="OZP11" s="120"/>
      <c r="OZQ11" s="120"/>
      <c r="OZR11" s="120"/>
      <c r="OZS11" s="120"/>
      <c r="OZT11" s="120"/>
      <c r="OZU11" s="120"/>
      <c r="OZV11" s="120"/>
      <c r="OZW11" s="120"/>
      <c r="OZX11" s="120"/>
      <c r="OZY11" s="120"/>
      <c r="OZZ11" s="120"/>
      <c r="PAA11" s="120"/>
      <c r="PAB11" s="120"/>
      <c r="PAC11" s="120"/>
      <c r="PAD11" s="120"/>
      <c r="PAE11" s="120"/>
      <c r="PAF11" s="120"/>
      <c r="PAG11" s="120"/>
      <c r="PAH11" s="120"/>
      <c r="PAI11" s="120"/>
      <c r="PAJ11" s="120"/>
      <c r="PAK11" s="120"/>
      <c r="PAL11" s="120"/>
      <c r="PAM11" s="120"/>
      <c r="PAN11" s="120"/>
      <c r="PAO11" s="120"/>
      <c r="PAP11" s="120"/>
      <c r="PAQ11" s="120"/>
      <c r="PAR11" s="120"/>
      <c r="PAS11" s="120"/>
      <c r="PAT11" s="120"/>
      <c r="PAU11" s="120"/>
      <c r="PAV11" s="120"/>
      <c r="PAW11" s="120"/>
      <c r="PAX11" s="120"/>
      <c r="PAY11" s="120"/>
      <c r="PAZ11" s="120"/>
      <c r="PBA11" s="120"/>
      <c r="PBB11" s="120"/>
      <c r="PBC11" s="120"/>
      <c r="PBD11" s="120"/>
      <c r="PBE11" s="120"/>
      <c r="PBF11" s="120"/>
      <c r="PBG11" s="120"/>
      <c r="PBH11" s="120"/>
      <c r="PBI11" s="120"/>
      <c r="PBJ11" s="120"/>
      <c r="PBK11" s="120"/>
      <c r="PBL11" s="120"/>
      <c r="PBM11" s="120"/>
      <c r="PBN11" s="120"/>
      <c r="PBO11" s="120"/>
      <c r="PBP11" s="120"/>
      <c r="PBQ11" s="120"/>
      <c r="PBR11" s="120"/>
      <c r="PBS11" s="120"/>
      <c r="PBT11" s="120"/>
      <c r="PBU11" s="120"/>
      <c r="PBV11" s="120"/>
      <c r="PBW11" s="120"/>
      <c r="PBX11" s="120"/>
      <c r="PBY11" s="120"/>
      <c r="PBZ11" s="120"/>
      <c r="PCA11" s="120"/>
      <c r="PCB11" s="120"/>
      <c r="PCC11" s="120"/>
      <c r="PCD11" s="120"/>
      <c r="PCE11" s="120"/>
      <c r="PCF11" s="120"/>
      <c r="PCG11" s="120"/>
      <c r="PCH11" s="120"/>
      <c r="PCI11" s="120"/>
      <c r="PCJ11" s="120"/>
      <c r="PCK11" s="120"/>
      <c r="PCL11" s="120"/>
      <c r="PCM11" s="120"/>
      <c r="PCN11" s="120"/>
      <c r="PCO11" s="120"/>
      <c r="PCP11" s="120"/>
      <c r="PCQ11" s="120"/>
      <c r="PCR11" s="120"/>
      <c r="PCS11" s="120"/>
      <c r="PCT11" s="120"/>
      <c r="PCU11" s="120"/>
      <c r="PCV11" s="120"/>
      <c r="PCW11" s="120"/>
      <c r="PCX11" s="120"/>
      <c r="PCY11" s="120"/>
      <c r="PCZ11" s="120"/>
      <c r="PDA11" s="120"/>
      <c r="PDB11" s="120"/>
      <c r="PDC11" s="120"/>
      <c r="PDD11" s="120"/>
      <c r="PDE11" s="120"/>
      <c r="PDF11" s="120"/>
      <c r="PDG11" s="120"/>
      <c r="PDH11" s="120"/>
      <c r="PDI11" s="120"/>
      <c r="PDJ11" s="120"/>
      <c r="PDK11" s="120"/>
      <c r="PDL11" s="120"/>
      <c r="PDM11" s="120"/>
      <c r="PDN11" s="120"/>
      <c r="PDO11" s="120"/>
      <c r="PDP11" s="120"/>
      <c r="PDQ11" s="120"/>
      <c r="PDR11" s="120"/>
      <c r="PDS11" s="120"/>
      <c r="PDT11" s="120"/>
      <c r="PDU11" s="120"/>
      <c r="PDV11" s="120"/>
      <c r="PDW11" s="120"/>
      <c r="PDX11" s="120"/>
      <c r="PDY11" s="120"/>
      <c r="PDZ11" s="120"/>
      <c r="PEA11" s="120"/>
      <c r="PEB11" s="120"/>
      <c r="PEC11" s="120"/>
      <c r="PED11" s="120"/>
      <c r="PEE11" s="120"/>
      <c r="PEF11" s="120"/>
      <c r="PEG11" s="120"/>
      <c r="PEH11" s="120"/>
      <c r="PEI11" s="120"/>
      <c r="PEJ11" s="120"/>
      <c r="PEK11" s="120"/>
      <c r="PEL11" s="120"/>
      <c r="PEM11" s="120"/>
      <c r="PEN11" s="120"/>
      <c r="PEO11" s="120"/>
      <c r="PEP11" s="120"/>
      <c r="PEQ11" s="120"/>
      <c r="PER11" s="120"/>
      <c r="PES11" s="120"/>
      <c r="PET11" s="120"/>
      <c r="PEU11" s="120"/>
      <c r="PEV11" s="120"/>
      <c r="PEW11" s="120"/>
      <c r="PEX11" s="120"/>
      <c r="PEY11" s="120"/>
      <c r="PEZ11" s="120"/>
      <c r="PFA11" s="120"/>
      <c r="PFB11" s="120"/>
      <c r="PFC11" s="120"/>
      <c r="PFD11" s="120"/>
      <c r="PFE11" s="120"/>
      <c r="PFF11" s="120"/>
      <c r="PFG11" s="120"/>
      <c r="PFH11" s="120"/>
      <c r="PFI11" s="120"/>
      <c r="PFJ11" s="120"/>
      <c r="PFK11" s="120"/>
      <c r="PFL11" s="120"/>
      <c r="PFM11" s="120"/>
      <c r="PFN11" s="120"/>
      <c r="PFO11" s="120"/>
      <c r="PFP11" s="120"/>
      <c r="PFQ11" s="120"/>
      <c r="PFR11" s="120"/>
      <c r="PFS11" s="120"/>
      <c r="PFT11" s="120"/>
      <c r="PFU11" s="120"/>
      <c r="PFV11" s="120"/>
      <c r="PFW11" s="120"/>
      <c r="PFX11" s="120"/>
      <c r="PFY11" s="120"/>
      <c r="PFZ11" s="120"/>
      <c r="PGA11" s="120"/>
      <c r="PGB11" s="120"/>
      <c r="PGC11" s="120"/>
      <c r="PGD11" s="120"/>
      <c r="PGE11" s="120"/>
      <c r="PGF11" s="120"/>
      <c r="PGG11" s="120"/>
      <c r="PGH11" s="120"/>
      <c r="PGI11" s="120"/>
      <c r="PGJ11" s="120"/>
      <c r="PGK11" s="120"/>
      <c r="PGL11" s="120"/>
      <c r="PGM11" s="120"/>
      <c r="PGN11" s="120"/>
      <c r="PGO11" s="120"/>
      <c r="PGP11" s="120"/>
      <c r="PGQ11" s="120"/>
      <c r="PGR11" s="120"/>
      <c r="PGS11" s="120"/>
      <c r="PGT11" s="120"/>
      <c r="PGU11" s="120"/>
      <c r="PGV11" s="120"/>
      <c r="PGW11" s="120"/>
      <c r="PGX11" s="120"/>
      <c r="PGY11" s="120"/>
      <c r="PGZ11" s="120"/>
      <c r="PHA11" s="120"/>
      <c r="PHB11" s="120"/>
      <c r="PHC11" s="120"/>
      <c r="PHD11" s="120"/>
      <c r="PHE11" s="120"/>
      <c r="PHF11" s="120"/>
      <c r="PHG11" s="120"/>
      <c r="PHH11" s="120"/>
      <c r="PHI11" s="120"/>
      <c r="PHJ11" s="120"/>
      <c r="PHK11" s="120"/>
      <c r="PHL11" s="120"/>
      <c r="PHM11" s="120"/>
      <c r="PHN11" s="120"/>
      <c r="PHO11" s="120"/>
      <c r="PHP11" s="120"/>
      <c r="PHQ11" s="120"/>
      <c r="PHR11" s="120"/>
      <c r="PHS11" s="120"/>
      <c r="PHT11" s="120"/>
      <c r="PHU11" s="120"/>
      <c r="PHV11" s="120"/>
      <c r="PHW11" s="120"/>
      <c r="PHX11" s="120"/>
      <c r="PHY11" s="120"/>
      <c r="PHZ11" s="120"/>
      <c r="PIA11" s="120"/>
      <c r="PIB11" s="120"/>
      <c r="PIC11" s="120"/>
      <c r="PID11" s="120"/>
      <c r="PIE11" s="120"/>
      <c r="PIF11" s="120"/>
      <c r="PIG11" s="120"/>
      <c r="PIH11" s="120"/>
      <c r="PII11" s="120"/>
      <c r="PIJ11" s="120"/>
      <c r="PIK11" s="120"/>
      <c r="PIL11" s="120"/>
      <c r="PIM11" s="120"/>
      <c r="PIN11" s="120"/>
      <c r="PIO11" s="120"/>
      <c r="PIP11" s="120"/>
      <c r="PIQ11" s="120"/>
      <c r="PIR11" s="120"/>
      <c r="PIS11" s="120"/>
      <c r="PIT11" s="120"/>
      <c r="PIU11" s="120"/>
      <c r="PIV11" s="120"/>
      <c r="PIW11" s="120"/>
      <c r="PIX11" s="120"/>
      <c r="PIY11" s="120"/>
      <c r="PIZ11" s="120"/>
      <c r="PJA11" s="120"/>
      <c r="PJB11" s="120"/>
      <c r="PJC11" s="120"/>
      <c r="PJD11" s="120"/>
      <c r="PJE11" s="120"/>
      <c r="PJF11" s="120"/>
      <c r="PJG11" s="120"/>
      <c r="PJH11" s="120"/>
      <c r="PJI11" s="120"/>
      <c r="PJJ11" s="120"/>
      <c r="PJK11" s="120"/>
      <c r="PJL11" s="120"/>
      <c r="PJM11" s="120"/>
      <c r="PJN11" s="120"/>
      <c r="PJO11" s="120"/>
      <c r="PJP11" s="120"/>
      <c r="PJQ11" s="120"/>
      <c r="PJR11" s="120"/>
      <c r="PJS11" s="120"/>
      <c r="PJT11" s="120"/>
      <c r="PJU11" s="120"/>
      <c r="PJV11" s="120"/>
      <c r="PJW11" s="120"/>
      <c r="PJX11" s="120"/>
      <c r="PJY11" s="120"/>
      <c r="PJZ11" s="120"/>
      <c r="PKA11" s="120"/>
      <c r="PKB11" s="120"/>
      <c r="PKC11" s="120"/>
      <c r="PKD11" s="120"/>
      <c r="PKE11" s="120"/>
      <c r="PKF11" s="120"/>
      <c r="PKG11" s="120"/>
      <c r="PKH11" s="120"/>
      <c r="PKI11" s="120"/>
      <c r="PKJ11" s="120"/>
      <c r="PKK11" s="120"/>
      <c r="PKL11" s="120"/>
      <c r="PKM11" s="120"/>
      <c r="PKN11" s="120"/>
      <c r="PKO11" s="120"/>
      <c r="PKP11" s="120"/>
      <c r="PKQ11" s="120"/>
      <c r="PKR11" s="120"/>
      <c r="PKS11" s="120"/>
      <c r="PKT11" s="120"/>
      <c r="PKU11" s="120"/>
      <c r="PKV11" s="120"/>
      <c r="PKW11" s="120"/>
      <c r="PKX11" s="120"/>
      <c r="PKY11" s="120"/>
      <c r="PKZ11" s="120"/>
      <c r="PLA11" s="120"/>
      <c r="PLB11" s="120"/>
      <c r="PLC11" s="120"/>
      <c r="PLD11" s="120"/>
      <c r="PLE11" s="120"/>
      <c r="PLF11" s="120"/>
      <c r="PLG11" s="120"/>
      <c r="PLH11" s="120"/>
      <c r="PLI11" s="120"/>
      <c r="PLJ11" s="120"/>
      <c r="PLK11" s="120"/>
      <c r="PLL11" s="120"/>
      <c r="PLM11" s="120"/>
      <c r="PLN11" s="120"/>
      <c r="PLO11" s="120"/>
      <c r="PLP11" s="120"/>
      <c r="PLQ11" s="120"/>
      <c r="PLR11" s="120"/>
      <c r="PLS11" s="120"/>
      <c r="PLT11" s="120"/>
      <c r="PLU11" s="120"/>
      <c r="PLV11" s="120"/>
      <c r="PLW11" s="120"/>
      <c r="PLX11" s="120"/>
      <c r="PLY11" s="120"/>
      <c r="PLZ11" s="120"/>
      <c r="PMA11" s="120"/>
      <c r="PMB11" s="120"/>
      <c r="PMC11" s="120"/>
      <c r="PMD11" s="120"/>
      <c r="PME11" s="120"/>
      <c r="PMF11" s="120"/>
      <c r="PMG11" s="120"/>
      <c r="PMH11" s="120"/>
      <c r="PMI11" s="120"/>
      <c r="PMJ11" s="120"/>
      <c r="PMK11" s="120"/>
      <c r="PML11" s="120"/>
      <c r="PMM11" s="120"/>
      <c r="PMN11" s="120"/>
      <c r="PMO11" s="120"/>
      <c r="PMP11" s="120"/>
      <c r="PMQ11" s="120"/>
      <c r="PMR11" s="120"/>
      <c r="PMS11" s="120"/>
      <c r="PMT11" s="120"/>
      <c r="PMU11" s="120"/>
      <c r="PMV11" s="120"/>
      <c r="PMW11" s="120"/>
      <c r="PMX11" s="120"/>
      <c r="PMY11" s="120"/>
      <c r="PMZ11" s="120"/>
      <c r="PNA11" s="120"/>
      <c r="PNB11" s="120"/>
      <c r="PNC11" s="120"/>
      <c r="PND11" s="120"/>
      <c r="PNE11" s="120"/>
      <c r="PNF11" s="120"/>
      <c r="PNG11" s="120"/>
      <c r="PNH11" s="120"/>
      <c r="PNI11" s="120"/>
      <c r="PNJ11" s="120"/>
      <c r="PNK11" s="120"/>
      <c r="PNL11" s="120"/>
      <c r="PNM11" s="120"/>
      <c r="PNN11" s="120"/>
      <c r="PNO11" s="120"/>
      <c r="PNP11" s="120"/>
      <c r="PNQ11" s="120"/>
      <c r="PNR11" s="120"/>
      <c r="PNS11" s="120"/>
      <c r="PNT11" s="120"/>
      <c r="PNU11" s="120"/>
      <c r="PNV11" s="120"/>
      <c r="PNW11" s="120"/>
      <c r="PNX11" s="120"/>
      <c r="PNY11" s="120"/>
      <c r="PNZ11" s="120"/>
      <c r="POA11" s="120"/>
      <c r="POB11" s="120"/>
      <c r="POC11" s="120"/>
      <c r="POD11" s="120"/>
      <c r="POE11" s="120"/>
      <c r="POF11" s="120"/>
      <c r="POG11" s="120"/>
      <c r="POH11" s="120"/>
      <c r="POI11" s="120"/>
      <c r="POJ11" s="120"/>
      <c r="POK11" s="120"/>
      <c r="POL11" s="120"/>
      <c r="POM11" s="120"/>
      <c r="PON11" s="120"/>
      <c r="POO11" s="120"/>
      <c r="POP11" s="120"/>
      <c r="POQ11" s="120"/>
      <c r="POR11" s="120"/>
      <c r="POS11" s="120"/>
      <c r="POT11" s="120"/>
      <c r="POU11" s="120"/>
      <c r="POV11" s="120"/>
      <c r="POW11" s="120"/>
      <c r="POX11" s="120"/>
      <c r="POY11" s="120"/>
      <c r="POZ11" s="120"/>
      <c r="PPA11" s="120"/>
      <c r="PPB11" s="120"/>
      <c r="PPC11" s="120"/>
      <c r="PPD11" s="120"/>
      <c r="PPE11" s="120"/>
      <c r="PPF11" s="120"/>
      <c r="PPG11" s="120"/>
      <c r="PPH11" s="120"/>
      <c r="PPI11" s="120"/>
      <c r="PPJ11" s="120"/>
      <c r="PPK11" s="120"/>
      <c r="PPL11" s="120"/>
      <c r="PPM11" s="120"/>
      <c r="PPN11" s="120"/>
      <c r="PPO11" s="120"/>
      <c r="PPP11" s="120"/>
      <c r="PPQ11" s="120"/>
      <c r="PPR11" s="120"/>
      <c r="PPS11" s="120"/>
      <c r="PPT11" s="120"/>
      <c r="PPU11" s="120"/>
      <c r="PPV11" s="120"/>
      <c r="PPW11" s="120"/>
      <c r="PPX11" s="120"/>
      <c r="PPY11" s="120"/>
      <c r="PPZ11" s="120"/>
      <c r="PQA11" s="120"/>
      <c r="PQB11" s="120"/>
      <c r="PQC11" s="120"/>
      <c r="PQD11" s="120"/>
      <c r="PQE11" s="120"/>
      <c r="PQF11" s="120"/>
      <c r="PQG11" s="120"/>
      <c r="PQH11" s="120"/>
      <c r="PQI11" s="120"/>
      <c r="PQJ11" s="120"/>
      <c r="PQK11" s="120"/>
      <c r="PQL11" s="120"/>
      <c r="PQM11" s="120"/>
      <c r="PQN11" s="120"/>
      <c r="PQO11" s="120"/>
      <c r="PQP11" s="120"/>
      <c r="PQQ11" s="120"/>
      <c r="PQR11" s="120"/>
      <c r="PQS11" s="120"/>
      <c r="PQT11" s="120"/>
      <c r="PQU11" s="120"/>
      <c r="PQV11" s="120"/>
      <c r="PQW11" s="120"/>
      <c r="PQX11" s="120"/>
      <c r="PQY11" s="120"/>
      <c r="PQZ11" s="120"/>
      <c r="PRA11" s="120"/>
      <c r="PRB11" s="120"/>
      <c r="PRC11" s="120"/>
      <c r="PRD11" s="120"/>
      <c r="PRE11" s="120"/>
      <c r="PRF11" s="120"/>
      <c r="PRG11" s="120"/>
      <c r="PRH11" s="120"/>
      <c r="PRI11" s="120"/>
      <c r="PRJ11" s="120"/>
      <c r="PRK11" s="120"/>
      <c r="PRL11" s="120"/>
      <c r="PRM11" s="120"/>
      <c r="PRN11" s="120"/>
      <c r="PRO11" s="120"/>
      <c r="PRP11" s="120"/>
      <c r="PRQ11" s="120"/>
      <c r="PRR11" s="120"/>
      <c r="PRS11" s="120"/>
      <c r="PRT11" s="120"/>
      <c r="PRU11" s="120"/>
      <c r="PRV11" s="120"/>
      <c r="PRW11" s="120"/>
      <c r="PRX11" s="120"/>
      <c r="PRY11" s="120"/>
      <c r="PRZ11" s="120"/>
      <c r="PSA11" s="120"/>
      <c r="PSB11" s="120"/>
      <c r="PSC11" s="120"/>
      <c r="PSD11" s="120"/>
      <c r="PSE11" s="120"/>
      <c r="PSF11" s="120"/>
      <c r="PSG11" s="120"/>
      <c r="PSH11" s="120"/>
      <c r="PSI11" s="120"/>
      <c r="PSJ11" s="120"/>
      <c r="PSK11" s="120"/>
      <c r="PSL11" s="120"/>
      <c r="PSM11" s="120"/>
      <c r="PSN11" s="120"/>
      <c r="PSO11" s="120"/>
      <c r="PSP11" s="120"/>
      <c r="PSQ11" s="120"/>
      <c r="PSR11" s="120"/>
      <c r="PSS11" s="120"/>
      <c r="PST11" s="120"/>
      <c r="PSU11" s="120"/>
      <c r="PSV11" s="120"/>
      <c r="PSW11" s="120"/>
      <c r="PSX11" s="120"/>
      <c r="PSY11" s="120"/>
      <c r="PSZ11" s="120"/>
      <c r="PTA11" s="120"/>
      <c r="PTB11" s="120"/>
      <c r="PTC11" s="120"/>
      <c r="PTD11" s="120"/>
      <c r="PTE11" s="120"/>
      <c r="PTF11" s="120"/>
      <c r="PTG11" s="120"/>
      <c r="PTH11" s="120"/>
      <c r="PTI11" s="120"/>
      <c r="PTJ11" s="120"/>
      <c r="PTK11" s="120"/>
      <c r="PTL11" s="120"/>
      <c r="PTM11" s="120"/>
      <c r="PTN11" s="120"/>
      <c r="PTO11" s="120"/>
      <c r="PTP11" s="120"/>
      <c r="PTQ11" s="120"/>
      <c r="PTR11" s="120"/>
      <c r="PTS11" s="120"/>
      <c r="PTT11" s="120"/>
      <c r="PTU11" s="120"/>
      <c r="PTV11" s="120"/>
      <c r="PTW11" s="120"/>
      <c r="PTX11" s="120"/>
      <c r="PTY11" s="120"/>
      <c r="PTZ11" s="120"/>
      <c r="PUA11" s="120"/>
      <c r="PUB11" s="120"/>
      <c r="PUC11" s="120"/>
      <c r="PUD11" s="120"/>
      <c r="PUE11" s="120"/>
      <c r="PUF11" s="120"/>
      <c r="PUG11" s="120"/>
      <c r="PUH11" s="120"/>
      <c r="PUI11" s="120"/>
      <c r="PUJ11" s="120"/>
      <c r="PUK11" s="120"/>
      <c r="PUL11" s="120"/>
      <c r="PUM11" s="120"/>
      <c r="PUN11" s="120"/>
      <c r="PUO11" s="120"/>
      <c r="PUP11" s="120"/>
      <c r="PUQ11" s="120"/>
      <c r="PUR11" s="120"/>
      <c r="PUS11" s="120"/>
      <c r="PUT11" s="120"/>
      <c r="PUU11" s="120"/>
      <c r="PUV11" s="120"/>
      <c r="PUW11" s="120"/>
      <c r="PUX11" s="120"/>
      <c r="PUY11" s="120"/>
      <c r="PUZ11" s="120"/>
      <c r="PVA11" s="120"/>
      <c r="PVB11" s="120"/>
      <c r="PVC11" s="120"/>
      <c r="PVD11" s="120"/>
      <c r="PVE11" s="120"/>
      <c r="PVF11" s="120"/>
      <c r="PVG11" s="120"/>
      <c r="PVH11" s="120"/>
      <c r="PVI11" s="120"/>
      <c r="PVJ11" s="120"/>
      <c r="PVK11" s="120"/>
      <c r="PVL11" s="120"/>
      <c r="PVM11" s="120"/>
      <c r="PVN11" s="120"/>
      <c r="PVO11" s="120"/>
      <c r="PVP11" s="120"/>
      <c r="PVQ11" s="120"/>
      <c r="PVR11" s="120"/>
      <c r="PVS11" s="120"/>
      <c r="PVT11" s="120"/>
      <c r="PVU11" s="120"/>
      <c r="PVV11" s="120"/>
      <c r="PVW11" s="120"/>
      <c r="PVX11" s="120"/>
      <c r="PVY11" s="120"/>
      <c r="PVZ11" s="120"/>
      <c r="PWA11" s="120"/>
      <c r="PWB11" s="120"/>
      <c r="PWC11" s="120"/>
      <c r="PWD11" s="120"/>
      <c r="PWE11" s="120"/>
      <c r="PWF11" s="120"/>
      <c r="PWG11" s="120"/>
      <c r="PWH11" s="120"/>
      <c r="PWI11" s="120"/>
      <c r="PWJ11" s="120"/>
      <c r="PWK11" s="120"/>
      <c r="PWL11" s="120"/>
      <c r="PWM11" s="120"/>
      <c r="PWN11" s="120"/>
      <c r="PWO11" s="120"/>
      <c r="PWP11" s="120"/>
      <c r="PWQ11" s="120"/>
      <c r="PWR11" s="120"/>
      <c r="PWS11" s="120"/>
      <c r="PWT11" s="120"/>
      <c r="PWU11" s="120"/>
      <c r="PWV11" s="120"/>
      <c r="PWW11" s="120"/>
      <c r="PWX11" s="120"/>
      <c r="PWY11" s="120"/>
      <c r="PWZ11" s="120"/>
      <c r="PXA11" s="120"/>
      <c r="PXB11" s="120"/>
      <c r="PXC11" s="120"/>
      <c r="PXD11" s="120"/>
      <c r="PXE11" s="120"/>
      <c r="PXF11" s="120"/>
      <c r="PXG11" s="120"/>
      <c r="PXH11" s="120"/>
      <c r="PXI11" s="120"/>
      <c r="PXJ11" s="120"/>
      <c r="PXK11" s="120"/>
      <c r="PXL11" s="120"/>
      <c r="PXM11" s="120"/>
      <c r="PXN11" s="120"/>
      <c r="PXO11" s="120"/>
      <c r="PXP11" s="120"/>
      <c r="PXQ11" s="120"/>
      <c r="PXR11" s="120"/>
      <c r="PXS11" s="120"/>
      <c r="PXT11" s="120"/>
      <c r="PXU11" s="120"/>
      <c r="PXV11" s="120"/>
      <c r="PXW11" s="120"/>
      <c r="PXX11" s="120"/>
      <c r="PXY11" s="120"/>
      <c r="PXZ11" s="120"/>
      <c r="PYA11" s="120"/>
      <c r="PYB11" s="120"/>
      <c r="PYC11" s="120"/>
      <c r="PYD11" s="120"/>
      <c r="PYE11" s="120"/>
      <c r="PYF11" s="120"/>
      <c r="PYG11" s="120"/>
      <c r="PYH11" s="120"/>
      <c r="PYI11" s="120"/>
      <c r="PYJ11" s="120"/>
      <c r="PYK11" s="120"/>
      <c r="PYL11" s="120"/>
      <c r="PYM11" s="120"/>
      <c r="PYN11" s="120"/>
      <c r="PYO11" s="120"/>
      <c r="PYP11" s="120"/>
      <c r="PYQ11" s="120"/>
      <c r="PYR11" s="120"/>
      <c r="PYS11" s="120"/>
      <c r="PYT11" s="120"/>
      <c r="PYU11" s="120"/>
      <c r="PYV11" s="120"/>
      <c r="PYW11" s="120"/>
      <c r="PYX11" s="120"/>
      <c r="PYY11" s="120"/>
      <c r="PYZ11" s="120"/>
      <c r="PZA11" s="120"/>
      <c r="PZB11" s="120"/>
      <c r="PZC11" s="120"/>
      <c r="PZD11" s="120"/>
      <c r="PZE11" s="120"/>
      <c r="PZF11" s="120"/>
      <c r="PZG11" s="120"/>
      <c r="PZH11" s="120"/>
      <c r="PZI11" s="120"/>
      <c r="PZJ11" s="120"/>
      <c r="PZK11" s="120"/>
      <c r="PZL11" s="120"/>
      <c r="PZM11" s="120"/>
      <c r="PZN11" s="120"/>
      <c r="PZO11" s="120"/>
      <c r="PZP11" s="120"/>
      <c r="PZQ11" s="120"/>
      <c r="PZR11" s="120"/>
      <c r="PZS11" s="120"/>
      <c r="PZT11" s="120"/>
      <c r="PZU11" s="120"/>
      <c r="PZV11" s="120"/>
      <c r="PZW11" s="120"/>
      <c r="PZX11" s="120"/>
      <c r="PZY11" s="120"/>
      <c r="PZZ11" s="120"/>
      <c r="QAA11" s="120"/>
      <c r="QAB11" s="120"/>
      <c r="QAC11" s="120"/>
      <c r="QAD11" s="120"/>
      <c r="QAE11" s="120"/>
      <c r="QAF11" s="120"/>
      <c r="QAG11" s="120"/>
      <c r="QAH11" s="120"/>
      <c r="QAI11" s="120"/>
      <c r="QAJ11" s="120"/>
      <c r="QAK11" s="120"/>
      <c r="QAL11" s="120"/>
      <c r="QAM11" s="120"/>
      <c r="QAN11" s="120"/>
      <c r="QAO11" s="120"/>
      <c r="QAP11" s="120"/>
      <c r="QAQ11" s="120"/>
      <c r="QAR11" s="120"/>
      <c r="QAS11" s="120"/>
      <c r="QAT11" s="120"/>
      <c r="QAU11" s="120"/>
      <c r="QAV11" s="120"/>
      <c r="QAW11" s="120"/>
      <c r="QAX11" s="120"/>
      <c r="QAY11" s="120"/>
      <c r="QAZ11" s="120"/>
      <c r="QBA11" s="120"/>
      <c r="QBB11" s="120"/>
      <c r="QBC11" s="120"/>
      <c r="QBD11" s="120"/>
      <c r="QBE11" s="120"/>
      <c r="QBF11" s="120"/>
      <c r="QBG11" s="120"/>
      <c r="QBH11" s="120"/>
      <c r="QBI11" s="120"/>
      <c r="QBJ11" s="120"/>
      <c r="QBK11" s="120"/>
      <c r="QBL11" s="120"/>
      <c r="QBM11" s="120"/>
      <c r="QBN11" s="120"/>
      <c r="QBO11" s="120"/>
      <c r="QBP11" s="120"/>
      <c r="QBQ11" s="120"/>
      <c r="QBR11" s="120"/>
      <c r="QBS11" s="120"/>
      <c r="QBT11" s="120"/>
      <c r="QBU11" s="120"/>
      <c r="QBV11" s="120"/>
      <c r="QBW11" s="120"/>
      <c r="QBX11" s="120"/>
      <c r="QBY11" s="120"/>
      <c r="QBZ11" s="120"/>
      <c r="QCA11" s="120"/>
      <c r="QCB11" s="120"/>
      <c r="QCC11" s="120"/>
      <c r="QCD11" s="120"/>
      <c r="QCE11" s="120"/>
      <c r="QCF11" s="120"/>
      <c r="QCG11" s="120"/>
      <c r="QCH11" s="120"/>
      <c r="QCI11" s="120"/>
      <c r="QCJ11" s="120"/>
      <c r="QCK11" s="120"/>
      <c r="QCL11" s="120"/>
      <c r="QCM11" s="120"/>
      <c r="QCN11" s="120"/>
      <c r="QCO11" s="120"/>
      <c r="QCP11" s="120"/>
      <c r="QCQ11" s="120"/>
      <c r="QCR11" s="120"/>
      <c r="QCS11" s="120"/>
      <c r="QCT11" s="120"/>
      <c r="QCU11" s="120"/>
      <c r="QCV11" s="120"/>
      <c r="QCW11" s="120"/>
      <c r="QCX11" s="120"/>
      <c r="QCY11" s="120"/>
      <c r="QCZ11" s="120"/>
      <c r="QDA11" s="120"/>
      <c r="QDB11" s="120"/>
      <c r="QDC11" s="120"/>
      <c r="QDD11" s="120"/>
      <c r="QDE11" s="120"/>
      <c r="QDF11" s="120"/>
      <c r="QDG11" s="120"/>
      <c r="QDH11" s="120"/>
      <c r="QDI11" s="120"/>
      <c r="QDJ11" s="120"/>
      <c r="QDK11" s="120"/>
      <c r="QDL11" s="120"/>
      <c r="QDM11" s="120"/>
      <c r="QDN11" s="120"/>
      <c r="QDO11" s="120"/>
      <c r="QDP11" s="120"/>
      <c r="QDQ11" s="120"/>
      <c r="QDR11" s="120"/>
      <c r="QDS11" s="120"/>
      <c r="QDT11" s="120"/>
      <c r="QDU11" s="120"/>
      <c r="QDV11" s="120"/>
      <c r="QDW11" s="120"/>
      <c r="QDX11" s="120"/>
      <c r="QDY11" s="120"/>
      <c r="QDZ11" s="120"/>
      <c r="QEA11" s="120"/>
      <c r="QEB11" s="120"/>
      <c r="QEC11" s="120"/>
      <c r="QED11" s="120"/>
      <c r="QEE11" s="120"/>
      <c r="QEF11" s="120"/>
      <c r="QEG11" s="120"/>
      <c r="QEH11" s="120"/>
      <c r="QEI11" s="120"/>
      <c r="QEJ11" s="120"/>
      <c r="QEK11" s="120"/>
      <c r="QEL11" s="120"/>
      <c r="QEM11" s="120"/>
      <c r="QEN11" s="120"/>
      <c r="QEO11" s="120"/>
      <c r="QEP11" s="120"/>
      <c r="QEQ11" s="120"/>
      <c r="QER11" s="120"/>
      <c r="QES11" s="120"/>
      <c r="QET11" s="120"/>
      <c r="QEU11" s="120"/>
      <c r="QEV11" s="120"/>
      <c r="QEW11" s="120"/>
      <c r="QEX11" s="120"/>
      <c r="QEY11" s="120"/>
      <c r="QEZ11" s="120"/>
      <c r="QFA11" s="120"/>
      <c r="QFB11" s="120"/>
      <c r="QFC11" s="120"/>
      <c r="QFD11" s="120"/>
      <c r="QFE11" s="120"/>
      <c r="QFF11" s="120"/>
      <c r="QFG11" s="120"/>
      <c r="QFH11" s="120"/>
      <c r="QFI11" s="120"/>
      <c r="QFJ11" s="120"/>
      <c r="QFK11" s="120"/>
      <c r="QFL11" s="120"/>
      <c r="QFM11" s="120"/>
      <c r="QFN11" s="120"/>
      <c r="QFO11" s="120"/>
      <c r="QFP11" s="120"/>
      <c r="QFQ11" s="120"/>
      <c r="QFR11" s="120"/>
      <c r="QFS11" s="120"/>
      <c r="QFT11" s="120"/>
      <c r="QFU11" s="120"/>
      <c r="QFV11" s="120"/>
      <c r="QFW11" s="120"/>
      <c r="QFX11" s="120"/>
      <c r="QFY11" s="120"/>
      <c r="QFZ11" s="120"/>
      <c r="QGA11" s="120"/>
      <c r="QGB11" s="120"/>
      <c r="QGC11" s="120"/>
      <c r="QGD11" s="120"/>
      <c r="QGE11" s="120"/>
      <c r="QGF11" s="120"/>
      <c r="QGG11" s="120"/>
      <c r="QGH11" s="120"/>
      <c r="QGI11" s="120"/>
      <c r="QGJ11" s="120"/>
      <c r="QGK11" s="120"/>
      <c r="QGL11" s="120"/>
      <c r="QGM11" s="120"/>
      <c r="QGN11" s="120"/>
      <c r="QGO11" s="120"/>
      <c r="QGP11" s="120"/>
      <c r="QGQ11" s="120"/>
      <c r="QGR11" s="120"/>
      <c r="QGS11" s="120"/>
      <c r="QGT11" s="120"/>
      <c r="QGU11" s="120"/>
      <c r="QGV11" s="120"/>
      <c r="QGW11" s="120"/>
      <c r="QGX11" s="120"/>
      <c r="QGY11" s="120"/>
      <c r="QGZ11" s="120"/>
      <c r="QHA11" s="120"/>
      <c r="QHB11" s="120"/>
      <c r="QHC11" s="120"/>
      <c r="QHD11" s="120"/>
      <c r="QHE11" s="120"/>
      <c r="QHF11" s="120"/>
      <c r="QHG11" s="120"/>
      <c r="QHH11" s="120"/>
      <c r="QHI11" s="120"/>
      <c r="QHJ11" s="120"/>
      <c r="QHK11" s="120"/>
      <c r="QHL11" s="120"/>
      <c r="QHM11" s="120"/>
      <c r="QHN11" s="120"/>
      <c r="QHO11" s="120"/>
      <c r="QHP11" s="120"/>
      <c r="QHQ11" s="120"/>
      <c r="QHR11" s="120"/>
      <c r="QHS11" s="120"/>
      <c r="QHT11" s="120"/>
      <c r="QHU11" s="120"/>
      <c r="QHV11" s="120"/>
      <c r="QHW11" s="120"/>
      <c r="QHX11" s="120"/>
      <c r="QHY11" s="120"/>
      <c r="QHZ11" s="120"/>
      <c r="QIA11" s="120"/>
      <c r="QIB11" s="120"/>
      <c r="QIC11" s="120"/>
      <c r="QID11" s="120"/>
      <c r="QIE11" s="120"/>
      <c r="QIF11" s="120"/>
      <c r="QIG11" s="120"/>
      <c r="QIH11" s="120"/>
      <c r="QII11" s="120"/>
      <c r="QIJ11" s="120"/>
      <c r="QIK11" s="120"/>
      <c r="QIL11" s="120"/>
      <c r="QIM11" s="120"/>
      <c r="QIN11" s="120"/>
      <c r="QIO11" s="120"/>
      <c r="QIP11" s="120"/>
      <c r="QIQ11" s="120"/>
      <c r="QIR11" s="120"/>
      <c r="QIS11" s="120"/>
      <c r="QIT11" s="120"/>
      <c r="QIU11" s="120"/>
      <c r="QIV11" s="120"/>
      <c r="QIW11" s="120"/>
      <c r="QIX11" s="120"/>
      <c r="QIY11" s="120"/>
      <c r="QIZ11" s="120"/>
      <c r="QJA11" s="120"/>
      <c r="QJB11" s="120"/>
      <c r="QJC11" s="120"/>
      <c r="QJD11" s="120"/>
      <c r="QJE11" s="120"/>
      <c r="QJF11" s="120"/>
      <c r="QJG11" s="120"/>
      <c r="QJH11" s="120"/>
      <c r="QJI11" s="120"/>
      <c r="QJJ11" s="120"/>
      <c r="QJK11" s="120"/>
      <c r="QJL11" s="120"/>
      <c r="QJM11" s="120"/>
      <c r="QJN11" s="120"/>
      <c r="QJO11" s="120"/>
      <c r="QJP11" s="120"/>
      <c r="QJQ11" s="120"/>
      <c r="QJR11" s="120"/>
      <c r="QJS11" s="120"/>
      <c r="QJT11" s="120"/>
      <c r="QJU11" s="120"/>
      <c r="QJV11" s="120"/>
      <c r="QJW11" s="120"/>
      <c r="QJX11" s="120"/>
      <c r="QJY11" s="120"/>
      <c r="QJZ11" s="120"/>
      <c r="QKA11" s="120"/>
      <c r="QKB11" s="120"/>
      <c r="QKC11" s="120"/>
      <c r="QKD11" s="120"/>
      <c r="QKE11" s="120"/>
      <c r="QKF11" s="120"/>
      <c r="QKG11" s="120"/>
      <c r="QKH11" s="120"/>
      <c r="QKI11" s="120"/>
      <c r="QKJ11" s="120"/>
      <c r="QKK11" s="120"/>
      <c r="QKL11" s="120"/>
      <c r="QKM11" s="120"/>
      <c r="QKN11" s="120"/>
      <c r="QKO11" s="120"/>
      <c r="QKP11" s="120"/>
      <c r="QKQ11" s="120"/>
      <c r="QKR11" s="120"/>
      <c r="QKS11" s="120"/>
      <c r="QKT11" s="120"/>
      <c r="QKU11" s="120"/>
      <c r="QKV11" s="120"/>
      <c r="QKW11" s="120"/>
      <c r="QKX11" s="120"/>
      <c r="QKY11" s="120"/>
      <c r="QKZ11" s="120"/>
      <c r="QLA11" s="120"/>
      <c r="QLB11" s="120"/>
      <c r="QLC11" s="120"/>
      <c r="QLD11" s="120"/>
      <c r="QLE11" s="120"/>
      <c r="QLF11" s="120"/>
      <c r="QLG11" s="120"/>
      <c r="QLH11" s="120"/>
      <c r="QLI11" s="120"/>
      <c r="QLJ11" s="120"/>
      <c r="QLK11" s="120"/>
      <c r="QLL11" s="120"/>
      <c r="QLM11" s="120"/>
      <c r="QLN11" s="120"/>
      <c r="QLO11" s="120"/>
      <c r="QLP11" s="120"/>
      <c r="QLQ11" s="120"/>
      <c r="QLR11" s="120"/>
      <c r="QLS11" s="120"/>
      <c r="QLT11" s="120"/>
      <c r="QLU11" s="120"/>
      <c r="QLV11" s="120"/>
      <c r="QLW11" s="120"/>
      <c r="QLX11" s="120"/>
      <c r="QLY11" s="120"/>
      <c r="QLZ11" s="120"/>
      <c r="QMA11" s="120"/>
      <c r="QMB11" s="120"/>
      <c r="QMC11" s="120"/>
      <c r="QMD11" s="120"/>
      <c r="QME11" s="120"/>
      <c r="QMF11" s="120"/>
      <c r="QMG11" s="120"/>
      <c r="QMH11" s="120"/>
      <c r="QMI11" s="120"/>
      <c r="QMJ11" s="120"/>
      <c r="QMK11" s="120"/>
      <c r="QML11" s="120"/>
      <c r="QMM11" s="120"/>
      <c r="QMN11" s="120"/>
      <c r="QMO11" s="120"/>
      <c r="QMP11" s="120"/>
      <c r="QMQ11" s="120"/>
      <c r="QMR11" s="120"/>
      <c r="QMS11" s="120"/>
      <c r="QMT11" s="120"/>
      <c r="QMU11" s="120"/>
      <c r="QMV11" s="120"/>
      <c r="QMW11" s="120"/>
      <c r="QMX11" s="120"/>
      <c r="QMY11" s="120"/>
      <c r="QMZ11" s="120"/>
      <c r="QNA11" s="120"/>
      <c r="QNB11" s="120"/>
      <c r="QNC11" s="120"/>
      <c r="QND11" s="120"/>
      <c r="QNE11" s="120"/>
      <c r="QNF11" s="120"/>
      <c r="QNG11" s="120"/>
      <c r="QNH11" s="120"/>
      <c r="QNI11" s="120"/>
      <c r="QNJ11" s="120"/>
      <c r="QNK11" s="120"/>
      <c r="QNL11" s="120"/>
      <c r="QNM11" s="120"/>
      <c r="QNN11" s="120"/>
      <c r="QNO11" s="120"/>
      <c r="QNP11" s="120"/>
      <c r="QNQ11" s="120"/>
      <c r="QNR11" s="120"/>
      <c r="QNS11" s="120"/>
      <c r="QNT11" s="120"/>
      <c r="QNU11" s="120"/>
      <c r="QNV11" s="120"/>
      <c r="QNW11" s="120"/>
      <c r="QNX11" s="120"/>
      <c r="QNY11" s="120"/>
      <c r="QNZ11" s="120"/>
      <c r="QOA11" s="120"/>
      <c r="QOB11" s="120"/>
      <c r="QOC11" s="120"/>
      <c r="QOD11" s="120"/>
      <c r="QOE11" s="120"/>
      <c r="QOF11" s="120"/>
      <c r="QOG11" s="120"/>
      <c r="QOH11" s="120"/>
      <c r="QOI11" s="120"/>
      <c r="QOJ11" s="120"/>
      <c r="QOK11" s="120"/>
      <c r="QOL11" s="120"/>
      <c r="QOM11" s="120"/>
      <c r="QON11" s="120"/>
      <c r="QOO11" s="120"/>
      <c r="QOP11" s="120"/>
      <c r="QOQ11" s="120"/>
      <c r="QOR11" s="120"/>
      <c r="QOS11" s="120"/>
      <c r="QOT11" s="120"/>
      <c r="QOU11" s="120"/>
      <c r="QOV11" s="120"/>
      <c r="QOW11" s="120"/>
      <c r="QOX11" s="120"/>
      <c r="QOY11" s="120"/>
      <c r="QOZ11" s="120"/>
      <c r="QPA11" s="120"/>
      <c r="QPB11" s="120"/>
      <c r="QPC11" s="120"/>
      <c r="QPD11" s="120"/>
      <c r="QPE11" s="120"/>
      <c r="QPF11" s="120"/>
      <c r="QPG11" s="120"/>
      <c r="QPH11" s="120"/>
      <c r="QPI11" s="120"/>
      <c r="QPJ11" s="120"/>
      <c r="QPK11" s="120"/>
      <c r="QPL11" s="120"/>
      <c r="QPM11" s="120"/>
      <c r="QPN11" s="120"/>
      <c r="QPO11" s="120"/>
      <c r="QPP11" s="120"/>
      <c r="QPQ11" s="120"/>
      <c r="QPR11" s="120"/>
      <c r="QPS11" s="120"/>
      <c r="QPT11" s="120"/>
      <c r="QPU11" s="120"/>
      <c r="QPV11" s="120"/>
      <c r="QPW11" s="120"/>
      <c r="QPX11" s="120"/>
      <c r="QPY11" s="120"/>
      <c r="QPZ11" s="120"/>
      <c r="QQA11" s="120"/>
      <c r="QQB11" s="120"/>
      <c r="QQC11" s="120"/>
      <c r="QQD11" s="120"/>
      <c r="QQE11" s="120"/>
      <c r="QQF11" s="120"/>
      <c r="QQG11" s="120"/>
      <c r="QQH11" s="120"/>
      <c r="QQI11" s="120"/>
      <c r="QQJ11" s="120"/>
      <c r="QQK11" s="120"/>
      <c r="QQL11" s="120"/>
      <c r="QQM11" s="120"/>
      <c r="QQN11" s="120"/>
      <c r="QQO11" s="120"/>
      <c r="QQP11" s="120"/>
      <c r="QQQ11" s="120"/>
      <c r="QQR11" s="120"/>
      <c r="QQS11" s="120"/>
      <c r="QQT11" s="120"/>
      <c r="QQU11" s="120"/>
      <c r="QQV11" s="120"/>
      <c r="QQW11" s="120"/>
      <c r="QQX11" s="120"/>
      <c r="QQY11" s="120"/>
      <c r="QQZ11" s="120"/>
      <c r="QRA11" s="120"/>
      <c r="QRB11" s="120"/>
      <c r="QRC11" s="120"/>
      <c r="QRD11" s="120"/>
      <c r="QRE11" s="120"/>
      <c r="QRF11" s="120"/>
      <c r="QRG11" s="120"/>
      <c r="QRH11" s="120"/>
      <c r="QRI11" s="120"/>
      <c r="QRJ11" s="120"/>
      <c r="QRK11" s="120"/>
      <c r="QRL11" s="120"/>
      <c r="QRM11" s="120"/>
      <c r="QRN11" s="120"/>
      <c r="QRO11" s="120"/>
      <c r="QRP11" s="120"/>
      <c r="QRQ11" s="120"/>
      <c r="QRR11" s="120"/>
      <c r="QRS11" s="120"/>
      <c r="QRT11" s="120"/>
      <c r="QRU11" s="120"/>
      <c r="QRV11" s="120"/>
      <c r="QRW11" s="120"/>
      <c r="QRX11" s="120"/>
      <c r="QRY11" s="120"/>
      <c r="QRZ11" s="120"/>
      <c r="QSA11" s="120"/>
      <c r="QSB11" s="120"/>
      <c r="QSC11" s="120"/>
      <c r="QSD11" s="120"/>
      <c r="QSE11" s="120"/>
      <c r="QSF11" s="120"/>
      <c r="QSG11" s="120"/>
      <c r="QSH11" s="120"/>
      <c r="QSI11" s="120"/>
      <c r="QSJ11" s="120"/>
      <c r="QSK11" s="120"/>
      <c r="QSL11" s="120"/>
      <c r="QSM11" s="120"/>
      <c r="QSN11" s="120"/>
      <c r="QSO11" s="120"/>
      <c r="QSP11" s="120"/>
      <c r="QSQ11" s="120"/>
      <c r="QSR11" s="120"/>
      <c r="QSS11" s="120"/>
      <c r="QST11" s="120"/>
      <c r="QSU11" s="120"/>
      <c r="QSV11" s="120"/>
      <c r="QSW11" s="120"/>
      <c r="QSX11" s="120"/>
      <c r="QSY11" s="120"/>
      <c r="QSZ11" s="120"/>
      <c r="QTA11" s="120"/>
      <c r="QTB11" s="120"/>
      <c r="QTC11" s="120"/>
      <c r="QTD11" s="120"/>
      <c r="QTE11" s="120"/>
      <c r="QTF11" s="120"/>
      <c r="QTG11" s="120"/>
      <c r="QTH11" s="120"/>
      <c r="QTI11" s="120"/>
      <c r="QTJ11" s="120"/>
      <c r="QTK11" s="120"/>
      <c r="QTL11" s="120"/>
      <c r="QTM11" s="120"/>
      <c r="QTN11" s="120"/>
      <c r="QTO11" s="120"/>
      <c r="QTP11" s="120"/>
      <c r="QTQ11" s="120"/>
      <c r="QTR11" s="120"/>
      <c r="QTS11" s="120"/>
      <c r="QTT11" s="120"/>
      <c r="QTU11" s="120"/>
      <c r="QTV11" s="120"/>
      <c r="QTW11" s="120"/>
      <c r="QTX11" s="120"/>
      <c r="QTY11" s="120"/>
      <c r="QTZ11" s="120"/>
      <c r="QUA11" s="120"/>
      <c r="QUB11" s="120"/>
      <c r="QUC11" s="120"/>
      <c r="QUD11" s="120"/>
      <c r="QUE11" s="120"/>
      <c r="QUF11" s="120"/>
      <c r="QUG11" s="120"/>
      <c r="QUH11" s="120"/>
      <c r="QUI11" s="120"/>
      <c r="QUJ11" s="120"/>
      <c r="QUK11" s="120"/>
      <c r="QUL11" s="120"/>
      <c r="QUM11" s="120"/>
      <c r="QUN11" s="120"/>
      <c r="QUO11" s="120"/>
      <c r="QUP11" s="120"/>
      <c r="QUQ11" s="120"/>
      <c r="QUR11" s="120"/>
      <c r="QUS11" s="120"/>
      <c r="QUT11" s="120"/>
      <c r="QUU11" s="120"/>
      <c r="QUV11" s="120"/>
      <c r="QUW11" s="120"/>
      <c r="QUX11" s="120"/>
      <c r="QUY11" s="120"/>
      <c r="QUZ11" s="120"/>
      <c r="QVA11" s="120"/>
      <c r="QVB11" s="120"/>
      <c r="QVC11" s="120"/>
      <c r="QVD11" s="120"/>
      <c r="QVE11" s="120"/>
      <c r="QVF11" s="120"/>
      <c r="QVG11" s="120"/>
      <c r="QVH11" s="120"/>
      <c r="QVI11" s="120"/>
      <c r="QVJ11" s="120"/>
      <c r="QVK11" s="120"/>
      <c r="QVL11" s="120"/>
      <c r="QVM11" s="120"/>
      <c r="QVN11" s="120"/>
      <c r="QVO11" s="120"/>
      <c r="QVP11" s="120"/>
      <c r="QVQ11" s="120"/>
      <c r="QVR11" s="120"/>
      <c r="QVS11" s="120"/>
      <c r="QVT11" s="120"/>
      <c r="QVU11" s="120"/>
      <c r="QVV11" s="120"/>
      <c r="QVW11" s="120"/>
      <c r="QVX11" s="120"/>
      <c r="QVY11" s="120"/>
      <c r="QVZ11" s="120"/>
      <c r="QWA11" s="120"/>
      <c r="QWB11" s="120"/>
      <c r="QWC11" s="120"/>
      <c r="QWD11" s="120"/>
      <c r="QWE11" s="120"/>
      <c r="QWF11" s="120"/>
      <c r="QWG11" s="120"/>
      <c r="QWH11" s="120"/>
      <c r="QWI11" s="120"/>
      <c r="QWJ11" s="120"/>
      <c r="QWK11" s="120"/>
      <c r="QWL11" s="120"/>
      <c r="QWM11" s="120"/>
      <c r="QWN11" s="120"/>
      <c r="QWO11" s="120"/>
      <c r="QWP11" s="120"/>
      <c r="QWQ11" s="120"/>
      <c r="QWR11" s="120"/>
      <c r="QWS11" s="120"/>
      <c r="QWT11" s="120"/>
      <c r="QWU11" s="120"/>
      <c r="QWV11" s="120"/>
      <c r="QWW11" s="120"/>
      <c r="QWX11" s="120"/>
      <c r="QWY11" s="120"/>
      <c r="QWZ11" s="120"/>
      <c r="QXA11" s="120"/>
      <c r="QXB11" s="120"/>
      <c r="QXC11" s="120"/>
      <c r="QXD11" s="120"/>
      <c r="QXE11" s="120"/>
      <c r="QXF11" s="120"/>
      <c r="QXG11" s="120"/>
      <c r="QXH11" s="120"/>
      <c r="QXI11" s="120"/>
      <c r="QXJ11" s="120"/>
      <c r="QXK11" s="120"/>
      <c r="QXL11" s="120"/>
      <c r="QXM11" s="120"/>
      <c r="QXN11" s="120"/>
      <c r="QXO11" s="120"/>
      <c r="QXP11" s="120"/>
      <c r="QXQ11" s="120"/>
      <c r="QXR11" s="120"/>
      <c r="QXS11" s="120"/>
      <c r="QXT11" s="120"/>
      <c r="QXU11" s="120"/>
      <c r="QXV11" s="120"/>
      <c r="QXW11" s="120"/>
      <c r="QXX11" s="120"/>
      <c r="QXY11" s="120"/>
      <c r="QXZ11" s="120"/>
      <c r="QYA11" s="120"/>
      <c r="QYB11" s="120"/>
      <c r="QYC11" s="120"/>
      <c r="QYD11" s="120"/>
      <c r="QYE11" s="120"/>
      <c r="QYF11" s="120"/>
      <c r="QYG11" s="120"/>
      <c r="QYH11" s="120"/>
      <c r="QYI11" s="120"/>
      <c r="QYJ11" s="120"/>
      <c r="QYK11" s="120"/>
      <c r="QYL11" s="120"/>
      <c r="QYM11" s="120"/>
      <c r="QYN11" s="120"/>
      <c r="QYO11" s="120"/>
      <c r="QYP11" s="120"/>
      <c r="QYQ11" s="120"/>
      <c r="QYR11" s="120"/>
      <c r="QYS11" s="120"/>
      <c r="QYT11" s="120"/>
      <c r="QYU11" s="120"/>
      <c r="QYV11" s="120"/>
      <c r="QYW11" s="120"/>
      <c r="QYX11" s="120"/>
      <c r="QYY11" s="120"/>
      <c r="QYZ11" s="120"/>
      <c r="QZA11" s="120"/>
      <c r="QZB11" s="120"/>
      <c r="QZC11" s="120"/>
      <c r="QZD11" s="120"/>
      <c r="QZE11" s="120"/>
      <c r="QZF11" s="120"/>
      <c r="QZG11" s="120"/>
      <c r="QZH11" s="120"/>
      <c r="QZI11" s="120"/>
      <c r="QZJ11" s="120"/>
      <c r="QZK11" s="120"/>
      <c r="QZL11" s="120"/>
      <c r="QZM11" s="120"/>
      <c r="QZN11" s="120"/>
      <c r="QZO11" s="120"/>
      <c r="QZP11" s="120"/>
      <c r="QZQ11" s="120"/>
      <c r="QZR11" s="120"/>
      <c r="QZS11" s="120"/>
      <c r="QZT11" s="120"/>
      <c r="QZU11" s="120"/>
      <c r="QZV11" s="120"/>
      <c r="QZW11" s="120"/>
      <c r="QZX11" s="120"/>
      <c r="QZY11" s="120"/>
      <c r="QZZ11" s="120"/>
      <c r="RAA11" s="120"/>
      <c r="RAB11" s="120"/>
      <c r="RAC11" s="120"/>
      <c r="RAD11" s="120"/>
      <c r="RAE11" s="120"/>
      <c r="RAF11" s="120"/>
      <c r="RAG11" s="120"/>
      <c r="RAH11" s="120"/>
      <c r="RAI11" s="120"/>
      <c r="RAJ11" s="120"/>
      <c r="RAK11" s="120"/>
      <c r="RAL11" s="120"/>
      <c r="RAM11" s="120"/>
      <c r="RAN11" s="120"/>
      <c r="RAO11" s="120"/>
      <c r="RAP11" s="120"/>
      <c r="RAQ11" s="120"/>
      <c r="RAR11" s="120"/>
      <c r="RAS11" s="120"/>
      <c r="RAT11" s="120"/>
      <c r="RAU11" s="120"/>
      <c r="RAV11" s="120"/>
      <c r="RAW11" s="120"/>
      <c r="RAX11" s="120"/>
      <c r="RAY11" s="120"/>
      <c r="RAZ11" s="120"/>
      <c r="RBA11" s="120"/>
      <c r="RBB11" s="120"/>
      <c r="RBC11" s="120"/>
      <c r="RBD11" s="120"/>
      <c r="RBE11" s="120"/>
      <c r="RBF11" s="120"/>
      <c r="RBG11" s="120"/>
      <c r="RBH11" s="120"/>
      <c r="RBI11" s="120"/>
      <c r="RBJ11" s="120"/>
      <c r="RBK11" s="120"/>
      <c r="RBL11" s="120"/>
      <c r="RBM11" s="120"/>
      <c r="RBN11" s="120"/>
      <c r="RBO11" s="120"/>
      <c r="RBP11" s="120"/>
      <c r="RBQ11" s="120"/>
      <c r="RBR11" s="120"/>
      <c r="RBS11" s="120"/>
      <c r="RBT11" s="120"/>
      <c r="RBU11" s="120"/>
      <c r="RBV11" s="120"/>
      <c r="RBW11" s="120"/>
      <c r="RBX11" s="120"/>
      <c r="RBY11" s="120"/>
      <c r="RBZ11" s="120"/>
      <c r="RCA11" s="120"/>
      <c r="RCB11" s="120"/>
      <c r="RCC11" s="120"/>
      <c r="RCD11" s="120"/>
      <c r="RCE11" s="120"/>
      <c r="RCF11" s="120"/>
      <c r="RCG11" s="120"/>
      <c r="RCH11" s="120"/>
      <c r="RCI11" s="120"/>
      <c r="RCJ11" s="120"/>
      <c r="RCK11" s="120"/>
      <c r="RCL11" s="120"/>
      <c r="RCM11" s="120"/>
      <c r="RCN11" s="120"/>
      <c r="RCO11" s="120"/>
      <c r="RCP11" s="120"/>
      <c r="RCQ11" s="120"/>
      <c r="RCR11" s="120"/>
      <c r="RCS11" s="120"/>
      <c r="RCT11" s="120"/>
      <c r="RCU11" s="120"/>
      <c r="RCV11" s="120"/>
      <c r="RCW11" s="120"/>
      <c r="RCX11" s="120"/>
      <c r="RCY11" s="120"/>
      <c r="RCZ11" s="120"/>
      <c r="RDA11" s="120"/>
      <c r="RDB11" s="120"/>
      <c r="RDC11" s="120"/>
      <c r="RDD11" s="120"/>
      <c r="RDE11" s="120"/>
      <c r="RDF11" s="120"/>
      <c r="RDG11" s="120"/>
      <c r="RDH11" s="120"/>
      <c r="RDI11" s="120"/>
      <c r="RDJ11" s="120"/>
      <c r="RDK11" s="120"/>
      <c r="RDL11" s="120"/>
      <c r="RDM11" s="120"/>
      <c r="RDN11" s="120"/>
      <c r="RDO11" s="120"/>
      <c r="RDP11" s="120"/>
      <c r="RDQ11" s="120"/>
      <c r="RDR11" s="120"/>
      <c r="RDS11" s="120"/>
      <c r="RDT11" s="120"/>
      <c r="RDU11" s="120"/>
      <c r="RDV11" s="120"/>
      <c r="RDW11" s="120"/>
      <c r="RDX11" s="120"/>
      <c r="RDY11" s="120"/>
      <c r="RDZ11" s="120"/>
      <c r="REA11" s="120"/>
      <c r="REB11" s="120"/>
      <c r="REC11" s="120"/>
      <c r="RED11" s="120"/>
      <c r="REE11" s="120"/>
      <c r="REF11" s="120"/>
      <c r="REG11" s="120"/>
      <c r="REH11" s="120"/>
      <c r="REI11" s="120"/>
      <c r="REJ11" s="120"/>
      <c r="REK11" s="120"/>
      <c r="REL11" s="120"/>
      <c r="REM11" s="120"/>
      <c r="REN11" s="120"/>
      <c r="REO11" s="120"/>
      <c r="REP11" s="120"/>
      <c r="REQ11" s="120"/>
      <c r="RER11" s="120"/>
      <c r="RES11" s="120"/>
      <c r="RET11" s="120"/>
      <c r="REU11" s="120"/>
      <c r="REV11" s="120"/>
      <c r="REW11" s="120"/>
      <c r="REX11" s="120"/>
      <c r="REY11" s="120"/>
      <c r="REZ11" s="120"/>
      <c r="RFA11" s="120"/>
      <c r="RFB11" s="120"/>
      <c r="RFC11" s="120"/>
      <c r="RFD11" s="120"/>
      <c r="RFE11" s="120"/>
      <c r="RFF11" s="120"/>
      <c r="RFG11" s="120"/>
      <c r="RFH11" s="120"/>
      <c r="RFI11" s="120"/>
      <c r="RFJ11" s="120"/>
      <c r="RFK11" s="120"/>
      <c r="RFL11" s="120"/>
      <c r="RFM11" s="120"/>
      <c r="RFN11" s="120"/>
      <c r="RFO11" s="120"/>
      <c r="RFP11" s="120"/>
      <c r="RFQ11" s="120"/>
      <c r="RFR11" s="120"/>
      <c r="RFS11" s="120"/>
      <c r="RFT11" s="120"/>
      <c r="RFU11" s="120"/>
      <c r="RFV11" s="120"/>
      <c r="RFW11" s="120"/>
      <c r="RFX11" s="120"/>
      <c r="RFY11" s="120"/>
      <c r="RFZ11" s="120"/>
      <c r="RGA11" s="120"/>
      <c r="RGB11" s="120"/>
      <c r="RGC11" s="120"/>
      <c r="RGD11" s="120"/>
      <c r="RGE11" s="120"/>
      <c r="RGF11" s="120"/>
      <c r="RGG11" s="120"/>
      <c r="RGH11" s="120"/>
      <c r="RGI11" s="120"/>
      <c r="RGJ11" s="120"/>
      <c r="RGK11" s="120"/>
      <c r="RGL11" s="120"/>
      <c r="RGM11" s="120"/>
      <c r="RGN11" s="120"/>
      <c r="RGO11" s="120"/>
      <c r="RGP11" s="120"/>
      <c r="RGQ11" s="120"/>
      <c r="RGR11" s="120"/>
      <c r="RGS11" s="120"/>
      <c r="RGT11" s="120"/>
      <c r="RGU11" s="120"/>
      <c r="RGV11" s="120"/>
      <c r="RGW11" s="120"/>
      <c r="RGX11" s="120"/>
      <c r="RGY11" s="120"/>
      <c r="RGZ11" s="120"/>
      <c r="RHA11" s="120"/>
      <c r="RHB11" s="120"/>
      <c r="RHC11" s="120"/>
      <c r="RHD11" s="120"/>
      <c r="RHE11" s="120"/>
      <c r="RHF11" s="120"/>
      <c r="RHG11" s="120"/>
      <c r="RHH11" s="120"/>
      <c r="RHI11" s="120"/>
      <c r="RHJ11" s="120"/>
      <c r="RHK11" s="120"/>
      <c r="RHL11" s="120"/>
      <c r="RHM11" s="120"/>
      <c r="RHN11" s="120"/>
      <c r="RHO11" s="120"/>
      <c r="RHP11" s="120"/>
      <c r="RHQ11" s="120"/>
      <c r="RHR11" s="120"/>
      <c r="RHS11" s="120"/>
      <c r="RHT11" s="120"/>
      <c r="RHU11" s="120"/>
      <c r="RHV11" s="120"/>
      <c r="RHW11" s="120"/>
      <c r="RHX11" s="120"/>
      <c r="RHY11" s="120"/>
      <c r="RHZ11" s="120"/>
      <c r="RIA11" s="120"/>
      <c r="RIB11" s="120"/>
      <c r="RIC11" s="120"/>
      <c r="RID11" s="120"/>
      <c r="RIE11" s="120"/>
      <c r="RIF11" s="120"/>
      <c r="RIG11" s="120"/>
      <c r="RIH11" s="120"/>
      <c r="RII11" s="120"/>
      <c r="RIJ11" s="120"/>
      <c r="RIK11" s="120"/>
      <c r="RIL11" s="120"/>
      <c r="RIM11" s="120"/>
      <c r="RIN11" s="120"/>
      <c r="RIO11" s="120"/>
      <c r="RIP11" s="120"/>
      <c r="RIQ11" s="120"/>
      <c r="RIR11" s="120"/>
      <c r="RIS11" s="120"/>
      <c r="RIT11" s="120"/>
      <c r="RIU11" s="120"/>
      <c r="RIV11" s="120"/>
      <c r="RIW11" s="120"/>
      <c r="RIX11" s="120"/>
      <c r="RIY11" s="120"/>
      <c r="RIZ11" s="120"/>
      <c r="RJA11" s="120"/>
      <c r="RJB11" s="120"/>
      <c r="RJC11" s="120"/>
      <c r="RJD11" s="120"/>
      <c r="RJE11" s="120"/>
      <c r="RJF11" s="120"/>
      <c r="RJG11" s="120"/>
      <c r="RJH11" s="120"/>
      <c r="RJI11" s="120"/>
      <c r="RJJ11" s="120"/>
      <c r="RJK11" s="120"/>
      <c r="RJL11" s="120"/>
      <c r="RJM11" s="120"/>
      <c r="RJN11" s="120"/>
      <c r="RJO11" s="120"/>
      <c r="RJP11" s="120"/>
      <c r="RJQ11" s="120"/>
      <c r="RJR11" s="120"/>
      <c r="RJS11" s="120"/>
      <c r="RJT11" s="120"/>
      <c r="RJU11" s="120"/>
      <c r="RJV11" s="120"/>
      <c r="RJW11" s="120"/>
      <c r="RJX11" s="120"/>
      <c r="RJY11" s="120"/>
      <c r="RJZ11" s="120"/>
      <c r="RKA11" s="120"/>
      <c r="RKB11" s="120"/>
      <c r="RKC11" s="120"/>
      <c r="RKD11" s="120"/>
      <c r="RKE11" s="120"/>
      <c r="RKF11" s="120"/>
      <c r="RKG11" s="120"/>
      <c r="RKH11" s="120"/>
      <c r="RKI11" s="120"/>
      <c r="RKJ11" s="120"/>
      <c r="RKK11" s="120"/>
      <c r="RKL11" s="120"/>
      <c r="RKM11" s="120"/>
      <c r="RKN11" s="120"/>
      <c r="RKO11" s="120"/>
      <c r="RKP11" s="120"/>
      <c r="RKQ11" s="120"/>
      <c r="RKR11" s="120"/>
      <c r="RKS11" s="120"/>
      <c r="RKT11" s="120"/>
      <c r="RKU11" s="120"/>
      <c r="RKV11" s="120"/>
      <c r="RKW11" s="120"/>
      <c r="RKX11" s="120"/>
      <c r="RKY11" s="120"/>
      <c r="RKZ11" s="120"/>
      <c r="RLA11" s="120"/>
      <c r="RLB11" s="120"/>
      <c r="RLC11" s="120"/>
      <c r="RLD11" s="120"/>
      <c r="RLE11" s="120"/>
      <c r="RLF11" s="120"/>
      <c r="RLG11" s="120"/>
      <c r="RLH11" s="120"/>
      <c r="RLI11" s="120"/>
      <c r="RLJ11" s="120"/>
      <c r="RLK11" s="120"/>
      <c r="RLL11" s="120"/>
      <c r="RLM11" s="120"/>
      <c r="RLN11" s="120"/>
      <c r="RLO11" s="120"/>
      <c r="RLP11" s="120"/>
      <c r="RLQ11" s="120"/>
      <c r="RLR11" s="120"/>
      <c r="RLS11" s="120"/>
      <c r="RLT11" s="120"/>
      <c r="RLU11" s="120"/>
      <c r="RLV11" s="120"/>
      <c r="RLW11" s="120"/>
      <c r="RLX11" s="120"/>
      <c r="RLY11" s="120"/>
      <c r="RLZ11" s="120"/>
      <c r="RMA11" s="120"/>
      <c r="RMB11" s="120"/>
      <c r="RMC11" s="120"/>
      <c r="RMD11" s="120"/>
      <c r="RME11" s="120"/>
      <c r="RMF11" s="120"/>
      <c r="RMG11" s="120"/>
      <c r="RMH11" s="120"/>
      <c r="RMI11" s="120"/>
      <c r="RMJ11" s="120"/>
      <c r="RMK11" s="120"/>
      <c r="RML11" s="120"/>
      <c r="RMM11" s="120"/>
      <c r="RMN11" s="120"/>
      <c r="RMO11" s="120"/>
      <c r="RMP11" s="120"/>
      <c r="RMQ11" s="120"/>
      <c r="RMR11" s="120"/>
      <c r="RMS11" s="120"/>
      <c r="RMT11" s="120"/>
      <c r="RMU11" s="120"/>
      <c r="RMV11" s="120"/>
      <c r="RMW11" s="120"/>
      <c r="RMX11" s="120"/>
      <c r="RMY11" s="120"/>
      <c r="RMZ11" s="120"/>
      <c r="RNA11" s="120"/>
      <c r="RNB11" s="120"/>
      <c r="RNC11" s="120"/>
      <c r="RND11" s="120"/>
      <c r="RNE11" s="120"/>
      <c r="RNF11" s="120"/>
      <c r="RNG11" s="120"/>
      <c r="RNH11" s="120"/>
      <c r="RNI11" s="120"/>
      <c r="RNJ11" s="120"/>
      <c r="RNK11" s="120"/>
      <c r="RNL11" s="120"/>
      <c r="RNM11" s="120"/>
      <c r="RNN11" s="120"/>
      <c r="RNO11" s="120"/>
      <c r="RNP11" s="120"/>
      <c r="RNQ11" s="120"/>
      <c r="RNR11" s="120"/>
      <c r="RNS11" s="120"/>
      <c r="RNT11" s="120"/>
      <c r="RNU11" s="120"/>
      <c r="RNV11" s="120"/>
      <c r="RNW11" s="120"/>
      <c r="RNX11" s="120"/>
      <c r="RNY11" s="120"/>
      <c r="RNZ11" s="120"/>
      <c r="ROA11" s="120"/>
      <c r="ROB11" s="120"/>
      <c r="ROC11" s="120"/>
      <c r="ROD11" s="120"/>
      <c r="ROE11" s="120"/>
      <c r="ROF11" s="120"/>
      <c r="ROG11" s="120"/>
      <c r="ROH11" s="120"/>
      <c r="ROI11" s="120"/>
      <c r="ROJ11" s="120"/>
      <c r="ROK11" s="120"/>
      <c r="ROL11" s="120"/>
      <c r="ROM11" s="120"/>
      <c r="RON11" s="120"/>
      <c r="ROO11" s="120"/>
      <c r="ROP11" s="120"/>
      <c r="ROQ11" s="120"/>
      <c r="ROR11" s="120"/>
      <c r="ROS11" s="120"/>
      <c r="ROT11" s="120"/>
      <c r="ROU11" s="120"/>
      <c r="ROV11" s="120"/>
      <c r="ROW11" s="120"/>
      <c r="ROX11" s="120"/>
      <c r="ROY11" s="120"/>
      <c r="ROZ11" s="120"/>
      <c r="RPA11" s="120"/>
      <c r="RPB11" s="120"/>
      <c r="RPC11" s="120"/>
      <c r="RPD11" s="120"/>
      <c r="RPE11" s="120"/>
      <c r="RPF11" s="120"/>
      <c r="RPG11" s="120"/>
      <c r="RPH11" s="120"/>
      <c r="RPI11" s="120"/>
      <c r="RPJ11" s="120"/>
      <c r="RPK11" s="120"/>
      <c r="RPL11" s="120"/>
      <c r="RPM11" s="120"/>
      <c r="RPN11" s="120"/>
      <c r="RPO11" s="120"/>
      <c r="RPP11" s="120"/>
      <c r="RPQ11" s="120"/>
      <c r="RPR11" s="120"/>
      <c r="RPS11" s="120"/>
      <c r="RPT11" s="120"/>
      <c r="RPU11" s="120"/>
      <c r="RPV11" s="120"/>
      <c r="RPW11" s="120"/>
      <c r="RPX11" s="120"/>
      <c r="RPY11" s="120"/>
      <c r="RPZ11" s="120"/>
      <c r="RQA11" s="120"/>
      <c r="RQB11" s="120"/>
      <c r="RQC11" s="120"/>
      <c r="RQD11" s="120"/>
      <c r="RQE11" s="120"/>
      <c r="RQF11" s="120"/>
      <c r="RQG11" s="120"/>
      <c r="RQH11" s="120"/>
      <c r="RQI11" s="120"/>
      <c r="RQJ11" s="120"/>
      <c r="RQK11" s="120"/>
      <c r="RQL11" s="120"/>
      <c r="RQM11" s="120"/>
      <c r="RQN11" s="120"/>
      <c r="RQO11" s="120"/>
      <c r="RQP11" s="120"/>
      <c r="RQQ11" s="120"/>
      <c r="RQR11" s="120"/>
      <c r="RQS11" s="120"/>
      <c r="RQT11" s="120"/>
      <c r="RQU11" s="120"/>
      <c r="RQV11" s="120"/>
      <c r="RQW11" s="120"/>
      <c r="RQX11" s="120"/>
      <c r="RQY11" s="120"/>
      <c r="RQZ11" s="120"/>
      <c r="RRA11" s="120"/>
      <c r="RRB11" s="120"/>
      <c r="RRC11" s="120"/>
      <c r="RRD11" s="120"/>
      <c r="RRE11" s="120"/>
      <c r="RRF11" s="120"/>
      <c r="RRG11" s="120"/>
      <c r="RRH11" s="120"/>
      <c r="RRI11" s="120"/>
      <c r="RRJ11" s="120"/>
      <c r="RRK11" s="120"/>
      <c r="RRL11" s="120"/>
      <c r="RRM11" s="120"/>
      <c r="RRN11" s="120"/>
      <c r="RRO11" s="120"/>
      <c r="RRP11" s="120"/>
      <c r="RRQ11" s="120"/>
      <c r="RRR11" s="120"/>
      <c r="RRS11" s="120"/>
      <c r="RRT11" s="120"/>
      <c r="RRU11" s="120"/>
      <c r="RRV11" s="120"/>
      <c r="RRW11" s="120"/>
      <c r="RRX11" s="120"/>
      <c r="RRY11" s="120"/>
      <c r="RRZ11" s="120"/>
      <c r="RSA11" s="120"/>
      <c r="RSB11" s="120"/>
      <c r="RSC11" s="120"/>
      <c r="RSD11" s="120"/>
      <c r="RSE11" s="120"/>
      <c r="RSF11" s="120"/>
      <c r="RSG11" s="120"/>
      <c r="RSH11" s="120"/>
      <c r="RSI11" s="120"/>
      <c r="RSJ11" s="120"/>
      <c r="RSK11" s="120"/>
      <c r="RSL11" s="120"/>
      <c r="RSM11" s="120"/>
      <c r="RSN11" s="120"/>
      <c r="RSO11" s="120"/>
      <c r="RSP11" s="120"/>
      <c r="RSQ11" s="120"/>
      <c r="RSR11" s="120"/>
      <c r="RSS11" s="120"/>
      <c r="RST11" s="120"/>
      <c r="RSU11" s="120"/>
      <c r="RSV11" s="120"/>
      <c r="RSW11" s="120"/>
      <c r="RSX11" s="120"/>
      <c r="RSY11" s="120"/>
      <c r="RSZ11" s="120"/>
      <c r="RTA11" s="120"/>
      <c r="RTB11" s="120"/>
      <c r="RTC11" s="120"/>
      <c r="RTD11" s="120"/>
      <c r="RTE11" s="120"/>
      <c r="RTF11" s="120"/>
      <c r="RTG11" s="120"/>
      <c r="RTH11" s="120"/>
      <c r="RTI11" s="120"/>
      <c r="RTJ11" s="120"/>
      <c r="RTK11" s="120"/>
      <c r="RTL11" s="120"/>
      <c r="RTM11" s="120"/>
      <c r="RTN11" s="120"/>
      <c r="RTO11" s="120"/>
      <c r="RTP11" s="120"/>
      <c r="RTQ11" s="120"/>
      <c r="RTR11" s="120"/>
      <c r="RTS11" s="120"/>
      <c r="RTT11" s="120"/>
      <c r="RTU11" s="120"/>
      <c r="RTV11" s="120"/>
      <c r="RTW11" s="120"/>
      <c r="RTX11" s="120"/>
      <c r="RTY11" s="120"/>
      <c r="RTZ11" s="120"/>
      <c r="RUA11" s="120"/>
      <c r="RUB11" s="120"/>
      <c r="RUC11" s="120"/>
      <c r="RUD11" s="120"/>
      <c r="RUE11" s="120"/>
      <c r="RUF11" s="120"/>
      <c r="RUG11" s="120"/>
      <c r="RUH11" s="120"/>
      <c r="RUI11" s="120"/>
      <c r="RUJ11" s="120"/>
      <c r="RUK11" s="120"/>
      <c r="RUL11" s="120"/>
      <c r="RUM11" s="120"/>
      <c r="RUN11" s="120"/>
      <c r="RUO11" s="120"/>
      <c r="RUP11" s="120"/>
      <c r="RUQ11" s="120"/>
      <c r="RUR11" s="120"/>
      <c r="RUS11" s="120"/>
      <c r="RUT11" s="120"/>
      <c r="RUU11" s="120"/>
      <c r="RUV11" s="120"/>
      <c r="RUW11" s="120"/>
      <c r="RUX11" s="120"/>
      <c r="RUY11" s="120"/>
      <c r="RUZ11" s="120"/>
      <c r="RVA11" s="120"/>
      <c r="RVB11" s="120"/>
      <c r="RVC11" s="120"/>
      <c r="RVD11" s="120"/>
      <c r="RVE11" s="120"/>
      <c r="RVF11" s="120"/>
      <c r="RVG11" s="120"/>
      <c r="RVH11" s="120"/>
      <c r="RVI11" s="120"/>
      <c r="RVJ11" s="120"/>
      <c r="RVK11" s="120"/>
      <c r="RVL11" s="120"/>
      <c r="RVM11" s="120"/>
      <c r="RVN11" s="120"/>
      <c r="RVO11" s="120"/>
      <c r="RVP11" s="120"/>
      <c r="RVQ11" s="120"/>
      <c r="RVR11" s="120"/>
      <c r="RVS11" s="120"/>
      <c r="RVT11" s="120"/>
      <c r="RVU11" s="120"/>
      <c r="RVV11" s="120"/>
      <c r="RVW11" s="120"/>
      <c r="RVX11" s="120"/>
      <c r="RVY11" s="120"/>
      <c r="RVZ11" s="120"/>
      <c r="RWA11" s="120"/>
      <c r="RWB11" s="120"/>
      <c r="RWC11" s="120"/>
      <c r="RWD11" s="120"/>
      <c r="RWE11" s="120"/>
      <c r="RWF11" s="120"/>
      <c r="RWG11" s="120"/>
      <c r="RWH11" s="120"/>
      <c r="RWI11" s="120"/>
      <c r="RWJ11" s="120"/>
      <c r="RWK11" s="120"/>
      <c r="RWL11" s="120"/>
      <c r="RWM11" s="120"/>
      <c r="RWN11" s="120"/>
      <c r="RWO11" s="120"/>
      <c r="RWP11" s="120"/>
      <c r="RWQ11" s="120"/>
      <c r="RWR11" s="120"/>
      <c r="RWS11" s="120"/>
      <c r="RWT11" s="120"/>
      <c r="RWU11" s="120"/>
      <c r="RWV11" s="120"/>
      <c r="RWW11" s="120"/>
      <c r="RWX11" s="120"/>
      <c r="RWY11" s="120"/>
      <c r="RWZ11" s="120"/>
      <c r="RXA11" s="120"/>
      <c r="RXB11" s="120"/>
      <c r="RXC11" s="120"/>
      <c r="RXD11" s="120"/>
      <c r="RXE11" s="120"/>
      <c r="RXF11" s="120"/>
      <c r="RXG11" s="120"/>
      <c r="RXH11" s="120"/>
      <c r="RXI11" s="120"/>
      <c r="RXJ11" s="120"/>
      <c r="RXK11" s="120"/>
      <c r="RXL11" s="120"/>
      <c r="RXM11" s="120"/>
      <c r="RXN11" s="120"/>
      <c r="RXO11" s="120"/>
      <c r="RXP11" s="120"/>
      <c r="RXQ11" s="120"/>
      <c r="RXR11" s="120"/>
      <c r="RXS11" s="120"/>
      <c r="RXT11" s="120"/>
      <c r="RXU11" s="120"/>
      <c r="RXV11" s="120"/>
      <c r="RXW11" s="120"/>
      <c r="RXX11" s="120"/>
      <c r="RXY11" s="120"/>
      <c r="RXZ11" s="120"/>
      <c r="RYA11" s="120"/>
      <c r="RYB11" s="120"/>
      <c r="RYC11" s="120"/>
      <c r="RYD11" s="120"/>
      <c r="RYE11" s="120"/>
      <c r="RYF11" s="120"/>
      <c r="RYG11" s="120"/>
      <c r="RYH11" s="120"/>
      <c r="RYI11" s="120"/>
      <c r="RYJ11" s="120"/>
      <c r="RYK11" s="120"/>
      <c r="RYL11" s="120"/>
      <c r="RYM11" s="120"/>
      <c r="RYN11" s="120"/>
      <c r="RYO11" s="120"/>
      <c r="RYP11" s="120"/>
      <c r="RYQ11" s="120"/>
      <c r="RYR11" s="120"/>
      <c r="RYS11" s="120"/>
      <c r="RYT11" s="120"/>
      <c r="RYU11" s="120"/>
      <c r="RYV11" s="120"/>
      <c r="RYW11" s="120"/>
      <c r="RYX11" s="120"/>
      <c r="RYY11" s="120"/>
      <c r="RYZ11" s="120"/>
      <c r="RZA11" s="120"/>
      <c r="RZB11" s="120"/>
      <c r="RZC11" s="120"/>
      <c r="RZD11" s="120"/>
      <c r="RZE11" s="120"/>
      <c r="RZF11" s="120"/>
      <c r="RZG11" s="120"/>
      <c r="RZH11" s="120"/>
      <c r="RZI11" s="120"/>
      <c r="RZJ11" s="120"/>
      <c r="RZK11" s="120"/>
      <c r="RZL11" s="120"/>
      <c r="RZM11" s="120"/>
      <c r="RZN11" s="120"/>
      <c r="RZO11" s="120"/>
      <c r="RZP11" s="120"/>
      <c r="RZQ11" s="120"/>
      <c r="RZR11" s="120"/>
      <c r="RZS11" s="120"/>
      <c r="RZT11" s="120"/>
      <c r="RZU11" s="120"/>
      <c r="RZV11" s="120"/>
      <c r="RZW11" s="120"/>
      <c r="RZX11" s="120"/>
      <c r="RZY11" s="120"/>
      <c r="RZZ11" s="120"/>
      <c r="SAA11" s="120"/>
      <c r="SAB11" s="120"/>
      <c r="SAC11" s="120"/>
      <c r="SAD11" s="120"/>
      <c r="SAE11" s="120"/>
      <c r="SAF11" s="120"/>
      <c r="SAG11" s="120"/>
      <c r="SAH11" s="120"/>
      <c r="SAI11" s="120"/>
      <c r="SAJ11" s="120"/>
      <c r="SAK11" s="120"/>
      <c r="SAL11" s="120"/>
      <c r="SAM11" s="120"/>
      <c r="SAN11" s="120"/>
      <c r="SAO11" s="120"/>
      <c r="SAP11" s="120"/>
      <c r="SAQ11" s="120"/>
      <c r="SAR11" s="120"/>
      <c r="SAS11" s="120"/>
      <c r="SAT11" s="120"/>
      <c r="SAU11" s="120"/>
      <c r="SAV11" s="120"/>
      <c r="SAW11" s="120"/>
      <c r="SAX11" s="120"/>
      <c r="SAY11" s="120"/>
      <c r="SAZ11" s="120"/>
      <c r="SBA11" s="120"/>
      <c r="SBB11" s="120"/>
      <c r="SBC11" s="120"/>
      <c r="SBD11" s="120"/>
      <c r="SBE11" s="120"/>
      <c r="SBF11" s="120"/>
      <c r="SBG11" s="120"/>
      <c r="SBH11" s="120"/>
      <c r="SBI11" s="120"/>
      <c r="SBJ11" s="120"/>
      <c r="SBK11" s="120"/>
      <c r="SBL11" s="120"/>
      <c r="SBM11" s="120"/>
      <c r="SBN11" s="120"/>
      <c r="SBO11" s="120"/>
      <c r="SBP11" s="120"/>
      <c r="SBQ11" s="120"/>
      <c r="SBR11" s="120"/>
      <c r="SBS11" s="120"/>
      <c r="SBT11" s="120"/>
      <c r="SBU11" s="120"/>
      <c r="SBV11" s="120"/>
      <c r="SBW11" s="120"/>
      <c r="SBX11" s="120"/>
      <c r="SBY11" s="120"/>
      <c r="SBZ11" s="120"/>
      <c r="SCA11" s="120"/>
      <c r="SCB11" s="120"/>
      <c r="SCC11" s="120"/>
      <c r="SCD11" s="120"/>
      <c r="SCE11" s="120"/>
      <c r="SCF11" s="120"/>
      <c r="SCG11" s="120"/>
      <c r="SCH11" s="120"/>
      <c r="SCI11" s="120"/>
      <c r="SCJ11" s="120"/>
      <c r="SCK11" s="120"/>
      <c r="SCL11" s="120"/>
      <c r="SCM11" s="120"/>
      <c r="SCN11" s="120"/>
      <c r="SCO11" s="120"/>
      <c r="SCP11" s="120"/>
      <c r="SCQ11" s="120"/>
      <c r="SCR11" s="120"/>
      <c r="SCS11" s="120"/>
      <c r="SCT11" s="120"/>
      <c r="SCU11" s="120"/>
      <c r="SCV11" s="120"/>
      <c r="SCW11" s="120"/>
      <c r="SCX11" s="120"/>
      <c r="SCY11" s="120"/>
      <c r="SCZ11" s="120"/>
      <c r="SDA11" s="120"/>
      <c r="SDB11" s="120"/>
      <c r="SDC11" s="120"/>
      <c r="SDD11" s="120"/>
      <c r="SDE11" s="120"/>
      <c r="SDF11" s="120"/>
      <c r="SDG11" s="120"/>
      <c r="SDH11" s="120"/>
      <c r="SDI11" s="120"/>
      <c r="SDJ11" s="120"/>
      <c r="SDK11" s="120"/>
      <c r="SDL11" s="120"/>
      <c r="SDM11" s="120"/>
      <c r="SDN11" s="120"/>
      <c r="SDO11" s="120"/>
      <c r="SDP11" s="120"/>
      <c r="SDQ11" s="120"/>
      <c r="SDR11" s="120"/>
      <c r="SDS11" s="120"/>
      <c r="SDT11" s="120"/>
      <c r="SDU11" s="120"/>
      <c r="SDV11" s="120"/>
      <c r="SDW11" s="120"/>
      <c r="SDX11" s="120"/>
      <c r="SDY11" s="120"/>
      <c r="SDZ11" s="120"/>
      <c r="SEA11" s="120"/>
      <c r="SEB11" s="120"/>
      <c r="SEC11" s="120"/>
      <c r="SED11" s="120"/>
      <c r="SEE11" s="120"/>
      <c r="SEF11" s="120"/>
      <c r="SEG11" s="120"/>
      <c r="SEH11" s="120"/>
      <c r="SEI11" s="120"/>
      <c r="SEJ11" s="120"/>
      <c r="SEK11" s="120"/>
      <c r="SEL11" s="120"/>
      <c r="SEM11" s="120"/>
      <c r="SEN11" s="120"/>
      <c r="SEO11" s="120"/>
      <c r="SEP11" s="120"/>
      <c r="SEQ11" s="120"/>
      <c r="SER11" s="120"/>
      <c r="SES11" s="120"/>
      <c r="SET11" s="120"/>
      <c r="SEU11" s="120"/>
      <c r="SEV11" s="120"/>
      <c r="SEW11" s="120"/>
      <c r="SEX11" s="120"/>
      <c r="SEY11" s="120"/>
      <c r="SEZ11" s="120"/>
      <c r="SFA11" s="120"/>
      <c r="SFB11" s="120"/>
      <c r="SFC11" s="120"/>
      <c r="SFD11" s="120"/>
      <c r="SFE11" s="120"/>
      <c r="SFF11" s="120"/>
      <c r="SFG11" s="120"/>
      <c r="SFH11" s="120"/>
      <c r="SFI11" s="120"/>
      <c r="SFJ11" s="120"/>
      <c r="SFK11" s="120"/>
      <c r="SFL11" s="120"/>
      <c r="SFM11" s="120"/>
      <c r="SFN11" s="120"/>
      <c r="SFO11" s="120"/>
      <c r="SFP11" s="120"/>
      <c r="SFQ11" s="120"/>
      <c r="SFR11" s="120"/>
      <c r="SFS11" s="120"/>
      <c r="SFT11" s="120"/>
      <c r="SFU11" s="120"/>
      <c r="SFV11" s="120"/>
      <c r="SFW11" s="120"/>
      <c r="SFX11" s="120"/>
      <c r="SFY11" s="120"/>
      <c r="SFZ11" s="120"/>
      <c r="SGA11" s="120"/>
      <c r="SGB11" s="120"/>
      <c r="SGC11" s="120"/>
      <c r="SGD11" s="120"/>
      <c r="SGE11" s="120"/>
      <c r="SGF11" s="120"/>
      <c r="SGG11" s="120"/>
      <c r="SGH11" s="120"/>
      <c r="SGI11" s="120"/>
      <c r="SGJ11" s="120"/>
      <c r="SGK11" s="120"/>
      <c r="SGL11" s="120"/>
      <c r="SGM11" s="120"/>
      <c r="SGN11" s="120"/>
      <c r="SGO11" s="120"/>
      <c r="SGP11" s="120"/>
      <c r="SGQ11" s="120"/>
      <c r="SGR11" s="120"/>
      <c r="SGS11" s="120"/>
      <c r="SGT11" s="120"/>
      <c r="SGU11" s="120"/>
      <c r="SGV11" s="120"/>
      <c r="SGW11" s="120"/>
      <c r="SGX11" s="120"/>
      <c r="SGY11" s="120"/>
      <c r="SGZ11" s="120"/>
      <c r="SHA11" s="120"/>
      <c r="SHB11" s="120"/>
      <c r="SHC11" s="120"/>
      <c r="SHD11" s="120"/>
      <c r="SHE11" s="120"/>
      <c r="SHF11" s="120"/>
      <c r="SHG11" s="120"/>
      <c r="SHH11" s="120"/>
      <c r="SHI11" s="120"/>
      <c r="SHJ11" s="120"/>
      <c r="SHK11" s="120"/>
      <c r="SHL11" s="120"/>
      <c r="SHM11" s="120"/>
      <c r="SHN11" s="120"/>
      <c r="SHO11" s="120"/>
      <c r="SHP11" s="120"/>
      <c r="SHQ11" s="120"/>
      <c r="SHR11" s="120"/>
      <c r="SHS11" s="120"/>
      <c r="SHT11" s="120"/>
      <c r="SHU11" s="120"/>
      <c r="SHV11" s="120"/>
      <c r="SHW11" s="120"/>
      <c r="SHX11" s="120"/>
      <c r="SHY11" s="120"/>
      <c r="SHZ11" s="120"/>
      <c r="SIA11" s="120"/>
      <c r="SIB11" s="120"/>
      <c r="SIC11" s="120"/>
      <c r="SID11" s="120"/>
      <c r="SIE11" s="120"/>
      <c r="SIF11" s="120"/>
      <c r="SIG11" s="120"/>
      <c r="SIH11" s="120"/>
      <c r="SII11" s="120"/>
      <c r="SIJ11" s="120"/>
      <c r="SIK11" s="120"/>
      <c r="SIL11" s="120"/>
      <c r="SIM11" s="120"/>
      <c r="SIN11" s="120"/>
      <c r="SIO11" s="120"/>
      <c r="SIP11" s="120"/>
      <c r="SIQ11" s="120"/>
      <c r="SIR11" s="120"/>
      <c r="SIS11" s="120"/>
      <c r="SIT11" s="120"/>
      <c r="SIU11" s="120"/>
      <c r="SIV11" s="120"/>
      <c r="SIW11" s="120"/>
      <c r="SIX11" s="120"/>
      <c r="SIY11" s="120"/>
      <c r="SIZ11" s="120"/>
      <c r="SJA11" s="120"/>
      <c r="SJB11" s="120"/>
      <c r="SJC11" s="120"/>
      <c r="SJD11" s="120"/>
      <c r="SJE11" s="120"/>
      <c r="SJF11" s="120"/>
      <c r="SJG11" s="120"/>
      <c r="SJH11" s="120"/>
      <c r="SJI11" s="120"/>
      <c r="SJJ11" s="120"/>
      <c r="SJK11" s="120"/>
      <c r="SJL11" s="120"/>
      <c r="SJM11" s="120"/>
      <c r="SJN11" s="120"/>
      <c r="SJO11" s="120"/>
      <c r="SJP11" s="120"/>
      <c r="SJQ11" s="120"/>
      <c r="SJR11" s="120"/>
      <c r="SJS11" s="120"/>
      <c r="SJT11" s="120"/>
      <c r="SJU11" s="120"/>
      <c r="SJV11" s="120"/>
      <c r="SJW11" s="120"/>
      <c r="SJX11" s="120"/>
      <c r="SJY11" s="120"/>
      <c r="SJZ11" s="120"/>
      <c r="SKA11" s="120"/>
      <c r="SKB11" s="120"/>
      <c r="SKC11" s="120"/>
      <c r="SKD11" s="120"/>
      <c r="SKE11" s="120"/>
      <c r="SKF11" s="120"/>
      <c r="SKG11" s="120"/>
      <c r="SKH11" s="120"/>
      <c r="SKI11" s="120"/>
      <c r="SKJ11" s="120"/>
      <c r="SKK11" s="120"/>
      <c r="SKL11" s="120"/>
      <c r="SKM11" s="120"/>
      <c r="SKN11" s="120"/>
      <c r="SKO11" s="120"/>
      <c r="SKP11" s="120"/>
      <c r="SKQ11" s="120"/>
      <c r="SKR11" s="120"/>
      <c r="SKS11" s="120"/>
      <c r="SKT11" s="120"/>
      <c r="SKU11" s="120"/>
      <c r="SKV11" s="120"/>
      <c r="SKW11" s="120"/>
      <c r="SKX11" s="120"/>
      <c r="SKY11" s="120"/>
      <c r="SKZ11" s="120"/>
      <c r="SLA11" s="120"/>
      <c r="SLB11" s="120"/>
      <c r="SLC11" s="120"/>
      <c r="SLD11" s="120"/>
      <c r="SLE11" s="120"/>
      <c r="SLF11" s="120"/>
      <c r="SLG11" s="120"/>
      <c r="SLH11" s="120"/>
      <c r="SLI11" s="120"/>
      <c r="SLJ11" s="120"/>
      <c r="SLK11" s="120"/>
      <c r="SLL11" s="120"/>
      <c r="SLM11" s="120"/>
      <c r="SLN11" s="120"/>
      <c r="SLO11" s="120"/>
      <c r="SLP11" s="120"/>
      <c r="SLQ11" s="120"/>
      <c r="SLR11" s="120"/>
      <c r="SLS11" s="120"/>
      <c r="SLT11" s="120"/>
      <c r="SLU11" s="120"/>
      <c r="SLV11" s="120"/>
      <c r="SLW11" s="120"/>
      <c r="SLX11" s="120"/>
      <c r="SLY11" s="120"/>
      <c r="SLZ11" s="120"/>
      <c r="SMA11" s="120"/>
      <c r="SMB11" s="120"/>
      <c r="SMC11" s="120"/>
      <c r="SMD11" s="120"/>
      <c r="SME11" s="120"/>
      <c r="SMF11" s="120"/>
      <c r="SMG11" s="120"/>
      <c r="SMH11" s="120"/>
      <c r="SMI11" s="120"/>
      <c r="SMJ11" s="120"/>
      <c r="SMK11" s="120"/>
      <c r="SML11" s="120"/>
      <c r="SMM11" s="120"/>
      <c r="SMN11" s="120"/>
      <c r="SMO11" s="120"/>
      <c r="SMP11" s="120"/>
      <c r="SMQ11" s="120"/>
      <c r="SMR11" s="120"/>
      <c r="SMS11" s="120"/>
      <c r="SMT11" s="120"/>
      <c r="SMU11" s="120"/>
      <c r="SMV11" s="120"/>
      <c r="SMW11" s="120"/>
      <c r="SMX11" s="120"/>
      <c r="SMY11" s="120"/>
      <c r="SMZ11" s="120"/>
      <c r="SNA11" s="120"/>
      <c r="SNB11" s="120"/>
      <c r="SNC11" s="120"/>
      <c r="SND11" s="120"/>
      <c r="SNE11" s="120"/>
      <c r="SNF11" s="120"/>
      <c r="SNG11" s="120"/>
      <c r="SNH11" s="120"/>
      <c r="SNI11" s="120"/>
      <c r="SNJ11" s="120"/>
      <c r="SNK11" s="120"/>
      <c r="SNL11" s="120"/>
      <c r="SNM11" s="120"/>
      <c r="SNN11" s="120"/>
      <c r="SNO11" s="120"/>
      <c r="SNP11" s="120"/>
      <c r="SNQ11" s="120"/>
      <c r="SNR11" s="120"/>
      <c r="SNS11" s="120"/>
      <c r="SNT11" s="120"/>
      <c r="SNU11" s="120"/>
      <c r="SNV11" s="120"/>
      <c r="SNW11" s="120"/>
      <c r="SNX11" s="120"/>
      <c r="SNY11" s="120"/>
      <c r="SNZ11" s="120"/>
      <c r="SOA11" s="120"/>
      <c r="SOB11" s="120"/>
      <c r="SOC11" s="120"/>
      <c r="SOD11" s="120"/>
      <c r="SOE11" s="120"/>
      <c r="SOF11" s="120"/>
      <c r="SOG11" s="120"/>
      <c r="SOH11" s="120"/>
      <c r="SOI11" s="120"/>
      <c r="SOJ11" s="120"/>
      <c r="SOK11" s="120"/>
      <c r="SOL11" s="120"/>
      <c r="SOM11" s="120"/>
      <c r="SON11" s="120"/>
      <c r="SOO11" s="120"/>
      <c r="SOP11" s="120"/>
      <c r="SOQ11" s="120"/>
      <c r="SOR11" s="120"/>
      <c r="SOS11" s="120"/>
      <c r="SOT11" s="120"/>
      <c r="SOU11" s="120"/>
      <c r="SOV11" s="120"/>
      <c r="SOW11" s="120"/>
      <c r="SOX11" s="120"/>
      <c r="SOY11" s="120"/>
      <c r="SOZ11" s="120"/>
      <c r="SPA11" s="120"/>
      <c r="SPB11" s="120"/>
      <c r="SPC11" s="120"/>
      <c r="SPD11" s="120"/>
      <c r="SPE11" s="120"/>
      <c r="SPF11" s="120"/>
      <c r="SPG11" s="120"/>
      <c r="SPH11" s="120"/>
      <c r="SPI11" s="120"/>
      <c r="SPJ11" s="120"/>
      <c r="SPK11" s="120"/>
      <c r="SPL11" s="120"/>
      <c r="SPM11" s="120"/>
      <c r="SPN11" s="120"/>
      <c r="SPO11" s="120"/>
      <c r="SPP11" s="120"/>
      <c r="SPQ11" s="120"/>
      <c r="SPR11" s="120"/>
      <c r="SPS11" s="120"/>
      <c r="SPT11" s="120"/>
      <c r="SPU11" s="120"/>
      <c r="SPV11" s="120"/>
      <c r="SPW11" s="120"/>
      <c r="SPX11" s="120"/>
      <c r="SPY11" s="120"/>
      <c r="SPZ11" s="120"/>
      <c r="SQA11" s="120"/>
      <c r="SQB11" s="120"/>
      <c r="SQC11" s="120"/>
      <c r="SQD11" s="120"/>
      <c r="SQE11" s="120"/>
      <c r="SQF11" s="120"/>
      <c r="SQG11" s="120"/>
      <c r="SQH11" s="120"/>
      <c r="SQI11" s="120"/>
      <c r="SQJ11" s="120"/>
      <c r="SQK11" s="120"/>
      <c r="SQL11" s="120"/>
      <c r="SQM11" s="120"/>
      <c r="SQN11" s="120"/>
      <c r="SQO11" s="120"/>
      <c r="SQP11" s="120"/>
      <c r="SQQ11" s="120"/>
      <c r="SQR11" s="120"/>
      <c r="SQS11" s="120"/>
      <c r="SQT11" s="120"/>
      <c r="SQU11" s="120"/>
      <c r="SQV11" s="120"/>
      <c r="SQW11" s="120"/>
      <c r="SQX11" s="120"/>
      <c r="SQY11" s="120"/>
      <c r="SQZ11" s="120"/>
      <c r="SRA11" s="120"/>
      <c r="SRB11" s="120"/>
      <c r="SRC11" s="120"/>
      <c r="SRD11" s="120"/>
      <c r="SRE11" s="120"/>
      <c r="SRF11" s="120"/>
      <c r="SRG11" s="120"/>
      <c r="SRH11" s="120"/>
      <c r="SRI11" s="120"/>
      <c r="SRJ11" s="120"/>
      <c r="SRK11" s="120"/>
      <c r="SRL11" s="120"/>
      <c r="SRM11" s="120"/>
      <c r="SRN11" s="120"/>
      <c r="SRO11" s="120"/>
      <c r="SRP11" s="120"/>
      <c r="SRQ11" s="120"/>
      <c r="SRR11" s="120"/>
      <c r="SRS11" s="120"/>
      <c r="SRT11" s="120"/>
      <c r="SRU11" s="120"/>
      <c r="SRV11" s="120"/>
      <c r="SRW11" s="120"/>
      <c r="SRX11" s="120"/>
      <c r="SRY11" s="120"/>
      <c r="SRZ11" s="120"/>
      <c r="SSA11" s="120"/>
      <c r="SSB11" s="120"/>
      <c r="SSC11" s="120"/>
      <c r="SSD11" s="120"/>
      <c r="SSE11" s="120"/>
      <c r="SSF11" s="120"/>
      <c r="SSG11" s="120"/>
      <c r="SSH11" s="120"/>
      <c r="SSI11" s="120"/>
      <c r="SSJ11" s="120"/>
      <c r="SSK11" s="120"/>
      <c r="SSL11" s="120"/>
      <c r="SSM11" s="120"/>
      <c r="SSN11" s="120"/>
      <c r="SSO11" s="120"/>
      <c r="SSP11" s="120"/>
      <c r="SSQ11" s="120"/>
      <c r="SSR11" s="120"/>
      <c r="SSS11" s="120"/>
      <c r="SST11" s="120"/>
      <c r="SSU11" s="120"/>
      <c r="SSV11" s="120"/>
      <c r="SSW11" s="120"/>
      <c r="SSX11" s="120"/>
      <c r="SSY11" s="120"/>
      <c r="SSZ11" s="120"/>
      <c r="STA11" s="120"/>
      <c r="STB11" s="120"/>
      <c r="STC11" s="120"/>
      <c r="STD11" s="120"/>
      <c r="STE11" s="120"/>
      <c r="STF11" s="120"/>
      <c r="STG11" s="120"/>
      <c r="STH11" s="120"/>
      <c r="STI11" s="120"/>
      <c r="STJ11" s="120"/>
      <c r="STK11" s="120"/>
      <c r="STL11" s="120"/>
      <c r="STM11" s="120"/>
      <c r="STN11" s="120"/>
      <c r="STO11" s="120"/>
      <c r="STP11" s="120"/>
      <c r="STQ11" s="120"/>
      <c r="STR11" s="120"/>
      <c r="STS11" s="120"/>
      <c r="STT11" s="120"/>
      <c r="STU11" s="120"/>
      <c r="STV11" s="120"/>
      <c r="STW11" s="120"/>
      <c r="STX11" s="120"/>
      <c r="STY11" s="120"/>
      <c r="STZ11" s="120"/>
      <c r="SUA11" s="120"/>
      <c r="SUB11" s="120"/>
      <c r="SUC11" s="120"/>
      <c r="SUD11" s="120"/>
      <c r="SUE11" s="120"/>
      <c r="SUF11" s="120"/>
      <c r="SUG11" s="120"/>
      <c r="SUH11" s="120"/>
      <c r="SUI11" s="120"/>
      <c r="SUJ11" s="120"/>
      <c r="SUK11" s="120"/>
      <c r="SUL11" s="120"/>
      <c r="SUM11" s="120"/>
      <c r="SUN11" s="120"/>
      <c r="SUO11" s="120"/>
      <c r="SUP11" s="120"/>
      <c r="SUQ11" s="120"/>
      <c r="SUR11" s="120"/>
      <c r="SUS11" s="120"/>
      <c r="SUT11" s="120"/>
      <c r="SUU11" s="120"/>
      <c r="SUV11" s="120"/>
      <c r="SUW11" s="120"/>
      <c r="SUX11" s="120"/>
      <c r="SUY11" s="120"/>
      <c r="SUZ11" s="120"/>
      <c r="SVA11" s="120"/>
      <c r="SVB11" s="120"/>
      <c r="SVC11" s="120"/>
      <c r="SVD11" s="120"/>
      <c r="SVE11" s="120"/>
      <c r="SVF11" s="120"/>
      <c r="SVG11" s="120"/>
      <c r="SVH11" s="120"/>
      <c r="SVI11" s="120"/>
      <c r="SVJ11" s="120"/>
      <c r="SVK11" s="120"/>
      <c r="SVL11" s="120"/>
      <c r="SVM11" s="120"/>
      <c r="SVN11" s="120"/>
      <c r="SVO11" s="120"/>
      <c r="SVP11" s="120"/>
      <c r="SVQ11" s="120"/>
      <c r="SVR11" s="120"/>
      <c r="SVS11" s="120"/>
      <c r="SVT11" s="120"/>
      <c r="SVU11" s="120"/>
      <c r="SVV11" s="120"/>
      <c r="SVW11" s="120"/>
      <c r="SVX11" s="120"/>
      <c r="SVY11" s="120"/>
      <c r="SVZ11" s="120"/>
      <c r="SWA11" s="120"/>
      <c r="SWB11" s="120"/>
      <c r="SWC11" s="120"/>
      <c r="SWD11" s="120"/>
      <c r="SWE11" s="120"/>
      <c r="SWF11" s="120"/>
      <c r="SWG11" s="120"/>
      <c r="SWH11" s="120"/>
      <c r="SWI11" s="120"/>
      <c r="SWJ11" s="120"/>
      <c r="SWK11" s="120"/>
      <c r="SWL11" s="120"/>
      <c r="SWM11" s="120"/>
      <c r="SWN11" s="120"/>
      <c r="SWO11" s="120"/>
      <c r="SWP11" s="120"/>
      <c r="SWQ11" s="120"/>
      <c r="SWR11" s="120"/>
      <c r="SWS11" s="120"/>
      <c r="SWT11" s="120"/>
      <c r="SWU11" s="120"/>
      <c r="SWV11" s="120"/>
      <c r="SWW11" s="120"/>
      <c r="SWX11" s="120"/>
      <c r="SWY11" s="120"/>
      <c r="SWZ11" s="120"/>
      <c r="SXA11" s="120"/>
      <c r="SXB11" s="120"/>
      <c r="SXC11" s="120"/>
      <c r="SXD11" s="120"/>
      <c r="SXE11" s="120"/>
      <c r="SXF11" s="120"/>
      <c r="SXG11" s="120"/>
      <c r="SXH11" s="120"/>
      <c r="SXI11" s="120"/>
      <c r="SXJ11" s="120"/>
      <c r="SXK11" s="120"/>
      <c r="SXL11" s="120"/>
      <c r="SXM11" s="120"/>
      <c r="SXN11" s="120"/>
      <c r="SXO11" s="120"/>
      <c r="SXP11" s="120"/>
      <c r="SXQ11" s="120"/>
      <c r="SXR11" s="120"/>
      <c r="SXS11" s="120"/>
      <c r="SXT11" s="120"/>
      <c r="SXU11" s="120"/>
      <c r="SXV11" s="120"/>
      <c r="SXW11" s="120"/>
      <c r="SXX11" s="120"/>
      <c r="SXY11" s="120"/>
      <c r="SXZ11" s="120"/>
      <c r="SYA11" s="120"/>
      <c r="SYB11" s="120"/>
      <c r="SYC11" s="120"/>
      <c r="SYD11" s="120"/>
      <c r="SYE11" s="120"/>
      <c r="SYF11" s="120"/>
      <c r="SYG11" s="120"/>
      <c r="SYH11" s="120"/>
      <c r="SYI11" s="120"/>
      <c r="SYJ11" s="120"/>
      <c r="SYK11" s="120"/>
      <c r="SYL11" s="120"/>
      <c r="SYM11" s="120"/>
      <c r="SYN11" s="120"/>
      <c r="SYO11" s="120"/>
      <c r="SYP11" s="120"/>
      <c r="SYQ11" s="120"/>
      <c r="SYR11" s="120"/>
      <c r="SYS11" s="120"/>
      <c r="SYT11" s="120"/>
      <c r="SYU11" s="120"/>
      <c r="SYV11" s="120"/>
      <c r="SYW11" s="120"/>
      <c r="SYX11" s="120"/>
      <c r="SYY11" s="120"/>
      <c r="SYZ11" s="120"/>
      <c r="SZA11" s="120"/>
      <c r="SZB11" s="120"/>
      <c r="SZC11" s="120"/>
      <c r="SZD11" s="120"/>
      <c r="SZE11" s="120"/>
      <c r="SZF11" s="120"/>
      <c r="SZG11" s="120"/>
      <c r="SZH11" s="120"/>
      <c r="SZI11" s="120"/>
      <c r="SZJ11" s="120"/>
      <c r="SZK11" s="120"/>
      <c r="SZL11" s="120"/>
      <c r="SZM11" s="120"/>
      <c r="SZN11" s="120"/>
      <c r="SZO11" s="120"/>
      <c r="SZP11" s="120"/>
      <c r="SZQ11" s="120"/>
      <c r="SZR11" s="120"/>
      <c r="SZS11" s="120"/>
      <c r="SZT11" s="120"/>
      <c r="SZU11" s="120"/>
      <c r="SZV11" s="120"/>
      <c r="SZW11" s="120"/>
      <c r="SZX11" s="120"/>
      <c r="SZY11" s="120"/>
      <c r="SZZ11" s="120"/>
      <c r="TAA11" s="120"/>
      <c r="TAB11" s="120"/>
      <c r="TAC11" s="120"/>
      <c r="TAD11" s="120"/>
      <c r="TAE11" s="120"/>
      <c r="TAF11" s="120"/>
      <c r="TAG11" s="120"/>
      <c r="TAH11" s="120"/>
      <c r="TAI11" s="120"/>
      <c r="TAJ11" s="120"/>
      <c r="TAK11" s="120"/>
      <c r="TAL11" s="120"/>
      <c r="TAM11" s="120"/>
      <c r="TAN11" s="120"/>
      <c r="TAO11" s="120"/>
      <c r="TAP11" s="120"/>
      <c r="TAQ11" s="120"/>
      <c r="TAR11" s="120"/>
      <c r="TAS11" s="120"/>
      <c r="TAT11" s="120"/>
      <c r="TAU11" s="120"/>
      <c r="TAV11" s="120"/>
      <c r="TAW11" s="120"/>
      <c r="TAX11" s="120"/>
      <c r="TAY11" s="120"/>
      <c r="TAZ11" s="120"/>
      <c r="TBA11" s="120"/>
      <c r="TBB11" s="120"/>
      <c r="TBC11" s="120"/>
      <c r="TBD11" s="120"/>
      <c r="TBE11" s="120"/>
      <c r="TBF11" s="120"/>
      <c r="TBG11" s="120"/>
      <c r="TBH11" s="120"/>
      <c r="TBI11" s="120"/>
      <c r="TBJ11" s="120"/>
      <c r="TBK11" s="120"/>
      <c r="TBL11" s="120"/>
      <c r="TBM11" s="120"/>
      <c r="TBN11" s="120"/>
      <c r="TBO11" s="120"/>
      <c r="TBP11" s="120"/>
      <c r="TBQ11" s="120"/>
      <c r="TBR11" s="120"/>
      <c r="TBS11" s="120"/>
      <c r="TBT11" s="120"/>
      <c r="TBU11" s="120"/>
      <c r="TBV11" s="120"/>
      <c r="TBW11" s="120"/>
      <c r="TBX11" s="120"/>
      <c r="TBY11" s="120"/>
      <c r="TBZ11" s="120"/>
      <c r="TCA11" s="120"/>
      <c r="TCB11" s="120"/>
      <c r="TCC11" s="120"/>
      <c r="TCD11" s="120"/>
      <c r="TCE11" s="120"/>
      <c r="TCF11" s="120"/>
      <c r="TCG11" s="120"/>
      <c r="TCH11" s="120"/>
      <c r="TCI11" s="120"/>
      <c r="TCJ11" s="120"/>
      <c r="TCK11" s="120"/>
      <c r="TCL11" s="120"/>
      <c r="TCM11" s="120"/>
      <c r="TCN11" s="120"/>
      <c r="TCO11" s="120"/>
      <c r="TCP11" s="120"/>
      <c r="TCQ11" s="120"/>
      <c r="TCR11" s="120"/>
      <c r="TCS11" s="120"/>
      <c r="TCT11" s="120"/>
      <c r="TCU11" s="120"/>
      <c r="TCV11" s="120"/>
      <c r="TCW11" s="120"/>
      <c r="TCX11" s="120"/>
      <c r="TCY11" s="120"/>
      <c r="TCZ11" s="120"/>
      <c r="TDA11" s="120"/>
      <c r="TDB11" s="120"/>
      <c r="TDC11" s="120"/>
      <c r="TDD11" s="120"/>
      <c r="TDE11" s="120"/>
      <c r="TDF11" s="120"/>
      <c r="TDG11" s="120"/>
      <c r="TDH11" s="120"/>
      <c r="TDI11" s="120"/>
      <c r="TDJ11" s="120"/>
      <c r="TDK11" s="120"/>
      <c r="TDL11" s="120"/>
      <c r="TDM11" s="120"/>
      <c r="TDN11" s="120"/>
      <c r="TDO11" s="120"/>
      <c r="TDP11" s="120"/>
      <c r="TDQ11" s="120"/>
      <c r="TDR11" s="120"/>
      <c r="TDS11" s="120"/>
      <c r="TDT11" s="120"/>
      <c r="TDU11" s="120"/>
      <c r="TDV11" s="120"/>
      <c r="TDW11" s="120"/>
      <c r="TDX11" s="120"/>
      <c r="TDY11" s="120"/>
      <c r="TDZ11" s="120"/>
      <c r="TEA11" s="120"/>
      <c r="TEB11" s="120"/>
      <c r="TEC11" s="120"/>
      <c r="TED11" s="120"/>
      <c r="TEE11" s="120"/>
      <c r="TEF11" s="120"/>
      <c r="TEG11" s="120"/>
      <c r="TEH11" s="120"/>
      <c r="TEI11" s="120"/>
      <c r="TEJ11" s="120"/>
      <c r="TEK11" s="120"/>
      <c r="TEL11" s="120"/>
      <c r="TEM11" s="120"/>
      <c r="TEN11" s="120"/>
      <c r="TEO11" s="120"/>
      <c r="TEP11" s="120"/>
      <c r="TEQ11" s="120"/>
      <c r="TER11" s="120"/>
      <c r="TES11" s="120"/>
      <c r="TET11" s="120"/>
      <c r="TEU11" s="120"/>
      <c r="TEV11" s="120"/>
      <c r="TEW11" s="120"/>
      <c r="TEX11" s="120"/>
      <c r="TEY11" s="120"/>
      <c r="TEZ11" s="120"/>
      <c r="TFA11" s="120"/>
      <c r="TFB11" s="120"/>
      <c r="TFC11" s="120"/>
      <c r="TFD11" s="120"/>
      <c r="TFE11" s="120"/>
      <c r="TFF11" s="120"/>
      <c r="TFG11" s="120"/>
      <c r="TFH11" s="120"/>
      <c r="TFI11" s="120"/>
      <c r="TFJ11" s="120"/>
      <c r="TFK11" s="120"/>
      <c r="TFL11" s="120"/>
      <c r="TFM11" s="120"/>
      <c r="TFN11" s="120"/>
      <c r="TFO11" s="120"/>
      <c r="TFP11" s="120"/>
      <c r="TFQ11" s="120"/>
      <c r="TFR11" s="120"/>
      <c r="TFS11" s="120"/>
      <c r="TFT11" s="120"/>
      <c r="TFU11" s="120"/>
      <c r="TFV11" s="120"/>
      <c r="TFW11" s="120"/>
      <c r="TFX11" s="120"/>
      <c r="TFY11" s="120"/>
      <c r="TFZ11" s="120"/>
      <c r="TGA11" s="120"/>
      <c r="TGB11" s="120"/>
      <c r="TGC11" s="120"/>
      <c r="TGD11" s="120"/>
      <c r="TGE11" s="120"/>
      <c r="TGF11" s="120"/>
      <c r="TGG11" s="120"/>
      <c r="TGH11" s="120"/>
      <c r="TGI11" s="120"/>
      <c r="TGJ11" s="120"/>
      <c r="TGK11" s="120"/>
      <c r="TGL11" s="120"/>
      <c r="TGM11" s="120"/>
      <c r="TGN11" s="120"/>
      <c r="TGO11" s="120"/>
      <c r="TGP11" s="120"/>
      <c r="TGQ11" s="120"/>
      <c r="TGR11" s="120"/>
      <c r="TGS11" s="120"/>
      <c r="TGT11" s="120"/>
      <c r="TGU11" s="120"/>
      <c r="TGV11" s="120"/>
      <c r="TGW11" s="120"/>
      <c r="TGX11" s="120"/>
      <c r="TGY11" s="120"/>
      <c r="TGZ11" s="120"/>
      <c r="THA11" s="120"/>
      <c r="THB11" s="120"/>
      <c r="THC11" s="120"/>
      <c r="THD11" s="120"/>
      <c r="THE11" s="120"/>
      <c r="THF11" s="120"/>
      <c r="THG11" s="120"/>
      <c r="THH11" s="120"/>
      <c r="THI11" s="120"/>
      <c r="THJ11" s="120"/>
      <c r="THK11" s="120"/>
      <c r="THL11" s="120"/>
      <c r="THM11" s="120"/>
      <c r="THN11" s="120"/>
      <c r="THO11" s="120"/>
      <c r="THP11" s="120"/>
      <c r="THQ11" s="120"/>
      <c r="THR11" s="120"/>
      <c r="THS11" s="120"/>
      <c r="THT11" s="120"/>
      <c r="THU11" s="120"/>
      <c r="THV11" s="120"/>
      <c r="THW11" s="120"/>
      <c r="THX11" s="120"/>
      <c r="THY11" s="120"/>
      <c r="THZ11" s="120"/>
      <c r="TIA11" s="120"/>
      <c r="TIB11" s="120"/>
      <c r="TIC11" s="120"/>
      <c r="TID11" s="120"/>
      <c r="TIE11" s="120"/>
      <c r="TIF11" s="120"/>
      <c r="TIG11" s="120"/>
      <c r="TIH11" s="120"/>
      <c r="TII11" s="120"/>
      <c r="TIJ11" s="120"/>
      <c r="TIK11" s="120"/>
      <c r="TIL11" s="120"/>
      <c r="TIM11" s="120"/>
      <c r="TIN11" s="120"/>
      <c r="TIO11" s="120"/>
      <c r="TIP11" s="120"/>
      <c r="TIQ11" s="120"/>
      <c r="TIR11" s="120"/>
      <c r="TIS11" s="120"/>
      <c r="TIT11" s="120"/>
      <c r="TIU11" s="120"/>
      <c r="TIV11" s="120"/>
      <c r="TIW11" s="120"/>
      <c r="TIX11" s="120"/>
      <c r="TIY11" s="120"/>
      <c r="TIZ11" s="120"/>
      <c r="TJA11" s="120"/>
      <c r="TJB11" s="120"/>
      <c r="TJC11" s="120"/>
      <c r="TJD11" s="120"/>
      <c r="TJE11" s="120"/>
      <c r="TJF11" s="120"/>
      <c r="TJG11" s="120"/>
      <c r="TJH11" s="120"/>
      <c r="TJI11" s="120"/>
      <c r="TJJ11" s="120"/>
      <c r="TJK11" s="120"/>
      <c r="TJL11" s="120"/>
      <c r="TJM11" s="120"/>
      <c r="TJN11" s="120"/>
      <c r="TJO11" s="120"/>
      <c r="TJP11" s="120"/>
      <c r="TJQ11" s="120"/>
      <c r="TJR11" s="120"/>
      <c r="TJS11" s="120"/>
      <c r="TJT11" s="120"/>
      <c r="TJU11" s="120"/>
      <c r="TJV11" s="120"/>
      <c r="TJW11" s="120"/>
      <c r="TJX11" s="120"/>
      <c r="TJY11" s="120"/>
      <c r="TJZ11" s="120"/>
      <c r="TKA11" s="120"/>
      <c r="TKB11" s="120"/>
      <c r="TKC11" s="120"/>
      <c r="TKD11" s="120"/>
      <c r="TKE11" s="120"/>
      <c r="TKF11" s="120"/>
      <c r="TKG11" s="120"/>
      <c r="TKH11" s="120"/>
      <c r="TKI11" s="120"/>
      <c r="TKJ11" s="120"/>
      <c r="TKK11" s="120"/>
      <c r="TKL11" s="120"/>
      <c r="TKM11" s="120"/>
      <c r="TKN11" s="120"/>
      <c r="TKO11" s="120"/>
      <c r="TKP11" s="120"/>
      <c r="TKQ11" s="120"/>
      <c r="TKR11" s="120"/>
      <c r="TKS11" s="120"/>
      <c r="TKT11" s="120"/>
      <c r="TKU11" s="120"/>
      <c r="TKV11" s="120"/>
      <c r="TKW11" s="120"/>
      <c r="TKX11" s="120"/>
      <c r="TKY11" s="120"/>
      <c r="TKZ11" s="120"/>
      <c r="TLA11" s="120"/>
      <c r="TLB11" s="120"/>
      <c r="TLC11" s="120"/>
      <c r="TLD11" s="120"/>
      <c r="TLE11" s="120"/>
      <c r="TLF11" s="120"/>
      <c r="TLG11" s="120"/>
      <c r="TLH11" s="120"/>
      <c r="TLI11" s="120"/>
      <c r="TLJ11" s="120"/>
      <c r="TLK11" s="120"/>
      <c r="TLL11" s="120"/>
      <c r="TLM11" s="120"/>
      <c r="TLN11" s="120"/>
      <c r="TLO11" s="120"/>
      <c r="TLP11" s="120"/>
      <c r="TLQ11" s="120"/>
      <c r="TLR11" s="120"/>
      <c r="TLS11" s="120"/>
      <c r="TLT11" s="120"/>
      <c r="TLU11" s="120"/>
      <c r="TLV11" s="120"/>
      <c r="TLW11" s="120"/>
      <c r="TLX11" s="120"/>
      <c r="TLY11" s="120"/>
      <c r="TLZ11" s="120"/>
      <c r="TMA11" s="120"/>
      <c r="TMB11" s="120"/>
      <c r="TMC11" s="120"/>
      <c r="TMD11" s="120"/>
      <c r="TME11" s="120"/>
      <c r="TMF11" s="120"/>
      <c r="TMG11" s="120"/>
      <c r="TMH11" s="120"/>
      <c r="TMI11" s="120"/>
      <c r="TMJ11" s="120"/>
      <c r="TMK11" s="120"/>
      <c r="TML11" s="120"/>
      <c r="TMM11" s="120"/>
      <c r="TMN11" s="120"/>
      <c r="TMO11" s="120"/>
      <c r="TMP11" s="120"/>
      <c r="TMQ11" s="120"/>
      <c r="TMR11" s="120"/>
      <c r="TMS11" s="120"/>
      <c r="TMT11" s="120"/>
      <c r="TMU11" s="120"/>
      <c r="TMV11" s="120"/>
      <c r="TMW11" s="120"/>
      <c r="TMX11" s="120"/>
      <c r="TMY11" s="120"/>
      <c r="TMZ11" s="120"/>
      <c r="TNA11" s="120"/>
      <c r="TNB11" s="120"/>
      <c r="TNC11" s="120"/>
      <c r="TND11" s="120"/>
      <c r="TNE11" s="120"/>
      <c r="TNF11" s="120"/>
      <c r="TNG11" s="120"/>
      <c r="TNH11" s="120"/>
      <c r="TNI11" s="120"/>
      <c r="TNJ11" s="120"/>
      <c r="TNK11" s="120"/>
      <c r="TNL11" s="120"/>
      <c r="TNM11" s="120"/>
      <c r="TNN11" s="120"/>
      <c r="TNO11" s="120"/>
      <c r="TNP11" s="120"/>
      <c r="TNQ11" s="120"/>
      <c r="TNR11" s="120"/>
      <c r="TNS11" s="120"/>
      <c r="TNT11" s="120"/>
      <c r="TNU11" s="120"/>
      <c r="TNV11" s="120"/>
      <c r="TNW11" s="120"/>
      <c r="TNX11" s="120"/>
      <c r="TNY11" s="120"/>
      <c r="TNZ11" s="120"/>
      <c r="TOA11" s="120"/>
      <c r="TOB11" s="120"/>
      <c r="TOC11" s="120"/>
      <c r="TOD11" s="120"/>
      <c r="TOE11" s="120"/>
      <c r="TOF11" s="120"/>
      <c r="TOG11" s="120"/>
      <c r="TOH11" s="120"/>
      <c r="TOI11" s="120"/>
      <c r="TOJ11" s="120"/>
      <c r="TOK11" s="120"/>
      <c r="TOL11" s="120"/>
      <c r="TOM11" s="120"/>
      <c r="TON11" s="120"/>
      <c r="TOO11" s="120"/>
      <c r="TOP11" s="120"/>
      <c r="TOQ11" s="120"/>
      <c r="TOR11" s="120"/>
      <c r="TOS11" s="120"/>
      <c r="TOT11" s="120"/>
      <c r="TOU11" s="120"/>
      <c r="TOV11" s="120"/>
      <c r="TOW11" s="120"/>
      <c r="TOX11" s="120"/>
      <c r="TOY11" s="120"/>
      <c r="TOZ11" s="120"/>
      <c r="TPA11" s="120"/>
      <c r="TPB11" s="120"/>
      <c r="TPC11" s="120"/>
      <c r="TPD11" s="120"/>
      <c r="TPE11" s="120"/>
      <c r="TPF11" s="120"/>
      <c r="TPG11" s="120"/>
      <c r="TPH11" s="120"/>
      <c r="TPI11" s="120"/>
      <c r="TPJ11" s="120"/>
      <c r="TPK11" s="120"/>
      <c r="TPL11" s="120"/>
      <c r="TPM11" s="120"/>
      <c r="TPN11" s="120"/>
      <c r="TPO11" s="120"/>
      <c r="TPP11" s="120"/>
      <c r="TPQ11" s="120"/>
      <c r="TPR11" s="120"/>
      <c r="TPS11" s="120"/>
      <c r="TPT11" s="120"/>
      <c r="TPU11" s="120"/>
      <c r="TPV11" s="120"/>
      <c r="TPW11" s="120"/>
      <c r="TPX11" s="120"/>
      <c r="TPY11" s="120"/>
      <c r="TPZ11" s="120"/>
      <c r="TQA11" s="120"/>
      <c r="TQB11" s="120"/>
      <c r="TQC11" s="120"/>
      <c r="TQD11" s="120"/>
      <c r="TQE11" s="120"/>
      <c r="TQF11" s="120"/>
      <c r="TQG11" s="120"/>
      <c r="TQH11" s="120"/>
      <c r="TQI11" s="120"/>
      <c r="TQJ11" s="120"/>
      <c r="TQK11" s="120"/>
      <c r="TQL11" s="120"/>
      <c r="TQM11" s="120"/>
      <c r="TQN11" s="120"/>
      <c r="TQO11" s="120"/>
      <c r="TQP11" s="120"/>
      <c r="TQQ11" s="120"/>
      <c r="TQR11" s="120"/>
      <c r="TQS11" s="120"/>
      <c r="TQT11" s="120"/>
      <c r="TQU11" s="120"/>
      <c r="TQV11" s="120"/>
      <c r="TQW11" s="120"/>
      <c r="TQX11" s="120"/>
      <c r="TQY11" s="120"/>
      <c r="TQZ11" s="120"/>
      <c r="TRA11" s="120"/>
      <c r="TRB11" s="120"/>
      <c r="TRC11" s="120"/>
      <c r="TRD11" s="120"/>
      <c r="TRE11" s="120"/>
      <c r="TRF11" s="120"/>
      <c r="TRG11" s="120"/>
      <c r="TRH11" s="120"/>
      <c r="TRI11" s="120"/>
      <c r="TRJ11" s="120"/>
      <c r="TRK11" s="120"/>
      <c r="TRL11" s="120"/>
      <c r="TRM11" s="120"/>
      <c r="TRN11" s="120"/>
      <c r="TRO11" s="120"/>
      <c r="TRP11" s="120"/>
      <c r="TRQ11" s="120"/>
      <c r="TRR11" s="120"/>
      <c r="TRS11" s="120"/>
      <c r="TRT11" s="120"/>
      <c r="TRU11" s="120"/>
      <c r="TRV11" s="120"/>
      <c r="TRW11" s="120"/>
      <c r="TRX11" s="120"/>
      <c r="TRY11" s="120"/>
      <c r="TRZ11" s="120"/>
      <c r="TSA11" s="120"/>
      <c r="TSB11" s="120"/>
      <c r="TSC11" s="120"/>
      <c r="TSD11" s="120"/>
      <c r="TSE11" s="120"/>
      <c r="TSF11" s="120"/>
      <c r="TSG11" s="120"/>
      <c r="TSH11" s="120"/>
      <c r="TSI11" s="120"/>
      <c r="TSJ11" s="120"/>
      <c r="TSK11" s="120"/>
      <c r="TSL11" s="120"/>
      <c r="TSM11" s="120"/>
      <c r="TSN11" s="120"/>
      <c r="TSO11" s="120"/>
      <c r="TSP11" s="120"/>
      <c r="TSQ11" s="120"/>
      <c r="TSR11" s="120"/>
      <c r="TSS11" s="120"/>
      <c r="TST11" s="120"/>
      <c r="TSU11" s="120"/>
      <c r="TSV11" s="120"/>
      <c r="TSW11" s="120"/>
      <c r="TSX11" s="120"/>
      <c r="TSY11" s="120"/>
      <c r="TSZ11" s="120"/>
      <c r="TTA11" s="120"/>
      <c r="TTB11" s="120"/>
      <c r="TTC11" s="120"/>
      <c r="TTD11" s="120"/>
      <c r="TTE11" s="120"/>
      <c r="TTF11" s="120"/>
      <c r="TTG11" s="120"/>
      <c r="TTH11" s="120"/>
      <c r="TTI11" s="120"/>
      <c r="TTJ11" s="120"/>
      <c r="TTK11" s="120"/>
      <c r="TTL11" s="120"/>
      <c r="TTM11" s="120"/>
      <c r="TTN11" s="120"/>
      <c r="TTO11" s="120"/>
      <c r="TTP11" s="120"/>
      <c r="TTQ11" s="120"/>
      <c r="TTR11" s="120"/>
      <c r="TTS11" s="120"/>
      <c r="TTT11" s="120"/>
      <c r="TTU11" s="120"/>
      <c r="TTV11" s="120"/>
      <c r="TTW11" s="120"/>
      <c r="TTX11" s="120"/>
      <c r="TTY11" s="120"/>
      <c r="TTZ11" s="120"/>
      <c r="TUA11" s="120"/>
      <c r="TUB11" s="120"/>
      <c r="TUC11" s="120"/>
      <c r="TUD11" s="120"/>
      <c r="TUE11" s="120"/>
      <c r="TUF11" s="120"/>
      <c r="TUG11" s="120"/>
      <c r="TUH11" s="120"/>
      <c r="TUI11" s="120"/>
      <c r="TUJ11" s="120"/>
      <c r="TUK11" s="120"/>
      <c r="TUL11" s="120"/>
      <c r="TUM11" s="120"/>
      <c r="TUN11" s="120"/>
      <c r="TUO11" s="120"/>
      <c r="TUP11" s="120"/>
      <c r="TUQ11" s="120"/>
      <c r="TUR11" s="120"/>
      <c r="TUS11" s="120"/>
      <c r="TUT11" s="120"/>
      <c r="TUU11" s="120"/>
      <c r="TUV11" s="120"/>
      <c r="TUW11" s="120"/>
      <c r="TUX11" s="120"/>
      <c r="TUY11" s="120"/>
      <c r="TUZ11" s="120"/>
      <c r="TVA11" s="120"/>
      <c r="TVB11" s="120"/>
      <c r="TVC11" s="120"/>
      <c r="TVD11" s="120"/>
      <c r="TVE11" s="120"/>
      <c r="TVF11" s="120"/>
      <c r="TVG11" s="120"/>
      <c r="TVH11" s="120"/>
      <c r="TVI11" s="120"/>
      <c r="TVJ11" s="120"/>
      <c r="TVK11" s="120"/>
      <c r="TVL11" s="120"/>
      <c r="TVM11" s="120"/>
      <c r="TVN11" s="120"/>
      <c r="TVO11" s="120"/>
      <c r="TVP11" s="120"/>
      <c r="TVQ11" s="120"/>
      <c r="TVR11" s="120"/>
      <c r="TVS11" s="120"/>
      <c r="TVT11" s="120"/>
      <c r="TVU11" s="120"/>
      <c r="TVV11" s="120"/>
      <c r="TVW11" s="120"/>
      <c r="TVX11" s="120"/>
      <c r="TVY11" s="120"/>
      <c r="TVZ11" s="120"/>
      <c r="TWA11" s="120"/>
      <c r="TWB11" s="120"/>
      <c r="TWC11" s="120"/>
      <c r="TWD11" s="120"/>
      <c r="TWE11" s="120"/>
      <c r="TWF11" s="120"/>
      <c r="TWG11" s="120"/>
      <c r="TWH11" s="120"/>
      <c r="TWI11" s="120"/>
      <c r="TWJ11" s="120"/>
      <c r="TWK11" s="120"/>
      <c r="TWL11" s="120"/>
      <c r="TWM11" s="120"/>
      <c r="TWN11" s="120"/>
      <c r="TWO11" s="120"/>
      <c r="TWP11" s="120"/>
      <c r="TWQ11" s="120"/>
      <c r="TWR11" s="120"/>
      <c r="TWS11" s="120"/>
      <c r="TWT11" s="120"/>
      <c r="TWU11" s="120"/>
      <c r="TWV11" s="120"/>
      <c r="TWW11" s="120"/>
      <c r="TWX11" s="120"/>
      <c r="TWY11" s="120"/>
      <c r="TWZ11" s="120"/>
      <c r="TXA11" s="120"/>
      <c r="TXB11" s="120"/>
      <c r="TXC11" s="120"/>
      <c r="TXD11" s="120"/>
      <c r="TXE11" s="120"/>
      <c r="TXF11" s="120"/>
      <c r="TXG11" s="120"/>
      <c r="TXH11" s="120"/>
      <c r="TXI11" s="120"/>
      <c r="TXJ11" s="120"/>
      <c r="TXK11" s="120"/>
      <c r="TXL11" s="120"/>
      <c r="TXM11" s="120"/>
      <c r="TXN11" s="120"/>
      <c r="TXO11" s="120"/>
      <c r="TXP11" s="120"/>
      <c r="TXQ11" s="120"/>
      <c r="TXR11" s="120"/>
      <c r="TXS11" s="120"/>
      <c r="TXT11" s="120"/>
      <c r="TXU11" s="120"/>
      <c r="TXV11" s="120"/>
      <c r="TXW11" s="120"/>
      <c r="TXX11" s="120"/>
      <c r="TXY11" s="120"/>
      <c r="TXZ11" s="120"/>
      <c r="TYA11" s="120"/>
      <c r="TYB11" s="120"/>
      <c r="TYC11" s="120"/>
      <c r="TYD11" s="120"/>
      <c r="TYE11" s="120"/>
      <c r="TYF11" s="120"/>
      <c r="TYG11" s="120"/>
      <c r="TYH11" s="120"/>
      <c r="TYI11" s="120"/>
      <c r="TYJ11" s="120"/>
      <c r="TYK11" s="120"/>
      <c r="TYL11" s="120"/>
      <c r="TYM11" s="120"/>
      <c r="TYN11" s="120"/>
      <c r="TYO11" s="120"/>
      <c r="TYP11" s="120"/>
      <c r="TYQ11" s="120"/>
      <c r="TYR11" s="120"/>
      <c r="TYS11" s="120"/>
      <c r="TYT11" s="120"/>
      <c r="TYU11" s="120"/>
      <c r="TYV11" s="120"/>
      <c r="TYW11" s="120"/>
      <c r="TYX11" s="120"/>
      <c r="TYY11" s="120"/>
      <c r="TYZ11" s="120"/>
      <c r="TZA11" s="120"/>
      <c r="TZB11" s="120"/>
      <c r="TZC11" s="120"/>
      <c r="TZD11" s="120"/>
      <c r="TZE11" s="120"/>
      <c r="TZF11" s="120"/>
      <c r="TZG11" s="120"/>
      <c r="TZH11" s="120"/>
      <c r="TZI11" s="120"/>
      <c r="TZJ11" s="120"/>
      <c r="TZK11" s="120"/>
      <c r="TZL11" s="120"/>
      <c r="TZM11" s="120"/>
      <c r="TZN11" s="120"/>
      <c r="TZO11" s="120"/>
      <c r="TZP11" s="120"/>
      <c r="TZQ11" s="120"/>
      <c r="TZR11" s="120"/>
      <c r="TZS11" s="120"/>
      <c r="TZT11" s="120"/>
      <c r="TZU11" s="120"/>
      <c r="TZV11" s="120"/>
      <c r="TZW11" s="120"/>
      <c r="TZX11" s="120"/>
      <c r="TZY11" s="120"/>
      <c r="TZZ11" s="120"/>
      <c r="UAA11" s="120"/>
      <c r="UAB11" s="120"/>
      <c r="UAC11" s="120"/>
      <c r="UAD11" s="120"/>
      <c r="UAE11" s="120"/>
      <c r="UAF11" s="120"/>
      <c r="UAG11" s="120"/>
      <c r="UAH11" s="120"/>
      <c r="UAI11" s="120"/>
      <c r="UAJ11" s="120"/>
      <c r="UAK11" s="120"/>
      <c r="UAL11" s="120"/>
      <c r="UAM11" s="120"/>
      <c r="UAN11" s="120"/>
      <c r="UAO11" s="120"/>
      <c r="UAP11" s="120"/>
      <c r="UAQ11" s="120"/>
      <c r="UAR11" s="120"/>
      <c r="UAS11" s="120"/>
      <c r="UAT11" s="120"/>
      <c r="UAU11" s="120"/>
      <c r="UAV11" s="120"/>
      <c r="UAW11" s="120"/>
      <c r="UAX11" s="120"/>
      <c r="UAY11" s="120"/>
      <c r="UAZ11" s="120"/>
      <c r="UBA11" s="120"/>
      <c r="UBB11" s="120"/>
      <c r="UBC11" s="120"/>
      <c r="UBD11" s="120"/>
      <c r="UBE11" s="120"/>
      <c r="UBF11" s="120"/>
      <c r="UBG11" s="120"/>
      <c r="UBH11" s="120"/>
      <c r="UBI11" s="120"/>
      <c r="UBJ11" s="120"/>
      <c r="UBK11" s="120"/>
      <c r="UBL11" s="120"/>
      <c r="UBM11" s="120"/>
      <c r="UBN11" s="120"/>
      <c r="UBO11" s="120"/>
      <c r="UBP11" s="120"/>
      <c r="UBQ11" s="120"/>
      <c r="UBR11" s="120"/>
      <c r="UBS11" s="120"/>
      <c r="UBT11" s="120"/>
      <c r="UBU11" s="120"/>
      <c r="UBV11" s="120"/>
      <c r="UBW11" s="120"/>
      <c r="UBX11" s="120"/>
      <c r="UBY11" s="120"/>
      <c r="UBZ11" s="120"/>
      <c r="UCA11" s="120"/>
      <c r="UCB11" s="120"/>
      <c r="UCC11" s="120"/>
      <c r="UCD11" s="120"/>
      <c r="UCE11" s="120"/>
      <c r="UCF11" s="120"/>
      <c r="UCG11" s="120"/>
      <c r="UCH11" s="120"/>
      <c r="UCI11" s="120"/>
      <c r="UCJ11" s="120"/>
      <c r="UCK11" s="120"/>
      <c r="UCL11" s="120"/>
      <c r="UCM11" s="120"/>
      <c r="UCN11" s="120"/>
      <c r="UCO11" s="120"/>
      <c r="UCP11" s="120"/>
      <c r="UCQ11" s="120"/>
      <c r="UCR11" s="120"/>
      <c r="UCS11" s="120"/>
      <c r="UCT11" s="120"/>
      <c r="UCU11" s="120"/>
      <c r="UCV11" s="120"/>
      <c r="UCW11" s="120"/>
      <c r="UCX11" s="120"/>
      <c r="UCY11" s="120"/>
      <c r="UCZ11" s="120"/>
      <c r="UDA11" s="120"/>
      <c r="UDB11" s="120"/>
      <c r="UDC11" s="120"/>
      <c r="UDD11" s="120"/>
      <c r="UDE11" s="120"/>
      <c r="UDF11" s="120"/>
      <c r="UDG11" s="120"/>
      <c r="UDH11" s="120"/>
      <c r="UDI11" s="120"/>
      <c r="UDJ11" s="120"/>
      <c r="UDK11" s="120"/>
      <c r="UDL11" s="120"/>
      <c r="UDM11" s="120"/>
      <c r="UDN11" s="120"/>
      <c r="UDO11" s="120"/>
      <c r="UDP11" s="120"/>
      <c r="UDQ11" s="120"/>
      <c r="UDR11" s="120"/>
      <c r="UDS11" s="120"/>
      <c r="UDT11" s="120"/>
      <c r="UDU11" s="120"/>
      <c r="UDV11" s="120"/>
      <c r="UDW11" s="120"/>
      <c r="UDX11" s="120"/>
      <c r="UDY11" s="120"/>
      <c r="UDZ11" s="120"/>
      <c r="UEA11" s="120"/>
      <c r="UEB11" s="120"/>
      <c r="UEC11" s="120"/>
      <c r="UED11" s="120"/>
      <c r="UEE11" s="120"/>
      <c r="UEF11" s="120"/>
      <c r="UEG11" s="120"/>
      <c r="UEH11" s="120"/>
      <c r="UEI11" s="120"/>
      <c r="UEJ11" s="120"/>
      <c r="UEK11" s="120"/>
      <c r="UEL11" s="120"/>
      <c r="UEM11" s="120"/>
      <c r="UEN11" s="120"/>
      <c r="UEO11" s="120"/>
      <c r="UEP11" s="120"/>
      <c r="UEQ11" s="120"/>
      <c r="UER11" s="120"/>
      <c r="UES11" s="120"/>
      <c r="UET11" s="120"/>
      <c r="UEU11" s="120"/>
      <c r="UEV11" s="120"/>
      <c r="UEW11" s="120"/>
      <c r="UEX11" s="120"/>
      <c r="UEY11" s="120"/>
      <c r="UEZ11" s="120"/>
      <c r="UFA11" s="120"/>
      <c r="UFB11" s="120"/>
      <c r="UFC11" s="120"/>
      <c r="UFD11" s="120"/>
      <c r="UFE11" s="120"/>
      <c r="UFF11" s="120"/>
      <c r="UFG11" s="120"/>
      <c r="UFH11" s="120"/>
      <c r="UFI11" s="120"/>
      <c r="UFJ11" s="120"/>
      <c r="UFK11" s="120"/>
      <c r="UFL11" s="120"/>
      <c r="UFM11" s="120"/>
      <c r="UFN11" s="120"/>
      <c r="UFO11" s="120"/>
      <c r="UFP11" s="120"/>
      <c r="UFQ11" s="120"/>
      <c r="UFR11" s="120"/>
      <c r="UFS11" s="120"/>
      <c r="UFT11" s="120"/>
      <c r="UFU11" s="120"/>
      <c r="UFV11" s="120"/>
      <c r="UFW11" s="120"/>
      <c r="UFX11" s="120"/>
      <c r="UFY11" s="120"/>
      <c r="UFZ11" s="120"/>
      <c r="UGA11" s="120"/>
      <c r="UGB11" s="120"/>
      <c r="UGC11" s="120"/>
      <c r="UGD11" s="120"/>
      <c r="UGE11" s="120"/>
      <c r="UGF11" s="120"/>
      <c r="UGG11" s="120"/>
      <c r="UGH11" s="120"/>
      <c r="UGI11" s="120"/>
      <c r="UGJ11" s="120"/>
      <c r="UGK11" s="120"/>
      <c r="UGL11" s="120"/>
      <c r="UGM11" s="120"/>
      <c r="UGN11" s="120"/>
      <c r="UGO11" s="120"/>
      <c r="UGP11" s="120"/>
      <c r="UGQ11" s="120"/>
      <c r="UGR11" s="120"/>
      <c r="UGS11" s="120"/>
      <c r="UGT11" s="120"/>
      <c r="UGU11" s="120"/>
      <c r="UGV11" s="120"/>
      <c r="UGW11" s="120"/>
      <c r="UGX11" s="120"/>
      <c r="UGY11" s="120"/>
      <c r="UGZ11" s="120"/>
      <c r="UHA11" s="120"/>
      <c r="UHB11" s="120"/>
      <c r="UHC11" s="120"/>
      <c r="UHD11" s="120"/>
      <c r="UHE11" s="120"/>
      <c r="UHF11" s="120"/>
      <c r="UHG11" s="120"/>
      <c r="UHH11" s="120"/>
      <c r="UHI11" s="120"/>
      <c r="UHJ11" s="120"/>
      <c r="UHK11" s="120"/>
      <c r="UHL11" s="120"/>
      <c r="UHM11" s="120"/>
      <c r="UHN11" s="120"/>
      <c r="UHO11" s="120"/>
      <c r="UHP11" s="120"/>
      <c r="UHQ11" s="120"/>
      <c r="UHR11" s="120"/>
      <c r="UHS11" s="120"/>
      <c r="UHT11" s="120"/>
      <c r="UHU11" s="120"/>
      <c r="UHV11" s="120"/>
      <c r="UHW11" s="120"/>
      <c r="UHX11" s="120"/>
      <c r="UHY11" s="120"/>
      <c r="UHZ11" s="120"/>
      <c r="UIA11" s="120"/>
      <c r="UIB11" s="120"/>
      <c r="UIC11" s="120"/>
      <c r="UID11" s="120"/>
      <c r="UIE11" s="120"/>
      <c r="UIF11" s="120"/>
      <c r="UIG11" s="120"/>
      <c r="UIH11" s="120"/>
      <c r="UII11" s="120"/>
      <c r="UIJ11" s="120"/>
      <c r="UIK11" s="120"/>
      <c r="UIL11" s="120"/>
      <c r="UIM11" s="120"/>
      <c r="UIN11" s="120"/>
      <c r="UIO11" s="120"/>
      <c r="UIP11" s="120"/>
      <c r="UIQ11" s="120"/>
      <c r="UIR11" s="120"/>
      <c r="UIS11" s="120"/>
      <c r="UIT11" s="120"/>
      <c r="UIU11" s="120"/>
      <c r="UIV11" s="120"/>
      <c r="UIW11" s="120"/>
      <c r="UIX11" s="120"/>
      <c r="UIY11" s="120"/>
      <c r="UIZ11" s="120"/>
      <c r="UJA11" s="120"/>
      <c r="UJB11" s="120"/>
      <c r="UJC11" s="120"/>
      <c r="UJD11" s="120"/>
      <c r="UJE11" s="120"/>
      <c r="UJF11" s="120"/>
      <c r="UJG11" s="120"/>
      <c r="UJH11" s="120"/>
      <c r="UJI11" s="120"/>
      <c r="UJJ11" s="120"/>
      <c r="UJK11" s="120"/>
      <c r="UJL11" s="120"/>
      <c r="UJM11" s="120"/>
      <c r="UJN11" s="120"/>
      <c r="UJO11" s="120"/>
      <c r="UJP11" s="120"/>
      <c r="UJQ11" s="120"/>
      <c r="UJR11" s="120"/>
      <c r="UJS11" s="120"/>
      <c r="UJT11" s="120"/>
      <c r="UJU11" s="120"/>
      <c r="UJV11" s="120"/>
      <c r="UJW11" s="120"/>
      <c r="UJX11" s="120"/>
      <c r="UJY11" s="120"/>
      <c r="UJZ11" s="120"/>
      <c r="UKA11" s="120"/>
      <c r="UKB11" s="120"/>
      <c r="UKC11" s="120"/>
      <c r="UKD11" s="120"/>
      <c r="UKE11" s="120"/>
      <c r="UKF11" s="120"/>
      <c r="UKG11" s="120"/>
      <c r="UKH11" s="120"/>
      <c r="UKI11" s="120"/>
      <c r="UKJ11" s="120"/>
      <c r="UKK11" s="120"/>
      <c r="UKL11" s="120"/>
      <c r="UKM11" s="120"/>
      <c r="UKN11" s="120"/>
      <c r="UKO11" s="120"/>
      <c r="UKP11" s="120"/>
      <c r="UKQ11" s="120"/>
      <c r="UKR11" s="120"/>
      <c r="UKS11" s="120"/>
      <c r="UKT11" s="120"/>
      <c r="UKU11" s="120"/>
      <c r="UKV11" s="120"/>
      <c r="UKW11" s="120"/>
      <c r="UKX11" s="120"/>
      <c r="UKY11" s="120"/>
      <c r="UKZ11" s="120"/>
      <c r="ULA11" s="120"/>
      <c r="ULB11" s="120"/>
      <c r="ULC11" s="120"/>
      <c r="ULD11" s="120"/>
      <c r="ULE11" s="120"/>
      <c r="ULF11" s="120"/>
      <c r="ULG11" s="120"/>
      <c r="ULH11" s="120"/>
      <c r="ULI11" s="120"/>
      <c r="ULJ11" s="120"/>
      <c r="ULK11" s="120"/>
      <c r="ULL11" s="120"/>
      <c r="ULM11" s="120"/>
      <c r="ULN11" s="120"/>
      <c r="ULO11" s="120"/>
      <c r="ULP11" s="120"/>
      <c r="ULQ11" s="120"/>
      <c r="ULR11" s="120"/>
      <c r="ULS11" s="120"/>
      <c r="ULT11" s="120"/>
      <c r="ULU11" s="120"/>
      <c r="ULV11" s="120"/>
      <c r="ULW11" s="120"/>
      <c r="ULX11" s="120"/>
      <c r="ULY11" s="120"/>
      <c r="ULZ11" s="120"/>
      <c r="UMA11" s="120"/>
      <c r="UMB11" s="120"/>
      <c r="UMC11" s="120"/>
      <c r="UMD11" s="120"/>
      <c r="UME11" s="120"/>
      <c r="UMF11" s="120"/>
      <c r="UMG11" s="120"/>
      <c r="UMH11" s="120"/>
      <c r="UMI11" s="120"/>
      <c r="UMJ11" s="120"/>
      <c r="UMK11" s="120"/>
      <c r="UML11" s="120"/>
      <c r="UMM11" s="120"/>
      <c r="UMN11" s="120"/>
      <c r="UMO11" s="120"/>
      <c r="UMP11" s="120"/>
      <c r="UMQ11" s="120"/>
      <c r="UMR11" s="120"/>
      <c r="UMS11" s="120"/>
      <c r="UMT11" s="120"/>
      <c r="UMU11" s="120"/>
      <c r="UMV11" s="120"/>
      <c r="UMW11" s="120"/>
      <c r="UMX11" s="120"/>
      <c r="UMY11" s="120"/>
      <c r="UMZ11" s="120"/>
      <c r="UNA11" s="120"/>
      <c r="UNB11" s="120"/>
      <c r="UNC11" s="120"/>
      <c r="UND11" s="120"/>
      <c r="UNE11" s="120"/>
      <c r="UNF11" s="120"/>
      <c r="UNG11" s="120"/>
      <c r="UNH11" s="120"/>
      <c r="UNI11" s="120"/>
      <c r="UNJ11" s="120"/>
      <c r="UNK11" s="120"/>
      <c r="UNL11" s="120"/>
      <c r="UNM11" s="120"/>
      <c r="UNN11" s="120"/>
      <c r="UNO11" s="120"/>
      <c r="UNP11" s="120"/>
      <c r="UNQ11" s="120"/>
      <c r="UNR11" s="120"/>
      <c r="UNS11" s="120"/>
      <c r="UNT11" s="120"/>
      <c r="UNU11" s="120"/>
      <c r="UNV11" s="120"/>
      <c r="UNW11" s="120"/>
      <c r="UNX11" s="120"/>
      <c r="UNY11" s="120"/>
      <c r="UNZ11" s="120"/>
      <c r="UOA11" s="120"/>
      <c r="UOB11" s="120"/>
      <c r="UOC11" s="120"/>
      <c r="UOD11" s="120"/>
      <c r="UOE11" s="120"/>
      <c r="UOF11" s="120"/>
      <c r="UOG11" s="120"/>
      <c r="UOH11" s="120"/>
      <c r="UOI11" s="120"/>
      <c r="UOJ11" s="120"/>
      <c r="UOK11" s="120"/>
      <c r="UOL11" s="120"/>
      <c r="UOM11" s="120"/>
      <c r="UON11" s="120"/>
      <c r="UOO11" s="120"/>
      <c r="UOP11" s="120"/>
      <c r="UOQ11" s="120"/>
      <c r="UOR11" s="120"/>
      <c r="UOS11" s="120"/>
      <c r="UOT11" s="120"/>
      <c r="UOU11" s="120"/>
      <c r="UOV11" s="120"/>
      <c r="UOW11" s="120"/>
      <c r="UOX11" s="120"/>
      <c r="UOY11" s="120"/>
      <c r="UOZ11" s="120"/>
      <c r="UPA11" s="120"/>
      <c r="UPB11" s="120"/>
      <c r="UPC11" s="120"/>
      <c r="UPD11" s="120"/>
      <c r="UPE11" s="120"/>
      <c r="UPF11" s="120"/>
      <c r="UPG11" s="120"/>
      <c r="UPH11" s="120"/>
      <c r="UPI11" s="120"/>
      <c r="UPJ11" s="120"/>
      <c r="UPK11" s="120"/>
      <c r="UPL11" s="120"/>
      <c r="UPM11" s="120"/>
      <c r="UPN11" s="120"/>
      <c r="UPO11" s="120"/>
      <c r="UPP11" s="120"/>
      <c r="UPQ11" s="120"/>
      <c r="UPR11" s="120"/>
      <c r="UPS11" s="120"/>
      <c r="UPT11" s="120"/>
      <c r="UPU11" s="120"/>
      <c r="UPV11" s="120"/>
      <c r="UPW11" s="120"/>
      <c r="UPX11" s="120"/>
      <c r="UPY11" s="120"/>
      <c r="UPZ11" s="120"/>
      <c r="UQA11" s="120"/>
      <c r="UQB11" s="120"/>
      <c r="UQC11" s="120"/>
      <c r="UQD11" s="120"/>
      <c r="UQE11" s="120"/>
      <c r="UQF11" s="120"/>
      <c r="UQG11" s="120"/>
      <c r="UQH11" s="120"/>
      <c r="UQI11" s="120"/>
      <c r="UQJ11" s="120"/>
      <c r="UQK11" s="120"/>
      <c r="UQL11" s="120"/>
      <c r="UQM11" s="120"/>
      <c r="UQN11" s="120"/>
      <c r="UQO11" s="120"/>
      <c r="UQP11" s="120"/>
      <c r="UQQ11" s="120"/>
      <c r="UQR11" s="120"/>
      <c r="UQS11" s="120"/>
      <c r="UQT11" s="120"/>
      <c r="UQU11" s="120"/>
      <c r="UQV11" s="120"/>
      <c r="UQW11" s="120"/>
      <c r="UQX11" s="120"/>
      <c r="UQY11" s="120"/>
      <c r="UQZ11" s="120"/>
      <c r="URA11" s="120"/>
      <c r="URB11" s="120"/>
      <c r="URC11" s="120"/>
      <c r="URD11" s="120"/>
      <c r="URE11" s="120"/>
      <c r="URF11" s="120"/>
      <c r="URG11" s="120"/>
      <c r="URH11" s="120"/>
      <c r="URI11" s="120"/>
      <c r="URJ11" s="120"/>
      <c r="URK11" s="120"/>
      <c r="URL11" s="120"/>
      <c r="URM11" s="120"/>
      <c r="URN11" s="120"/>
      <c r="URO11" s="120"/>
      <c r="URP11" s="120"/>
      <c r="URQ11" s="120"/>
      <c r="URR11" s="120"/>
      <c r="URS11" s="120"/>
      <c r="URT11" s="120"/>
      <c r="URU11" s="120"/>
      <c r="URV11" s="120"/>
      <c r="URW11" s="120"/>
      <c r="URX11" s="120"/>
      <c r="URY11" s="120"/>
      <c r="URZ11" s="120"/>
      <c r="USA11" s="120"/>
      <c r="USB11" s="120"/>
      <c r="USC11" s="120"/>
      <c r="USD11" s="120"/>
      <c r="USE11" s="120"/>
      <c r="USF11" s="120"/>
      <c r="USG11" s="120"/>
      <c r="USH11" s="120"/>
      <c r="USI11" s="120"/>
      <c r="USJ11" s="120"/>
      <c r="USK11" s="120"/>
      <c r="USL11" s="120"/>
      <c r="USM11" s="120"/>
      <c r="USN11" s="120"/>
      <c r="USO11" s="120"/>
      <c r="USP11" s="120"/>
      <c r="USQ11" s="120"/>
      <c r="USR11" s="120"/>
      <c r="USS11" s="120"/>
      <c r="UST11" s="120"/>
      <c r="USU11" s="120"/>
      <c r="USV11" s="120"/>
      <c r="USW11" s="120"/>
      <c r="USX11" s="120"/>
      <c r="USY11" s="120"/>
      <c r="USZ11" s="120"/>
      <c r="UTA11" s="120"/>
      <c r="UTB11" s="120"/>
      <c r="UTC11" s="120"/>
      <c r="UTD11" s="120"/>
      <c r="UTE11" s="120"/>
      <c r="UTF11" s="120"/>
      <c r="UTG11" s="120"/>
      <c r="UTH11" s="120"/>
      <c r="UTI11" s="120"/>
      <c r="UTJ11" s="120"/>
      <c r="UTK11" s="120"/>
      <c r="UTL11" s="120"/>
      <c r="UTM11" s="120"/>
      <c r="UTN11" s="120"/>
      <c r="UTO11" s="120"/>
      <c r="UTP11" s="120"/>
      <c r="UTQ11" s="120"/>
      <c r="UTR11" s="120"/>
      <c r="UTS11" s="120"/>
      <c r="UTT11" s="120"/>
      <c r="UTU11" s="120"/>
      <c r="UTV11" s="120"/>
      <c r="UTW11" s="120"/>
      <c r="UTX11" s="120"/>
      <c r="UTY11" s="120"/>
      <c r="UTZ11" s="120"/>
      <c r="UUA11" s="120"/>
      <c r="UUB11" s="120"/>
      <c r="UUC11" s="120"/>
      <c r="UUD11" s="120"/>
      <c r="UUE11" s="120"/>
      <c r="UUF11" s="120"/>
      <c r="UUG11" s="120"/>
      <c r="UUH11" s="120"/>
      <c r="UUI11" s="120"/>
      <c r="UUJ11" s="120"/>
      <c r="UUK11" s="120"/>
      <c r="UUL11" s="120"/>
      <c r="UUM11" s="120"/>
      <c r="UUN11" s="120"/>
      <c r="UUO11" s="120"/>
      <c r="UUP11" s="120"/>
      <c r="UUQ11" s="120"/>
      <c r="UUR11" s="120"/>
      <c r="UUS11" s="120"/>
      <c r="UUT11" s="120"/>
      <c r="UUU11" s="120"/>
      <c r="UUV11" s="120"/>
      <c r="UUW11" s="120"/>
      <c r="UUX11" s="120"/>
      <c r="UUY11" s="120"/>
      <c r="UUZ11" s="120"/>
      <c r="UVA11" s="120"/>
      <c r="UVB11" s="120"/>
      <c r="UVC11" s="120"/>
      <c r="UVD11" s="120"/>
      <c r="UVE11" s="120"/>
      <c r="UVF11" s="120"/>
      <c r="UVG11" s="120"/>
      <c r="UVH11" s="120"/>
      <c r="UVI11" s="120"/>
      <c r="UVJ11" s="120"/>
      <c r="UVK11" s="120"/>
      <c r="UVL11" s="120"/>
      <c r="UVM11" s="120"/>
      <c r="UVN11" s="120"/>
      <c r="UVO11" s="120"/>
      <c r="UVP11" s="120"/>
      <c r="UVQ11" s="120"/>
      <c r="UVR11" s="120"/>
      <c r="UVS11" s="120"/>
      <c r="UVT11" s="120"/>
      <c r="UVU11" s="120"/>
      <c r="UVV11" s="120"/>
      <c r="UVW11" s="120"/>
      <c r="UVX11" s="120"/>
      <c r="UVY11" s="120"/>
      <c r="UVZ11" s="120"/>
      <c r="UWA11" s="120"/>
      <c r="UWB11" s="120"/>
      <c r="UWC11" s="120"/>
      <c r="UWD11" s="120"/>
      <c r="UWE11" s="120"/>
      <c r="UWF11" s="120"/>
      <c r="UWG11" s="120"/>
      <c r="UWH11" s="120"/>
      <c r="UWI11" s="120"/>
      <c r="UWJ11" s="120"/>
      <c r="UWK11" s="120"/>
      <c r="UWL11" s="120"/>
      <c r="UWM11" s="120"/>
      <c r="UWN11" s="120"/>
      <c r="UWO11" s="120"/>
      <c r="UWP11" s="120"/>
      <c r="UWQ11" s="120"/>
      <c r="UWR11" s="120"/>
      <c r="UWS11" s="120"/>
      <c r="UWT11" s="120"/>
      <c r="UWU11" s="120"/>
      <c r="UWV11" s="120"/>
      <c r="UWW11" s="120"/>
      <c r="UWX11" s="120"/>
      <c r="UWY11" s="120"/>
      <c r="UWZ11" s="120"/>
      <c r="UXA11" s="120"/>
      <c r="UXB11" s="120"/>
      <c r="UXC11" s="120"/>
      <c r="UXD11" s="120"/>
      <c r="UXE11" s="120"/>
      <c r="UXF11" s="120"/>
      <c r="UXG11" s="120"/>
      <c r="UXH11" s="120"/>
      <c r="UXI11" s="120"/>
      <c r="UXJ11" s="120"/>
      <c r="UXK11" s="120"/>
      <c r="UXL11" s="120"/>
      <c r="UXM11" s="120"/>
      <c r="UXN11" s="120"/>
      <c r="UXO11" s="120"/>
      <c r="UXP11" s="120"/>
      <c r="UXQ11" s="120"/>
      <c r="UXR11" s="120"/>
      <c r="UXS11" s="120"/>
      <c r="UXT11" s="120"/>
      <c r="UXU11" s="120"/>
      <c r="UXV11" s="120"/>
      <c r="UXW11" s="120"/>
      <c r="UXX11" s="120"/>
      <c r="UXY11" s="120"/>
      <c r="UXZ11" s="120"/>
      <c r="UYA11" s="120"/>
      <c r="UYB11" s="120"/>
      <c r="UYC11" s="120"/>
      <c r="UYD11" s="120"/>
      <c r="UYE11" s="120"/>
      <c r="UYF11" s="120"/>
      <c r="UYG11" s="120"/>
      <c r="UYH11" s="120"/>
      <c r="UYI11" s="120"/>
      <c r="UYJ11" s="120"/>
      <c r="UYK11" s="120"/>
      <c r="UYL11" s="120"/>
      <c r="UYM11" s="120"/>
      <c r="UYN11" s="120"/>
      <c r="UYO11" s="120"/>
      <c r="UYP11" s="120"/>
      <c r="UYQ11" s="120"/>
      <c r="UYR11" s="120"/>
      <c r="UYS11" s="120"/>
      <c r="UYT11" s="120"/>
      <c r="UYU11" s="120"/>
      <c r="UYV11" s="120"/>
      <c r="UYW11" s="120"/>
      <c r="UYX11" s="120"/>
      <c r="UYY11" s="120"/>
      <c r="UYZ11" s="120"/>
      <c r="UZA11" s="120"/>
      <c r="UZB11" s="120"/>
      <c r="UZC11" s="120"/>
      <c r="UZD11" s="120"/>
      <c r="UZE11" s="120"/>
      <c r="UZF11" s="120"/>
      <c r="UZG11" s="120"/>
      <c r="UZH11" s="120"/>
      <c r="UZI11" s="120"/>
      <c r="UZJ11" s="120"/>
      <c r="UZK11" s="120"/>
      <c r="UZL11" s="120"/>
      <c r="UZM11" s="120"/>
      <c r="UZN11" s="120"/>
      <c r="UZO11" s="120"/>
      <c r="UZP11" s="120"/>
      <c r="UZQ11" s="120"/>
      <c r="UZR11" s="120"/>
      <c r="UZS11" s="120"/>
      <c r="UZT11" s="120"/>
      <c r="UZU11" s="120"/>
      <c r="UZV11" s="120"/>
      <c r="UZW11" s="120"/>
      <c r="UZX11" s="120"/>
      <c r="UZY11" s="120"/>
      <c r="UZZ11" s="120"/>
      <c r="VAA11" s="120"/>
      <c r="VAB11" s="120"/>
      <c r="VAC11" s="120"/>
      <c r="VAD11" s="120"/>
      <c r="VAE11" s="120"/>
      <c r="VAF11" s="120"/>
      <c r="VAG11" s="120"/>
      <c r="VAH11" s="120"/>
      <c r="VAI11" s="120"/>
      <c r="VAJ11" s="120"/>
      <c r="VAK11" s="120"/>
      <c r="VAL11" s="120"/>
      <c r="VAM11" s="120"/>
      <c r="VAN11" s="120"/>
      <c r="VAO11" s="120"/>
      <c r="VAP11" s="120"/>
      <c r="VAQ11" s="120"/>
      <c r="VAR11" s="120"/>
      <c r="VAS11" s="120"/>
      <c r="VAT11" s="120"/>
      <c r="VAU11" s="120"/>
      <c r="VAV11" s="120"/>
      <c r="VAW11" s="120"/>
      <c r="VAX11" s="120"/>
      <c r="VAY11" s="120"/>
      <c r="VAZ11" s="120"/>
      <c r="VBA11" s="120"/>
      <c r="VBB11" s="120"/>
      <c r="VBC11" s="120"/>
      <c r="VBD11" s="120"/>
      <c r="VBE11" s="120"/>
      <c r="VBF11" s="120"/>
      <c r="VBG11" s="120"/>
      <c r="VBH11" s="120"/>
      <c r="VBI11" s="120"/>
      <c r="VBJ11" s="120"/>
      <c r="VBK11" s="120"/>
      <c r="VBL11" s="120"/>
      <c r="VBM11" s="120"/>
      <c r="VBN11" s="120"/>
      <c r="VBO11" s="120"/>
      <c r="VBP11" s="120"/>
      <c r="VBQ11" s="120"/>
      <c r="VBR11" s="120"/>
      <c r="VBS11" s="120"/>
      <c r="VBT11" s="120"/>
      <c r="VBU11" s="120"/>
      <c r="VBV11" s="120"/>
      <c r="VBW11" s="120"/>
      <c r="VBX11" s="120"/>
      <c r="VBY11" s="120"/>
      <c r="VBZ11" s="120"/>
      <c r="VCA11" s="120"/>
      <c r="VCB11" s="120"/>
      <c r="VCC11" s="120"/>
      <c r="VCD11" s="120"/>
      <c r="VCE11" s="120"/>
      <c r="VCF11" s="120"/>
      <c r="VCG11" s="120"/>
      <c r="VCH11" s="120"/>
      <c r="VCI11" s="120"/>
      <c r="VCJ11" s="120"/>
      <c r="VCK11" s="120"/>
      <c r="VCL11" s="120"/>
      <c r="VCM11" s="120"/>
      <c r="VCN11" s="120"/>
      <c r="VCO11" s="120"/>
      <c r="VCP11" s="120"/>
      <c r="VCQ11" s="120"/>
      <c r="VCR11" s="120"/>
      <c r="VCS11" s="120"/>
      <c r="VCT11" s="120"/>
      <c r="VCU11" s="120"/>
      <c r="VCV11" s="120"/>
      <c r="VCW11" s="120"/>
      <c r="VCX11" s="120"/>
      <c r="VCY11" s="120"/>
      <c r="VCZ11" s="120"/>
      <c r="VDA11" s="120"/>
      <c r="VDB11" s="120"/>
      <c r="VDC11" s="120"/>
      <c r="VDD11" s="120"/>
      <c r="VDE11" s="120"/>
      <c r="VDF11" s="120"/>
      <c r="VDG11" s="120"/>
      <c r="VDH11" s="120"/>
      <c r="VDI11" s="120"/>
      <c r="VDJ11" s="120"/>
      <c r="VDK11" s="120"/>
      <c r="VDL11" s="120"/>
      <c r="VDM11" s="120"/>
      <c r="VDN11" s="120"/>
      <c r="VDO11" s="120"/>
      <c r="VDP11" s="120"/>
      <c r="VDQ11" s="120"/>
      <c r="VDR11" s="120"/>
      <c r="VDS11" s="120"/>
      <c r="VDT11" s="120"/>
      <c r="VDU11" s="120"/>
      <c r="VDV11" s="120"/>
      <c r="VDW11" s="120"/>
      <c r="VDX11" s="120"/>
      <c r="VDY11" s="120"/>
      <c r="VDZ11" s="120"/>
      <c r="VEA11" s="120"/>
      <c r="VEB11" s="120"/>
      <c r="VEC11" s="120"/>
      <c r="VED11" s="120"/>
      <c r="VEE11" s="120"/>
      <c r="VEF11" s="120"/>
      <c r="VEG11" s="120"/>
      <c r="VEH11" s="120"/>
      <c r="VEI11" s="120"/>
      <c r="VEJ11" s="120"/>
      <c r="VEK11" s="120"/>
      <c r="VEL11" s="120"/>
      <c r="VEM11" s="120"/>
      <c r="VEN11" s="120"/>
      <c r="VEO11" s="120"/>
      <c r="VEP11" s="120"/>
      <c r="VEQ11" s="120"/>
      <c r="VER11" s="120"/>
      <c r="VES11" s="120"/>
      <c r="VET11" s="120"/>
      <c r="VEU11" s="120"/>
      <c r="VEV11" s="120"/>
      <c r="VEW11" s="120"/>
      <c r="VEX11" s="120"/>
      <c r="VEY11" s="120"/>
      <c r="VEZ11" s="120"/>
      <c r="VFA11" s="120"/>
      <c r="VFB11" s="120"/>
      <c r="VFC11" s="120"/>
      <c r="VFD11" s="120"/>
      <c r="VFE11" s="120"/>
      <c r="VFF11" s="120"/>
      <c r="VFG11" s="120"/>
      <c r="VFH11" s="120"/>
      <c r="VFI11" s="120"/>
      <c r="VFJ11" s="120"/>
      <c r="VFK11" s="120"/>
      <c r="VFL11" s="120"/>
      <c r="VFM11" s="120"/>
      <c r="VFN11" s="120"/>
      <c r="VFO11" s="120"/>
      <c r="VFP11" s="120"/>
      <c r="VFQ11" s="120"/>
      <c r="VFR11" s="120"/>
      <c r="VFS11" s="120"/>
      <c r="VFT11" s="120"/>
      <c r="VFU11" s="120"/>
      <c r="VFV11" s="120"/>
      <c r="VFW11" s="120"/>
      <c r="VFX11" s="120"/>
      <c r="VFY11" s="120"/>
      <c r="VFZ11" s="120"/>
      <c r="VGA11" s="120"/>
      <c r="VGB11" s="120"/>
      <c r="VGC11" s="120"/>
      <c r="VGD11" s="120"/>
      <c r="VGE11" s="120"/>
      <c r="VGF11" s="120"/>
      <c r="VGG11" s="120"/>
      <c r="VGH11" s="120"/>
      <c r="VGI11" s="120"/>
      <c r="VGJ11" s="120"/>
      <c r="VGK11" s="120"/>
      <c r="VGL11" s="120"/>
      <c r="VGM11" s="120"/>
      <c r="VGN11" s="120"/>
      <c r="VGO11" s="120"/>
      <c r="VGP11" s="120"/>
      <c r="VGQ11" s="120"/>
      <c r="VGR11" s="120"/>
      <c r="VGS11" s="120"/>
      <c r="VGT11" s="120"/>
      <c r="VGU11" s="120"/>
      <c r="VGV11" s="120"/>
      <c r="VGW11" s="120"/>
      <c r="VGX11" s="120"/>
      <c r="VGY11" s="120"/>
      <c r="VGZ11" s="120"/>
      <c r="VHA11" s="120"/>
      <c r="VHB11" s="120"/>
      <c r="VHC11" s="120"/>
      <c r="VHD11" s="120"/>
      <c r="VHE11" s="120"/>
      <c r="VHF11" s="120"/>
      <c r="VHG11" s="120"/>
      <c r="VHH11" s="120"/>
      <c r="VHI11" s="120"/>
      <c r="VHJ11" s="120"/>
      <c r="VHK11" s="120"/>
      <c r="VHL11" s="120"/>
      <c r="VHM11" s="120"/>
      <c r="VHN11" s="120"/>
      <c r="VHO11" s="120"/>
      <c r="VHP11" s="120"/>
      <c r="VHQ11" s="120"/>
      <c r="VHR11" s="120"/>
      <c r="VHS11" s="120"/>
      <c r="VHT11" s="120"/>
      <c r="VHU11" s="120"/>
      <c r="VHV11" s="120"/>
      <c r="VHW11" s="120"/>
      <c r="VHX11" s="120"/>
      <c r="VHY11" s="120"/>
      <c r="VHZ11" s="120"/>
      <c r="VIA11" s="120"/>
      <c r="VIB11" s="120"/>
      <c r="VIC11" s="120"/>
      <c r="VID11" s="120"/>
      <c r="VIE11" s="120"/>
      <c r="VIF11" s="120"/>
      <c r="VIG11" s="120"/>
      <c r="VIH11" s="120"/>
      <c r="VII11" s="120"/>
      <c r="VIJ11" s="120"/>
      <c r="VIK11" s="120"/>
      <c r="VIL11" s="120"/>
      <c r="VIM11" s="120"/>
      <c r="VIN11" s="120"/>
      <c r="VIO11" s="120"/>
      <c r="VIP11" s="120"/>
      <c r="VIQ11" s="120"/>
      <c r="VIR11" s="120"/>
      <c r="VIS11" s="120"/>
      <c r="VIT11" s="120"/>
      <c r="VIU11" s="120"/>
      <c r="VIV11" s="120"/>
      <c r="VIW11" s="120"/>
      <c r="VIX11" s="120"/>
      <c r="VIY11" s="120"/>
      <c r="VIZ11" s="120"/>
      <c r="VJA11" s="120"/>
      <c r="VJB11" s="120"/>
      <c r="VJC11" s="120"/>
      <c r="VJD11" s="120"/>
      <c r="VJE11" s="120"/>
      <c r="VJF11" s="120"/>
      <c r="VJG11" s="120"/>
      <c r="VJH11" s="120"/>
      <c r="VJI11" s="120"/>
      <c r="VJJ11" s="120"/>
      <c r="VJK11" s="120"/>
      <c r="VJL11" s="120"/>
      <c r="VJM11" s="120"/>
      <c r="VJN11" s="120"/>
      <c r="VJO11" s="120"/>
      <c r="VJP11" s="120"/>
      <c r="VJQ11" s="120"/>
      <c r="VJR11" s="120"/>
      <c r="VJS11" s="120"/>
      <c r="VJT11" s="120"/>
      <c r="VJU11" s="120"/>
      <c r="VJV11" s="120"/>
      <c r="VJW11" s="120"/>
      <c r="VJX11" s="120"/>
      <c r="VJY11" s="120"/>
      <c r="VJZ11" s="120"/>
      <c r="VKA11" s="120"/>
      <c r="VKB11" s="120"/>
      <c r="VKC11" s="120"/>
      <c r="VKD11" s="120"/>
      <c r="VKE11" s="120"/>
      <c r="VKF11" s="120"/>
      <c r="VKG11" s="120"/>
      <c r="VKH11" s="120"/>
      <c r="VKI11" s="120"/>
      <c r="VKJ11" s="120"/>
      <c r="VKK11" s="120"/>
      <c r="VKL11" s="120"/>
      <c r="VKM11" s="120"/>
      <c r="VKN11" s="120"/>
      <c r="VKO11" s="120"/>
      <c r="VKP11" s="120"/>
      <c r="VKQ11" s="120"/>
      <c r="VKR11" s="120"/>
      <c r="VKS11" s="120"/>
      <c r="VKT11" s="120"/>
      <c r="VKU11" s="120"/>
      <c r="VKV11" s="120"/>
      <c r="VKW11" s="120"/>
      <c r="VKX11" s="120"/>
      <c r="VKY11" s="120"/>
      <c r="VKZ11" s="120"/>
      <c r="VLA11" s="120"/>
      <c r="VLB11" s="120"/>
      <c r="VLC11" s="120"/>
      <c r="VLD11" s="120"/>
      <c r="VLE11" s="120"/>
      <c r="VLF11" s="120"/>
      <c r="VLG11" s="120"/>
      <c r="VLH11" s="120"/>
      <c r="VLI11" s="120"/>
      <c r="VLJ11" s="120"/>
      <c r="VLK11" s="120"/>
      <c r="VLL11" s="120"/>
      <c r="VLM11" s="120"/>
      <c r="VLN11" s="120"/>
      <c r="VLO11" s="120"/>
      <c r="VLP11" s="120"/>
      <c r="VLQ11" s="120"/>
      <c r="VLR11" s="120"/>
      <c r="VLS11" s="120"/>
      <c r="VLT11" s="120"/>
      <c r="VLU11" s="120"/>
      <c r="VLV11" s="120"/>
      <c r="VLW11" s="120"/>
      <c r="VLX11" s="120"/>
      <c r="VLY11" s="120"/>
      <c r="VLZ11" s="120"/>
      <c r="VMA11" s="120"/>
      <c r="VMB11" s="120"/>
      <c r="VMC11" s="120"/>
      <c r="VMD11" s="120"/>
      <c r="VME11" s="120"/>
      <c r="VMF11" s="120"/>
      <c r="VMG11" s="120"/>
      <c r="VMH11" s="120"/>
      <c r="VMI11" s="120"/>
      <c r="VMJ11" s="120"/>
      <c r="VMK11" s="120"/>
      <c r="VML11" s="120"/>
      <c r="VMM11" s="120"/>
      <c r="VMN11" s="120"/>
      <c r="VMO11" s="120"/>
      <c r="VMP11" s="120"/>
      <c r="VMQ11" s="120"/>
      <c r="VMR11" s="120"/>
      <c r="VMS11" s="120"/>
      <c r="VMT11" s="120"/>
      <c r="VMU11" s="120"/>
      <c r="VMV11" s="120"/>
      <c r="VMW11" s="120"/>
      <c r="VMX11" s="120"/>
      <c r="VMY11" s="120"/>
      <c r="VMZ11" s="120"/>
      <c r="VNA11" s="120"/>
      <c r="VNB11" s="120"/>
      <c r="VNC11" s="120"/>
      <c r="VND11" s="120"/>
      <c r="VNE11" s="120"/>
      <c r="VNF11" s="120"/>
      <c r="VNG11" s="120"/>
      <c r="VNH11" s="120"/>
      <c r="VNI11" s="120"/>
      <c r="VNJ11" s="120"/>
      <c r="VNK11" s="120"/>
      <c r="VNL11" s="120"/>
      <c r="VNM11" s="120"/>
      <c r="VNN11" s="120"/>
      <c r="VNO11" s="120"/>
      <c r="VNP11" s="120"/>
      <c r="VNQ11" s="120"/>
      <c r="VNR11" s="120"/>
      <c r="VNS11" s="120"/>
      <c r="VNT11" s="120"/>
      <c r="VNU11" s="120"/>
      <c r="VNV11" s="120"/>
      <c r="VNW11" s="120"/>
      <c r="VNX11" s="120"/>
      <c r="VNY11" s="120"/>
      <c r="VNZ11" s="120"/>
      <c r="VOA11" s="120"/>
      <c r="VOB11" s="120"/>
      <c r="VOC11" s="120"/>
      <c r="VOD11" s="120"/>
      <c r="VOE11" s="120"/>
      <c r="VOF11" s="120"/>
      <c r="VOG11" s="120"/>
      <c r="VOH11" s="120"/>
      <c r="VOI11" s="120"/>
      <c r="VOJ11" s="120"/>
      <c r="VOK11" s="120"/>
      <c r="VOL11" s="120"/>
      <c r="VOM11" s="120"/>
      <c r="VON11" s="120"/>
      <c r="VOO11" s="120"/>
      <c r="VOP11" s="120"/>
      <c r="VOQ11" s="120"/>
      <c r="VOR11" s="120"/>
      <c r="VOS11" s="120"/>
      <c r="VOT11" s="120"/>
      <c r="VOU11" s="120"/>
      <c r="VOV11" s="120"/>
      <c r="VOW11" s="120"/>
      <c r="VOX11" s="120"/>
      <c r="VOY11" s="120"/>
      <c r="VOZ11" s="120"/>
      <c r="VPA11" s="120"/>
      <c r="VPB11" s="120"/>
      <c r="VPC11" s="120"/>
      <c r="VPD11" s="120"/>
      <c r="VPE11" s="120"/>
      <c r="VPF11" s="120"/>
      <c r="VPG11" s="120"/>
      <c r="VPH11" s="120"/>
      <c r="VPI11" s="120"/>
      <c r="VPJ11" s="120"/>
      <c r="VPK11" s="120"/>
      <c r="VPL11" s="120"/>
      <c r="VPM11" s="120"/>
      <c r="VPN11" s="120"/>
      <c r="VPO11" s="120"/>
      <c r="VPP11" s="120"/>
      <c r="VPQ11" s="120"/>
      <c r="VPR11" s="120"/>
      <c r="VPS11" s="120"/>
      <c r="VPT11" s="120"/>
      <c r="VPU11" s="120"/>
      <c r="VPV11" s="120"/>
      <c r="VPW11" s="120"/>
      <c r="VPX11" s="120"/>
      <c r="VPY11" s="120"/>
      <c r="VPZ11" s="120"/>
      <c r="VQA11" s="120"/>
      <c r="VQB11" s="120"/>
      <c r="VQC11" s="120"/>
      <c r="VQD11" s="120"/>
      <c r="VQE11" s="120"/>
      <c r="VQF11" s="120"/>
      <c r="VQG11" s="120"/>
      <c r="VQH11" s="120"/>
      <c r="VQI11" s="120"/>
      <c r="VQJ11" s="120"/>
      <c r="VQK11" s="120"/>
      <c r="VQL11" s="120"/>
      <c r="VQM11" s="120"/>
      <c r="VQN11" s="120"/>
      <c r="VQO11" s="120"/>
      <c r="VQP11" s="120"/>
      <c r="VQQ11" s="120"/>
      <c r="VQR11" s="120"/>
      <c r="VQS11" s="120"/>
      <c r="VQT11" s="120"/>
      <c r="VQU11" s="120"/>
      <c r="VQV11" s="120"/>
      <c r="VQW11" s="120"/>
      <c r="VQX11" s="120"/>
      <c r="VQY11" s="120"/>
      <c r="VQZ11" s="120"/>
      <c r="VRA11" s="120"/>
      <c r="VRB11" s="120"/>
      <c r="VRC11" s="120"/>
      <c r="VRD11" s="120"/>
      <c r="VRE11" s="120"/>
      <c r="VRF11" s="120"/>
      <c r="VRG11" s="120"/>
      <c r="VRH11" s="120"/>
      <c r="VRI11" s="120"/>
      <c r="VRJ11" s="120"/>
      <c r="VRK11" s="120"/>
      <c r="VRL11" s="120"/>
      <c r="VRM11" s="120"/>
      <c r="VRN11" s="120"/>
      <c r="VRO11" s="120"/>
      <c r="VRP11" s="120"/>
      <c r="VRQ11" s="120"/>
      <c r="VRR11" s="120"/>
      <c r="VRS11" s="120"/>
      <c r="VRT11" s="120"/>
      <c r="VRU11" s="120"/>
      <c r="VRV11" s="120"/>
      <c r="VRW11" s="120"/>
      <c r="VRX11" s="120"/>
      <c r="VRY11" s="120"/>
      <c r="VRZ11" s="120"/>
      <c r="VSA11" s="120"/>
      <c r="VSB11" s="120"/>
      <c r="VSC11" s="120"/>
      <c r="VSD11" s="120"/>
      <c r="VSE11" s="120"/>
      <c r="VSF11" s="120"/>
      <c r="VSG11" s="120"/>
      <c r="VSH11" s="120"/>
      <c r="VSI11" s="120"/>
      <c r="VSJ11" s="120"/>
      <c r="VSK11" s="120"/>
      <c r="VSL11" s="120"/>
      <c r="VSM11" s="120"/>
      <c r="VSN11" s="120"/>
      <c r="VSO11" s="120"/>
      <c r="VSP11" s="120"/>
      <c r="VSQ11" s="120"/>
      <c r="VSR11" s="120"/>
      <c r="VSS11" s="120"/>
      <c r="VST11" s="120"/>
      <c r="VSU11" s="120"/>
      <c r="VSV11" s="120"/>
      <c r="VSW11" s="120"/>
      <c r="VSX11" s="120"/>
      <c r="VSY11" s="120"/>
      <c r="VSZ11" s="120"/>
      <c r="VTA11" s="120"/>
      <c r="VTB11" s="120"/>
      <c r="VTC11" s="120"/>
      <c r="VTD11" s="120"/>
      <c r="VTE11" s="120"/>
      <c r="VTF11" s="120"/>
      <c r="VTG11" s="120"/>
      <c r="VTH11" s="120"/>
      <c r="VTI11" s="120"/>
      <c r="VTJ11" s="120"/>
      <c r="VTK11" s="120"/>
      <c r="VTL11" s="120"/>
      <c r="VTM11" s="120"/>
      <c r="VTN11" s="120"/>
      <c r="VTO11" s="120"/>
      <c r="VTP11" s="120"/>
      <c r="VTQ11" s="120"/>
      <c r="VTR11" s="120"/>
      <c r="VTS11" s="120"/>
      <c r="VTT11" s="120"/>
      <c r="VTU11" s="120"/>
      <c r="VTV11" s="120"/>
      <c r="VTW11" s="120"/>
      <c r="VTX11" s="120"/>
      <c r="VTY11" s="120"/>
      <c r="VTZ11" s="120"/>
      <c r="VUA11" s="120"/>
      <c r="VUB11" s="120"/>
      <c r="VUC11" s="120"/>
      <c r="VUD11" s="120"/>
      <c r="VUE11" s="120"/>
      <c r="VUF11" s="120"/>
      <c r="VUG11" s="120"/>
      <c r="VUH11" s="120"/>
      <c r="VUI11" s="120"/>
      <c r="VUJ11" s="120"/>
      <c r="VUK11" s="120"/>
      <c r="VUL11" s="120"/>
      <c r="VUM11" s="120"/>
      <c r="VUN11" s="120"/>
      <c r="VUO11" s="120"/>
      <c r="VUP11" s="120"/>
      <c r="VUQ11" s="120"/>
      <c r="VUR11" s="120"/>
      <c r="VUS11" s="120"/>
      <c r="VUT11" s="120"/>
      <c r="VUU11" s="120"/>
      <c r="VUV11" s="120"/>
      <c r="VUW11" s="120"/>
      <c r="VUX11" s="120"/>
      <c r="VUY11" s="120"/>
      <c r="VUZ11" s="120"/>
      <c r="VVA11" s="120"/>
      <c r="VVB11" s="120"/>
      <c r="VVC11" s="120"/>
      <c r="VVD11" s="120"/>
      <c r="VVE11" s="120"/>
      <c r="VVF11" s="120"/>
      <c r="VVG11" s="120"/>
      <c r="VVH11" s="120"/>
      <c r="VVI11" s="120"/>
      <c r="VVJ11" s="120"/>
      <c r="VVK11" s="120"/>
      <c r="VVL11" s="120"/>
      <c r="VVM11" s="120"/>
      <c r="VVN11" s="120"/>
      <c r="VVO11" s="120"/>
      <c r="VVP11" s="120"/>
      <c r="VVQ11" s="120"/>
      <c r="VVR11" s="120"/>
      <c r="VVS11" s="120"/>
      <c r="VVT11" s="120"/>
      <c r="VVU11" s="120"/>
      <c r="VVV11" s="120"/>
      <c r="VVW11" s="120"/>
      <c r="VVX11" s="120"/>
      <c r="VVY11" s="120"/>
      <c r="VVZ11" s="120"/>
      <c r="VWA11" s="120"/>
      <c r="VWB11" s="120"/>
      <c r="VWC11" s="120"/>
      <c r="VWD11" s="120"/>
      <c r="VWE11" s="120"/>
      <c r="VWF11" s="120"/>
      <c r="VWG11" s="120"/>
      <c r="VWH11" s="120"/>
      <c r="VWI11" s="120"/>
      <c r="VWJ11" s="120"/>
      <c r="VWK11" s="120"/>
      <c r="VWL11" s="120"/>
      <c r="VWM11" s="120"/>
      <c r="VWN11" s="120"/>
      <c r="VWO11" s="120"/>
      <c r="VWP11" s="120"/>
      <c r="VWQ11" s="120"/>
      <c r="VWR11" s="120"/>
      <c r="VWS11" s="120"/>
      <c r="VWT11" s="120"/>
      <c r="VWU11" s="120"/>
      <c r="VWV11" s="120"/>
      <c r="VWW11" s="120"/>
      <c r="VWX11" s="120"/>
      <c r="VWY11" s="120"/>
      <c r="VWZ11" s="120"/>
      <c r="VXA11" s="120"/>
      <c r="VXB11" s="120"/>
      <c r="VXC11" s="120"/>
      <c r="VXD11" s="120"/>
      <c r="VXE11" s="120"/>
      <c r="VXF11" s="120"/>
      <c r="VXG11" s="120"/>
      <c r="VXH11" s="120"/>
      <c r="VXI11" s="120"/>
      <c r="VXJ11" s="120"/>
      <c r="VXK11" s="120"/>
      <c r="VXL11" s="120"/>
      <c r="VXM11" s="120"/>
      <c r="VXN11" s="120"/>
      <c r="VXO11" s="120"/>
      <c r="VXP11" s="120"/>
      <c r="VXQ11" s="120"/>
      <c r="VXR11" s="120"/>
      <c r="VXS11" s="120"/>
      <c r="VXT11" s="120"/>
      <c r="VXU11" s="120"/>
      <c r="VXV11" s="120"/>
      <c r="VXW11" s="120"/>
      <c r="VXX11" s="120"/>
      <c r="VXY11" s="120"/>
      <c r="VXZ11" s="120"/>
      <c r="VYA11" s="120"/>
      <c r="VYB11" s="120"/>
      <c r="VYC11" s="120"/>
      <c r="VYD11" s="120"/>
      <c r="VYE11" s="120"/>
      <c r="VYF11" s="120"/>
      <c r="VYG11" s="120"/>
      <c r="VYH11" s="120"/>
      <c r="VYI11" s="120"/>
      <c r="VYJ11" s="120"/>
      <c r="VYK11" s="120"/>
      <c r="VYL11" s="120"/>
      <c r="VYM11" s="120"/>
      <c r="VYN11" s="120"/>
      <c r="VYO11" s="120"/>
      <c r="VYP11" s="120"/>
      <c r="VYQ11" s="120"/>
      <c r="VYR11" s="120"/>
      <c r="VYS11" s="120"/>
      <c r="VYT11" s="120"/>
      <c r="VYU11" s="120"/>
      <c r="VYV11" s="120"/>
      <c r="VYW11" s="120"/>
      <c r="VYX11" s="120"/>
      <c r="VYY11" s="120"/>
      <c r="VYZ11" s="120"/>
      <c r="VZA11" s="120"/>
      <c r="VZB11" s="120"/>
      <c r="VZC11" s="120"/>
      <c r="VZD11" s="120"/>
      <c r="VZE11" s="120"/>
      <c r="VZF11" s="120"/>
      <c r="VZG11" s="120"/>
      <c r="VZH11" s="120"/>
      <c r="VZI11" s="120"/>
      <c r="VZJ11" s="120"/>
      <c r="VZK11" s="120"/>
      <c r="VZL11" s="120"/>
      <c r="VZM11" s="120"/>
      <c r="VZN11" s="120"/>
      <c r="VZO11" s="120"/>
      <c r="VZP11" s="120"/>
      <c r="VZQ11" s="120"/>
      <c r="VZR11" s="120"/>
      <c r="VZS11" s="120"/>
      <c r="VZT11" s="120"/>
      <c r="VZU11" s="120"/>
      <c r="VZV11" s="120"/>
      <c r="VZW11" s="120"/>
      <c r="VZX11" s="120"/>
      <c r="VZY11" s="120"/>
      <c r="VZZ11" s="120"/>
      <c r="WAA11" s="120"/>
      <c r="WAB11" s="120"/>
      <c r="WAC11" s="120"/>
      <c r="WAD11" s="120"/>
      <c r="WAE11" s="120"/>
      <c r="WAF11" s="120"/>
      <c r="WAG11" s="120"/>
      <c r="WAH11" s="120"/>
      <c r="WAI11" s="120"/>
      <c r="WAJ11" s="120"/>
      <c r="WAK11" s="120"/>
      <c r="WAL11" s="120"/>
      <c r="WAM11" s="120"/>
      <c r="WAN11" s="120"/>
      <c r="WAO11" s="120"/>
      <c r="WAP11" s="120"/>
      <c r="WAQ11" s="120"/>
      <c r="WAR11" s="120"/>
      <c r="WAS11" s="120"/>
      <c r="WAT11" s="120"/>
      <c r="WAU11" s="120"/>
      <c r="WAV11" s="120"/>
      <c r="WAW11" s="120"/>
      <c r="WAX11" s="120"/>
      <c r="WAY11" s="120"/>
      <c r="WAZ11" s="120"/>
      <c r="WBA11" s="120"/>
      <c r="WBB11" s="120"/>
      <c r="WBC11" s="120"/>
      <c r="WBD11" s="120"/>
      <c r="WBE11" s="120"/>
      <c r="WBF11" s="120"/>
      <c r="WBG11" s="120"/>
      <c r="WBH11" s="120"/>
      <c r="WBI11" s="120"/>
      <c r="WBJ11" s="120"/>
      <c r="WBK11" s="120"/>
      <c r="WBL11" s="120"/>
      <c r="WBM11" s="120"/>
      <c r="WBN11" s="120"/>
      <c r="WBO11" s="120"/>
      <c r="WBP11" s="120"/>
      <c r="WBQ11" s="120"/>
      <c r="WBR11" s="120"/>
      <c r="WBS11" s="120"/>
      <c r="WBT11" s="120"/>
      <c r="WBU11" s="120"/>
      <c r="WBV11" s="120"/>
      <c r="WBW11" s="120"/>
      <c r="WBX11" s="120"/>
      <c r="WBY11" s="120"/>
      <c r="WBZ11" s="120"/>
      <c r="WCA11" s="120"/>
      <c r="WCB11" s="120"/>
      <c r="WCC11" s="120"/>
      <c r="WCD11" s="120"/>
      <c r="WCE11" s="120"/>
      <c r="WCF11" s="120"/>
      <c r="WCG11" s="120"/>
      <c r="WCH11" s="120"/>
      <c r="WCI11" s="120"/>
      <c r="WCJ11" s="120"/>
      <c r="WCK11" s="120"/>
      <c r="WCL11" s="120"/>
      <c r="WCM11" s="120"/>
      <c r="WCN11" s="120"/>
      <c r="WCO11" s="120"/>
      <c r="WCP11" s="120"/>
      <c r="WCQ11" s="120"/>
      <c r="WCR11" s="120"/>
      <c r="WCS11" s="120"/>
      <c r="WCT11" s="120"/>
      <c r="WCU11" s="120"/>
      <c r="WCV11" s="120"/>
      <c r="WCW11" s="120"/>
      <c r="WCX11" s="120"/>
      <c r="WCY11" s="120"/>
      <c r="WCZ11" s="120"/>
      <c r="WDA11" s="120"/>
      <c r="WDB11" s="120"/>
      <c r="WDC11" s="120"/>
      <c r="WDD11" s="120"/>
      <c r="WDE11" s="120"/>
      <c r="WDF11" s="120"/>
      <c r="WDG11" s="120"/>
      <c r="WDH11" s="120"/>
      <c r="WDI11" s="120"/>
      <c r="WDJ11" s="120"/>
      <c r="WDK11" s="120"/>
      <c r="WDL11" s="120"/>
      <c r="WDM11" s="120"/>
      <c r="WDN11" s="120"/>
      <c r="WDO11" s="120"/>
      <c r="WDP11" s="120"/>
      <c r="WDQ11" s="120"/>
      <c r="WDR11" s="120"/>
      <c r="WDS11" s="120"/>
      <c r="WDT11" s="120"/>
      <c r="WDU11" s="120"/>
      <c r="WDV11" s="120"/>
      <c r="WDW11" s="120"/>
      <c r="WDX11" s="120"/>
      <c r="WDY11" s="120"/>
      <c r="WDZ11" s="120"/>
      <c r="WEA11" s="120"/>
      <c r="WEB11" s="120"/>
      <c r="WEC11" s="120"/>
      <c r="WED11" s="120"/>
      <c r="WEE11" s="120"/>
      <c r="WEF11" s="120"/>
      <c r="WEG11" s="120"/>
      <c r="WEH11" s="120"/>
      <c r="WEI11" s="120"/>
      <c r="WEJ11" s="120"/>
      <c r="WEK11" s="120"/>
      <c r="WEL11" s="120"/>
      <c r="WEM11" s="120"/>
      <c r="WEN11" s="120"/>
      <c r="WEO11" s="120"/>
      <c r="WEP11" s="120"/>
      <c r="WEQ11" s="120"/>
      <c r="WER11" s="120"/>
      <c r="WES11" s="120"/>
      <c r="WET11" s="120"/>
      <c r="WEU11" s="120"/>
      <c r="WEV11" s="120"/>
      <c r="WEW11" s="120"/>
      <c r="WEX11" s="120"/>
      <c r="WEY11" s="120"/>
      <c r="WEZ11" s="120"/>
      <c r="WFA11" s="120"/>
      <c r="WFB11" s="120"/>
      <c r="WFC11" s="120"/>
      <c r="WFD11" s="120"/>
      <c r="WFE11" s="120"/>
      <c r="WFF11" s="120"/>
      <c r="WFG11" s="120"/>
      <c r="WFH11" s="120"/>
      <c r="WFI11" s="120"/>
      <c r="WFJ11" s="120"/>
      <c r="WFK11" s="120"/>
      <c r="WFL11" s="120"/>
      <c r="WFM11" s="120"/>
      <c r="WFN11" s="120"/>
      <c r="WFO11" s="120"/>
      <c r="WFP11" s="120"/>
      <c r="WFQ11" s="120"/>
      <c r="WFR11" s="120"/>
      <c r="WFS11" s="120"/>
      <c r="WFT11" s="120"/>
      <c r="WFU11" s="120"/>
      <c r="WFV11" s="120"/>
      <c r="WFW11" s="120"/>
      <c r="WFX11" s="120"/>
      <c r="WFY11" s="120"/>
      <c r="WFZ11" s="120"/>
      <c r="WGA11" s="120"/>
      <c r="WGB11" s="120"/>
      <c r="WGC11" s="120"/>
      <c r="WGD11" s="120"/>
      <c r="WGE11" s="120"/>
      <c r="WGF11" s="120"/>
      <c r="WGG11" s="120"/>
      <c r="WGH11" s="120"/>
      <c r="WGI11" s="120"/>
      <c r="WGJ11" s="120"/>
      <c r="WGK11" s="120"/>
      <c r="WGL11" s="120"/>
      <c r="WGM11" s="120"/>
      <c r="WGN11" s="120"/>
      <c r="WGO11" s="120"/>
      <c r="WGP11" s="120"/>
      <c r="WGQ11" s="120"/>
      <c r="WGR11" s="120"/>
      <c r="WGS11" s="120"/>
      <c r="WGT11" s="120"/>
      <c r="WGU11" s="120"/>
      <c r="WGV11" s="120"/>
      <c r="WGW11" s="120"/>
      <c r="WGX11" s="120"/>
      <c r="WGY11" s="120"/>
      <c r="WGZ11" s="120"/>
      <c r="WHA11" s="120"/>
      <c r="WHB11" s="120"/>
      <c r="WHC11" s="120"/>
      <c r="WHD11" s="120"/>
      <c r="WHE11" s="120"/>
      <c r="WHF11" s="120"/>
      <c r="WHG11" s="120"/>
      <c r="WHH11" s="120"/>
      <c r="WHI11" s="120"/>
      <c r="WHJ11" s="120"/>
      <c r="WHK11" s="120"/>
      <c r="WHL11" s="120"/>
      <c r="WHM11" s="120"/>
      <c r="WHN11" s="120"/>
      <c r="WHO11" s="120"/>
      <c r="WHP11" s="120"/>
      <c r="WHQ11" s="120"/>
      <c r="WHR11" s="120"/>
      <c r="WHS11" s="120"/>
      <c r="WHT11" s="120"/>
      <c r="WHU11" s="120"/>
      <c r="WHV11" s="120"/>
      <c r="WHW11" s="120"/>
      <c r="WHX11" s="120"/>
      <c r="WHY11" s="120"/>
      <c r="WHZ11" s="120"/>
      <c r="WIA11" s="120"/>
      <c r="WIB11" s="120"/>
      <c r="WIC11" s="120"/>
      <c r="WID11" s="120"/>
      <c r="WIE11" s="120"/>
      <c r="WIF11" s="120"/>
      <c r="WIG11" s="120"/>
      <c r="WIH11" s="120"/>
      <c r="WII11" s="120"/>
      <c r="WIJ11" s="120"/>
      <c r="WIK11" s="120"/>
      <c r="WIL11" s="120"/>
      <c r="WIM11" s="120"/>
      <c r="WIN11" s="120"/>
      <c r="WIO11" s="120"/>
      <c r="WIP11" s="120"/>
      <c r="WIQ11" s="120"/>
      <c r="WIR11" s="120"/>
      <c r="WIS11" s="120"/>
      <c r="WIT11" s="120"/>
      <c r="WIU11" s="120"/>
      <c r="WIV11" s="120"/>
      <c r="WIW11" s="120"/>
      <c r="WIX11" s="120"/>
      <c r="WIY11" s="120"/>
      <c r="WIZ11" s="120"/>
      <c r="WJA11" s="120"/>
      <c r="WJB11" s="120"/>
      <c r="WJC11" s="120"/>
      <c r="WJD11" s="120"/>
      <c r="WJE11" s="120"/>
      <c r="WJF11" s="120"/>
      <c r="WJG11" s="120"/>
      <c r="WJH11" s="120"/>
      <c r="WJI11" s="120"/>
      <c r="WJJ11" s="120"/>
      <c r="WJK11" s="120"/>
      <c r="WJL11" s="120"/>
      <c r="WJM11" s="120"/>
      <c r="WJN11" s="120"/>
      <c r="WJO11" s="120"/>
      <c r="WJP11" s="120"/>
      <c r="WJQ11" s="120"/>
      <c r="WJR11" s="120"/>
      <c r="WJS11" s="120"/>
      <c r="WJT11" s="120"/>
      <c r="WJU11" s="120"/>
      <c r="WJV11" s="120"/>
      <c r="WJW11" s="120"/>
      <c r="WJX11" s="120"/>
      <c r="WJY11" s="120"/>
      <c r="WJZ11" s="120"/>
      <c r="WKA11" s="120"/>
      <c r="WKB11" s="120"/>
      <c r="WKC11" s="120"/>
      <c r="WKD11" s="120"/>
      <c r="WKE11" s="120"/>
      <c r="WKF11" s="120"/>
      <c r="WKG11" s="120"/>
      <c r="WKH11" s="120"/>
      <c r="WKI11" s="120"/>
      <c r="WKJ11" s="120"/>
      <c r="WKK11" s="120"/>
      <c r="WKL11" s="120"/>
      <c r="WKM11" s="120"/>
      <c r="WKN11" s="120"/>
      <c r="WKO11" s="120"/>
      <c r="WKP11" s="120"/>
      <c r="WKQ11" s="120"/>
      <c r="WKR11" s="120"/>
      <c r="WKS11" s="120"/>
      <c r="WKT11" s="120"/>
      <c r="WKU11" s="120"/>
      <c r="WKV11" s="120"/>
      <c r="WKW11" s="120"/>
      <c r="WKX11" s="120"/>
      <c r="WKY11" s="120"/>
      <c r="WKZ11" s="120"/>
      <c r="WLA11" s="120"/>
      <c r="WLB11" s="120"/>
      <c r="WLC11" s="120"/>
      <c r="WLD11" s="120"/>
      <c r="WLE11" s="120"/>
      <c r="WLF11" s="120"/>
      <c r="WLG11" s="120"/>
      <c r="WLH11" s="120"/>
      <c r="WLI11" s="120"/>
      <c r="WLJ11" s="120"/>
      <c r="WLK11" s="120"/>
      <c r="WLL11" s="120"/>
      <c r="WLM11" s="120"/>
      <c r="WLN11" s="120"/>
      <c r="WLO11" s="120"/>
      <c r="WLP11" s="120"/>
      <c r="WLQ11" s="120"/>
      <c r="WLR11" s="120"/>
      <c r="WLS11" s="120"/>
      <c r="WLT11" s="120"/>
      <c r="WLU11" s="120"/>
      <c r="WLV11" s="120"/>
      <c r="WLW11" s="120"/>
      <c r="WLX11" s="120"/>
      <c r="WLY11" s="120"/>
      <c r="WLZ11" s="120"/>
      <c r="WMA11" s="120"/>
      <c r="WMB11" s="120"/>
      <c r="WMC11" s="120"/>
      <c r="WMD11" s="120"/>
      <c r="WME11" s="120"/>
      <c r="WMF11" s="120"/>
      <c r="WMG11" s="120"/>
      <c r="WMH11" s="120"/>
      <c r="WMI11" s="120"/>
      <c r="WMJ11" s="120"/>
      <c r="WMK11" s="120"/>
      <c r="WML11" s="120"/>
      <c r="WMM11" s="120"/>
      <c r="WMN11" s="120"/>
      <c r="WMO11" s="120"/>
      <c r="WMP11" s="120"/>
      <c r="WMQ11" s="120"/>
      <c r="WMR11" s="120"/>
      <c r="WMS11" s="120"/>
      <c r="WMT11" s="120"/>
      <c r="WMU11" s="120"/>
      <c r="WMV11" s="120"/>
      <c r="WMW11" s="120"/>
      <c r="WMX11" s="120"/>
      <c r="WMY11" s="120"/>
      <c r="WMZ11" s="120"/>
      <c r="WNA11" s="120"/>
      <c r="WNB11" s="120"/>
      <c r="WNC11" s="120"/>
      <c r="WND11" s="120"/>
      <c r="WNE11" s="120"/>
      <c r="WNF11" s="120"/>
      <c r="WNG11" s="120"/>
      <c r="WNH11" s="120"/>
      <c r="WNI11" s="120"/>
      <c r="WNJ11" s="120"/>
      <c r="WNK11" s="120"/>
      <c r="WNL11" s="120"/>
      <c r="WNM11" s="120"/>
      <c r="WNN11" s="120"/>
      <c r="WNO11" s="120"/>
      <c r="WNP11" s="120"/>
      <c r="WNQ11" s="120"/>
      <c r="WNR11" s="120"/>
      <c r="WNS11" s="120"/>
      <c r="WNT11" s="120"/>
      <c r="WNU11" s="120"/>
      <c r="WNV11" s="120"/>
      <c r="WNW11" s="120"/>
      <c r="WNX11" s="120"/>
      <c r="WNY11" s="120"/>
      <c r="WNZ11" s="120"/>
      <c r="WOA11" s="120"/>
      <c r="WOB11" s="120"/>
      <c r="WOC11" s="120"/>
      <c r="WOD11" s="120"/>
      <c r="WOE11" s="120"/>
      <c r="WOF11" s="120"/>
      <c r="WOG11" s="120"/>
      <c r="WOH11" s="120"/>
      <c r="WOI11" s="120"/>
      <c r="WOJ11" s="120"/>
      <c r="WOK11" s="120"/>
      <c r="WOL11" s="120"/>
      <c r="WOM11" s="120"/>
      <c r="WON11" s="120"/>
      <c r="WOO11" s="120"/>
      <c r="WOP11" s="120"/>
      <c r="WOQ11" s="120"/>
      <c r="WOR11" s="120"/>
      <c r="WOS11" s="120"/>
      <c r="WOT11" s="120"/>
      <c r="WOU11" s="120"/>
      <c r="WOV11" s="120"/>
      <c r="WOW11" s="120"/>
      <c r="WOX11" s="120"/>
      <c r="WOY11" s="120"/>
      <c r="WOZ11" s="120"/>
      <c r="WPA11" s="120"/>
      <c r="WPB11" s="120"/>
      <c r="WPC11" s="120"/>
      <c r="WPD11" s="120"/>
      <c r="WPE11" s="120"/>
      <c r="WPF11" s="120"/>
      <c r="WPG11" s="120"/>
      <c r="WPH11" s="120"/>
      <c r="WPI11" s="120"/>
      <c r="WPJ11" s="120"/>
      <c r="WPK11" s="120"/>
      <c r="WPL11" s="120"/>
      <c r="WPM11" s="120"/>
      <c r="WPN11" s="120"/>
      <c r="WPO11" s="120"/>
      <c r="WPP11" s="120"/>
      <c r="WPQ11" s="120"/>
      <c r="WPR11" s="120"/>
      <c r="WPS11" s="120"/>
      <c r="WPT11" s="120"/>
      <c r="WPU11" s="120"/>
      <c r="WPV11" s="120"/>
      <c r="WPW11" s="120"/>
      <c r="WPX11" s="120"/>
      <c r="WPY11" s="120"/>
      <c r="WPZ11" s="120"/>
      <c r="WQA11" s="120"/>
      <c r="WQB11" s="120"/>
      <c r="WQC11" s="120"/>
      <c r="WQD11" s="120"/>
      <c r="WQE11" s="120"/>
      <c r="WQF11" s="120"/>
      <c r="WQG11" s="120"/>
      <c r="WQH11" s="120"/>
      <c r="WQI11" s="120"/>
      <c r="WQJ11" s="120"/>
      <c r="WQK11" s="120"/>
      <c r="WQL11" s="120"/>
      <c r="WQM11" s="120"/>
      <c r="WQN11" s="120"/>
      <c r="WQO11" s="120"/>
      <c r="WQP11" s="120"/>
      <c r="WQQ11" s="120"/>
      <c r="WQR11" s="120"/>
      <c r="WQS11" s="120"/>
      <c r="WQT11" s="120"/>
      <c r="WQU11" s="120"/>
      <c r="WQV11" s="120"/>
      <c r="WQW11" s="120"/>
      <c r="WQX11" s="120"/>
      <c r="WQY11" s="120"/>
      <c r="WQZ11" s="120"/>
      <c r="WRA11" s="120"/>
      <c r="WRB11" s="120"/>
      <c r="WRC11" s="120"/>
      <c r="WRD11" s="120"/>
      <c r="WRE11" s="120"/>
      <c r="WRF11" s="120"/>
      <c r="WRG11" s="120"/>
      <c r="WRH11" s="120"/>
      <c r="WRI11" s="120"/>
      <c r="WRJ11" s="120"/>
      <c r="WRK11" s="120"/>
      <c r="WRL11" s="120"/>
      <c r="WRM11" s="120"/>
      <c r="WRN11" s="120"/>
      <c r="WRO11" s="120"/>
      <c r="WRP11" s="120"/>
      <c r="WRQ11" s="120"/>
      <c r="WRR11" s="120"/>
      <c r="WRS11" s="120"/>
      <c r="WRT11" s="120"/>
      <c r="WRU11" s="120"/>
      <c r="WRV11" s="120"/>
      <c r="WRW11" s="120"/>
      <c r="WRX11" s="120"/>
      <c r="WRY11" s="120"/>
      <c r="WRZ11" s="120"/>
      <c r="WSA11" s="120"/>
      <c r="WSB11" s="120"/>
      <c r="WSC11" s="120"/>
      <c r="WSD11" s="120"/>
      <c r="WSE11" s="120"/>
      <c r="WSF11" s="120"/>
      <c r="WSG11" s="120"/>
      <c r="WSH11" s="120"/>
      <c r="WSI11" s="120"/>
      <c r="WSJ11" s="120"/>
      <c r="WSK11" s="120"/>
      <c r="WSL11" s="120"/>
      <c r="WSM11" s="120"/>
      <c r="WSN11" s="120"/>
      <c r="WSO11" s="120"/>
      <c r="WSP11" s="120"/>
      <c r="WSQ11" s="120"/>
      <c r="WSR11" s="120"/>
      <c r="WSS11" s="120"/>
      <c r="WST11" s="120"/>
      <c r="WSU11" s="120"/>
      <c r="WSV11" s="120"/>
      <c r="WSW11" s="120"/>
      <c r="WSX11" s="120"/>
      <c r="WSY11" s="120"/>
      <c r="WSZ11" s="120"/>
      <c r="WTA11" s="120"/>
      <c r="WTB11" s="120"/>
      <c r="WTC11" s="120"/>
      <c r="WTD11" s="120"/>
      <c r="WTE11" s="120"/>
      <c r="WTF11" s="120"/>
      <c r="WTG11" s="120"/>
      <c r="WTH11" s="120"/>
      <c r="WTI11" s="120"/>
      <c r="WTJ11" s="120"/>
      <c r="WTK11" s="120"/>
      <c r="WTL11" s="120"/>
      <c r="WTM11" s="120"/>
      <c r="WTN11" s="120"/>
      <c r="WTO11" s="120"/>
      <c r="WTP11" s="120"/>
      <c r="WTQ11" s="120"/>
      <c r="WTR11" s="120"/>
      <c r="WTS11" s="120"/>
      <c r="WTT11" s="120"/>
      <c r="WTU11" s="120"/>
      <c r="WTV11" s="120"/>
      <c r="WTW11" s="120"/>
      <c r="WTX11" s="120"/>
      <c r="WTY11" s="120"/>
      <c r="WTZ11" s="120"/>
      <c r="WUA11" s="120"/>
      <c r="WUB11" s="120"/>
      <c r="WUC11" s="120"/>
      <c r="WUD11" s="120"/>
      <c r="WUE11" s="120"/>
      <c r="WUF11" s="120"/>
      <c r="WUG11" s="120"/>
      <c r="WUH11" s="120"/>
      <c r="WUI11" s="120"/>
      <c r="WUJ11" s="120"/>
      <c r="WUK11" s="120"/>
      <c r="WUL11" s="120"/>
      <c r="WUM11" s="120"/>
      <c r="WUN11" s="120"/>
      <c r="WUO11" s="120"/>
      <c r="WUP11" s="120"/>
      <c r="WUQ11" s="120"/>
      <c r="WUR11" s="120"/>
      <c r="WUS11" s="120"/>
      <c r="WUT11" s="120"/>
      <c r="WUU11" s="120"/>
      <c r="WUV11" s="120"/>
      <c r="WUW11" s="120"/>
      <c r="WUX11" s="120"/>
      <c r="WUY11" s="120"/>
      <c r="WUZ11" s="120"/>
      <c r="WVA11" s="120"/>
      <c r="WVB11" s="120"/>
      <c r="WVC11" s="120"/>
      <c r="WVD11" s="120"/>
      <c r="WVE11" s="120"/>
      <c r="WVF11" s="120"/>
      <c r="WVG11" s="120"/>
      <c r="WVH11" s="120"/>
      <c r="WVI11" s="120"/>
      <c r="WVJ11" s="120"/>
      <c r="WVK11" s="120"/>
      <c r="WVL11" s="120"/>
      <c r="WVM11" s="120"/>
      <c r="WVN11" s="120"/>
      <c r="WVO11" s="120"/>
      <c r="WVP11" s="120"/>
      <c r="WVQ11" s="120"/>
      <c r="WVR11" s="120"/>
      <c r="WVS11" s="120"/>
      <c r="WVT11" s="120"/>
      <c r="WVU11" s="120"/>
      <c r="WVV11" s="120"/>
      <c r="WVW11" s="120"/>
      <c r="WVX11" s="120"/>
      <c r="WVY11" s="120"/>
      <c r="WVZ11" s="120"/>
      <c r="WWA11" s="120"/>
      <c r="WWB11" s="120"/>
      <c r="WWC11" s="120"/>
      <c r="WWD11" s="120"/>
      <c r="WWE11" s="120"/>
      <c r="WWF11" s="120"/>
      <c r="WWG11" s="120"/>
      <c r="WWH11" s="120"/>
      <c r="WWI11" s="120"/>
      <c r="WWJ11" s="120"/>
      <c r="WWK11" s="120"/>
      <c r="WWL11" s="120"/>
      <c r="WWM11" s="120"/>
      <c r="WWN11" s="120"/>
      <c r="WWO11" s="120"/>
      <c r="WWP11" s="120"/>
      <c r="WWQ11" s="120"/>
      <c r="WWR11" s="120"/>
      <c r="WWS11" s="120"/>
      <c r="WWT11" s="120"/>
      <c r="WWU11" s="120"/>
      <c r="WWV11" s="120"/>
      <c r="WWW11" s="120"/>
      <c r="WWX11" s="120"/>
      <c r="WWY11" s="120"/>
      <c r="WWZ11" s="120"/>
      <c r="WXA11" s="120"/>
      <c r="WXB11" s="120"/>
      <c r="WXC11" s="120"/>
      <c r="WXD11" s="120"/>
      <c r="WXE11" s="120"/>
      <c r="WXF11" s="120"/>
      <c r="WXG11" s="120"/>
      <c r="WXH11" s="120"/>
      <c r="WXI11" s="120"/>
      <c r="WXJ11" s="120"/>
      <c r="WXK11" s="120"/>
      <c r="WXL11" s="120"/>
      <c r="WXM11" s="120"/>
      <c r="WXN11" s="120"/>
      <c r="WXO11" s="120"/>
      <c r="WXP11" s="120"/>
      <c r="WXQ11" s="120"/>
      <c r="WXR11" s="120"/>
      <c r="WXS11" s="120"/>
      <c r="WXT11" s="120"/>
      <c r="WXU11" s="120"/>
      <c r="WXV11" s="120"/>
      <c r="WXW11" s="120"/>
      <c r="WXX11" s="120"/>
      <c r="WXY11" s="120"/>
      <c r="WXZ11" s="120"/>
      <c r="WYA11" s="120"/>
      <c r="WYB11" s="120"/>
      <c r="WYC11" s="120"/>
      <c r="WYD11" s="120"/>
      <c r="WYE11" s="120"/>
      <c r="WYF11" s="120"/>
      <c r="WYG11" s="120"/>
      <c r="WYH11" s="120"/>
      <c r="WYI11" s="120"/>
      <c r="WYJ11" s="120"/>
      <c r="WYK11" s="120"/>
      <c r="WYL11" s="120"/>
      <c r="WYM11" s="120"/>
      <c r="WYN11" s="120"/>
      <c r="WYO11" s="120"/>
      <c r="WYP11" s="120"/>
      <c r="WYQ11" s="120"/>
      <c r="WYR11" s="120"/>
      <c r="WYS11" s="120"/>
      <c r="WYT11" s="120"/>
      <c r="WYU11" s="120"/>
      <c r="WYV11" s="120"/>
      <c r="WYW11" s="120"/>
      <c r="WYX11" s="120"/>
      <c r="WYY11" s="120"/>
      <c r="WYZ11" s="120"/>
      <c r="WZA11" s="120"/>
      <c r="WZB11" s="120"/>
      <c r="WZC11" s="120"/>
      <c r="WZD11" s="120"/>
      <c r="WZE11" s="120"/>
      <c r="WZF11" s="120"/>
      <c r="WZG11" s="120"/>
      <c r="WZH11" s="120"/>
      <c r="WZI11" s="120"/>
      <c r="WZJ11" s="120"/>
      <c r="WZK11" s="120"/>
      <c r="WZL11" s="120"/>
      <c r="WZM11" s="120"/>
      <c r="WZN11" s="120"/>
      <c r="WZO11" s="120"/>
      <c r="WZP11" s="120"/>
      <c r="WZQ11" s="120"/>
      <c r="WZR11" s="120"/>
      <c r="WZS11" s="120"/>
      <c r="WZT11" s="120"/>
      <c r="WZU11" s="120"/>
      <c r="WZV11" s="120"/>
      <c r="WZW11" s="120"/>
      <c r="WZX11" s="120"/>
      <c r="WZY11" s="120"/>
      <c r="WZZ11" s="120"/>
      <c r="XAA11" s="120"/>
      <c r="XAB11" s="120"/>
      <c r="XAC11" s="120"/>
      <c r="XAD11" s="120"/>
      <c r="XAE11" s="120"/>
      <c r="XAF11" s="120"/>
      <c r="XAG11" s="120"/>
      <c r="XAH11" s="120"/>
      <c r="XAI11" s="120"/>
      <c r="XAJ11" s="120"/>
      <c r="XAK11" s="120"/>
      <c r="XAL11" s="120"/>
      <c r="XAM11" s="120"/>
      <c r="XAN11" s="120"/>
      <c r="XAO11" s="120"/>
      <c r="XAP11" s="120"/>
      <c r="XAQ11" s="120"/>
      <c r="XAR11" s="120"/>
      <c r="XAS11" s="120"/>
      <c r="XAT11" s="120"/>
      <c r="XAU11" s="120"/>
      <c r="XAV11" s="120"/>
      <c r="XAW11" s="120"/>
      <c r="XAX11" s="120"/>
      <c r="XAY11" s="120"/>
      <c r="XAZ11" s="120"/>
      <c r="XBA11" s="120"/>
      <c r="XBB11" s="120"/>
      <c r="XBC11" s="120"/>
      <c r="XBD11" s="120"/>
      <c r="XBE11" s="120"/>
      <c r="XBF11" s="120"/>
      <c r="XBG11" s="120"/>
      <c r="XBH11" s="120"/>
      <c r="XBI11" s="120"/>
      <c r="XBJ11" s="120"/>
      <c r="XBK11" s="120"/>
      <c r="XBL11" s="120"/>
      <c r="XBM11" s="120"/>
      <c r="XBN11" s="120"/>
      <c r="XBO11" s="120"/>
      <c r="XBP11" s="120"/>
      <c r="XBQ11" s="120"/>
      <c r="XBR11" s="120"/>
      <c r="XBS11" s="120"/>
      <c r="XBT11" s="120"/>
      <c r="XBU11" s="120"/>
      <c r="XBV11" s="120"/>
      <c r="XBW11" s="120"/>
      <c r="XBX11" s="120"/>
      <c r="XBY11" s="120"/>
      <c r="XBZ11" s="120"/>
      <c r="XCA11" s="120"/>
      <c r="XCB11" s="120"/>
      <c r="XCC11" s="120"/>
      <c r="XCD11" s="120"/>
      <c r="XCE11" s="120"/>
      <c r="XCF11" s="120"/>
      <c r="XCG11" s="120"/>
      <c r="XCH11" s="120"/>
      <c r="XCI11" s="120"/>
      <c r="XCJ11" s="120"/>
      <c r="XCK11" s="120"/>
      <c r="XCL11" s="120"/>
      <c r="XCM11" s="120"/>
      <c r="XCN11" s="120"/>
      <c r="XCO11" s="120"/>
      <c r="XCP11" s="120"/>
      <c r="XCQ11" s="120"/>
      <c r="XCR11" s="120"/>
      <c r="XCS11" s="120"/>
      <c r="XCT11" s="120"/>
      <c r="XCU11" s="120"/>
      <c r="XCV11" s="120"/>
      <c r="XCW11" s="120"/>
      <c r="XCX11" s="120"/>
      <c r="XCY11" s="120"/>
      <c r="XCZ11" s="120"/>
      <c r="XDA11" s="120"/>
      <c r="XDB11" s="120"/>
      <c r="XDC11" s="120"/>
      <c r="XDD11" s="120"/>
      <c r="XDE11" s="120"/>
      <c r="XDF11" s="120"/>
      <c r="XDG11" s="120"/>
      <c r="XDH11" s="120"/>
      <c r="XDI11" s="120"/>
      <c r="XDJ11" s="120"/>
      <c r="XDK11" s="120"/>
      <c r="XDL11" s="120"/>
      <c r="XDM11" s="120"/>
      <c r="XDN11" s="120"/>
      <c r="XDO11" s="120"/>
      <c r="XDP11" s="120"/>
      <c r="XDQ11" s="120"/>
      <c r="XDR11" s="120"/>
      <c r="XDS11" s="120"/>
      <c r="XDT11" s="120"/>
      <c r="XDU11" s="120"/>
      <c r="XDV11" s="120"/>
      <c r="XDW11" s="120"/>
      <c r="XDX11" s="120"/>
      <c r="XDY11" s="120"/>
      <c r="XDZ11" s="120"/>
      <c r="XEA11" s="120"/>
      <c r="XEB11" s="120"/>
      <c r="XEC11" s="120"/>
      <c r="XED11" s="120"/>
      <c r="XEE11" s="120"/>
      <c r="XEF11" s="120"/>
      <c r="XEG11" s="120"/>
      <c r="XEH11" s="120"/>
      <c r="XEI11" s="120"/>
      <c r="XEJ11" s="120"/>
      <c r="XEK11" s="120"/>
      <c r="XEL11" s="120"/>
      <c r="XEM11" s="120"/>
      <c r="XEN11" s="120"/>
      <c r="XEO11" s="120"/>
      <c r="XEP11" s="120"/>
      <c r="XEQ11" s="120"/>
      <c r="XER11" s="120"/>
      <c r="XES11" s="120"/>
      <c r="XET11" s="120"/>
      <c r="XEU11" s="120"/>
      <c r="XEV11" s="120"/>
      <c r="XEW11" s="120"/>
      <c r="XEX11" s="120"/>
      <c r="XEY11" s="120"/>
      <c r="XEZ11" s="120"/>
      <c r="XFA11" s="120"/>
      <c r="XFB11" s="120"/>
      <c r="XFC11" s="120"/>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16383">
      <c r="A13" s="3"/>
      <c r="B13" s="3" t="s">
        <v>918</v>
      </c>
      <c r="C13" s="3"/>
      <c r="D13" s="3" t="s">
        <v>199</v>
      </c>
      <c r="E13" s="139">
        <f>'3. Input (des)investeringen '!F229</f>
        <v>9.0830073880921361E-2</v>
      </c>
      <c r="F13" s="139">
        <f>'3. Input (des)investeringen '!G229</f>
        <v>3.6254980079681365E-2</v>
      </c>
      <c r="G13" s="139">
        <f>'3. Input (des)investeringen '!H229</f>
        <v>3.5371011149557818E-2</v>
      </c>
      <c r="H13" s="139">
        <f>'3. Input (des)investeringen '!I229</f>
        <v>6.3126624582250282E-2</v>
      </c>
      <c r="I13" s="139">
        <f>'3. Input (des)investeringen '!J229</f>
        <v>9.1163115612993242E-2</v>
      </c>
      <c r="J13" s="139">
        <f>'3. Input (des)investeringen '!K229</f>
        <v>9.6350832266325306E-2</v>
      </c>
      <c r="K13" s="139">
        <f>'3. Input (des)investeringen '!L229</f>
        <v>0</v>
      </c>
      <c r="L13" s="139">
        <f>'3. Input (des)investeringen '!M229</f>
        <v>0</v>
      </c>
      <c r="M13" s="139">
        <f>'3. Input (des)investeringen '!N229</f>
        <v>0.04</v>
      </c>
      <c r="N13" s="139">
        <f>'3. Input (des)investeringen '!O229</f>
        <v>1.909039865244248E-2</v>
      </c>
      <c r="O13" s="139">
        <f>'3. Input (des)investeringen '!P229</f>
        <v>1.9008264462809853E-2</v>
      </c>
      <c r="P13" s="139">
        <f>'3. Input (des)investeringen '!Q229</f>
        <v>6.4882400648824015E-2</v>
      </c>
      <c r="Q13" s="139">
        <f>'3. Input (des)investeringen '!R229</f>
        <v>1.7263264788017294E-2</v>
      </c>
      <c r="R13" s="139">
        <f>'3. Input (des)investeringen '!S229</f>
        <v>8.4851509857749793E-3</v>
      </c>
      <c r="S13" s="139">
        <f>'3. Input (des)investeringen '!T229</f>
        <v>2.5488740410789294E-2</v>
      </c>
      <c r="T13" s="139">
        <f>'3. Input (des)investeringen '!U229</f>
        <v>1.6650579150579235E-2</v>
      </c>
      <c r="U13" s="139">
        <f>'3. Input (des)investeringen '!V229</f>
        <v>1.92262046047946E-2</v>
      </c>
      <c r="V13" s="139">
        <f>'3. Input (des)investeringen '!W229</f>
        <v>3.8192827200745308E-2</v>
      </c>
      <c r="W13" s="139">
        <f>'3. Input (des)investeringen '!X229</f>
        <v>1.9E-2</v>
      </c>
      <c r="X13" s="139">
        <f>'3. Input (des)investeringen '!Y229</f>
        <v>8.4000000000000005E-2</v>
      </c>
      <c r="Y13" s="139">
        <f>'3. Input (des)investeringen '!Z229</f>
        <v>4.2999999999999997E-2</v>
      </c>
      <c r="Z13" s="139">
        <f>'3. Input (des)investeringen '!AA229</f>
        <v>5.7999999999999996E-2</v>
      </c>
      <c r="AA13" s="139">
        <f>'3. Input (des)investeringen '!AB229</f>
        <v>3.9E-2</v>
      </c>
      <c r="AB13" s="139">
        <f>'3. Input (des)investeringen '!AC229</f>
        <v>3.3000000000000002E-2</v>
      </c>
      <c r="AC13" s="139">
        <f>'3. Input (des)investeringen '!AD229</f>
        <v>6.9000000000000006E-2</v>
      </c>
      <c r="AD13" s="139">
        <f>'3. Input (des)investeringen '!AE229</f>
        <v>5.4000000000000006E-2</v>
      </c>
      <c r="AE13" s="139">
        <f>'3. Input (des)investeringen '!AF229</f>
        <v>7.5999999999999998E-2</v>
      </c>
      <c r="AF13" s="139">
        <f>'3. Input (des)investeringen '!AG229</f>
        <v>7.400000000000001E-2</v>
      </c>
      <c r="AG13" s="139">
        <f>'3. Input (des)investeringen '!AH229</f>
        <v>8.1000000000000003E-2</v>
      </c>
      <c r="AH13" s="139">
        <f>'3. Input (des)investeringen '!AI229</f>
        <v>9.8000000000000004E-2</v>
      </c>
      <c r="AI13" s="139">
        <f>'3. Input (des)investeringen '!AJ229</f>
        <v>0.107</v>
      </c>
      <c r="AJ13" s="139">
        <f>'3. Input (des)investeringen '!AK229</f>
        <v>8.3000000000000004E-2</v>
      </c>
      <c r="AK13" s="139">
        <f>'3. Input (des)investeringen '!AL229</f>
        <v>6.8000000000000005E-2</v>
      </c>
      <c r="AL13" s="139">
        <f>'3. Input (des)investeringen '!AM229</f>
        <v>4.2000000000000003E-2</v>
      </c>
      <c r="AM13" s="139">
        <f>'3. Input (des)investeringen '!AN229</f>
        <v>3.7999999999999999E-2</v>
      </c>
      <c r="AN13" s="139">
        <f>'3. Input (des)investeringen '!AO229</f>
        <v>7.0999999999999994E-2</v>
      </c>
      <c r="AO13" s="139">
        <f>'3. Input (des)investeringen '!AP229</f>
        <v>6.4000000000000001E-2</v>
      </c>
      <c r="AP13" s="139">
        <f>'3. Input (des)investeringen '!AQ229</f>
        <v>5.9000000000000004E-2</v>
      </c>
      <c r="AQ13" s="139">
        <f>'3. Input (des)investeringen '!AR229</f>
        <v>2.6000000000000002E-2</v>
      </c>
      <c r="AR13" s="139">
        <f>'3. Input (des)investeringen '!AS229</f>
        <v>2.7999999999999997E-2</v>
      </c>
      <c r="AS13" s="139">
        <f>'3. Input (des)investeringen '!AT229</f>
        <v>2.3E-2</v>
      </c>
      <c r="AT13" s="139">
        <f>'3. Input (des)investeringen '!AU229</f>
        <v>-5.0000000000000001E-3</v>
      </c>
      <c r="AU13" s="139">
        <f>'3. Input (des)investeringen '!AV229</f>
        <v>2E-3</v>
      </c>
      <c r="AV13" s="139">
        <f>'3. Input (des)investeringen '!AW229</f>
        <v>9.0000000000000011E-3</v>
      </c>
      <c r="AW13" s="139">
        <f>'3. Input (des)investeringen '!AX229</f>
        <v>1.1000000000000001E-2</v>
      </c>
      <c r="AX13" s="139">
        <f>'3. Input (des)investeringen '!AY229</f>
        <v>2.4E-2</v>
      </c>
      <c r="AY13" s="139">
        <f>'3. Input (des)investeringen '!AZ229</f>
        <v>4.5999999999999999E-2</v>
      </c>
      <c r="AZ13" s="139">
        <f>'3. Input (des)investeringen '!BA229</f>
        <v>3.5000000000000003E-2</v>
      </c>
      <c r="BA13" s="139">
        <f>'3. Input (des)investeringen '!BB229</f>
        <v>0.02</v>
      </c>
      <c r="BB13" s="139">
        <f>'3. Input (des)investeringen '!BC229</f>
        <v>2.6000000000000002E-2</v>
      </c>
      <c r="BC13" s="139">
        <f>'3. Input (des)investeringen '!BD229</f>
        <v>1.4999999999999999E-2</v>
      </c>
      <c r="BD13" s="139">
        <f>'3. Input (des)investeringen '!BE229</f>
        <v>1.9E-2</v>
      </c>
      <c r="BE13" s="139">
        <f>'3. Input (des)investeringen '!BF229</f>
        <v>2.6000000000000002E-2</v>
      </c>
      <c r="BF13" s="139">
        <f>'3. Input (des)investeringen '!BG229</f>
        <v>1.7000000000000001E-2</v>
      </c>
      <c r="BG13" s="139">
        <f>'3. Input (des)investeringen '!BH229</f>
        <v>2.6000000000000002E-2</v>
      </c>
      <c r="BH13" s="139">
        <f>'3. Input (des)investeringen '!BI229</f>
        <v>2.5000000000000001E-2</v>
      </c>
      <c r="BI13" s="139">
        <f>'3. Input (des)investeringen '!BJ229</f>
        <v>4.7E-2</v>
      </c>
      <c r="BJ13" s="139">
        <f>'3. Input (des)investeringen '!BK229</f>
        <v>3.3000000000000002E-2</v>
      </c>
      <c r="BK13" s="139">
        <f>'3. Input (des)investeringen '!BL229</f>
        <v>2.1000000000000001E-2</v>
      </c>
      <c r="BL13" s="139">
        <f>'3. Input (des)investeringen '!BM229</f>
        <v>1.1000000000000001E-2</v>
      </c>
      <c r="BM13" s="139">
        <f>'3. Input (des)investeringen '!BN229</f>
        <v>1.7999999999999999E-2</v>
      </c>
      <c r="BN13" s="139">
        <f>'3. Input (des)investeringen '!BO229</f>
        <v>1.4E-2</v>
      </c>
      <c r="BO13" s="139">
        <f>'3. Input (des)investeringen '!BP229</f>
        <v>1.0999999999999999E-2</v>
      </c>
      <c r="BP13" s="139">
        <f>'3. Input (des)investeringen '!BQ229</f>
        <v>3.2000000000000001E-2</v>
      </c>
      <c r="BQ13" s="139">
        <f>'3. Input (des)investeringen '!BR229</f>
        <v>3.0000000000000001E-3</v>
      </c>
      <c r="BR13" s="139">
        <f>'3. Input (des)investeringen '!BS229</f>
        <v>1.4999999999999999E-2</v>
      </c>
      <c r="BS13" s="139">
        <f>'3. Input (des)investeringen '!BT229</f>
        <v>2.5999999999999999E-2</v>
      </c>
      <c r="BT13" s="139">
        <f>'3. Input (des)investeringen '!BU229</f>
        <v>2.3E-2</v>
      </c>
      <c r="BU13" s="139">
        <f>'3. Input (des)investeringen '!BV229</f>
        <v>2.8000000000000001E-2</v>
      </c>
      <c r="BV13" s="139">
        <f>'3. Input (des)investeringen '!BW229</f>
        <v>0.01</v>
      </c>
      <c r="BW13" s="139">
        <f>'3. Input (des)investeringen '!BX229</f>
        <v>8.0000000000000002E-3</v>
      </c>
      <c r="BX13" s="139">
        <f>'3. Input (des)investeringen '!BY229</f>
        <v>2E-3</v>
      </c>
      <c r="BY13" s="139">
        <f>'3. Input (des)investeringen '!BZ229</f>
        <v>1.4E-2</v>
      </c>
      <c r="BZ13" s="139">
        <f>'3. Input (des)investeringen '!CA229</f>
        <v>1.2E-2</v>
      </c>
      <c r="CA13" s="139">
        <f>'3. Input (des)investeringen '!CB229</f>
        <v>2.5999999999999999E-2</v>
      </c>
      <c r="CB13" s="139">
        <f>'3. Input (des)investeringen '!CC229</f>
        <v>1.6E-2</v>
      </c>
      <c r="CC13" s="139">
        <f>'3. Input (des)investeringen '!CD229</f>
        <v>1.7999999999999999E-2</v>
      </c>
      <c r="CD13" s="139">
        <f>'3. Input (des)investeringen '!CE229</f>
        <v>6.2E-2</v>
      </c>
      <c r="CE13" s="139">
        <f>'3. Input (des)investeringen '!CF229</f>
        <v>0.08</v>
      </c>
      <c r="CF13" s="139">
        <f>'3. Input (des)investeringen '!CG229</f>
        <v>2.8000000000000001E-2</v>
      </c>
      <c r="CG13" s="139">
        <f>'3. Input (des)investeringen '!CH229</f>
        <v>1.7000000000000001E-2</v>
      </c>
    </row>
    <row r="14" spans="1:16383" s="130" customFormat="1">
      <c r="A14" s="98"/>
      <c r="B14" s="98"/>
      <c r="C14" s="98"/>
      <c r="D14" s="98"/>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row>
    <row r="15" spans="1:16383" s="39" customFormat="1">
      <c r="A15" s="106"/>
      <c r="B15" s="39" t="s">
        <v>919</v>
      </c>
    </row>
    <row r="16" spans="1:16383" s="40" customFormat="1">
      <c r="A16" s="107"/>
      <c r="B16" s="40" t="s">
        <v>869</v>
      </c>
      <c r="D16" s="40" t="s">
        <v>281</v>
      </c>
      <c r="E16" s="40" t="s">
        <v>533</v>
      </c>
      <c r="F16" s="40" t="s">
        <v>534</v>
      </c>
      <c r="G16" s="40" t="s">
        <v>905</v>
      </c>
    </row>
    <row r="17" spans="2:7" s="3" customFormat="1"/>
    <row r="18" spans="2:7" s="3" customFormat="1">
      <c r="B18" s="43">
        <f>'13. Desinvesteringen'!B20</f>
        <v>1</v>
      </c>
      <c r="D18" s="43" t="str">
        <f>'13. Desinvesteringen'!C20</f>
        <v>01 Regionale leidingen</v>
      </c>
      <c r="E18" s="43">
        <f>'13. Desinvesteringen'!D20</f>
        <v>1955</v>
      </c>
      <c r="F18" s="48">
        <f>'13. Desinvesteringen'!E20</f>
        <v>7756.11</v>
      </c>
      <c r="G18" s="43">
        <f>'13. Desinvesteringen'!G20</f>
        <v>2020</v>
      </c>
    </row>
    <row r="19" spans="2:7" s="3" customFormat="1">
      <c r="B19" s="43">
        <f>'13. Desinvesteringen'!B21</f>
        <v>2</v>
      </c>
      <c r="D19" s="43" t="str">
        <f>'13. Desinvesteringen'!C21</f>
        <v>01 Regionale leidingen</v>
      </c>
      <c r="E19" s="43">
        <f>'13. Desinvesteringen'!D21</f>
        <v>1957</v>
      </c>
      <c r="F19" s="48">
        <f>'13. Desinvesteringen'!E21</f>
        <v>1329.11</v>
      </c>
      <c r="G19" s="43">
        <f>'13. Desinvesteringen'!G21</f>
        <v>2020</v>
      </c>
    </row>
    <row r="20" spans="2:7" s="3" customFormat="1">
      <c r="B20" s="43">
        <f>'13. Desinvesteringen'!B22</f>
        <v>3</v>
      </c>
      <c r="D20" s="43" t="str">
        <f>'13. Desinvesteringen'!C22</f>
        <v>01 Regionale leidingen</v>
      </c>
      <c r="E20" s="43">
        <f>'13. Desinvesteringen'!D22</f>
        <v>1958</v>
      </c>
      <c r="F20" s="48">
        <f>'13. Desinvesteringen'!E22</f>
        <v>110951.25</v>
      </c>
      <c r="G20" s="43">
        <f>'13. Desinvesteringen'!G22</f>
        <v>2020</v>
      </c>
    </row>
    <row r="21" spans="2:7" s="3" customFormat="1">
      <c r="B21" s="43">
        <f>'13. Desinvesteringen'!B23</f>
        <v>4</v>
      </c>
      <c r="D21" s="43" t="str">
        <f>'13. Desinvesteringen'!C23</f>
        <v>01 Regionale leidingen</v>
      </c>
      <c r="E21" s="43">
        <f>'13. Desinvesteringen'!D23</f>
        <v>1959</v>
      </c>
      <c r="F21" s="48">
        <f>'13. Desinvesteringen'!E23</f>
        <v>1485.2</v>
      </c>
      <c r="G21" s="43">
        <f>'13. Desinvesteringen'!G23</f>
        <v>2020</v>
      </c>
    </row>
    <row r="22" spans="2:7" s="3" customFormat="1">
      <c r="B22" s="43">
        <f>'13. Desinvesteringen'!B24</f>
        <v>5</v>
      </c>
      <c r="D22" s="43" t="str">
        <f>'13. Desinvesteringen'!C24</f>
        <v>01 Regionale leidingen</v>
      </c>
      <c r="E22" s="43">
        <f>'13. Desinvesteringen'!D24</f>
        <v>1960</v>
      </c>
      <c r="F22" s="48">
        <f>'13. Desinvesteringen'!E24</f>
        <v>472102</v>
      </c>
      <c r="G22" s="43">
        <f>'13. Desinvesteringen'!G24</f>
        <v>2020</v>
      </c>
    </row>
    <row r="23" spans="2:7" s="3" customFormat="1">
      <c r="B23" s="43">
        <f>'13. Desinvesteringen'!B25</f>
        <v>6</v>
      </c>
      <c r="D23" s="43" t="str">
        <f>'13. Desinvesteringen'!C25</f>
        <v>01 Regionale leidingen</v>
      </c>
      <c r="E23" s="43">
        <f>'13. Desinvesteringen'!D25</f>
        <v>1963</v>
      </c>
      <c r="F23" s="48">
        <f>'13. Desinvesteringen'!E25</f>
        <v>5199.87</v>
      </c>
      <c r="G23" s="43">
        <f>'13. Desinvesteringen'!G25</f>
        <v>2020</v>
      </c>
    </row>
    <row r="24" spans="2:7" s="3" customFormat="1">
      <c r="B24" s="43">
        <f>'13. Desinvesteringen'!B26</f>
        <v>7</v>
      </c>
      <c r="D24" s="43" t="str">
        <f>'13. Desinvesteringen'!C26</f>
        <v>01 Regionale leidingen</v>
      </c>
      <c r="E24" s="43">
        <f>'13. Desinvesteringen'!D26</f>
        <v>1965</v>
      </c>
      <c r="F24" s="48">
        <f>'13. Desinvesteringen'!E26</f>
        <v>323801.40000000002</v>
      </c>
      <c r="G24" s="43">
        <f>'13. Desinvesteringen'!G26</f>
        <v>2020</v>
      </c>
    </row>
    <row r="25" spans="2:7" s="3" customFormat="1">
      <c r="B25" s="43">
        <f>'13. Desinvesteringen'!B27</f>
        <v>8</v>
      </c>
      <c r="D25" s="43" t="str">
        <f>'13. Desinvesteringen'!C27</f>
        <v>01 Regionale leidingen</v>
      </c>
      <c r="E25" s="43">
        <f>'13. Desinvesteringen'!D27</f>
        <v>1966</v>
      </c>
      <c r="F25" s="48">
        <f>'13. Desinvesteringen'!E27</f>
        <v>436963.19</v>
      </c>
      <c r="G25" s="43">
        <f>'13. Desinvesteringen'!G27</f>
        <v>2020</v>
      </c>
    </row>
    <row r="26" spans="2:7" s="3" customFormat="1">
      <c r="B26" s="43">
        <f>'13. Desinvesteringen'!B28</f>
        <v>9</v>
      </c>
      <c r="D26" s="43" t="str">
        <f>'13. Desinvesteringen'!C28</f>
        <v>01 Regionale leidingen</v>
      </c>
      <c r="E26" s="43">
        <f>'13. Desinvesteringen'!D28</f>
        <v>1967</v>
      </c>
      <c r="F26" s="48">
        <f>'13. Desinvesteringen'!E28</f>
        <v>527887.29</v>
      </c>
      <c r="G26" s="43">
        <f>'13. Desinvesteringen'!G28</f>
        <v>2020</v>
      </c>
    </row>
    <row r="27" spans="2:7" s="3" customFormat="1">
      <c r="B27" s="43">
        <f>'13. Desinvesteringen'!B29</f>
        <v>10</v>
      </c>
      <c r="D27" s="43" t="str">
        <f>'13. Desinvesteringen'!C29</f>
        <v>01 Regionale leidingen</v>
      </c>
      <c r="E27" s="43">
        <f>'13. Desinvesteringen'!D29</f>
        <v>1968</v>
      </c>
      <c r="F27" s="48">
        <f>'13. Desinvesteringen'!E29</f>
        <v>243220.29</v>
      </c>
      <c r="G27" s="43">
        <f>'13. Desinvesteringen'!G29</f>
        <v>2020</v>
      </c>
    </row>
    <row r="28" spans="2:7" s="3" customFormat="1">
      <c r="B28" s="43">
        <f>'13. Desinvesteringen'!B30</f>
        <v>11</v>
      </c>
      <c r="D28" s="43" t="str">
        <f>'13. Desinvesteringen'!C30</f>
        <v>01 Regionale leidingen</v>
      </c>
      <c r="E28" s="43">
        <f>'13. Desinvesteringen'!D30</f>
        <v>1969</v>
      </c>
      <c r="F28" s="48">
        <f>'13. Desinvesteringen'!E30</f>
        <v>157118.15</v>
      </c>
      <c r="G28" s="43">
        <f>'13. Desinvesteringen'!G30</f>
        <v>2020</v>
      </c>
    </row>
    <row r="29" spans="2:7" s="3" customFormat="1">
      <c r="B29" s="43">
        <f>'13. Desinvesteringen'!B31</f>
        <v>12</v>
      </c>
      <c r="D29" s="43" t="str">
        <f>'13. Desinvesteringen'!C31</f>
        <v>01 Regionale leidingen</v>
      </c>
      <c r="E29" s="43">
        <f>'13. Desinvesteringen'!D31</f>
        <v>1970</v>
      </c>
      <c r="F29" s="48">
        <f>'13. Desinvesteringen'!E31</f>
        <v>186298.57</v>
      </c>
      <c r="G29" s="43">
        <f>'13. Desinvesteringen'!G31</f>
        <v>2020</v>
      </c>
    </row>
    <row r="30" spans="2:7" s="3" customFormat="1">
      <c r="B30" s="43">
        <f>'13. Desinvesteringen'!B32</f>
        <v>13</v>
      </c>
      <c r="D30" s="43" t="str">
        <f>'13. Desinvesteringen'!C32</f>
        <v>01 Regionale leidingen</v>
      </c>
      <c r="E30" s="43">
        <f>'13. Desinvesteringen'!D32</f>
        <v>1971</v>
      </c>
      <c r="F30" s="48">
        <f>'13. Desinvesteringen'!E32</f>
        <v>161892.66</v>
      </c>
      <c r="G30" s="43">
        <f>'13. Desinvesteringen'!G32</f>
        <v>2020</v>
      </c>
    </row>
    <row r="31" spans="2:7" s="3" customFormat="1">
      <c r="B31" s="43">
        <f>'13. Desinvesteringen'!B33</f>
        <v>14</v>
      </c>
      <c r="D31" s="43" t="str">
        <f>'13. Desinvesteringen'!C33</f>
        <v>01 Regionale leidingen</v>
      </c>
      <c r="E31" s="43">
        <f>'13. Desinvesteringen'!D33</f>
        <v>1972</v>
      </c>
      <c r="F31" s="48">
        <f>'13. Desinvesteringen'!E33</f>
        <v>414299.14</v>
      </c>
      <c r="G31" s="43">
        <f>'13. Desinvesteringen'!G33</f>
        <v>2020</v>
      </c>
    </row>
    <row r="32" spans="2:7" s="3" customFormat="1">
      <c r="B32" s="43">
        <f>'13. Desinvesteringen'!B34</f>
        <v>15</v>
      </c>
      <c r="D32" s="43" t="str">
        <f>'13. Desinvesteringen'!C34</f>
        <v>01 Regionale leidingen</v>
      </c>
      <c r="E32" s="43">
        <f>'13. Desinvesteringen'!D34</f>
        <v>1973</v>
      </c>
      <c r="F32" s="48">
        <f>'13. Desinvesteringen'!E34</f>
        <v>199407.52</v>
      </c>
      <c r="G32" s="43">
        <f>'13. Desinvesteringen'!G34</f>
        <v>2020</v>
      </c>
    </row>
    <row r="33" spans="2:7" s="3" customFormat="1">
      <c r="B33" s="43">
        <f>'13. Desinvesteringen'!B35</f>
        <v>16</v>
      </c>
      <c r="D33" s="43" t="str">
        <f>'13. Desinvesteringen'!C35</f>
        <v>01 Regionale leidingen</v>
      </c>
      <c r="E33" s="43">
        <f>'13. Desinvesteringen'!D35</f>
        <v>1974</v>
      </c>
      <c r="F33" s="48">
        <f>'13. Desinvesteringen'!E35</f>
        <v>45610.86</v>
      </c>
      <c r="G33" s="43">
        <f>'13. Desinvesteringen'!G35</f>
        <v>2020</v>
      </c>
    </row>
    <row r="34" spans="2:7" s="3" customFormat="1">
      <c r="B34" s="43">
        <f>'13. Desinvesteringen'!B36</f>
        <v>17</v>
      </c>
      <c r="D34" s="43" t="str">
        <f>'13. Desinvesteringen'!C36</f>
        <v>01 Regionale leidingen</v>
      </c>
      <c r="E34" s="43">
        <f>'13. Desinvesteringen'!D36</f>
        <v>1975</v>
      </c>
      <c r="F34" s="48">
        <f>'13. Desinvesteringen'!E36</f>
        <v>26637.1</v>
      </c>
      <c r="G34" s="43">
        <f>'13. Desinvesteringen'!G36</f>
        <v>2020</v>
      </c>
    </row>
    <row r="35" spans="2:7" s="3" customFormat="1">
      <c r="B35" s="43">
        <f>'13. Desinvesteringen'!B37</f>
        <v>18</v>
      </c>
      <c r="D35" s="43" t="str">
        <f>'13. Desinvesteringen'!C37</f>
        <v>01 Regionale leidingen</v>
      </c>
      <c r="E35" s="43">
        <f>'13. Desinvesteringen'!D37</f>
        <v>1976</v>
      </c>
      <c r="F35" s="48">
        <f>'13. Desinvesteringen'!E37</f>
        <v>110116.33</v>
      </c>
      <c r="G35" s="43">
        <f>'13. Desinvesteringen'!G37</f>
        <v>2020</v>
      </c>
    </row>
    <row r="36" spans="2:7" s="3" customFormat="1">
      <c r="B36" s="43">
        <f>'13. Desinvesteringen'!B38</f>
        <v>19</v>
      </c>
      <c r="D36" s="43" t="str">
        <f>'13. Desinvesteringen'!C38</f>
        <v>01 Regionale leidingen</v>
      </c>
      <c r="E36" s="43">
        <f>'13. Desinvesteringen'!D38</f>
        <v>1977</v>
      </c>
      <c r="F36" s="48">
        <f>'13. Desinvesteringen'!E38</f>
        <v>40000</v>
      </c>
      <c r="G36" s="43">
        <f>'13. Desinvesteringen'!G38</f>
        <v>2020</v>
      </c>
    </row>
    <row r="37" spans="2:7" s="3" customFormat="1">
      <c r="B37" s="43">
        <f>'13. Desinvesteringen'!B39</f>
        <v>20</v>
      </c>
      <c r="D37" s="43" t="str">
        <f>'13. Desinvesteringen'!C39</f>
        <v>01 Regionale leidingen</v>
      </c>
      <c r="E37" s="43">
        <f>'13. Desinvesteringen'!D39</f>
        <v>1980</v>
      </c>
      <c r="F37" s="48">
        <f>'13. Desinvesteringen'!E39</f>
        <v>104178.71</v>
      </c>
      <c r="G37" s="43">
        <f>'13. Desinvesteringen'!G39</f>
        <v>2020</v>
      </c>
    </row>
    <row r="38" spans="2:7" s="3" customFormat="1">
      <c r="B38" s="43">
        <f>'13. Desinvesteringen'!B40</f>
        <v>21</v>
      </c>
      <c r="D38" s="43" t="str">
        <f>'13. Desinvesteringen'!C40</f>
        <v>01 Regionale leidingen</v>
      </c>
      <c r="E38" s="43">
        <f>'13. Desinvesteringen'!D40</f>
        <v>1986</v>
      </c>
      <c r="F38" s="48">
        <f>'13. Desinvesteringen'!E40</f>
        <v>1666.04</v>
      </c>
      <c r="G38" s="43">
        <f>'13. Desinvesteringen'!G40</f>
        <v>2020</v>
      </c>
    </row>
    <row r="39" spans="2:7" s="3" customFormat="1">
      <c r="B39" s="43">
        <f>'13. Desinvesteringen'!B41</f>
        <v>22</v>
      </c>
      <c r="D39" s="43" t="str">
        <f>'13. Desinvesteringen'!C41</f>
        <v>01 Regionale leidingen</v>
      </c>
      <c r="E39" s="43">
        <f>'13. Desinvesteringen'!D41</f>
        <v>1987</v>
      </c>
      <c r="F39" s="48">
        <f>'13. Desinvesteringen'!E41</f>
        <v>35717.06</v>
      </c>
      <c r="G39" s="43">
        <f>'13. Desinvesteringen'!G41</f>
        <v>2020</v>
      </c>
    </row>
    <row r="40" spans="2:7" s="3" customFormat="1">
      <c r="B40" s="43">
        <f>'13. Desinvesteringen'!B42</f>
        <v>23</v>
      </c>
      <c r="D40" s="43" t="str">
        <f>'13. Desinvesteringen'!C42</f>
        <v>01 Regionale leidingen</v>
      </c>
      <c r="E40" s="43">
        <f>'13. Desinvesteringen'!D42</f>
        <v>1988</v>
      </c>
      <c r="F40" s="48">
        <f>'13. Desinvesteringen'!E42</f>
        <v>4808.08</v>
      </c>
      <c r="G40" s="43">
        <f>'13. Desinvesteringen'!G42</f>
        <v>2020</v>
      </c>
    </row>
    <row r="41" spans="2:7" s="3" customFormat="1">
      <c r="B41" s="43">
        <f>'13. Desinvesteringen'!B43</f>
        <v>24</v>
      </c>
      <c r="D41" s="43" t="str">
        <f>'13. Desinvesteringen'!C43</f>
        <v>01 Regionale leidingen</v>
      </c>
      <c r="E41" s="43">
        <f>'13. Desinvesteringen'!D43</f>
        <v>1989</v>
      </c>
      <c r="F41" s="48">
        <f>'13. Desinvesteringen'!E43</f>
        <v>24785.81</v>
      </c>
      <c r="G41" s="43">
        <f>'13. Desinvesteringen'!G43</f>
        <v>2020</v>
      </c>
    </row>
    <row r="42" spans="2:7" s="3" customFormat="1">
      <c r="B42" s="43">
        <f>'13. Desinvesteringen'!B44</f>
        <v>25</v>
      </c>
      <c r="D42" s="43" t="str">
        <f>'13. Desinvesteringen'!C44</f>
        <v>01 Regionale leidingen</v>
      </c>
      <c r="E42" s="43">
        <f>'13. Desinvesteringen'!D44</f>
        <v>1992</v>
      </c>
      <c r="F42" s="48">
        <f>'13. Desinvesteringen'!E44</f>
        <v>22986.32</v>
      </c>
      <c r="G42" s="43">
        <f>'13. Desinvesteringen'!G44</f>
        <v>2020</v>
      </c>
    </row>
    <row r="43" spans="2:7" s="3" customFormat="1">
      <c r="B43" s="43">
        <f>'13. Desinvesteringen'!B45</f>
        <v>26</v>
      </c>
      <c r="D43" s="43" t="str">
        <f>'13. Desinvesteringen'!C45</f>
        <v>01 Regionale leidingen</v>
      </c>
      <c r="E43" s="43">
        <f>'13. Desinvesteringen'!D45</f>
        <v>1999</v>
      </c>
      <c r="F43" s="48">
        <f>'13. Desinvesteringen'!E45</f>
        <v>62463.15</v>
      </c>
      <c r="G43" s="43">
        <f>'13. Desinvesteringen'!G45</f>
        <v>2020</v>
      </c>
    </row>
    <row r="44" spans="2:7" s="3" customFormat="1">
      <c r="B44" s="43">
        <f>'13. Desinvesteringen'!B46</f>
        <v>27</v>
      </c>
      <c r="D44" s="43" t="str">
        <f>'13. Desinvesteringen'!C46</f>
        <v>01 Regionale leidingen</v>
      </c>
      <c r="E44" s="43">
        <f>'13. Desinvesteringen'!D46</f>
        <v>2000</v>
      </c>
      <c r="F44" s="48">
        <f>'13. Desinvesteringen'!E46</f>
        <v>184556.79</v>
      </c>
      <c r="G44" s="43">
        <f>'13. Desinvesteringen'!G46</f>
        <v>2020</v>
      </c>
    </row>
    <row r="45" spans="2:7" s="3" customFormat="1">
      <c r="B45" s="43">
        <f>'13. Desinvesteringen'!B47</f>
        <v>28</v>
      </c>
      <c r="D45" s="43" t="str">
        <f>'13. Desinvesteringen'!C47</f>
        <v>01 Regionale leidingen</v>
      </c>
      <c r="E45" s="43">
        <f>'13. Desinvesteringen'!D47</f>
        <v>2001</v>
      </c>
      <c r="F45" s="48">
        <f>'13. Desinvesteringen'!E47</f>
        <v>74893.259999999995</v>
      </c>
      <c r="G45" s="43">
        <f>'13. Desinvesteringen'!G47</f>
        <v>2020</v>
      </c>
    </row>
    <row r="46" spans="2:7" s="3" customFormat="1">
      <c r="B46" s="43">
        <f>'13. Desinvesteringen'!B48</f>
        <v>29</v>
      </c>
      <c r="D46" s="43" t="str">
        <f>'13. Desinvesteringen'!C48</f>
        <v>01 Regionale leidingen</v>
      </c>
      <c r="E46" s="43">
        <f>'13. Desinvesteringen'!D48</f>
        <v>2002</v>
      </c>
      <c r="F46" s="48">
        <f>'13. Desinvesteringen'!E48</f>
        <v>98192.88</v>
      </c>
      <c r="G46" s="43">
        <f>'13. Desinvesteringen'!G48</f>
        <v>2020</v>
      </c>
    </row>
    <row r="47" spans="2:7" s="3" customFormat="1">
      <c r="B47" s="43">
        <f>'13. Desinvesteringen'!B49</f>
        <v>30</v>
      </c>
      <c r="D47" s="43" t="str">
        <f>'13. Desinvesteringen'!C49</f>
        <v>01 Regionale leidingen</v>
      </c>
      <c r="E47" s="43">
        <f>'13. Desinvesteringen'!D49</f>
        <v>2003</v>
      </c>
      <c r="F47" s="48">
        <f>'13. Desinvesteringen'!E49</f>
        <v>117678.13</v>
      </c>
      <c r="G47" s="43">
        <f>'13. Desinvesteringen'!G49</f>
        <v>2020</v>
      </c>
    </row>
    <row r="48" spans="2:7" s="3" customFormat="1">
      <c r="B48" s="43">
        <f>'13. Desinvesteringen'!B50</f>
        <v>31</v>
      </c>
      <c r="D48" s="43" t="str">
        <f>'13. Desinvesteringen'!C50</f>
        <v>01 Regionale leidingen</v>
      </c>
      <c r="E48" s="43">
        <f>'13. Desinvesteringen'!D50</f>
        <v>2004</v>
      </c>
      <c r="F48" s="48">
        <f>'13. Desinvesteringen'!E50</f>
        <v>26579.37</v>
      </c>
      <c r="G48" s="43">
        <f>'13. Desinvesteringen'!G50</f>
        <v>2020</v>
      </c>
    </row>
    <row r="49" spans="2:7" s="3" customFormat="1">
      <c r="B49" s="43">
        <f>'13. Desinvesteringen'!B51</f>
        <v>32</v>
      </c>
      <c r="D49" s="43" t="str">
        <f>'13. Desinvesteringen'!C51</f>
        <v>01 Regionale leidingen</v>
      </c>
      <c r="E49" s="43">
        <f>'13. Desinvesteringen'!D51</f>
        <v>2005</v>
      </c>
      <c r="F49" s="48">
        <f>'13. Desinvesteringen'!E51</f>
        <v>2763.58</v>
      </c>
      <c r="G49" s="43">
        <f>'13. Desinvesteringen'!G51</f>
        <v>2020</v>
      </c>
    </row>
    <row r="50" spans="2:7" s="3" customFormat="1">
      <c r="B50" s="43">
        <f>'13. Desinvesteringen'!B52</f>
        <v>33</v>
      </c>
      <c r="D50" s="43" t="str">
        <f>'13. Desinvesteringen'!C52</f>
        <v>01 Regionale leidingen</v>
      </c>
      <c r="E50" s="43">
        <f>'13. Desinvesteringen'!D52</f>
        <v>2011</v>
      </c>
      <c r="F50" s="48">
        <f>'13. Desinvesteringen'!E52</f>
        <v>6196.9935750000004</v>
      </c>
      <c r="G50" s="43">
        <f>'13. Desinvesteringen'!G52</f>
        <v>2020</v>
      </c>
    </row>
    <row r="51" spans="2:7" s="3" customFormat="1">
      <c r="B51" s="43">
        <f>'13. Desinvesteringen'!B53</f>
        <v>34</v>
      </c>
      <c r="D51" s="43" t="str">
        <f>'13. Desinvesteringen'!C53</f>
        <v>01 Regionale leidingen</v>
      </c>
      <c r="E51" s="43">
        <f>'13. Desinvesteringen'!D53</f>
        <v>2013</v>
      </c>
      <c r="F51" s="48">
        <f>'13. Desinvesteringen'!E53</f>
        <v>800675.63015999994</v>
      </c>
      <c r="G51" s="43">
        <f>'13. Desinvesteringen'!G53</f>
        <v>2020</v>
      </c>
    </row>
    <row r="52" spans="2:7" s="3" customFormat="1">
      <c r="B52" s="43">
        <f>'13. Desinvesteringen'!B54</f>
        <v>35</v>
      </c>
      <c r="D52" s="43" t="str">
        <f>'13. Desinvesteringen'!C54</f>
        <v>01 Regionale leidingen (Waterkruisingen)</v>
      </c>
      <c r="E52" s="43">
        <f>'13. Desinvesteringen'!D54</f>
        <v>1966</v>
      </c>
      <c r="F52" s="48">
        <f>'13. Desinvesteringen'!E54</f>
        <v>185.7</v>
      </c>
      <c r="G52" s="43">
        <f>'13. Desinvesteringen'!G54</f>
        <v>2020</v>
      </c>
    </row>
    <row r="53" spans="2:7" s="3" customFormat="1">
      <c r="B53" s="43">
        <f>'13. Desinvesteringen'!B55</f>
        <v>36</v>
      </c>
      <c r="D53" s="43" t="str">
        <f>'13. Desinvesteringen'!C55</f>
        <v>01 Regionale leidingen (Waterkruisingen)</v>
      </c>
      <c r="E53" s="43">
        <f>'13. Desinvesteringen'!D55</f>
        <v>1969</v>
      </c>
      <c r="F53" s="48">
        <f>'13. Desinvesteringen'!E55</f>
        <v>16723.95</v>
      </c>
      <c r="G53" s="43">
        <f>'13. Desinvesteringen'!G55</f>
        <v>2020</v>
      </c>
    </row>
    <row r="54" spans="2:7" s="3" customFormat="1">
      <c r="B54" s="43">
        <f>'13. Desinvesteringen'!B56</f>
        <v>37</v>
      </c>
      <c r="D54" s="43" t="str">
        <f>'13. Desinvesteringen'!C56</f>
        <v>01 Regionale leidingen (Waterkruisingen)</v>
      </c>
      <c r="E54" s="43">
        <f>'13. Desinvesteringen'!D56</f>
        <v>1971</v>
      </c>
      <c r="F54" s="48">
        <f>'13. Desinvesteringen'!E56</f>
        <v>20942.86</v>
      </c>
      <c r="G54" s="43">
        <f>'13. Desinvesteringen'!G56</f>
        <v>2020</v>
      </c>
    </row>
    <row r="55" spans="2:7" s="3" customFormat="1">
      <c r="B55" s="43">
        <f>'13. Desinvesteringen'!B57</f>
        <v>38</v>
      </c>
      <c r="D55" s="43" t="str">
        <f>'13. Desinvesteringen'!C57</f>
        <v>01 Regionale leidingen (Waterkruisingen)</v>
      </c>
      <c r="E55" s="43">
        <f>'13. Desinvesteringen'!D57</f>
        <v>1972</v>
      </c>
      <c r="F55" s="48">
        <f>'13. Desinvesteringen'!E57</f>
        <v>40987.47</v>
      </c>
      <c r="G55" s="43">
        <f>'13. Desinvesteringen'!G57</f>
        <v>2020</v>
      </c>
    </row>
    <row r="56" spans="2:7" s="3" customFormat="1">
      <c r="B56" s="43">
        <f>'13. Desinvesteringen'!B58</f>
        <v>39</v>
      </c>
      <c r="D56" s="43" t="str">
        <f>'13. Desinvesteringen'!C58</f>
        <v>01 Regionale leidingen (Waterkruisingen)</v>
      </c>
      <c r="E56" s="43">
        <f>'13. Desinvesteringen'!D58</f>
        <v>1973</v>
      </c>
      <c r="F56" s="48">
        <f>'13. Desinvesteringen'!E58</f>
        <v>12298.26</v>
      </c>
      <c r="G56" s="43">
        <f>'13. Desinvesteringen'!G58</f>
        <v>2020</v>
      </c>
    </row>
    <row r="57" spans="2:7" s="3" customFormat="1">
      <c r="B57" s="43">
        <f>'13. Desinvesteringen'!B59</f>
        <v>40</v>
      </c>
      <c r="D57" s="43" t="str">
        <f>'13. Desinvesteringen'!C59</f>
        <v>01 Regionale leidingen (Waterkruisingen)</v>
      </c>
      <c r="E57" s="43">
        <f>'13. Desinvesteringen'!D59</f>
        <v>1975</v>
      </c>
      <c r="F57" s="48">
        <f>'13. Desinvesteringen'!E59</f>
        <v>13362.9</v>
      </c>
      <c r="G57" s="43">
        <f>'13. Desinvesteringen'!G59</f>
        <v>2020</v>
      </c>
    </row>
    <row r="58" spans="2:7" s="3" customFormat="1">
      <c r="B58" s="43">
        <f>'13. Desinvesteringen'!B60</f>
        <v>41</v>
      </c>
      <c r="D58" s="43" t="str">
        <f>'13. Desinvesteringen'!C60</f>
        <v>01 Regionale leidingen (Waterkruisingen)</v>
      </c>
      <c r="E58" s="43">
        <f>'13. Desinvesteringen'!D60</f>
        <v>1980</v>
      </c>
      <c r="F58" s="48">
        <f>'13. Desinvesteringen'!E60</f>
        <v>47995.57</v>
      </c>
      <c r="G58" s="43">
        <f>'13. Desinvesteringen'!G60</f>
        <v>2020</v>
      </c>
    </row>
    <row r="59" spans="2:7" s="3" customFormat="1">
      <c r="B59" s="43">
        <f>'13. Desinvesteringen'!B61</f>
        <v>42</v>
      </c>
      <c r="D59" s="43" t="str">
        <f>'13. Desinvesteringen'!C61</f>
        <v>02 Gasontvangststations</v>
      </c>
      <c r="E59" s="43">
        <f>'13. Desinvesteringen'!D61</f>
        <v>1965</v>
      </c>
      <c r="F59" s="48">
        <f>'13. Desinvesteringen'!E61</f>
        <v>162736.70000000001</v>
      </c>
      <c r="G59" s="43">
        <f>'13. Desinvesteringen'!G61</f>
        <v>2020</v>
      </c>
    </row>
    <row r="60" spans="2:7" s="3" customFormat="1">
      <c r="B60" s="43">
        <f>'13. Desinvesteringen'!B62</f>
        <v>43</v>
      </c>
      <c r="D60" s="43" t="str">
        <f>'13. Desinvesteringen'!C62</f>
        <v>02 Gasontvangststations</v>
      </c>
      <c r="E60" s="43">
        <f>'13. Desinvesteringen'!D62</f>
        <v>1966</v>
      </c>
      <c r="F60" s="48">
        <f>'13. Desinvesteringen'!E62</f>
        <v>282042.34000000003</v>
      </c>
      <c r="G60" s="43">
        <f>'13. Desinvesteringen'!G62</f>
        <v>2020</v>
      </c>
    </row>
    <row r="61" spans="2:7" s="3" customFormat="1">
      <c r="B61" s="43">
        <f>'13. Desinvesteringen'!B63</f>
        <v>44</v>
      </c>
      <c r="D61" s="43" t="str">
        <f>'13. Desinvesteringen'!C63</f>
        <v>02 Gasontvangststations</v>
      </c>
      <c r="E61" s="43">
        <f>'13. Desinvesteringen'!D63</f>
        <v>1967</v>
      </c>
      <c r="F61" s="48">
        <f>'13. Desinvesteringen'!E63</f>
        <v>390313.68</v>
      </c>
      <c r="G61" s="43">
        <f>'13. Desinvesteringen'!G63</f>
        <v>2020</v>
      </c>
    </row>
    <row r="62" spans="2:7" s="3" customFormat="1">
      <c r="B62" s="43">
        <f>'13. Desinvesteringen'!B64</f>
        <v>45</v>
      </c>
      <c r="D62" s="43" t="str">
        <f>'13. Desinvesteringen'!C64</f>
        <v>02 Gasontvangststations</v>
      </c>
      <c r="E62" s="43">
        <f>'13. Desinvesteringen'!D64</f>
        <v>1968</v>
      </c>
      <c r="F62" s="48">
        <f>'13. Desinvesteringen'!E64</f>
        <v>337925.75</v>
      </c>
      <c r="G62" s="43">
        <f>'13. Desinvesteringen'!G64</f>
        <v>2020</v>
      </c>
    </row>
    <row r="63" spans="2:7" s="3" customFormat="1">
      <c r="B63" s="43">
        <f>'13. Desinvesteringen'!B65</f>
        <v>46</v>
      </c>
      <c r="D63" s="43" t="str">
        <f>'13. Desinvesteringen'!C65</f>
        <v>02 Gasontvangststations</v>
      </c>
      <c r="E63" s="43">
        <f>'13. Desinvesteringen'!D65</f>
        <v>1969</v>
      </c>
      <c r="F63" s="48">
        <f>'13. Desinvesteringen'!E65</f>
        <v>19730</v>
      </c>
      <c r="G63" s="43">
        <f>'13. Desinvesteringen'!G65</f>
        <v>2020</v>
      </c>
    </row>
    <row r="64" spans="2:7" s="3" customFormat="1">
      <c r="B64" s="43">
        <f>'13. Desinvesteringen'!B66</f>
        <v>47</v>
      </c>
      <c r="D64" s="43" t="str">
        <f>'13. Desinvesteringen'!C66</f>
        <v>02 Gasontvangststations</v>
      </c>
      <c r="E64" s="43">
        <f>'13. Desinvesteringen'!D66</f>
        <v>1970</v>
      </c>
      <c r="F64" s="48">
        <f>'13. Desinvesteringen'!E66</f>
        <v>169357.15</v>
      </c>
      <c r="G64" s="43">
        <f>'13. Desinvesteringen'!G66</f>
        <v>2020</v>
      </c>
    </row>
    <row r="65" spans="2:7" s="3" customFormat="1">
      <c r="B65" s="43">
        <f>'13. Desinvesteringen'!B67</f>
        <v>48</v>
      </c>
      <c r="D65" s="43" t="str">
        <f>'13. Desinvesteringen'!C67</f>
        <v>02 Gasontvangststations</v>
      </c>
      <c r="E65" s="43">
        <f>'13. Desinvesteringen'!D67</f>
        <v>1971</v>
      </c>
      <c r="F65" s="48">
        <f>'13. Desinvesteringen'!E67</f>
        <v>201451.64</v>
      </c>
      <c r="G65" s="43">
        <f>'13. Desinvesteringen'!G67</f>
        <v>2020</v>
      </c>
    </row>
    <row r="66" spans="2:7" s="3" customFormat="1">
      <c r="B66" s="43">
        <f>'13. Desinvesteringen'!B68</f>
        <v>49</v>
      </c>
      <c r="D66" s="43" t="str">
        <f>'13. Desinvesteringen'!C68</f>
        <v>02 Gasontvangststations</v>
      </c>
      <c r="E66" s="43">
        <f>'13. Desinvesteringen'!D68</f>
        <v>1972</v>
      </c>
      <c r="F66" s="48">
        <f>'13. Desinvesteringen'!E68</f>
        <v>147669.32</v>
      </c>
      <c r="G66" s="43">
        <f>'13. Desinvesteringen'!G68</f>
        <v>2020</v>
      </c>
    </row>
    <row r="67" spans="2:7" s="3" customFormat="1">
      <c r="B67" s="43">
        <f>'13. Desinvesteringen'!B69</f>
        <v>50</v>
      </c>
      <c r="D67" s="43" t="str">
        <f>'13. Desinvesteringen'!C69</f>
        <v>02 Gasontvangststations</v>
      </c>
      <c r="E67" s="43">
        <f>'13. Desinvesteringen'!D69</f>
        <v>1974</v>
      </c>
      <c r="F67" s="48">
        <f>'13. Desinvesteringen'!E69</f>
        <v>27434.639999999999</v>
      </c>
      <c r="G67" s="43">
        <f>'13. Desinvesteringen'!G69</f>
        <v>2020</v>
      </c>
    </row>
    <row r="68" spans="2:7" s="3" customFormat="1">
      <c r="B68" s="43">
        <f>'13. Desinvesteringen'!B70</f>
        <v>51</v>
      </c>
      <c r="D68" s="43" t="str">
        <f>'13. Desinvesteringen'!C70</f>
        <v>02 Gasontvangststations</v>
      </c>
      <c r="E68" s="43">
        <f>'13. Desinvesteringen'!D70</f>
        <v>1975</v>
      </c>
      <c r="F68" s="48">
        <f>'13. Desinvesteringen'!E70</f>
        <v>30000</v>
      </c>
      <c r="G68" s="43">
        <f>'13. Desinvesteringen'!G70</f>
        <v>2020</v>
      </c>
    </row>
    <row r="69" spans="2:7" s="3" customFormat="1">
      <c r="B69" s="43">
        <f>'13. Desinvesteringen'!B71</f>
        <v>52</v>
      </c>
      <c r="D69" s="43" t="str">
        <f>'13. Desinvesteringen'!C71</f>
        <v>02 Gasontvangststations</v>
      </c>
      <c r="E69" s="43">
        <f>'13. Desinvesteringen'!D71</f>
        <v>1976</v>
      </c>
      <c r="F69" s="48">
        <f>'13. Desinvesteringen'!E71</f>
        <v>72000</v>
      </c>
      <c r="G69" s="43">
        <f>'13. Desinvesteringen'!G71</f>
        <v>2020</v>
      </c>
    </row>
    <row r="70" spans="2:7" s="3" customFormat="1">
      <c r="B70" s="43">
        <f>'13. Desinvesteringen'!B72</f>
        <v>53</v>
      </c>
      <c r="D70" s="43" t="str">
        <f>'13. Desinvesteringen'!C72</f>
        <v>02 Gasontvangststations</v>
      </c>
      <c r="E70" s="43">
        <f>'13. Desinvesteringen'!D72</f>
        <v>1977</v>
      </c>
      <c r="F70" s="48">
        <f>'13. Desinvesteringen'!E72</f>
        <v>104527.46</v>
      </c>
      <c r="G70" s="43">
        <f>'13. Desinvesteringen'!G72</f>
        <v>2020</v>
      </c>
    </row>
    <row r="71" spans="2:7" s="3" customFormat="1">
      <c r="B71" s="43">
        <f>'13. Desinvesteringen'!B73</f>
        <v>54</v>
      </c>
      <c r="D71" s="43" t="str">
        <f>'13. Desinvesteringen'!C73</f>
        <v>02 Gasontvangststations</v>
      </c>
      <c r="E71" s="43">
        <f>'13. Desinvesteringen'!D73</f>
        <v>1979</v>
      </c>
      <c r="F71" s="48">
        <f>'13. Desinvesteringen'!E73</f>
        <v>102180.41</v>
      </c>
      <c r="G71" s="43">
        <f>'13. Desinvesteringen'!G73</f>
        <v>2020</v>
      </c>
    </row>
    <row r="72" spans="2:7" s="3" customFormat="1">
      <c r="B72" s="43">
        <f>'13. Desinvesteringen'!B74</f>
        <v>55</v>
      </c>
      <c r="D72" s="43" t="str">
        <f>'13. Desinvesteringen'!C74</f>
        <v>02 Gasontvangststations</v>
      </c>
      <c r="E72" s="43">
        <f>'13. Desinvesteringen'!D74</f>
        <v>1982</v>
      </c>
      <c r="F72" s="48">
        <f>'13. Desinvesteringen'!E74</f>
        <v>87225.38</v>
      </c>
      <c r="G72" s="43">
        <f>'13. Desinvesteringen'!G74</f>
        <v>2020</v>
      </c>
    </row>
    <row r="73" spans="2:7" s="3" customFormat="1">
      <c r="B73" s="43">
        <f>'13. Desinvesteringen'!B75</f>
        <v>56</v>
      </c>
      <c r="D73" s="43" t="str">
        <f>'13. Desinvesteringen'!C75</f>
        <v>02 Gasontvangststations</v>
      </c>
      <c r="E73" s="43">
        <f>'13. Desinvesteringen'!D75</f>
        <v>1983</v>
      </c>
      <c r="F73" s="48">
        <f>'13. Desinvesteringen'!E75</f>
        <v>30000</v>
      </c>
      <c r="G73" s="43">
        <f>'13. Desinvesteringen'!G75</f>
        <v>2020</v>
      </c>
    </row>
    <row r="74" spans="2:7" s="3" customFormat="1">
      <c r="B74" s="43">
        <f>'13. Desinvesteringen'!B76</f>
        <v>57</v>
      </c>
      <c r="D74" s="43" t="str">
        <f>'13. Desinvesteringen'!C76</f>
        <v>02 Gasontvangststations</v>
      </c>
      <c r="E74" s="43">
        <f>'13. Desinvesteringen'!D76</f>
        <v>1985</v>
      </c>
      <c r="F74" s="48">
        <f>'13. Desinvesteringen'!E76</f>
        <v>38613.07</v>
      </c>
      <c r="G74" s="43">
        <f>'13. Desinvesteringen'!G76</f>
        <v>2020</v>
      </c>
    </row>
    <row r="75" spans="2:7" s="3" customFormat="1">
      <c r="B75" s="43">
        <f>'13. Desinvesteringen'!B77</f>
        <v>58</v>
      </c>
      <c r="D75" s="43" t="str">
        <f>'13. Desinvesteringen'!C77</f>
        <v>02 Gasontvangststations</v>
      </c>
      <c r="E75" s="43">
        <f>'13. Desinvesteringen'!D77</f>
        <v>1987</v>
      </c>
      <c r="F75" s="48">
        <f>'13. Desinvesteringen'!E77</f>
        <v>8154.43</v>
      </c>
      <c r="G75" s="43">
        <f>'13. Desinvesteringen'!G77</f>
        <v>2020</v>
      </c>
    </row>
    <row r="76" spans="2:7" s="3" customFormat="1">
      <c r="B76" s="43">
        <f>'13. Desinvesteringen'!B78</f>
        <v>59</v>
      </c>
      <c r="D76" s="43" t="str">
        <f>'13. Desinvesteringen'!C78</f>
        <v>02 Gasontvangststations</v>
      </c>
      <c r="E76" s="43">
        <f>'13. Desinvesteringen'!D78</f>
        <v>1992</v>
      </c>
      <c r="F76" s="48">
        <f>'13. Desinvesteringen'!E78</f>
        <v>79800.429999999993</v>
      </c>
      <c r="G76" s="43">
        <f>'13. Desinvesteringen'!G78</f>
        <v>2020</v>
      </c>
    </row>
    <row r="77" spans="2:7" s="3" customFormat="1">
      <c r="B77" s="43">
        <f>'13. Desinvesteringen'!B79</f>
        <v>60</v>
      </c>
      <c r="D77" s="43" t="str">
        <f>'13. Desinvesteringen'!C79</f>
        <v>02 Gasontvangststations</v>
      </c>
      <c r="E77" s="43">
        <f>'13. Desinvesteringen'!D79</f>
        <v>1995</v>
      </c>
      <c r="F77" s="48">
        <f>'13. Desinvesteringen'!E79</f>
        <v>121494.29</v>
      </c>
      <c r="G77" s="43">
        <f>'13. Desinvesteringen'!G79</f>
        <v>2020</v>
      </c>
    </row>
    <row r="78" spans="2:7" s="3" customFormat="1">
      <c r="B78" s="43">
        <f>'13. Desinvesteringen'!B80</f>
        <v>61</v>
      </c>
      <c r="D78" s="43" t="str">
        <f>'13. Desinvesteringen'!C80</f>
        <v>02 Gasontvangststations</v>
      </c>
      <c r="E78" s="43">
        <f>'13. Desinvesteringen'!D80</f>
        <v>1998</v>
      </c>
      <c r="F78" s="48">
        <f>'13. Desinvesteringen'!E80</f>
        <v>45471.44</v>
      </c>
      <c r="G78" s="43">
        <f>'13. Desinvesteringen'!G80</f>
        <v>2020</v>
      </c>
    </row>
    <row r="79" spans="2:7" s="3" customFormat="1">
      <c r="B79" s="43">
        <f>'13. Desinvesteringen'!B81</f>
        <v>62</v>
      </c>
      <c r="D79" s="43" t="str">
        <f>'13. Desinvesteringen'!C81</f>
        <v>02 Gasontvangststations</v>
      </c>
      <c r="E79" s="43">
        <f>'13. Desinvesteringen'!D81</f>
        <v>2002</v>
      </c>
      <c r="F79" s="48">
        <f>'13. Desinvesteringen'!E81</f>
        <v>10346.200000000001</v>
      </c>
      <c r="G79" s="43">
        <f>'13. Desinvesteringen'!G81</f>
        <v>2020</v>
      </c>
    </row>
    <row r="80" spans="2:7" s="3" customFormat="1">
      <c r="B80" s="43">
        <f>'13. Desinvesteringen'!B82</f>
        <v>63</v>
      </c>
      <c r="D80" s="43" t="str">
        <f>'13. Desinvesteringen'!C82</f>
        <v>02 Gasontvangststations</v>
      </c>
      <c r="E80" s="43">
        <f>'13. Desinvesteringen'!D82</f>
        <v>2003</v>
      </c>
      <c r="F80" s="48">
        <f>'13. Desinvesteringen'!E82</f>
        <v>10560.43</v>
      </c>
      <c r="G80" s="43">
        <f>'13. Desinvesteringen'!G82</f>
        <v>2020</v>
      </c>
    </row>
    <row r="81" spans="2:7" s="3" customFormat="1">
      <c r="B81" s="43">
        <f>'13. Desinvesteringen'!B83</f>
        <v>64</v>
      </c>
      <c r="D81" s="43" t="str">
        <f>'13. Desinvesteringen'!C83</f>
        <v>02 Gasontvangststations</v>
      </c>
      <c r="E81" s="43">
        <f>'13. Desinvesteringen'!D83</f>
        <v>2004</v>
      </c>
      <c r="F81" s="48">
        <f>'13. Desinvesteringen'!E83</f>
        <v>65494.31</v>
      </c>
      <c r="G81" s="43">
        <f>'13. Desinvesteringen'!G83</f>
        <v>2020</v>
      </c>
    </row>
    <row r="82" spans="2:7" s="3" customFormat="1">
      <c r="B82" s="43">
        <f>'13. Desinvesteringen'!B84</f>
        <v>65</v>
      </c>
      <c r="D82" s="43" t="str">
        <f>'13. Desinvesteringen'!C84</f>
        <v>02 Gasontvangststations</v>
      </c>
      <c r="E82" s="43">
        <f>'13. Desinvesteringen'!D84</f>
        <v>2006</v>
      </c>
      <c r="F82" s="48">
        <f>'13. Desinvesteringen'!E84</f>
        <v>28786.400000000001</v>
      </c>
      <c r="G82" s="43">
        <f>'13. Desinvesteringen'!G84</f>
        <v>2020</v>
      </c>
    </row>
    <row r="83" spans="2:7" s="3" customFormat="1">
      <c r="B83" s="43">
        <f>'13. Desinvesteringen'!B85</f>
        <v>66</v>
      </c>
      <c r="D83" s="43" t="str">
        <f>'13. Desinvesteringen'!C85</f>
        <v>02 Gasontvangststations</v>
      </c>
      <c r="E83" s="43">
        <f>'13. Desinvesteringen'!D85</f>
        <v>2008</v>
      </c>
      <c r="F83" s="48">
        <f>'13. Desinvesteringen'!E85</f>
        <v>159796.69</v>
      </c>
      <c r="G83" s="43">
        <f>'13. Desinvesteringen'!G85</f>
        <v>2020</v>
      </c>
    </row>
    <row r="84" spans="2:7" s="3" customFormat="1">
      <c r="B84" s="43">
        <f>'13. Desinvesteringen'!B86</f>
        <v>67</v>
      </c>
      <c r="D84" s="43" t="str">
        <f>'13. Desinvesteringen'!C86</f>
        <v>02 Gasontvangststations</v>
      </c>
      <c r="E84" s="43">
        <f>'13. Desinvesteringen'!D86</f>
        <v>2011</v>
      </c>
      <c r="F84" s="48">
        <f>'13. Desinvesteringen'!E86</f>
        <v>54172.756048000003</v>
      </c>
      <c r="G84" s="43">
        <f>'13. Desinvesteringen'!G86</f>
        <v>2020</v>
      </c>
    </row>
    <row r="85" spans="2:7" s="3" customFormat="1">
      <c r="B85" s="43">
        <f>'13. Desinvesteringen'!B87</f>
        <v>68</v>
      </c>
      <c r="D85" s="43" t="str">
        <f>'13. Desinvesteringen'!C87</f>
        <v>02 Gasontvangststations</v>
      </c>
      <c r="E85" s="43">
        <f>'13. Desinvesteringen'!D87</f>
        <v>2012</v>
      </c>
      <c r="F85" s="48">
        <f>'13. Desinvesteringen'!E87</f>
        <v>16860.795606</v>
      </c>
      <c r="G85" s="43">
        <f>'13. Desinvesteringen'!G87</f>
        <v>2020</v>
      </c>
    </row>
    <row r="86" spans="2:7" s="3" customFormat="1">
      <c r="B86" s="43">
        <f>'13. Desinvesteringen'!B88</f>
        <v>69</v>
      </c>
      <c r="D86" s="43" t="str">
        <f>'13. Desinvesteringen'!C88</f>
        <v>02 Gasontvangststations</v>
      </c>
      <c r="E86" s="43">
        <f>'13. Desinvesteringen'!D88</f>
        <v>2015</v>
      </c>
      <c r="F86" s="48">
        <f>'13. Desinvesteringen'!E88</f>
        <v>15275.23848</v>
      </c>
      <c r="G86" s="43">
        <f>'13. Desinvesteringen'!G88</f>
        <v>2020</v>
      </c>
    </row>
    <row r="87" spans="2:7" s="3" customFormat="1">
      <c r="B87" s="43">
        <f>'13. Desinvesteringen'!B89</f>
        <v>70</v>
      </c>
      <c r="D87" s="43" t="str">
        <f>'13. Desinvesteringen'!C89</f>
        <v>04 Terreinen</v>
      </c>
      <c r="E87" s="43">
        <f>'13. Desinvesteringen'!D89</f>
        <v>1967</v>
      </c>
      <c r="F87" s="48">
        <f>'13. Desinvesteringen'!E89</f>
        <v>74013.37</v>
      </c>
      <c r="G87" s="43">
        <f>'13. Desinvesteringen'!G89</f>
        <v>2020</v>
      </c>
    </row>
    <row r="88" spans="2:7" s="3" customFormat="1">
      <c r="B88" s="43">
        <f>'13. Desinvesteringen'!B90</f>
        <v>71</v>
      </c>
      <c r="D88" s="43" t="str">
        <f>'13. Desinvesteringen'!C90</f>
        <v>06 Utiliteitsgebouwen</v>
      </c>
      <c r="E88" s="43">
        <f>'13. Desinvesteringen'!D90</f>
        <v>1961</v>
      </c>
      <c r="F88" s="48">
        <f>'13. Desinvesteringen'!E90</f>
        <v>92634.240000000005</v>
      </c>
      <c r="G88" s="43">
        <f>'13. Desinvesteringen'!G90</f>
        <v>2020</v>
      </c>
    </row>
    <row r="89" spans="2:7" s="3" customFormat="1">
      <c r="B89" s="43">
        <f>'13. Desinvesteringen'!B91</f>
        <v>72</v>
      </c>
      <c r="D89" s="43" t="str">
        <f>'13. Desinvesteringen'!C91</f>
        <v>06 Utiliteitsgebouwen</v>
      </c>
      <c r="E89" s="43">
        <f>'13. Desinvesteringen'!D91</f>
        <v>1968</v>
      </c>
      <c r="F89" s="48">
        <f>'13. Desinvesteringen'!E91</f>
        <v>153440.79</v>
      </c>
      <c r="G89" s="43">
        <f>'13. Desinvesteringen'!G91</f>
        <v>2020</v>
      </c>
    </row>
    <row r="90" spans="2:7" s="3" customFormat="1">
      <c r="B90" s="43">
        <f>'13. Desinvesteringen'!B92</f>
        <v>73</v>
      </c>
      <c r="D90" s="43" t="str">
        <f>'13. Desinvesteringen'!C92</f>
        <v>06 Utiliteitsgebouwen</v>
      </c>
      <c r="E90" s="43">
        <f>'13. Desinvesteringen'!D92</f>
        <v>1992</v>
      </c>
      <c r="F90" s="48">
        <f>'13. Desinvesteringen'!E92</f>
        <v>267309.21999999997</v>
      </c>
      <c r="G90" s="43">
        <f>'13. Desinvesteringen'!G92</f>
        <v>2020</v>
      </c>
    </row>
    <row r="91" spans="2:7" s="3" customFormat="1">
      <c r="B91" s="43">
        <f>'13. Desinvesteringen'!B93</f>
        <v>74</v>
      </c>
      <c r="D91" s="43" t="str">
        <f>'13. Desinvesteringen'!C93</f>
        <v>06 Utiliteitsgebouwen</v>
      </c>
      <c r="E91" s="43">
        <f>'13. Desinvesteringen'!D93</f>
        <v>2003</v>
      </c>
      <c r="F91" s="48">
        <f>'13. Desinvesteringen'!E93</f>
        <v>40177</v>
      </c>
      <c r="G91" s="43">
        <f>'13. Desinvesteringen'!G93</f>
        <v>2020</v>
      </c>
    </row>
    <row r="92" spans="2:7" s="3" customFormat="1">
      <c r="B92" s="43">
        <f>'13. Desinvesteringen'!B94</f>
        <v>75</v>
      </c>
      <c r="D92" s="43" t="str">
        <f>'13. Desinvesteringen'!C94</f>
        <v>06 Utiliteitsgebouwen</v>
      </c>
      <c r="E92" s="43">
        <f>'13. Desinvesteringen'!D94</f>
        <v>2005</v>
      </c>
      <c r="F92" s="48">
        <f>'13. Desinvesteringen'!E94</f>
        <v>186030.7</v>
      </c>
      <c r="G92" s="43">
        <f>'13. Desinvesteringen'!G94</f>
        <v>2020</v>
      </c>
    </row>
    <row r="93" spans="2:7" s="3" customFormat="1">
      <c r="B93" s="43">
        <f>'13. Desinvesteringen'!B95</f>
        <v>76</v>
      </c>
      <c r="D93" s="43" t="str">
        <f>'13. Desinvesteringen'!C95</f>
        <v>06 Utiliteitsgebouwen</v>
      </c>
      <c r="E93" s="43">
        <f>'13. Desinvesteringen'!D95</f>
        <v>2010</v>
      </c>
      <c r="F93" s="48">
        <f>'13. Desinvesteringen'!E95</f>
        <v>242998.14437600001</v>
      </c>
      <c r="G93" s="43">
        <f>'13. Desinvesteringen'!G95</f>
        <v>2020</v>
      </c>
    </row>
    <row r="94" spans="2:7" s="3" customFormat="1">
      <c r="B94" s="43">
        <f>'13. Desinvesteringen'!B96</f>
        <v>77</v>
      </c>
      <c r="D94" s="43" t="str">
        <f>'13. Desinvesteringen'!C96</f>
        <v>06 Utiliteitsgebouwen</v>
      </c>
      <c r="E94" s="43">
        <f>'13. Desinvesteringen'!D96</f>
        <v>2012</v>
      </c>
      <c r="F94" s="48">
        <f>'13. Desinvesteringen'!E96</f>
        <v>156496.05558799999</v>
      </c>
      <c r="G94" s="43">
        <f>'13. Desinvesteringen'!G96</f>
        <v>2020</v>
      </c>
    </row>
    <row r="95" spans="2:7" s="3" customFormat="1">
      <c r="B95" s="43">
        <f>'13. Desinvesteringen'!B97</f>
        <v>78</v>
      </c>
      <c r="D95" s="43" t="str">
        <f>'13. Desinvesteringen'!C97</f>
        <v>08 Inrichting gebouwen</v>
      </c>
      <c r="E95" s="43">
        <f>'13. Desinvesteringen'!D97</f>
        <v>2017</v>
      </c>
      <c r="F95" s="48">
        <f>'13. Desinvesteringen'!E97</f>
        <v>41550.210188999998</v>
      </c>
      <c r="G95" s="43">
        <f>'13. Desinvesteringen'!G97</f>
        <v>2020</v>
      </c>
    </row>
    <row r="96" spans="2:7" s="3" customFormat="1">
      <c r="B96" s="43">
        <f>'13. Desinvesteringen'!B98</f>
        <v>79</v>
      </c>
      <c r="D96" s="43" t="str">
        <f>'13. Desinvesteringen'!C98</f>
        <v>09 Bedrijfsinventaris</v>
      </c>
      <c r="E96" s="43">
        <f>'13. Desinvesteringen'!D98</f>
        <v>2003</v>
      </c>
      <c r="F96" s="48">
        <f>'13. Desinvesteringen'!E98</f>
        <v>5549.99</v>
      </c>
      <c r="G96" s="43">
        <f>'13. Desinvesteringen'!G98</f>
        <v>2020</v>
      </c>
    </row>
    <row r="97" spans="2:7" s="3" customFormat="1">
      <c r="B97" s="43">
        <f>'13. Desinvesteringen'!B99</f>
        <v>80</v>
      </c>
      <c r="D97" s="43" t="str">
        <f>'13. Desinvesteringen'!C99</f>
        <v>10 Gereedschap</v>
      </c>
      <c r="E97" s="43">
        <f>'13. Desinvesteringen'!D99</f>
        <v>1998</v>
      </c>
      <c r="F97" s="48">
        <f>'13. Desinvesteringen'!E99</f>
        <v>366600.87</v>
      </c>
      <c r="G97" s="43">
        <f>'13. Desinvesteringen'!G99</f>
        <v>2020</v>
      </c>
    </row>
    <row r="98" spans="2:7" s="3" customFormat="1">
      <c r="B98" s="43">
        <f>'13. Desinvesteringen'!B100</f>
        <v>81</v>
      </c>
      <c r="D98" s="43" t="str">
        <f>'13. Desinvesteringen'!C100</f>
        <v>10 Gereedschap</v>
      </c>
      <c r="E98" s="43">
        <f>'13. Desinvesteringen'!D100</f>
        <v>1999</v>
      </c>
      <c r="F98" s="48">
        <f>'13. Desinvesteringen'!E100</f>
        <v>268665.56</v>
      </c>
      <c r="G98" s="43">
        <f>'13. Desinvesteringen'!G100</f>
        <v>2020</v>
      </c>
    </row>
    <row r="99" spans="2:7" s="3" customFormat="1">
      <c r="B99" s="43">
        <f>'13. Desinvesteringen'!B101</f>
        <v>82</v>
      </c>
      <c r="D99" s="43" t="str">
        <f>'13. Desinvesteringen'!C101</f>
        <v>10 Gereedschap</v>
      </c>
      <c r="E99" s="43">
        <f>'13. Desinvesteringen'!D101</f>
        <v>2000</v>
      </c>
      <c r="F99" s="48">
        <f>'13. Desinvesteringen'!E101</f>
        <v>92489.12</v>
      </c>
      <c r="G99" s="43">
        <f>'13. Desinvesteringen'!G101</f>
        <v>2020</v>
      </c>
    </row>
    <row r="100" spans="2:7" s="3" customFormat="1">
      <c r="B100" s="43">
        <f>'13. Desinvesteringen'!B102</f>
        <v>83</v>
      </c>
      <c r="D100" s="43" t="str">
        <f>'13. Desinvesteringen'!C102</f>
        <v>15 Compressorstations (TT-BT-AT)</v>
      </c>
      <c r="E100" s="43">
        <f>'13. Desinvesteringen'!D102</f>
        <v>1971</v>
      </c>
      <c r="F100" s="48">
        <f>'13. Desinvesteringen'!E102</f>
        <v>739448.2</v>
      </c>
      <c r="G100" s="43">
        <f>'13. Desinvesteringen'!G102</f>
        <v>2020</v>
      </c>
    </row>
    <row r="101" spans="2:7" s="3" customFormat="1">
      <c r="B101" s="43">
        <f>'13. Desinvesteringen'!B103</f>
        <v>84</v>
      </c>
      <c r="D101" s="43" t="str">
        <f>'13. Desinvesteringen'!C103</f>
        <v>15 Compressorstations (TT-BT-AT)</v>
      </c>
      <c r="E101" s="43">
        <f>'13. Desinvesteringen'!D103</f>
        <v>1977</v>
      </c>
      <c r="F101" s="48">
        <f>'13. Desinvesteringen'!E103</f>
        <v>68166.3</v>
      </c>
      <c r="G101" s="43">
        <f>'13. Desinvesteringen'!G103</f>
        <v>2020</v>
      </c>
    </row>
    <row r="102" spans="2:7" s="3" customFormat="1">
      <c r="B102" s="43">
        <f>'13. Desinvesteringen'!B104</f>
        <v>85</v>
      </c>
      <c r="D102" s="43" t="str">
        <f>'13. Desinvesteringen'!C104</f>
        <v>15 Compressorstations (TT-BT-AT)</v>
      </c>
      <c r="E102" s="43">
        <f>'13. Desinvesteringen'!D104</f>
        <v>1994</v>
      </c>
      <c r="F102" s="48">
        <f>'13. Desinvesteringen'!E104</f>
        <v>376175.8</v>
      </c>
      <c r="G102" s="43">
        <f>'13. Desinvesteringen'!G104</f>
        <v>2020</v>
      </c>
    </row>
    <row r="103" spans="2:7" s="3" customFormat="1">
      <c r="B103" s="43">
        <f>'13. Desinvesteringen'!B105</f>
        <v>86</v>
      </c>
      <c r="D103" s="43" t="str">
        <f>'13. Desinvesteringen'!C105</f>
        <v>15 Compressorstations (TT-BT-AT)</v>
      </c>
      <c r="E103" s="43">
        <f>'13. Desinvesteringen'!D105</f>
        <v>1995</v>
      </c>
      <c r="F103" s="48">
        <f>'13. Desinvesteringen'!E105</f>
        <v>1191241.1299999999</v>
      </c>
      <c r="G103" s="43">
        <f>'13. Desinvesteringen'!G105</f>
        <v>2020</v>
      </c>
    </row>
    <row r="104" spans="2:7" s="3" customFormat="1">
      <c r="B104" s="43">
        <f>'13. Desinvesteringen'!B106</f>
        <v>87</v>
      </c>
      <c r="D104" s="43" t="str">
        <f>'13. Desinvesteringen'!C106</f>
        <v>15 Compressorstations (TT-BT-AT)</v>
      </c>
      <c r="E104" s="43">
        <f>'13. Desinvesteringen'!D106</f>
        <v>1996</v>
      </c>
      <c r="F104" s="48">
        <f>'13. Desinvesteringen'!E106</f>
        <v>60266.55</v>
      </c>
      <c r="G104" s="43">
        <f>'13. Desinvesteringen'!G106</f>
        <v>2020</v>
      </c>
    </row>
    <row r="105" spans="2:7" s="3" customFormat="1">
      <c r="B105" s="43">
        <f>'13. Desinvesteringen'!B107</f>
        <v>88</v>
      </c>
      <c r="D105" s="43" t="str">
        <f>'13. Desinvesteringen'!C107</f>
        <v>15 Compressorstations (TT-BT-AT)</v>
      </c>
      <c r="E105" s="43">
        <f>'13. Desinvesteringen'!D107</f>
        <v>1998</v>
      </c>
      <c r="F105" s="48">
        <f>'13. Desinvesteringen'!E107</f>
        <v>117092.84999999999</v>
      </c>
      <c r="G105" s="43">
        <f>'13. Desinvesteringen'!G107</f>
        <v>2020</v>
      </c>
    </row>
    <row r="106" spans="2:7" s="3" customFormat="1">
      <c r="B106" s="43">
        <f>'13. Desinvesteringen'!B108</f>
        <v>89</v>
      </c>
      <c r="D106" s="43" t="str">
        <f>'13. Desinvesteringen'!C108</f>
        <v>15 Compressorstations (TT-BT-AT)</v>
      </c>
      <c r="E106" s="43">
        <f>'13. Desinvesteringen'!D108</f>
        <v>2008</v>
      </c>
      <c r="F106" s="48">
        <f>'13. Desinvesteringen'!E108</f>
        <v>526456.12101200002</v>
      </c>
      <c r="G106" s="43">
        <f>'13. Desinvesteringen'!G108</f>
        <v>2020</v>
      </c>
    </row>
    <row r="107" spans="2:7" s="3" customFormat="1">
      <c r="B107" s="43">
        <f>'13. Desinvesteringen'!B109</f>
        <v>90</v>
      </c>
      <c r="D107" s="43" t="str">
        <f>'13. Desinvesteringen'!C109</f>
        <v>15 Compressorstations (TT-BT-AT)</v>
      </c>
      <c r="E107" s="43">
        <f>'13. Desinvesteringen'!D109</f>
        <v>2010</v>
      </c>
      <c r="F107" s="48">
        <f>'13. Desinvesteringen'!E109</f>
        <v>488182.154064</v>
      </c>
      <c r="G107" s="43">
        <f>'13. Desinvesteringen'!G109</f>
        <v>2020</v>
      </c>
    </row>
    <row r="108" spans="2:7" s="3" customFormat="1">
      <c r="B108" s="43">
        <f>'13. Desinvesteringen'!B110</f>
        <v>91</v>
      </c>
      <c r="D108" s="43" t="str">
        <f>'13. Desinvesteringen'!C110</f>
        <v>15 Compressorstations (TT-BT-AT)</v>
      </c>
      <c r="E108" s="43">
        <f>'13. Desinvesteringen'!D110</f>
        <v>2015</v>
      </c>
      <c r="F108" s="48">
        <f>'13. Desinvesteringen'!E110</f>
        <v>95260.246860999992</v>
      </c>
      <c r="G108" s="43">
        <f>'13. Desinvesteringen'!G110</f>
        <v>2020</v>
      </c>
    </row>
    <row r="109" spans="2:7" s="3" customFormat="1">
      <c r="B109" s="43">
        <f>'13. Desinvesteringen'!B111</f>
        <v>92</v>
      </c>
      <c r="D109" s="43" t="str">
        <f>'13. Desinvesteringen'!C111</f>
        <v>15 Compressorstations (TT-BT-AT) (gaschromatografen en comptabele meters)</v>
      </c>
      <c r="E109" s="43">
        <f>'13. Desinvesteringen'!D111</f>
        <v>1998</v>
      </c>
      <c r="F109" s="48">
        <f>'13. Desinvesteringen'!E111</f>
        <v>127735.64</v>
      </c>
      <c r="G109" s="43">
        <f>'13. Desinvesteringen'!G111</f>
        <v>2020</v>
      </c>
    </row>
    <row r="110" spans="2:7" s="3" customFormat="1">
      <c r="B110" s="43">
        <f>'13. Desinvesteringen'!B112</f>
        <v>93</v>
      </c>
      <c r="D110" s="43" t="str">
        <f>'13. Desinvesteringen'!C112</f>
        <v>16 LNG installaties</v>
      </c>
      <c r="E110" s="43">
        <f>'13. Desinvesteringen'!D112</f>
        <v>1977</v>
      </c>
      <c r="F110" s="48">
        <f>'13. Desinvesteringen'!E112</f>
        <v>146130.37</v>
      </c>
      <c r="G110" s="43">
        <f>'13. Desinvesteringen'!G112</f>
        <v>2020</v>
      </c>
    </row>
    <row r="111" spans="2:7" s="3" customFormat="1">
      <c r="B111" s="43">
        <f>'13. Desinvesteringen'!B113</f>
        <v>94</v>
      </c>
      <c r="D111" s="43" t="str">
        <f>'13. Desinvesteringen'!C113</f>
        <v>17 Mengstations</v>
      </c>
      <c r="E111" s="43">
        <f>'13. Desinvesteringen'!D113</f>
        <v>1993</v>
      </c>
      <c r="F111" s="48">
        <f>'13. Desinvesteringen'!E113</f>
        <v>2269257</v>
      </c>
      <c r="G111" s="43">
        <f>'13. Desinvesteringen'!G113</f>
        <v>2020</v>
      </c>
    </row>
    <row r="112" spans="2:7" s="3" customFormat="1">
      <c r="B112" s="43">
        <f>'13. Desinvesteringen'!B114</f>
        <v>95</v>
      </c>
      <c r="D112" s="43" t="str">
        <f>'13. Desinvesteringen'!C114</f>
        <v>20 Kantoorgebouwen</v>
      </c>
      <c r="E112" s="43">
        <f>'13. Desinvesteringen'!D114</f>
        <v>1997</v>
      </c>
      <c r="F112" s="48">
        <f>'13. Desinvesteringen'!E114</f>
        <v>4810.9799999999996</v>
      </c>
      <c r="G112" s="43">
        <f>'13. Desinvesteringen'!G114</f>
        <v>2020</v>
      </c>
    </row>
    <row r="113" spans="2:7" s="3" customFormat="1">
      <c r="B113" s="43">
        <f>'13. Desinvesteringen'!B115</f>
        <v>96</v>
      </c>
      <c r="D113" s="43" t="str">
        <f>'13. Desinvesteringen'!C115</f>
        <v>21 Hoofdtransportleiding</v>
      </c>
      <c r="E113" s="43">
        <f>'13. Desinvesteringen'!D115</f>
        <v>1964</v>
      </c>
      <c r="F113" s="48">
        <f>'13. Desinvesteringen'!E115</f>
        <v>109225.21</v>
      </c>
      <c r="G113" s="43">
        <f>'13. Desinvesteringen'!G115</f>
        <v>2020</v>
      </c>
    </row>
    <row r="114" spans="2:7" s="3" customFormat="1">
      <c r="B114" s="43">
        <f>'13. Desinvesteringen'!B116</f>
        <v>97</v>
      </c>
      <c r="D114" s="43" t="str">
        <f>'13. Desinvesteringen'!C116</f>
        <v>21 Hoofdtransportleiding</v>
      </c>
      <c r="E114" s="43">
        <f>'13. Desinvesteringen'!D116</f>
        <v>1965</v>
      </c>
      <c r="F114" s="48">
        <f>'13. Desinvesteringen'!E116</f>
        <v>79354.039999999994</v>
      </c>
      <c r="G114" s="43">
        <f>'13. Desinvesteringen'!G116</f>
        <v>2020</v>
      </c>
    </row>
    <row r="115" spans="2:7" s="3" customFormat="1">
      <c r="B115" s="43">
        <f>'13. Desinvesteringen'!B117</f>
        <v>98</v>
      </c>
      <c r="D115" s="43" t="str">
        <f>'13. Desinvesteringen'!C117</f>
        <v>21 Hoofdtransportleiding</v>
      </c>
      <c r="E115" s="43">
        <f>'13. Desinvesteringen'!D117</f>
        <v>1969</v>
      </c>
      <c r="F115" s="48">
        <f>'13. Desinvesteringen'!E117</f>
        <v>160000</v>
      </c>
      <c r="G115" s="43">
        <f>'13. Desinvesteringen'!G117</f>
        <v>2020</v>
      </c>
    </row>
    <row r="116" spans="2:7" s="3" customFormat="1">
      <c r="B116" s="43">
        <f>'13. Desinvesteringen'!B118</f>
        <v>99</v>
      </c>
      <c r="D116" s="43" t="str">
        <f>'13. Desinvesteringen'!C118</f>
        <v>21 Hoofdtransportleiding</v>
      </c>
      <c r="E116" s="43">
        <f>'13. Desinvesteringen'!D118</f>
        <v>1970</v>
      </c>
      <c r="F116" s="48">
        <f>'13. Desinvesteringen'!E118</f>
        <v>1644.48</v>
      </c>
      <c r="G116" s="43">
        <f>'13. Desinvesteringen'!G118</f>
        <v>2020</v>
      </c>
    </row>
    <row r="117" spans="2:7" s="3" customFormat="1">
      <c r="B117" s="43">
        <f>'13. Desinvesteringen'!B119</f>
        <v>100</v>
      </c>
      <c r="D117" s="43" t="str">
        <f>'13. Desinvesteringen'!C119</f>
        <v>21 Hoofdtransportleiding</v>
      </c>
      <c r="E117" s="43">
        <f>'13. Desinvesteringen'!D119</f>
        <v>1971</v>
      </c>
      <c r="F117" s="48">
        <f>'13. Desinvesteringen'!E119</f>
        <v>104672.38</v>
      </c>
      <c r="G117" s="43">
        <f>'13. Desinvesteringen'!G119</f>
        <v>2020</v>
      </c>
    </row>
    <row r="118" spans="2:7" s="3" customFormat="1">
      <c r="B118" s="43">
        <f>'13. Desinvesteringen'!B120</f>
        <v>101</v>
      </c>
      <c r="D118" s="43" t="str">
        <f>'13. Desinvesteringen'!C120</f>
        <v>21 Hoofdtransportleiding</v>
      </c>
      <c r="E118" s="43">
        <f>'13. Desinvesteringen'!D120</f>
        <v>1972</v>
      </c>
      <c r="F118" s="48">
        <f>'13. Desinvesteringen'!E120</f>
        <v>6833.93</v>
      </c>
      <c r="G118" s="43">
        <f>'13. Desinvesteringen'!G120</f>
        <v>2020</v>
      </c>
    </row>
    <row r="119" spans="2:7" s="3" customFormat="1">
      <c r="B119" s="43">
        <f>'13. Desinvesteringen'!B121</f>
        <v>102</v>
      </c>
      <c r="D119" s="43" t="str">
        <f>'13. Desinvesteringen'!C121</f>
        <v>21 Hoofdtransportleiding</v>
      </c>
      <c r="E119" s="43">
        <f>'13. Desinvesteringen'!D121</f>
        <v>1974</v>
      </c>
      <c r="F119" s="48">
        <f>'13. Desinvesteringen'!E121</f>
        <v>78733.03</v>
      </c>
      <c r="G119" s="43">
        <f>'13. Desinvesteringen'!G121</f>
        <v>2020</v>
      </c>
    </row>
    <row r="120" spans="2:7" s="3" customFormat="1">
      <c r="B120" s="43">
        <f>'13. Desinvesteringen'!B122</f>
        <v>103</v>
      </c>
      <c r="D120" s="43" t="str">
        <f>'13. Desinvesteringen'!C122</f>
        <v>21 Hoofdtransportleiding</v>
      </c>
      <c r="E120" s="43">
        <f>'13. Desinvesteringen'!D122</f>
        <v>1975</v>
      </c>
      <c r="F120" s="48">
        <f>'13. Desinvesteringen'!E122</f>
        <v>8893.32</v>
      </c>
      <c r="G120" s="43">
        <f>'13. Desinvesteringen'!G122</f>
        <v>2020</v>
      </c>
    </row>
    <row r="121" spans="2:7" s="3" customFormat="1">
      <c r="B121" s="43">
        <f>'13. Desinvesteringen'!B123</f>
        <v>104</v>
      </c>
      <c r="D121" s="43" t="str">
        <f>'13. Desinvesteringen'!C123</f>
        <v>21 Hoofdtransportleiding</v>
      </c>
      <c r="E121" s="43">
        <f>'13. Desinvesteringen'!D123</f>
        <v>1978</v>
      </c>
      <c r="F121" s="48">
        <f>'13. Desinvesteringen'!E123</f>
        <v>174538.66</v>
      </c>
      <c r="G121" s="43">
        <f>'13. Desinvesteringen'!G123</f>
        <v>2020</v>
      </c>
    </row>
    <row r="122" spans="2:7" s="3" customFormat="1">
      <c r="B122" s="43">
        <f>'13. Desinvesteringen'!B124</f>
        <v>105</v>
      </c>
      <c r="D122" s="43" t="str">
        <f>'13. Desinvesteringen'!C124</f>
        <v>21 Hoofdtransportleiding</v>
      </c>
      <c r="E122" s="43">
        <f>'13. Desinvesteringen'!D124</f>
        <v>1983</v>
      </c>
      <c r="F122" s="48">
        <f>'13. Desinvesteringen'!E124</f>
        <v>14249.66</v>
      </c>
      <c r="G122" s="43">
        <f>'13. Desinvesteringen'!G124</f>
        <v>2020</v>
      </c>
    </row>
    <row r="123" spans="2:7" s="3" customFormat="1">
      <c r="B123" s="43">
        <f>'13. Desinvesteringen'!B125</f>
        <v>106</v>
      </c>
      <c r="D123" s="43" t="str">
        <f>'13. Desinvesteringen'!C125</f>
        <v>21 Hoofdtransportleiding</v>
      </c>
      <c r="E123" s="43">
        <f>'13. Desinvesteringen'!D125</f>
        <v>1988</v>
      </c>
      <c r="F123" s="48">
        <f>'13. Desinvesteringen'!E125</f>
        <v>44968.09</v>
      </c>
      <c r="G123" s="43">
        <f>'13. Desinvesteringen'!G125</f>
        <v>2020</v>
      </c>
    </row>
    <row r="124" spans="2:7" s="3" customFormat="1">
      <c r="B124" s="43">
        <f>'13. Desinvesteringen'!B126</f>
        <v>107</v>
      </c>
      <c r="D124" s="43" t="str">
        <f>'13. Desinvesteringen'!C126</f>
        <v>21 Hoofdtransportleiding</v>
      </c>
      <c r="E124" s="43">
        <f>'13. Desinvesteringen'!D126</f>
        <v>1995</v>
      </c>
      <c r="F124" s="48">
        <f>'13. Desinvesteringen'!E126</f>
        <v>7512.54</v>
      </c>
      <c r="G124" s="43">
        <f>'13. Desinvesteringen'!G126</f>
        <v>2020</v>
      </c>
    </row>
    <row r="125" spans="2:7" s="3" customFormat="1">
      <c r="B125" s="43">
        <f>'13. Desinvesteringen'!B127</f>
        <v>108</v>
      </c>
      <c r="D125" s="43" t="str">
        <f>'13. Desinvesteringen'!C127</f>
        <v>21 Hoofdtransportleiding</v>
      </c>
      <c r="E125" s="43">
        <f>'13. Desinvesteringen'!D127</f>
        <v>2004</v>
      </c>
      <c r="F125" s="48">
        <f>'13. Desinvesteringen'!E127</f>
        <v>187756.39</v>
      </c>
      <c r="G125" s="43">
        <f>'13. Desinvesteringen'!G127</f>
        <v>2020</v>
      </c>
    </row>
    <row r="126" spans="2:7" s="3" customFormat="1">
      <c r="B126" s="43">
        <f>'13. Desinvesteringen'!B128</f>
        <v>109</v>
      </c>
      <c r="D126" s="43" t="str">
        <f>'13. Desinvesteringen'!C128</f>
        <v>21 Hoofdtransportleiding (waterkruisingen)</v>
      </c>
      <c r="E126" s="43">
        <f>'13. Desinvesteringen'!D128</f>
        <v>1971</v>
      </c>
      <c r="F126" s="48">
        <f>'13. Desinvesteringen'!E128</f>
        <v>21999.06</v>
      </c>
      <c r="G126" s="43">
        <f>'13. Desinvesteringen'!G128</f>
        <v>2020</v>
      </c>
    </row>
    <row r="127" spans="2:7" s="3" customFormat="1">
      <c r="B127" s="43">
        <f>'13. Desinvesteringen'!B129</f>
        <v>110</v>
      </c>
      <c r="D127" s="43" t="str">
        <f>'13. Desinvesteringen'!C129</f>
        <v>33 Exportstations</v>
      </c>
      <c r="E127" s="43">
        <f>'13. Desinvesteringen'!D129</f>
        <v>2004</v>
      </c>
      <c r="F127" s="48">
        <f>'13. Desinvesteringen'!E129</f>
        <v>2028.6</v>
      </c>
      <c r="G127" s="43">
        <f>'13. Desinvesteringen'!G129</f>
        <v>2020</v>
      </c>
    </row>
    <row r="128" spans="2:7" s="3" customFormat="1">
      <c r="B128" s="43">
        <f>'13. Desinvesteringen'!B130</f>
        <v>111</v>
      </c>
      <c r="D128" s="43" t="str">
        <f>'13. Desinvesteringen'!C130</f>
        <v>33 Exportstations</v>
      </c>
      <c r="E128" s="43">
        <f>'13. Desinvesteringen'!D130</f>
        <v>2011</v>
      </c>
      <c r="F128" s="48">
        <f>'13. Desinvesteringen'!E130</f>
        <v>603616.46129999997</v>
      </c>
      <c r="G128" s="43">
        <f>'13. Desinvesteringen'!G130</f>
        <v>2020</v>
      </c>
    </row>
    <row r="129" spans="2:7" s="3" customFormat="1">
      <c r="B129" s="43">
        <f>'13. Desinvesteringen'!B131</f>
        <v>112</v>
      </c>
      <c r="D129" s="43" t="str">
        <f>'13. Desinvesteringen'!C131</f>
        <v>34 Reduceerstations</v>
      </c>
      <c r="E129" s="43">
        <f>'13. Desinvesteringen'!D131</f>
        <v>1998</v>
      </c>
      <c r="F129" s="48">
        <f>'13. Desinvesteringen'!E131</f>
        <v>500000</v>
      </c>
      <c r="G129" s="43">
        <f>'13. Desinvesteringen'!G131</f>
        <v>2020</v>
      </c>
    </row>
    <row r="130" spans="2:7" s="3" customFormat="1">
      <c r="B130" s="43">
        <f>'13. Desinvesteringen'!B132</f>
        <v>113</v>
      </c>
      <c r="D130" s="43" t="str">
        <f>'13. Desinvesteringen'!C132</f>
        <v>34 Reduceerstations</v>
      </c>
      <c r="E130" s="43">
        <f>'13. Desinvesteringen'!D132</f>
        <v>2004</v>
      </c>
      <c r="F130" s="48">
        <f>'13. Desinvesteringen'!E132</f>
        <v>45527.519999999997</v>
      </c>
      <c r="G130" s="43">
        <f>'13. Desinvesteringen'!G132</f>
        <v>2020</v>
      </c>
    </row>
    <row r="131" spans="2:7" s="3" customFormat="1">
      <c r="B131" s="43">
        <f>'13. Desinvesteringen'!B133</f>
        <v>114</v>
      </c>
      <c r="D131" s="43" t="str">
        <f>'13. Desinvesteringen'!C133</f>
        <v>34 Reduceerstations</v>
      </c>
      <c r="E131" s="43">
        <f>'13. Desinvesteringen'!D133</f>
        <v>2005</v>
      </c>
      <c r="F131" s="48">
        <f>'13. Desinvesteringen'!E133</f>
        <v>9959.0400000000009</v>
      </c>
      <c r="G131" s="43">
        <f>'13. Desinvesteringen'!G133</f>
        <v>2020</v>
      </c>
    </row>
    <row r="132" spans="2:7" s="3" customFormat="1">
      <c r="B132" s="43">
        <f>'13. Desinvesteringen'!B134</f>
        <v>115</v>
      </c>
      <c r="D132" s="43" t="str">
        <f>'13. Desinvesteringen'!C134</f>
        <v>34 Reduceerstations</v>
      </c>
      <c r="E132" s="43">
        <f>'13. Desinvesteringen'!D134</f>
        <v>2016</v>
      </c>
      <c r="F132" s="48">
        <f>'13. Desinvesteringen'!E134</f>
        <v>855977.36259199993</v>
      </c>
      <c r="G132" s="43">
        <f>'13. Desinvesteringen'!G134</f>
        <v>2020</v>
      </c>
    </row>
    <row r="133" spans="2:7" s="3" customFormat="1">
      <c r="B133" s="43">
        <f>'13. Desinvesteringen'!B135</f>
        <v>116</v>
      </c>
      <c r="D133" s="43" t="str">
        <f>'13. Desinvesteringen'!C135</f>
        <v>35 Injectiestations</v>
      </c>
      <c r="E133" s="43">
        <f>'13. Desinvesteringen'!D135</f>
        <v>2016</v>
      </c>
      <c r="F133" s="48">
        <f>'13. Desinvesteringen'!E135</f>
        <v>778785.35750399996</v>
      </c>
      <c r="G133" s="43">
        <f>'13. Desinvesteringen'!G135</f>
        <v>2020</v>
      </c>
    </row>
    <row r="134" spans="2:7" s="3" customFormat="1">
      <c r="B134" s="43">
        <f>'13. Desinvesteringen'!B136</f>
        <v>117</v>
      </c>
      <c r="D134" s="43" t="str">
        <f>'13. Desinvesteringen'!C136</f>
        <v>36 Luchtscheidingsunit</v>
      </c>
      <c r="E134" s="43">
        <f>'13. Desinvesteringen'!D136</f>
        <v>1988</v>
      </c>
      <c r="F134" s="48">
        <f>'13. Desinvesteringen'!E136</f>
        <v>2894954.5</v>
      </c>
      <c r="G134" s="43">
        <f>'13. Desinvesteringen'!G136</f>
        <v>2020</v>
      </c>
    </row>
    <row r="135" spans="2:7" s="3" customFormat="1">
      <c r="B135" s="43">
        <f>'13. Desinvesteringen'!B137</f>
        <v>118</v>
      </c>
      <c r="D135" s="43" t="str">
        <f>'13. Desinvesteringen'!C137</f>
        <v>37 ICT middelen 1</v>
      </c>
      <c r="E135" s="43">
        <f>'13. Desinvesteringen'!D137</f>
        <v>2016</v>
      </c>
      <c r="F135" s="48">
        <f>'13. Desinvesteringen'!E137</f>
        <v>362355.80583999999</v>
      </c>
      <c r="G135" s="43">
        <f>'13. Desinvesteringen'!G137</f>
        <v>2020</v>
      </c>
    </row>
    <row r="136" spans="2:7" s="3" customFormat="1">
      <c r="B136" s="43">
        <f>'13. Desinvesteringen'!B138</f>
        <v>119</v>
      </c>
      <c r="D136" s="43" t="str">
        <f>'13. Desinvesteringen'!C138</f>
        <v>41 Stikstofbuffer</v>
      </c>
      <c r="E136" s="43">
        <f>'13. Desinvesteringen'!D138</f>
        <v>2012</v>
      </c>
      <c r="F136" s="48">
        <f>'13. Desinvesteringen'!E138</f>
        <v>2282230.9217790002</v>
      </c>
      <c r="G136" s="43">
        <f>'13. Desinvesteringen'!G138</f>
        <v>2020</v>
      </c>
    </row>
    <row r="137" spans="2:7" s="3" customFormat="1">
      <c r="B137" s="43">
        <f>'13. Desinvesteringen'!B139</f>
        <v>120</v>
      </c>
      <c r="D137" s="43" t="str">
        <f>'13. Desinvesteringen'!C139</f>
        <v>01 Regionale leidingen</v>
      </c>
      <c r="E137" s="43">
        <f>'13. Desinvesteringen'!D139</f>
        <v>1950</v>
      </c>
      <c r="F137" s="48">
        <f>'13. Desinvesteringen'!E139</f>
        <v>107805.84</v>
      </c>
      <c r="G137" s="43">
        <f>'13. Desinvesteringen'!G139</f>
        <v>2021</v>
      </c>
    </row>
    <row r="138" spans="2:7" s="3" customFormat="1">
      <c r="B138" s="43">
        <f>'13. Desinvesteringen'!B140</f>
        <v>121</v>
      </c>
      <c r="D138" s="43" t="str">
        <f>'13. Desinvesteringen'!C140</f>
        <v>01 Regionale leidingen</v>
      </c>
      <c r="E138" s="43">
        <f>'13. Desinvesteringen'!D140</f>
        <v>1953</v>
      </c>
      <c r="F138" s="48">
        <f>'13. Desinvesteringen'!E140</f>
        <v>55835.41</v>
      </c>
      <c r="G138" s="43">
        <f>'13. Desinvesteringen'!G140</f>
        <v>2021</v>
      </c>
    </row>
    <row r="139" spans="2:7" s="3" customFormat="1">
      <c r="B139" s="43">
        <f>'13. Desinvesteringen'!B141</f>
        <v>122</v>
      </c>
      <c r="D139" s="43" t="str">
        <f>'13. Desinvesteringen'!C141</f>
        <v>01 Regionale leidingen</v>
      </c>
      <c r="E139" s="43">
        <f>'13. Desinvesteringen'!D141</f>
        <v>1962</v>
      </c>
      <c r="F139" s="48">
        <f>'13. Desinvesteringen'!E141</f>
        <v>40000</v>
      </c>
      <c r="G139" s="43">
        <f>'13. Desinvesteringen'!G141</f>
        <v>2021</v>
      </c>
    </row>
    <row r="140" spans="2:7" s="3" customFormat="1">
      <c r="B140" s="43">
        <f>'13. Desinvesteringen'!B142</f>
        <v>123</v>
      </c>
      <c r="D140" s="43" t="str">
        <f>'13. Desinvesteringen'!C142</f>
        <v>01 Regionale leidingen</v>
      </c>
      <c r="E140" s="43">
        <f>'13. Desinvesteringen'!D142</f>
        <v>1965</v>
      </c>
      <c r="F140" s="48">
        <f>'13. Desinvesteringen'!E142</f>
        <v>25702.75</v>
      </c>
      <c r="G140" s="43">
        <f>'13. Desinvesteringen'!G142</f>
        <v>2021</v>
      </c>
    </row>
    <row r="141" spans="2:7" s="3" customFormat="1">
      <c r="B141" s="43">
        <f>'13. Desinvesteringen'!B143</f>
        <v>124</v>
      </c>
      <c r="D141" s="43" t="str">
        <f>'13. Desinvesteringen'!C143</f>
        <v>01 Regionale leidingen</v>
      </c>
      <c r="E141" s="43">
        <f>'13. Desinvesteringen'!D143</f>
        <v>1966</v>
      </c>
      <c r="F141" s="48">
        <f>'13. Desinvesteringen'!E143</f>
        <v>109434.39</v>
      </c>
      <c r="G141" s="43">
        <f>'13. Desinvesteringen'!G143</f>
        <v>2021</v>
      </c>
    </row>
    <row r="142" spans="2:7" s="3" customFormat="1">
      <c r="B142" s="43">
        <f>'13. Desinvesteringen'!B144</f>
        <v>125</v>
      </c>
      <c r="D142" s="43" t="str">
        <f>'13. Desinvesteringen'!C144</f>
        <v>01 Regionale leidingen</v>
      </c>
      <c r="E142" s="43">
        <f>'13. Desinvesteringen'!D144</f>
        <v>1967</v>
      </c>
      <c r="F142" s="48">
        <f>'13. Desinvesteringen'!E144</f>
        <v>190675.34999999998</v>
      </c>
      <c r="G142" s="43">
        <f>'13. Desinvesteringen'!G144</f>
        <v>2021</v>
      </c>
    </row>
    <row r="143" spans="2:7" s="3" customFormat="1">
      <c r="B143" s="43">
        <f>'13. Desinvesteringen'!B145</f>
        <v>126</v>
      </c>
      <c r="D143" s="43" t="str">
        <f>'13. Desinvesteringen'!C145</f>
        <v>01 Regionale leidingen</v>
      </c>
      <c r="E143" s="43">
        <f>'13. Desinvesteringen'!D145</f>
        <v>1968</v>
      </c>
      <c r="F143" s="48">
        <f>'13. Desinvesteringen'!E145</f>
        <v>99063.760000000009</v>
      </c>
      <c r="G143" s="43">
        <f>'13. Desinvesteringen'!G145</f>
        <v>2021</v>
      </c>
    </row>
    <row r="144" spans="2:7" s="3" customFormat="1">
      <c r="B144" s="43">
        <f>'13. Desinvesteringen'!B146</f>
        <v>127</v>
      </c>
      <c r="D144" s="43" t="str">
        <f>'13. Desinvesteringen'!C146</f>
        <v>01 Regionale leidingen</v>
      </c>
      <c r="E144" s="43">
        <f>'13. Desinvesteringen'!D146</f>
        <v>1969</v>
      </c>
      <c r="F144" s="48">
        <f>'13. Desinvesteringen'!E146</f>
        <v>91756</v>
      </c>
      <c r="G144" s="43">
        <f>'13. Desinvesteringen'!G146</f>
        <v>2021</v>
      </c>
    </row>
    <row r="145" spans="2:7" s="3" customFormat="1">
      <c r="B145" s="43">
        <f>'13. Desinvesteringen'!B147</f>
        <v>128</v>
      </c>
      <c r="D145" s="43" t="str">
        <f>'13. Desinvesteringen'!C147</f>
        <v>01 Regionale leidingen</v>
      </c>
      <c r="E145" s="43">
        <f>'13. Desinvesteringen'!D147</f>
        <v>1970</v>
      </c>
      <c r="F145" s="48">
        <f>'13. Desinvesteringen'!E147</f>
        <v>226775.59999999998</v>
      </c>
      <c r="G145" s="43">
        <f>'13. Desinvesteringen'!G147</f>
        <v>2021</v>
      </c>
    </row>
    <row r="146" spans="2:7" s="3" customFormat="1">
      <c r="B146" s="43">
        <f>'13. Desinvesteringen'!B148</f>
        <v>129</v>
      </c>
      <c r="D146" s="43" t="str">
        <f>'13. Desinvesteringen'!C148</f>
        <v>01 Regionale leidingen</v>
      </c>
      <c r="E146" s="43">
        <f>'13. Desinvesteringen'!D148</f>
        <v>1971</v>
      </c>
      <c r="F146" s="48">
        <f>'13. Desinvesteringen'!E148</f>
        <v>280880.57</v>
      </c>
      <c r="G146" s="43">
        <f>'13. Desinvesteringen'!G148</f>
        <v>2021</v>
      </c>
    </row>
    <row r="147" spans="2:7" s="3" customFormat="1">
      <c r="B147" s="43">
        <f>'13. Desinvesteringen'!B149</f>
        <v>130</v>
      </c>
      <c r="D147" s="43" t="str">
        <f>'13. Desinvesteringen'!C149</f>
        <v>01 Regionale leidingen</v>
      </c>
      <c r="E147" s="43">
        <f>'13. Desinvesteringen'!D149</f>
        <v>1972</v>
      </c>
      <c r="F147" s="48">
        <f>'13. Desinvesteringen'!E149</f>
        <v>113518.65</v>
      </c>
      <c r="G147" s="43">
        <f>'13. Desinvesteringen'!G149</f>
        <v>2021</v>
      </c>
    </row>
    <row r="148" spans="2:7" s="3" customFormat="1">
      <c r="B148" s="43">
        <f>'13. Desinvesteringen'!B150</f>
        <v>131</v>
      </c>
      <c r="D148" s="43" t="str">
        <f>'13. Desinvesteringen'!C150</f>
        <v>01 Regionale leidingen</v>
      </c>
      <c r="E148" s="43">
        <f>'13. Desinvesteringen'!D150</f>
        <v>1973</v>
      </c>
      <c r="F148" s="48">
        <f>'13. Desinvesteringen'!E150</f>
        <v>71403.600000000006</v>
      </c>
      <c r="G148" s="43">
        <f>'13. Desinvesteringen'!G150</f>
        <v>2021</v>
      </c>
    </row>
    <row r="149" spans="2:7" s="3" customFormat="1">
      <c r="B149" s="43">
        <f>'13. Desinvesteringen'!B151</f>
        <v>132</v>
      </c>
      <c r="D149" s="43" t="str">
        <f>'13. Desinvesteringen'!C151</f>
        <v>01 Regionale leidingen</v>
      </c>
      <c r="E149" s="43">
        <f>'13. Desinvesteringen'!D151</f>
        <v>1975</v>
      </c>
      <c r="F149" s="48">
        <f>'13. Desinvesteringen'!E151</f>
        <v>19198.080000000002</v>
      </c>
      <c r="G149" s="43">
        <f>'13. Desinvesteringen'!G151</f>
        <v>2021</v>
      </c>
    </row>
    <row r="150" spans="2:7" s="3" customFormat="1">
      <c r="B150" s="43">
        <f>'13. Desinvesteringen'!B152</f>
        <v>133</v>
      </c>
      <c r="D150" s="43" t="str">
        <f>'13. Desinvesteringen'!C152</f>
        <v>01 Regionale leidingen</v>
      </c>
      <c r="E150" s="43">
        <f>'13. Desinvesteringen'!D152</f>
        <v>1979</v>
      </c>
      <c r="F150" s="48">
        <f>'13. Desinvesteringen'!E152</f>
        <v>42081.31</v>
      </c>
      <c r="G150" s="43">
        <f>'13. Desinvesteringen'!G152</f>
        <v>2021</v>
      </c>
    </row>
    <row r="151" spans="2:7" s="3" customFormat="1">
      <c r="B151" s="43">
        <f>'13. Desinvesteringen'!B153</f>
        <v>134</v>
      </c>
      <c r="D151" s="43" t="str">
        <f>'13. Desinvesteringen'!C153</f>
        <v>01 Regionale leidingen</v>
      </c>
      <c r="E151" s="43">
        <f>'13. Desinvesteringen'!D153</f>
        <v>1991</v>
      </c>
      <c r="F151" s="48">
        <f>'13. Desinvesteringen'!E153</f>
        <v>38721.65</v>
      </c>
      <c r="G151" s="43">
        <f>'13. Desinvesteringen'!G153</f>
        <v>2021</v>
      </c>
    </row>
    <row r="152" spans="2:7" s="3" customFormat="1">
      <c r="B152" s="43">
        <f>'13. Desinvesteringen'!B154</f>
        <v>135</v>
      </c>
      <c r="D152" s="43" t="str">
        <f>'13. Desinvesteringen'!C154</f>
        <v>01 Regionale leidingen</v>
      </c>
      <c r="E152" s="43">
        <f>'13. Desinvesteringen'!D154</f>
        <v>1992</v>
      </c>
      <c r="F152" s="48">
        <f>'13. Desinvesteringen'!E154</f>
        <v>55514.82</v>
      </c>
      <c r="G152" s="43">
        <f>'13. Desinvesteringen'!G154</f>
        <v>2021</v>
      </c>
    </row>
    <row r="153" spans="2:7" s="3" customFormat="1">
      <c r="B153" s="43">
        <f>'13. Desinvesteringen'!B155</f>
        <v>136</v>
      </c>
      <c r="D153" s="43" t="str">
        <f>'13. Desinvesteringen'!C155</f>
        <v>01 Regionale leidingen</v>
      </c>
      <c r="E153" s="43">
        <f>'13. Desinvesteringen'!D155</f>
        <v>1994</v>
      </c>
      <c r="F153" s="48">
        <f>'13. Desinvesteringen'!E155</f>
        <v>23050.77</v>
      </c>
      <c r="G153" s="43">
        <f>'13. Desinvesteringen'!G155</f>
        <v>2021</v>
      </c>
    </row>
    <row r="154" spans="2:7" s="3" customFormat="1">
      <c r="B154" s="43">
        <f>'13. Desinvesteringen'!B156</f>
        <v>137</v>
      </c>
      <c r="D154" s="43" t="str">
        <f>'13. Desinvesteringen'!C156</f>
        <v>01 Regionale leidingen</v>
      </c>
      <c r="E154" s="43">
        <f>'13. Desinvesteringen'!D156</f>
        <v>1997</v>
      </c>
      <c r="F154" s="48">
        <f>'13. Desinvesteringen'!E156</f>
        <v>27362.14</v>
      </c>
      <c r="G154" s="43">
        <f>'13. Desinvesteringen'!G156</f>
        <v>2021</v>
      </c>
    </row>
    <row r="155" spans="2:7" s="3" customFormat="1">
      <c r="B155" s="43">
        <f>'13. Desinvesteringen'!B157</f>
        <v>138</v>
      </c>
      <c r="D155" s="43" t="str">
        <f>'13. Desinvesteringen'!C157</f>
        <v>01 Regionale leidingen</v>
      </c>
      <c r="E155" s="43">
        <f>'13. Desinvesteringen'!D157</f>
        <v>2004</v>
      </c>
      <c r="F155" s="48">
        <f>'13. Desinvesteringen'!E157</f>
        <v>151657.73000000001</v>
      </c>
      <c r="G155" s="43">
        <f>'13. Desinvesteringen'!G157</f>
        <v>2021</v>
      </c>
    </row>
    <row r="156" spans="2:7" s="3" customFormat="1">
      <c r="B156" s="43">
        <f>'13. Desinvesteringen'!B158</f>
        <v>139</v>
      </c>
      <c r="D156" s="43" t="str">
        <f>'13. Desinvesteringen'!C158</f>
        <v>01 Regionale leidingen</v>
      </c>
      <c r="E156" s="43">
        <f>'13. Desinvesteringen'!D158</f>
        <v>2007</v>
      </c>
      <c r="F156" s="48">
        <f>'13. Desinvesteringen'!E158</f>
        <v>2827.55</v>
      </c>
      <c r="G156" s="43">
        <f>'13. Desinvesteringen'!G158</f>
        <v>2021</v>
      </c>
    </row>
    <row r="157" spans="2:7" s="3" customFormat="1">
      <c r="B157" s="43">
        <f>'13. Desinvesteringen'!B159</f>
        <v>140</v>
      </c>
      <c r="D157" s="43" t="str">
        <f>'13. Desinvesteringen'!C159</f>
        <v>01 Regionale leidingen</v>
      </c>
      <c r="E157" s="43">
        <f>'13. Desinvesteringen'!D159</f>
        <v>2009</v>
      </c>
      <c r="F157" s="48">
        <f>'13. Desinvesteringen'!E159</f>
        <v>124313.99</v>
      </c>
      <c r="G157" s="43">
        <f>'13. Desinvesteringen'!G159</f>
        <v>2021</v>
      </c>
    </row>
    <row r="158" spans="2:7" s="3" customFormat="1">
      <c r="B158" s="43">
        <f>'13. Desinvesteringen'!B160</f>
        <v>141</v>
      </c>
      <c r="D158" s="43" t="str">
        <f>'13. Desinvesteringen'!C160</f>
        <v>01 Regionale leidingen</v>
      </c>
      <c r="E158" s="43">
        <f>'13. Desinvesteringen'!D160</f>
        <v>2010</v>
      </c>
      <c r="F158" s="48">
        <f>'13. Desinvesteringen'!E160</f>
        <v>268395.78855748021</v>
      </c>
      <c r="G158" s="43">
        <f>'13. Desinvesteringen'!G160</f>
        <v>2021</v>
      </c>
    </row>
    <row r="159" spans="2:7" s="3" customFormat="1">
      <c r="B159" s="43">
        <f>'13. Desinvesteringen'!B161</f>
        <v>142</v>
      </c>
      <c r="D159" s="43" t="str">
        <f>'13. Desinvesteringen'!C161</f>
        <v>01 Regionale leidingen</v>
      </c>
      <c r="E159" s="43">
        <f>'13. Desinvesteringen'!D161</f>
        <v>2011</v>
      </c>
      <c r="F159" s="48">
        <f>'13. Desinvesteringen'!E161</f>
        <v>64375.815051532467</v>
      </c>
      <c r="G159" s="43">
        <f>'13. Desinvesteringen'!G161</f>
        <v>2021</v>
      </c>
    </row>
    <row r="160" spans="2:7" s="3" customFormat="1">
      <c r="B160" s="43">
        <f>'13. Desinvesteringen'!B162</f>
        <v>143</v>
      </c>
      <c r="D160" s="43" t="str">
        <f>'13. Desinvesteringen'!C162</f>
        <v>01 Regionale leidingen</v>
      </c>
      <c r="E160" s="43">
        <f>'13. Desinvesteringen'!D162</f>
        <v>2013</v>
      </c>
      <c r="F160" s="48">
        <f>'13. Desinvesteringen'!E162</f>
        <v>398931.4021603408</v>
      </c>
      <c r="G160" s="43">
        <f>'13. Desinvesteringen'!G162</f>
        <v>2021</v>
      </c>
    </row>
    <row r="161" spans="2:7" s="3" customFormat="1">
      <c r="B161" s="43">
        <f>'13. Desinvesteringen'!B163</f>
        <v>144</v>
      </c>
      <c r="D161" s="43" t="str">
        <f>'13. Desinvesteringen'!C163</f>
        <v>01 Regionale leidingen</v>
      </c>
      <c r="E161" s="43">
        <f>'13. Desinvesteringen'!D163</f>
        <v>2014</v>
      </c>
      <c r="F161" s="48">
        <f>'13. Desinvesteringen'!E163</f>
        <v>536.92166709422554</v>
      </c>
      <c r="G161" s="43">
        <f>'13. Desinvesteringen'!G163</f>
        <v>2021</v>
      </c>
    </row>
    <row r="162" spans="2:7" s="3" customFormat="1">
      <c r="B162" s="43">
        <f>'13. Desinvesteringen'!B164</f>
        <v>145</v>
      </c>
      <c r="D162" s="43" t="str">
        <f>'13. Desinvesteringen'!C164</f>
        <v>01 Regionale leidingen</v>
      </c>
      <c r="E162" s="43">
        <f>'13. Desinvesteringen'!D164</f>
        <v>2018</v>
      </c>
      <c r="F162" s="48">
        <f>'13. Desinvesteringen'!E164</f>
        <v>1020326.7510328252</v>
      </c>
      <c r="G162" s="43">
        <f>'13. Desinvesteringen'!G164</f>
        <v>2021</v>
      </c>
    </row>
    <row r="163" spans="2:7" s="3" customFormat="1">
      <c r="B163" s="43">
        <f>'13. Desinvesteringen'!B165</f>
        <v>146</v>
      </c>
      <c r="D163" s="43" t="str">
        <f>'13. Desinvesteringen'!C165</f>
        <v>01 Regionale leidingen</v>
      </c>
      <c r="E163" s="43">
        <f>'13. Desinvesteringen'!D165</f>
        <v>2019</v>
      </c>
      <c r="F163" s="48">
        <f>'13. Desinvesteringen'!E165</f>
        <v>11951.372469743606</v>
      </c>
      <c r="G163" s="43">
        <f>'13. Desinvesteringen'!G165</f>
        <v>2021</v>
      </c>
    </row>
    <row r="164" spans="2:7" s="3" customFormat="1">
      <c r="B164" s="43">
        <f>'13. Desinvesteringen'!B166</f>
        <v>147</v>
      </c>
      <c r="D164" s="43" t="str">
        <f>'13. Desinvesteringen'!C166</f>
        <v>02 Gasontvangststations</v>
      </c>
      <c r="E164" s="43">
        <f>'13. Desinvesteringen'!D166</f>
        <v>1965</v>
      </c>
      <c r="F164" s="48">
        <f>'13. Desinvesteringen'!E166</f>
        <v>37085.920000000006</v>
      </c>
      <c r="G164" s="43">
        <f>'13. Desinvesteringen'!G166</f>
        <v>2021</v>
      </c>
    </row>
    <row r="165" spans="2:7" s="3" customFormat="1">
      <c r="B165" s="43">
        <f>'13. Desinvesteringen'!B167</f>
        <v>148</v>
      </c>
      <c r="D165" s="43" t="str">
        <f>'13. Desinvesteringen'!C167</f>
        <v>02 Gasontvangststations</v>
      </c>
      <c r="E165" s="43">
        <f>'13. Desinvesteringen'!D167</f>
        <v>1966</v>
      </c>
      <c r="F165" s="48">
        <f>'13. Desinvesteringen'!E167</f>
        <v>191229.55</v>
      </c>
      <c r="G165" s="43">
        <f>'13. Desinvesteringen'!G167</f>
        <v>2021</v>
      </c>
    </row>
    <row r="166" spans="2:7" s="3" customFormat="1">
      <c r="B166" s="43">
        <f>'13. Desinvesteringen'!B168</f>
        <v>149</v>
      </c>
      <c r="D166" s="43" t="str">
        <f>'13. Desinvesteringen'!C168</f>
        <v>02 Gasontvangststations</v>
      </c>
      <c r="E166" s="43">
        <f>'13. Desinvesteringen'!D168</f>
        <v>1967</v>
      </c>
      <c r="F166" s="48">
        <f>'13. Desinvesteringen'!E168</f>
        <v>221505.32</v>
      </c>
      <c r="G166" s="43">
        <f>'13. Desinvesteringen'!G168</f>
        <v>2021</v>
      </c>
    </row>
    <row r="167" spans="2:7" s="3" customFormat="1">
      <c r="B167" s="43">
        <f>'13. Desinvesteringen'!B169</f>
        <v>150</v>
      </c>
      <c r="D167" s="43" t="str">
        <f>'13. Desinvesteringen'!C169</f>
        <v>02 Gasontvangststations</v>
      </c>
      <c r="E167" s="43">
        <f>'13. Desinvesteringen'!D169</f>
        <v>1968</v>
      </c>
      <c r="F167" s="48">
        <f>'13. Desinvesteringen'!E169</f>
        <v>138671.18999999997</v>
      </c>
      <c r="G167" s="43">
        <f>'13. Desinvesteringen'!G169</f>
        <v>2021</v>
      </c>
    </row>
    <row r="168" spans="2:7" s="3" customFormat="1">
      <c r="B168" s="43">
        <f>'13. Desinvesteringen'!B170</f>
        <v>151</v>
      </c>
      <c r="D168" s="43" t="str">
        <f>'13. Desinvesteringen'!C170</f>
        <v>02 Gasontvangststations</v>
      </c>
      <c r="E168" s="43">
        <f>'13. Desinvesteringen'!D170</f>
        <v>1969</v>
      </c>
      <c r="F168" s="48">
        <f>'13. Desinvesteringen'!E170</f>
        <v>252663.02</v>
      </c>
      <c r="G168" s="43">
        <f>'13. Desinvesteringen'!G170</f>
        <v>2021</v>
      </c>
    </row>
    <row r="169" spans="2:7" s="3" customFormat="1">
      <c r="B169" s="43">
        <f>'13. Desinvesteringen'!B171</f>
        <v>152</v>
      </c>
      <c r="D169" s="43" t="str">
        <f>'13. Desinvesteringen'!C171</f>
        <v>02 Gasontvangststations</v>
      </c>
      <c r="E169" s="43">
        <f>'13. Desinvesteringen'!D171</f>
        <v>1970</v>
      </c>
      <c r="F169" s="48">
        <f>'13. Desinvesteringen'!E171</f>
        <v>111949.98</v>
      </c>
      <c r="G169" s="43">
        <f>'13. Desinvesteringen'!G171</f>
        <v>2021</v>
      </c>
    </row>
    <row r="170" spans="2:7" s="3" customFormat="1">
      <c r="B170" s="43">
        <f>'13. Desinvesteringen'!B172</f>
        <v>153</v>
      </c>
      <c r="D170" s="43" t="str">
        <f>'13. Desinvesteringen'!C172</f>
        <v>02 Gasontvangststations</v>
      </c>
      <c r="E170" s="43">
        <f>'13. Desinvesteringen'!D172</f>
        <v>1971</v>
      </c>
      <c r="F170" s="48">
        <f>'13. Desinvesteringen'!E172</f>
        <v>158788.27000000002</v>
      </c>
      <c r="G170" s="43">
        <f>'13. Desinvesteringen'!G172</f>
        <v>2021</v>
      </c>
    </row>
    <row r="171" spans="2:7" s="3" customFormat="1">
      <c r="B171" s="43">
        <f>'13. Desinvesteringen'!B173</f>
        <v>154</v>
      </c>
      <c r="D171" s="43" t="str">
        <f>'13. Desinvesteringen'!C173</f>
        <v>02 Gasontvangststations</v>
      </c>
      <c r="E171" s="43">
        <f>'13. Desinvesteringen'!D173</f>
        <v>1972</v>
      </c>
      <c r="F171" s="48">
        <f>'13. Desinvesteringen'!E173</f>
        <v>241793.13</v>
      </c>
      <c r="G171" s="43">
        <f>'13. Desinvesteringen'!G173</f>
        <v>2021</v>
      </c>
    </row>
    <row r="172" spans="2:7" s="3" customFormat="1">
      <c r="B172" s="43">
        <f>'13. Desinvesteringen'!B174</f>
        <v>155</v>
      </c>
      <c r="D172" s="43" t="str">
        <f>'13. Desinvesteringen'!C174</f>
        <v>02 Gasontvangststations</v>
      </c>
      <c r="E172" s="43">
        <f>'13. Desinvesteringen'!D174</f>
        <v>1973</v>
      </c>
      <c r="F172" s="48">
        <f>'13. Desinvesteringen'!E174</f>
        <v>16917.16</v>
      </c>
      <c r="G172" s="43">
        <f>'13. Desinvesteringen'!G174</f>
        <v>2021</v>
      </c>
    </row>
    <row r="173" spans="2:7" s="3" customFormat="1">
      <c r="B173" s="43">
        <f>'13. Desinvesteringen'!B175</f>
        <v>156</v>
      </c>
      <c r="D173" s="43" t="str">
        <f>'13. Desinvesteringen'!C175</f>
        <v>02 Gasontvangststations</v>
      </c>
      <c r="E173" s="43">
        <f>'13. Desinvesteringen'!D175</f>
        <v>1974</v>
      </c>
      <c r="F173" s="48">
        <f>'13. Desinvesteringen'!E175</f>
        <v>19498.32</v>
      </c>
      <c r="G173" s="43">
        <f>'13. Desinvesteringen'!G175</f>
        <v>2021</v>
      </c>
    </row>
    <row r="174" spans="2:7" s="3" customFormat="1">
      <c r="B174" s="43">
        <f>'13. Desinvesteringen'!B176</f>
        <v>157</v>
      </c>
      <c r="D174" s="43" t="str">
        <f>'13. Desinvesteringen'!C176</f>
        <v>02 Gasontvangststations</v>
      </c>
      <c r="E174" s="43">
        <f>'13. Desinvesteringen'!D176</f>
        <v>1975</v>
      </c>
      <c r="F174" s="48">
        <f>'13. Desinvesteringen'!E176</f>
        <v>136362.09</v>
      </c>
      <c r="G174" s="43">
        <f>'13. Desinvesteringen'!G176</f>
        <v>2021</v>
      </c>
    </row>
    <row r="175" spans="2:7" s="3" customFormat="1">
      <c r="B175" s="43">
        <f>'13. Desinvesteringen'!B177</f>
        <v>158</v>
      </c>
      <c r="D175" s="43" t="str">
        <f>'13. Desinvesteringen'!C177</f>
        <v>02 Gasontvangststations</v>
      </c>
      <c r="E175" s="43">
        <f>'13. Desinvesteringen'!D177</f>
        <v>1976</v>
      </c>
      <c r="F175" s="48">
        <f>'13. Desinvesteringen'!E177</f>
        <v>95438.5</v>
      </c>
      <c r="G175" s="43">
        <f>'13. Desinvesteringen'!G177</f>
        <v>2021</v>
      </c>
    </row>
    <row r="176" spans="2:7" s="3" customFormat="1">
      <c r="B176" s="43">
        <f>'13. Desinvesteringen'!B178</f>
        <v>159</v>
      </c>
      <c r="D176" s="43" t="str">
        <f>'13. Desinvesteringen'!C178</f>
        <v>02 Gasontvangststations</v>
      </c>
      <c r="E176" s="43">
        <f>'13. Desinvesteringen'!D178</f>
        <v>1977</v>
      </c>
      <c r="F176" s="48">
        <f>'13. Desinvesteringen'!E178</f>
        <v>60014.03</v>
      </c>
      <c r="G176" s="43">
        <f>'13. Desinvesteringen'!G178</f>
        <v>2021</v>
      </c>
    </row>
    <row r="177" spans="2:7" s="3" customFormat="1">
      <c r="B177" s="43">
        <f>'13. Desinvesteringen'!B179</f>
        <v>160</v>
      </c>
      <c r="D177" s="43" t="str">
        <f>'13. Desinvesteringen'!C179</f>
        <v>02 Gasontvangststations</v>
      </c>
      <c r="E177" s="43">
        <f>'13. Desinvesteringen'!D179</f>
        <v>1978</v>
      </c>
      <c r="F177" s="48">
        <f>'13. Desinvesteringen'!E179</f>
        <v>16510.61</v>
      </c>
      <c r="G177" s="43">
        <f>'13. Desinvesteringen'!G179</f>
        <v>2021</v>
      </c>
    </row>
    <row r="178" spans="2:7" s="3" customFormat="1">
      <c r="B178" s="43">
        <f>'13. Desinvesteringen'!B180</f>
        <v>161</v>
      </c>
      <c r="D178" s="43" t="str">
        <f>'13. Desinvesteringen'!C180</f>
        <v>02 Gasontvangststations</v>
      </c>
      <c r="E178" s="43">
        <f>'13. Desinvesteringen'!D180</f>
        <v>1979</v>
      </c>
      <c r="F178" s="48">
        <f>'13. Desinvesteringen'!E180</f>
        <v>38157.51</v>
      </c>
      <c r="G178" s="43">
        <f>'13. Desinvesteringen'!G180</f>
        <v>2021</v>
      </c>
    </row>
    <row r="179" spans="2:7" s="3" customFormat="1">
      <c r="B179" s="43">
        <f>'13. Desinvesteringen'!B181</f>
        <v>162</v>
      </c>
      <c r="D179" s="43" t="str">
        <f>'13. Desinvesteringen'!C181</f>
        <v>02 Gasontvangststations</v>
      </c>
      <c r="E179" s="43">
        <f>'13. Desinvesteringen'!D181</f>
        <v>1986</v>
      </c>
      <c r="F179" s="48">
        <f>'13. Desinvesteringen'!E181</f>
        <v>109742.65</v>
      </c>
      <c r="G179" s="43">
        <f>'13. Desinvesteringen'!G181</f>
        <v>2021</v>
      </c>
    </row>
    <row r="180" spans="2:7" s="3" customFormat="1">
      <c r="B180" s="43">
        <f>'13. Desinvesteringen'!B182</f>
        <v>163</v>
      </c>
      <c r="D180" s="43" t="str">
        <f>'13. Desinvesteringen'!C182</f>
        <v>02 Gasontvangststations</v>
      </c>
      <c r="E180" s="43">
        <f>'13. Desinvesteringen'!D182</f>
        <v>1989</v>
      </c>
      <c r="F180" s="48">
        <f>'13. Desinvesteringen'!E182</f>
        <v>13251.86</v>
      </c>
      <c r="G180" s="43">
        <f>'13. Desinvesteringen'!G182</f>
        <v>2021</v>
      </c>
    </row>
    <row r="181" spans="2:7" s="3" customFormat="1">
      <c r="B181" s="43">
        <f>'13. Desinvesteringen'!B183</f>
        <v>164</v>
      </c>
      <c r="D181" s="43" t="str">
        <f>'13. Desinvesteringen'!C183</f>
        <v>02 Gasontvangststations</v>
      </c>
      <c r="E181" s="43">
        <f>'13. Desinvesteringen'!D183</f>
        <v>1991</v>
      </c>
      <c r="F181" s="48">
        <f>'13. Desinvesteringen'!E183</f>
        <v>8107.24</v>
      </c>
      <c r="G181" s="43">
        <f>'13. Desinvesteringen'!G183</f>
        <v>2021</v>
      </c>
    </row>
    <row r="182" spans="2:7" s="3" customFormat="1">
      <c r="B182" s="43">
        <f>'13. Desinvesteringen'!B184</f>
        <v>165</v>
      </c>
      <c r="D182" s="43" t="str">
        <f>'13. Desinvesteringen'!C184</f>
        <v>02 Gasontvangststations</v>
      </c>
      <c r="E182" s="43">
        <f>'13. Desinvesteringen'!D184</f>
        <v>1992</v>
      </c>
      <c r="F182" s="48">
        <f>'13. Desinvesteringen'!E184</f>
        <v>876626.98</v>
      </c>
      <c r="G182" s="43">
        <f>'13. Desinvesteringen'!G184</f>
        <v>2021</v>
      </c>
    </row>
    <row r="183" spans="2:7" s="3" customFormat="1">
      <c r="B183" s="43">
        <f>'13. Desinvesteringen'!B185</f>
        <v>166</v>
      </c>
      <c r="D183" s="43" t="str">
        <f>'13. Desinvesteringen'!C185</f>
        <v>02 Gasontvangststations</v>
      </c>
      <c r="E183" s="43">
        <f>'13. Desinvesteringen'!D185</f>
        <v>1993</v>
      </c>
      <c r="F183" s="48">
        <f>'13. Desinvesteringen'!E185</f>
        <v>6193.19</v>
      </c>
      <c r="G183" s="43">
        <f>'13. Desinvesteringen'!G185</f>
        <v>2021</v>
      </c>
    </row>
    <row r="184" spans="2:7" s="3" customFormat="1">
      <c r="B184" s="43">
        <f>'13. Desinvesteringen'!B186</f>
        <v>167</v>
      </c>
      <c r="D184" s="43" t="str">
        <f>'13. Desinvesteringen'!C186</f>
        <v>02 Gasontvangststations</v>
      </c>
      <c r="E184" s="43">
        <f>'13. Desinvesteringen'!D186</f>
        <v>1995</v>
      </c>
      <c r="F184" s="48">
        <f>'13. Desinvesteringen'!E186</f>
        <v>8440.31</v>
      </c>
      <c r="G184" s="43">
        <f>'13. Desinvesteringen'!G186</f>
        <v>2021</v>
      </c>
    </row>
    <row r="185" spans="2:7" s="3" customFormat="1">
      <c r="B185" s="43">
        <f>'13. Desinvesteringen'!B187</f>
        <v>168</v>
      </c>
      <c r="D185" s="43" t="str">
        <f>'13. Desinvesteringen'!C187</f>
        <v>02 Gasontvangststations</v>
      </c>
      <c r="E185" s="43">
        <f>'13. Desinvesteringen'!D187</f>
        <v>1996</v>
      </c>
      <c r="F185" s="48">
        <f>'13. Desinvesteringen'!E187</f>
        <v>6633.93</v>
      </c>
      <c r="G185" s="43">
        <f>'13. Desinvesteringen'!G187</f>
        <v>2021</v>
      </c>
    </row>
    <row r="186" spans="2:7" s="3" customFormat="1">
      <c r="B186" s="43">
        <f>'13. Desinvesteringen'!B188</f>
        <v>169</v>
      </c>
      <c r="D186" s="43" t="str">
        <f>'13. Desinvesteringen'!C188</f>
        <v>02 Gasontvangststations</v>
      </c>
      <c r="E186" s="43">
        <f>'13. Desinvesteringen'!D188</f>
        <v>1998</v>
      </c>
      <c r="F186" s="48">
        <f>'13. Desinvesteringen'!E188</f>
        <v>10371.369999999999</v>
      </c>
      <c r="G186" s="43">
        <f>'13. Desinvesteringen'!G188</f>
        <v>2021</v>
      </c>
    </row>
    <row r="187" spans="2:7" s="3" customFormat="1">
      <c r="B187" s="43">
        <f>'13. Desinvesteringen'!B189</f>
        <v>170</v>
      </c>
      <c r="D187" s="43" t="str">
        <f>'13. Desinvesteringen'!C189</f>
        <v>02 Gasontvangststations</v>
      </c>
      <c r="E187" s="43">
        <f>'13. Desinvesteringen'!D189</f>
        <v>1999</v>
      </c>
      <c r="F187" s="48">
        <f>'13. Desinvesteringen'!E189</f>
        <v>4737.3</v>
      </c>
      <c r="G187" s="43">
        <f>'13. Desinvesteringen'!G189</f>
        <v>2021</v>
      </c>
    </row>
    <row r="188" spans="2:7" s="3" customFormat="1">
      <c r="B188" s="43">
        <f>'13. Desinvesteringen'!B190</f>
        <v>171</v>
      </c>
      <c r="D188" s="43" t="str">
        <f>'13. Desinvesteringen'!C190</f>
        <v>02 Gasontvangststations</v>
      </c>
      <c r="E188" s="43">
        <f>'13. Desinvesteringen'!D190</f>
        <v>2002</v>
      </c>
      <c r="F188" s="48">
        <f>'13. Desinvesteringen'!E190</f>
        <v>49679.41</v>
      </c>
      <c r="G188" s="43">
        <f>'13. Desinvesteringen'!G190</f>
        <v>2021</v>
      </c>
    </row>
    <row r="189" spans="2:7" s="3" customFormat="1">
      <c r="B189" s="43">
        <f>'13. Desinvesteringen'!B191</f>
        <v>172</v>
      </c>
      <c r="D189" s="43" t="str">
        <f>'13. Desinvesteringen'!C191</f>
        <v>02 Gasontvangststations</v>
      </c>
      <c r="E189" s="43">
        <f>'13. Desinvesteringen'!D191</f>
        <v>2003</v>
      </c>
      <c r="F189" s="48">
        <f>'13. Desinvesteringen'!E191</f>
        <v>42948.94</v>
      </c>
      <c r="G189" s="43">
        <f>'13. Desinvesteringen'!G191</f>
        <v>2021</v>
      </c>
    </row>
    <row r="190" spans="2:7" s="3" customFormat="1">
      <c r="B190" s="43">
        <f>'13. Desinvesteringen'!B192</f>
        <v>173</v>
      </c>
      <c r="D190" s="43" t="str">
        <f>'13. Desinvesteringen'!C192</f>
        <v>02 Gasontvangststations</v>
      </c>
      <c r="E190" s="43">
        <f>'13. Desinvesteringen'!D192</f>
        <v>2005</v>
      </c>
      <c r="F190" s="48">
        <f>'13. Desinvesteringen'!E192</f>
        <v>108188.81</v>
      </c>
      <c r="G190" s="43">
        <f>'13. Desinvesteringen'!G192</f>
        <v>2021</v>
      </c>
    </row>
    <row r="191" spans="2:7" s="3" customFormat="1">
      <c r="B191" s="43">
        <f>'13. Desinvesteringen'!B193</f>
        <v>174</v>
      </c>
      <c r="D191" s="43" t="str">
        <f>'13. Desinvesteringen'!C193</f>
        <v>02 Gasontvangststations</v>
      </c>
      <c r="E191" s="43">
        <f>'13. Desinvesteringen'!D193</f>
        <v>2007</v>
      </c>
      <c r="F191" s="48">
        <f>'13. Desinvesteringen'!E193</f>
        <v>209399.48</v>
      </c>
      <c r="G191" s="43">
        <f>'13. Desinvesteringen'!G193</f>
        <v>2021</v>
      </c>
    </row>
    <row r="192" spans="2:7" s="3" customFormat="1">
      <c r="B192" s="43">
        <f>'13. Desinvesteringen'!B194</f>
        <v>175</v>
      </c>
      <c r="D192" s="43" t="str">
        <f>'13. Desinvesteringen'!C194</f>
        <v>02 Gasontvangststations</v>
      </c>
      <c r="E192" s="43">
        <f>'13. Desinvesteringen'!D194</f>
        <v>2011</v>
      </c>
      <c r="F192" s="48">
        <f>'13. Desinvesteringen'!E194</f>
        <v>326231.77348609408</v>
      </c>
      <c r="G192" s="43">
        <f>'13. Desinvesteringen'!G194</f>
        <v>2021</v>
      </c>
    </row>
    <row r="193" spans="2:7" s="3" customFormat="1">
      <c r="B193" s="43">
        <f>'13. Desinvesteringen'!B195</f>
        <v>176</v>
      </c>
      <c r="D193" s="43" t="str">
        <f>'13. Desinvesteringen'!C195</f>
        <v>02 Gasontvangststations</v>
      </c>
      <c r="E193" s="43">
        <f>'13. Desinvesteringen'!D195</f>
        <v>2012</v>
      </c>
      <c r="F193" s="48">
        <f>'13. Desinvesteringen'!E195</f>
        <v>304764.16110630898</v>
      </c>
      <c r="G193" s="43">
        <f>'13. Desinvesteringen'!G195</f>
        <v>2021</v>
      </c>
    </row>
    <row r="194" spans="2:7" s="3" customFormat="1">
      <c r="B194" s="43">
        <f>'13. Desinvesteringen'!B196</f>
        <v>177</v>
      </c>
      <c r="D194" s="43" t="str">
        <f>'13. Desinvesteringen'!C196</f>
        <v>02 Gasontvangststations</v>
      </c>
      <c r="E194" s="43">
        <f>'13. Desinvesteringen'!D196</f>
        <v>2013</v>
      </c>
      <c r="F194" s="48">
        <f>'13. Desinvesteringen'!E196</f>
        <v>38943.678871327982</v>
      </c>
      <c r="G194" s="43">
        <f>'13. Desinvesteringen'!G196</f>
        <v>2021</v>
      </c>
    </row>
    <row r="195" spans="2:7" s="3" customFormat="1">
      <c r="B195" s="43">
        <f>'13. Desinvesteringen'!B197</f>
        <v>178</v>
      </c>
      <c r="D195" s="43" t="str">
        <f>'13. Desinvesteringen'!C197</f>
        <v>02 Gasontvangststations</v>
      </c>
      <c r="E195" s="43">
        <f>'13. Desinvesteringen'!D197</f>
        <v>2018</v>
      </c>
      <c r="F195" s="48">
        <f>'13. Desinvesteringen'!E197</f>
        <v>24781.746230975445</v>
      </c>
      <c r="G195" s="43">
        <f>'13. Desinvesteringen'!G197</f>
        <v>2021</v>
      </c>
    </row>
    <row r="196" spans="2:7" s="3" customFormat="1">
      <c r="B196" s="43">
        <f>'13. Desinvesteringen'!B198</f>
        <v>179</v>
      </c>
      <c r="D196" s="43" t="str">
        <f>'13. Desinvesteringen'!C198</f>
        <v>04 Terreinen</v>
      </c>
      <c r="E196" s="43">
        <f>'13. Desinvesteringen'!D198</f>
        <v>1956</v>
      </c>
      <c r="F196" s="48">
        <f>'13. Desinvesteringen'!E198</f>
        <v>10811.2</v>
      </c>
      <c r="G196" s="43">
        <f>'13. Desinvesteringen'!G198</f>
        <v>2021</v>
      </c>
    </row>
    <row r="197" spans="2:7" s="3" customFormat="1">
      <c r="B197" s="43">
        <f>'13. Desinvesteringen'!B199</f>
        <v>180</v>
      </c>
      <c r="D197" s="43" t="str">
        <f>'13. Desinvesteringen'!C199</f>
        <v>04 Terreinen</v>
      </c>
      <c r="E197" s="43">
        <f>'13. Desinvesteringen'!D199</f>
        <v>1968</v>
      </c>
      <c r="F197" s="48">
        <f>'13. Desinvesteringen'!E199</f>
        <v>73172.06</v>
      </c>
      <c r="G197" s="43">
        <f>'13. Desinvesteringen'!G199</f>
        <v>2021</v>
      </c>
    </row>
    <row r="198" spans="2:7" s="3" customFormat="1">
      <c r="B198" s="43">
        <f>'13. Desinvesteringen'!B200</f>
        <v>181</v>
      </c>
      <c r="D198" s="43" t="str">
        <f>'13. Desinvesteringen'!C200</f>
        <v>04 Terreinen</v>
      </c>
      <c r="E198" s="43">
        <f>'13. Desinvesteringen'!D200</f>
        <v>1979</v>
      </c>
      <c r="F198" s="48">
        <f>'13. Desinvesteringen'!E200</f>
        <v>1664.95</v>
      </c>
      <c r="G198" s="43">
        <f>'13. Desinvesteringen'!G200</f>
        <v>2021</v>
      </c>
    </row>
    <row r="199" spans="2:7" s="3" customFormat="1">
      <c r="B199" s="43">
        <f>'13. Desinvesteringen'!B201</f>
        <v>182</v>
      </c>
      <c r="D199" s="43" t="str">
        <f>'13. Desinvesteringen'!C201</f>
        <v>04 Terreinen</v>
      </c>
      <c r="E199" s="43">
        <f>'13. Desinvesteringen'!D201</f>
        <v>1986</v>
      </c>
      <c r="F199" s="48">
        <f>'13. Desinvesteringen'!E201</f>
        <v>216560.83000000002</v>
      </c>
      <c r="G199" s="43">
        <f>'13. Desinvesteringen'!G201</f>
        <v>2021</v>
      </c>
    </row>
    <row r="200" spans="2:7" s="3" customFormat="1">
      <c r="B200" s="43">
        <f>'13. Desinvesteringen'!B202</f>
        <v>183</v>
      </c>
      <c r="D200" s="43" t="str">
        <f>'13. Desinvesteringen'!C202</f>
        <v>04 Terreinen</v>
      </c>
      <c r="E200" s="43">
        <f>'13. Desinvesteringen'!D202</f>
        <v>2012</v>
      </c>
      <c r="F200" s="48">
        <f>'13. Desinvesteringen'!E202</f>
        <v>492468.36169150769</v>
      </c>
      <c r="G200" s="43">
        <f>'13. Desinvesteringen'!G202</f>
        <v>2021</v>
      </c>
    </row>
    <row r="201" spans="2:7" s="3" customFormat="1">
      <c r="B201" s="43">
        <f>'13. Desinvesteringen'!B203</f>
        <v>184</v>
      </c>
      <c r="D201" s="43" t="str">
        <f>'13. Desinvesteringen'!C203</f>
        <v>05 Wegen en terreinvoorzieningen</v>
      </c>
      <c r="E201" s="43">
        <f>'13. Desinvesteringen'!D203</f>
        <v>1998</v>
      </c>
      <c r="F201" s="48">
        <f>'13. Desinvesteringen'!E203</f>
        <v>95295.21</v>
      </c>
      <c r="G201" s="43">
        <f>'13. Desinvesteringen'!G203</f>
        <v>2021</v>
      </c>
    </row>
    <row r="202" spans="2:7" s="3" customFormat="1">
      <c r="B202" s="43">
        <f>'13. Desinvesteringen'!B204</f>
        <v>185</v>
      </c>
      <c r="D202" s="43" t="str">
        <f>'13. Desinvesteringen'!C204</f>
        <v>05 Wegen en terreinvoorzieningen</v>
      </c>
      <c r="E202" s="43">
        <f>'13. Desinvesteringen'!D204</f>
        <v>2007</v>
      </c>
      <c r="F202" s="48">
        <f>'13. Desinvesteringen'!E204</f>
        <v>13693.71</v>
      </c>
      <c r="G202" s="43">
        <f>'13. Desinvesteringen'!G204</f>
        <v>2021</v>
      </c>
    </row>
    <row r="203" spans="2:7" s="3" customFormat="1">
      <c r="B203" s="43">
        <f>'13. Desinvesteringen'!B205</f>
        <v>186</v>
      </c>
      <c r="D203" s="43" t="str">
        <f>'13. Desinvesteringen'!C205</f>
        <v>05 Wegen en terreinvoorzieningen</v>
      </c>
      <c r="E203" s="43">
        <f>'13. Desinvesteringen'!D205</f>
        <v>2016</v>
      </c>
      <c r="F203" s="48">
        <f>'13. Desinvesteringen'!E205</f>
        <v>32624.757655515543</v>
      </c>
      <c r="G203" s="43">
        <f>'13. Desinvesteringen'!G205</f>
        <v>2021</v>
      </c>
    </row>
    <row r="204" spans="2:7" s="3" customFormat="1">
      <c r="B204" s="43">
        <f>'13. Desinvesteringen'!B206</f>
        <v>187</v>
      </c>
      <c r="D204" s="43" t="str">
        <f>'13. Desinvesteringen'!C206</f>
        <v>05 Wegen en terreinvoorzieningen</v>
      </c>
      <c r="E204" s="43">
        <f>'13. Desinvesteringen'!D206</f>
        <v>2018</v>
      </c>
      <c r="F204" s="48">
        <f>'13. Desinvesteringen'!E206</f>
        <v>538732.54828671971</v>
      </c>
      <c r="G204" s="43">
        <f>'13. Desinvesteringen'!G206</f>
        <v>2021</v>
      </c>
    </row>
    <row r="205" spans="2:7" s="3" customFormat="1">
      <c r="B205" s="43">
        <f>'13. Desinvesteringen'!B207</f>
        <v>188</v>
      </c>
      <c r="D205" s="43" t="str">
        <f>'13. Desinvesteringen'!C207</f>
        <v>06 Utiliteitsgebouwen</v>
      </c>
      <c r="E205" s="43">
        <f>'13. Desinvesteringen'!D207</f>
        <v>1980</v>
      </c>
      <c r="F205" s="48">
        <f>'13. Desinvesteringen'!E207</f>
        <v>15535.76</v>
      </c>
      <c r="G205" s="43">
        <f>'13. Desinvesteringen'!G207</f>
        <v>2021</v>
      </c>
    </row>
    <row r="206" spans="2:7" s="3" customFormat="1">
      <c r="B206" s="43">
        <f>'13. Desinvesteringen'!B208</f>
        <v>189</v>
      </c>
      <c r="D206" s="43" t="str">
        <f>'13. Desinvesteringen'!C208</f>
        <v>06 Utiliteitsgebouwen</v>
      </c>
      <c r="E206" s="43">
        <f>'13. Desinvesteringen'!D208</f>
        <v>2005</v>
      </c>
      <c r="F206" s="48">
        <f>'13. Desinvesteringen'!E208</f>
        <v>95475</v>
      </c>
      <c r="G206" s="43">
        <f>'13. Desinvesteringen'!G208</f>
        <v>2021</v>
      </c>
    </row>
    <row r="207" spans="2:7" s="3" customFormat="1">
      <c r="B207" s="43">
        <f>'13. Desinvesteringen'!B209</f>
        <v>190</v>
      </c>
      <c r="D207" s="43" t="str">
        <f>'13. Desinvesteringen'!C209</f>
        <v>06 Utiliteitsgebouwen</v>
      </c>
      <c r="E207" s="43">
        <f>'13. Desinvesteringen'!D209</f>
        <v>2006</v>
      </c>
      <c r="F207" s="48">
        <f>'13. Desinvesteringen'!E209</f>
        <v>43750.75</v>
      </c>
      <c r="G207" s="43">
        <f>'13. Desinvesteringen'!G209</f>
        <v>2021</v>
      </c>
    </row>
    <row r="208" spans="2:7" s="3" customFormat="1">
      <c r="B208" s="43">
        <f>'13. Desinvesteringen'!B210</f>
        <v>191</v>
      </c>
      <c r="D208" s="43" t="str">
        <f>'13. Desinvesteringen'!C210</f>
        <v>06 Utiliteitsgebouwen</v>
      </c>
      <c r="E208" s="43">
        <f>'13. Desinvesteringen'!D210</f>
        <v>2010</v>
      </c>
      <c r="F208" s="48">
        <f>'13. Desinvesteringen'!E210</f>
        <v>8444.43</v>
      </c>
      <c r="G208" s="43">
        <f>'13. Desinvesteringen'!G210</f>
        <v>2021</v>
      </c>
    </row>
    <row r="209" spans="2:7" s="3" customFormat="1">
      <c r="B209" s="43">
        <f>'13. Desinvesteringen'!B211</f>
        <v>192</v>
      </c>
      <c r="D209" s="43" t="str">
        <f>'13. Desinvesteringen'!C211</f>
        <v>06 Utiliteitsgebouwen (LNG)</v>
      </c>
      <c r="E209" s="43">
        <f>'13. Desinvesteringen'!D211</f>
        <v>2006</v>
      </c>
      <c r="F209" s="48">
        <f>'13. Desinvesteringen'!E211</f>
        <v>213008.69</v>
      </c>
      <c r="G209" s="43">
        <f>'13. Desinvesteringen'!G211</f>
        <v>2021</v>
      </c>
    </row>
    <row r="210" spans="2:7" s="3" customFormat="1">
      <c r="B210" s="43">
        <f>'13. Desinvesteringen'!B212</f>
        <v>193</v>
      </c>
      <c r="D210" s="43" t="str">
        <f>'13. Desinvesteringen'!C212</f>
        <v>08 Inrichting gebouwen</v>
      </c>
      <c r="E210" s="43">
        <f>'13. Desinvesteringen'!D212</f>
        <v>1995</v>
      </c>
      <c r="F210" s="48">
        <f>'13. Desinvesteringen'!E212</f>
        <v>21404.81</v>
      </c>
      <c r="G210" s="43">
        <f>'13. Desinvesteringen'!G212</f>
        <v>2021</v>
      </c>
    </row>
    <row r="211" spans="2:7" s="3" customFormat="1">
      <c r="B211" s="43">
        <f>'13. Desinvesteringen'!B213</f>
        <v>194</v>
      </c>
      <c r="D211" s="43" t="str">
        <f>'13. Desinvesteringen'!C213</f>
        <v>08 Inrichting gebouwen</v>
      </c>
      <c r="E211" s="43">
        <f>'13. Desinvesteringen'!D213</f>
        <v>1999</v>
      </c>
      <c r="F211" s="48">
        <f>'13. Desinvesteringen'!E213</f>
        <v>41263.57</v>
      </c>
      <c r="G211" s="43">
        <f>'13. Desinvesteringen'!G213</f>
        <v>2021</v>
      </c>
    </row>
    <row r="212" spans="2:7" s="3" customFormat="1">
      <c r="B212" s="43">
        <f>'13. Desinvesteringen'!B214</f>
        <v>195</v>
      </c>
      <c r="D212" s="43" t="str">
        <f>'13. Desinvesteringen'!C214</f>
        <v>08 Inrichting gebouwen</v>
      </c>
      <c r="E212" s="43">
        <f>'13. Desinvesteringen'!D214</f>
        <v>2004</v>
      </c>
      <c r="F212" s="48">
        <f>'13. Desinvesteringen'!E214</f>
        <v>25586.77</v>
      </c>
      <c r="G212" s="43">
        <f>'13. Desinvesteringen'!G214</f>
        <v>2021</v>
      </c>
    </row>
    <row r="213" spans="2:7" s="3" customFormat="1">
      <c r="B213" s="43">
        <f>'13. Desinvesteringen'!B215</f>
        <v>196</v>
      </c>
      <c r="D213" s="43" t="str">
        <f>'13. Desinvesteringen'!C215</f>
        <v>08 Inrichting gebouwen</v>
      </c>
      <c r="E213" s="43">
        <f>'13. Desinvesteringen'!D215</f>
        <v>2007</v>
      </c>
      <c r="F213" s="48">
        <f>'13. Desinvesteringen'!E215</f>
        <v>72524.09</v>
      </c>
      <c r="G213" s="43">
        <f>'13. Desinvesteringen'!G215</f>
        <v>2021</v>
      </c>
    </row>
    <row r="214" spans="2:7" s="3" customFormat="1">
      <c r="B214" s="43">
        <f>'13. Desinvesteringen'!B216</f>
        <v>197</v>
      </c>
      <c r="D214" s="43" t="str">
        <f>'13. Desinvesteringen'!C216</f>
        <v>08 Inrichting gebouwen</v>
      </c>
      <c r="E214" s="43">
        <f>'13. Desinvesteringen'!D216</f>
        <v>2009</v>
      </c>
      <c r="F214" s="48">
        <f>'13. Desinvesteringen'!E216</f>
        <v>43757.98</v>
      </c>
      <c r="G214" s="43">
        <f>'13. Desinvesteringen'!G216</f>
        <v>2021</v>
      </c>
    </row>
    <row r="215" spans="2:7" s="3" customFormat="1">
      <c r="B215" s="43">
        <f>'13. Desinvesteringen'!B217</f>
        <v>198</v>
      </c>
      <c r="D215" s="43" t="str">
        <f>'13. Desinvesteringen'!C217</f>
        <v>08 Inrichting gebouwen</v>
      </c>
      <c r="E215" s="43">
        <f>'13. Desinvesteringen'!D217</f>
        <v>2018</v>
      </c>
      <c r="F215" s="48">
        <f>'13. Desinvesteringen'!E217</f>
        <v>92063.762018898677</v>
      </c>
      <c r="G215" s="43">
        <f>'13. Desinvesteringen'!G217</f>
        <v>2021</v>
      </c>
    </row>
    <row r="216" spans="2:7" s="3" customFormat="1">
      <c r="B216" s="43">
        <f>'13. Desinvesteringen'!B218</f>
        <v>199</v>
      </c>
      <c r="D216" s="43" t="str">
        <f>'13. Desinvesteringen'!C218</f>
        <v>09 Bedrijfsinventaris</v>
      </c>
      <c r="E216" s="43">
        <f>'13. Desinvesteringen'!D218</f>
        <v>1999</v>
      </c>
      <c r="F216" s="48">
        <f>'13. Desinvesteringen'!E218</f>
        <v>23628.5</v>
      </c>
      <c r="G216" s="43">
        <f>'13. Desinvesteringen'!G218</f>
        <v>2021</v>
      </c>
    </row>
    <row r="217" spans="2:7" s="3" customFormat="1">
      <c r="B217" s="43">
        <f>'13. Desinvesteringen'!B219</f>
        <v>200</v>
      </c>
      <c r="D217" s="43" t="str">
        <f>'13. Desinvesteringen'!C219</f>
        <v>09 Bedrijfsinventaris</v>
      </c>
      <c r="E217" s="43">
        <f>'13. Desinvesteringen'!D219</f>
        <v>2003</v>
      </c>
      <c r="F217" s="48">
        <f>'13. Desinvesteringen'!E219</f>
        <v>5549.99</v>
      </c>
      <c r="G217" s="43">
        <f>'13. Desinvesteringen'!G219</f>
        <v>2021</v>
      </c>
    </row>
    <row r="218" spans="2:7" s="3" customFormat="1">
      <c r="B218" s="43">
        <f>'13. Desinvesteringen'!B220</f>
        <v>201</v>
      </c>
      <c r="D218" s="43" t="str">
        <f>'13. Desinvesteringen'!C220</f>
        <v>09 Bedrijfsinventaris</v>
      </c>
      <c r="E218" s="43">
        <f>'13. Desinvesteringen'!D220</f>
        <v>2004</v>
      </c>
      <c r="F218" s="48">
        <f>'13. Desinvesteringen'!E220</f>
        <v>7075.25</v>
      </c>
      <c r="G218" s="43">
        <f>'13. Desinvesteringen'!G220</f>
        <v>2021</v>
      </c>
    </row>
    <row r="219" spans="2:7" s="3" customFormat="1">
      <c r="B219" s="43">
        <f>'13. Desinvesteringen'!B221</f>
        <v>202</v>
      </c>
      <c r="D219" s="43" t="str">
        <f>'13. Desinvesteringen'!C221</f>
        <v>09 Bedrijfsinventaris</v>
      </c>
      <c r="E219" s="43">
        <f>'13. Desinvesteringen'!D221</f>
        <v>2011</v>
      </c>
      <c r="F219" s="48">
        <f>'13. Desinvesteringen'!E221</f>
        <v>32592.1</v>
      </c>
      <c r="G219" s="43">
        <f>'13. Desinvesteringen'!G221</f>
        <v>2021</v>
      </c>
    </row>
    <row r="220" spans="2:7" s="3" customFormat="1">
      <c r="B220" s="43">
        <f>'13. Desinvesteringen'!B222</f>
        <v>203</v>
      </c>
      <c r="D220" s="43" t="str">
        <f>'13. Desinvesteringen'!C222</f>
        <v>09 Bedrijfsinventaris</v>
      </c>
      <c r="E220" s="43">
        <f>'13. Desinvesteringen'!D222</f>
        <v>2012</v>
      </c>
      <c r="F220" s="48">
        <f>'13. Desinvesteringen'!E222</f>
        <v>47594.894530059231</v>
      </c>
      <c r="G220" s="43">
        <f>'13. Desinvesteringen'!G222</f>
        <v>2021</v>
      </c>
    </row>
    <row r="221" spans="2:7" s="3" customFormat="1">
      <c r="B221" s="43">
        <f>'13. Desinvesteringen'!B223</f>
        <v>204</v>
      </c>
      <c r="D221" s="43" t="str">
        <f>'13. Desinvesteringen'!C223</f>
        <v>09 Bedrijfsinventaris</v>
      </c>
      <c r="E221" s="43">
        <f>'13. Desinvesteringen'!D223</f>
        <v>2017</v>
      </c>
      <c r="F221" s="48">
        <f>'13. Desinvesteringen'!E223</f>
        <v>30787.351220734221</v>
      </c>
      <c r="G221" s="43">
        <f>'13. Desinvesteringen'!G223</f>
        <v>2021</v>
      </c>
    </row>
    <row r="222" spans="2:7" s="3" customFormat="1">
      <c r="B222" s="43">
        <f>'13. Desinvesteringen'!B224</f>
        <v>205</v>
      </c>
      <c r="D222" s="43" t="str">
        <f>'13. Desinvesteringen'!C224</f>
        <v>09 Bedrijfsinventaris</v>
      </c>
      <c r="E222" s="43">
        <f>'13. Desinvesteringen'!D224</f>
        <v>2018</v>
      </c>
      <c r="F222" s="48">
        <f>'13. Desinvesteringen'!E224</f>
        <v>15158.814286337998</v>
      </c>
      <c r="G222" s="43">
        <f>'13. Desinvesteringen'!G224</f>
        <v>2021</v>
      </c>
    </row>
    <row r="223" spans="2:7" s="3" customFormat="1">
      <c r="B223" s="43">
        <f>'13. Desinvesteringen'!B225</f>
        <v>206</v>
      </c>
      <c r="D223" s="43" t="str">
        <f>'13. Desinvesteringen'!C225</f>
        <v>10 Gereedschap</v>
      </c>
      <c r="E223" s="43">
        <f>'13. Desinvesteringen'!D225</f>
        <v>2011</v>
      </c>
      <c r="F223" s="48">
        <f>'13. Desinvesteringen'!E225</f>
        <v>327059.9632444483</v>
      </c>
      <c r="G223" s="43">
        <f>'13. Desinvesteringen'!G225</f>
        <v>2021</v>
      </c>
    </row>
    <row r="224" spans="2:7" s="3" customFormat="1">
      <c r="B224" s="43">
        <f>'13. Desinvesteringen'!B226</f>
        <v>207</v>
      </c>
      <c r="D224" s="43" t="str">
        <f>'13. Desinvesteringen'!C226</f>
        <v>10 Gereedschap</v>
      </c>
      <c r="E224" s="43">
        <f>'13. Desinvesteringen'!D226</f>
        <v>2011</v>
      </c>
      <c r="F224" s="48">
        <f>'13. Desinvesteringen'!E226</f>
        <v>204205.26050762061</v>
      </c>
      <c r="G224" s="43">
        <f>'13. Desinvesteringen'!G226</f>
        <v>2021</v>
      </c>
    </row>
    <row r="225" spans="2:7" s="3" customFormat="1">
      <c r="B225" s="43">
        <f>'13. Desinvesteringen'!B227</f>
        <v>208</v>
      </c>
      <c r="D225" s="43" t="str">
        <f>'13. Desinvesteringen'!C227</f>
        <v>15 Compressorstations (TT-BT-AT)</v>
      </c>
      <c r="E225" s="43">
        <f>'13. Desinvesteringen'!D227</f>
        <v>1970</v>
      </c>
      <c r="F225" s="48">
        <f>'13. Desinvesteringen'!E227</f>
        <v>200671.11000000002</v>
      </c>
      <c r="G225" s="43">
        <f>'13. Desinvesteringen'!G227</f>
        <v>2021</v>
      </c>
    </row>
    <row r="226" spans="2:7" s="3" customFormat="1">
      <c r="B226" s="43">
        <f>'13. Desinvesteringen'!B228</f>
        <v>209</v>
      </c>
      <c r="D226" s="43" t="str">
        <f>'13. Desinvesteringen'!C228</f>
        <v>15 Compressorstations (TT-BT-AT)</v>
      </c>
      <c r="E226" s="43">
        <f>'13. Desinvesteringen'!D228</f>
        <v>1971</v>
      </c>
      <c r="F226" s="48">
        <f>'13. Desinvesteringen'!E228</f>
        <v>31459.45</v>
      </c>
      <c r="G226" s="43">
        <f>'13. Desinvesteringen'!G228</f>
        <v>2021</v>
      </c>
    </row>
    <row r="227" spans="2:7" s="3" customFormat="1">
      <c r="B227" s="43">
        <f>'13. Desinvesteringen'!B229</f>
        <v>210</v>
      </c>
      <c r="D227" s="43" t="str">
        <f>'13. Desinvesteringen'!C229</f>
        <v>15 Compressorstations (TT-BT-AT)</v>
      </c>
      <c r="E227" s="43">
        <f>'13. Desinvesteringen'!D229</f>
        <v>1974</v>
      </c>
      <c r="F227" s="48">
        <f>'13. Desinvesteringen'!E229</f>
        <v>37307.01</v>
      </c>
      <c r="G227" s="43">
        <f>'13. Desinvesteringen'!G229</f>
        <v>2021</v>
      </c>
    </row>
    <row r="228" spans="2:7" s="3" customFormat="1">
      <c r="B228" s="43">
        <f>'13. Desinvesteringen'!B230</f>
        <v>211</v>
      </c>
      <c r="D228" s="43" t="str">
        <f>'13. Desinvesteringen'!C230</f>
        <v>15 Compressorstations (TT-BT-AT)</v>
      </c>
      <c r="E228" s="43">
        <f>'13. Desinvesteringen'!D230</f>
        <v>1977</v>
      </c>
      <c r="F228" s="48">
        <f>'13. Desinvesteringen'!E230</f>
        <v>56993.78</v>
      </c>
      <c r="G228" s="43">
        <f>'13. Desinvesteringen'!G230</f>
        <v>2021</v>
      </c>
    </row>
    <row r="229" spans="2:7" s="3" customFormat="1">
      <c r="B229" s="43">
        <f>'13. Desinvesteringen'!B231</f>
        <v>212</v>
      </c>
      <c r="D229" s="43" t="str">
        <f>'13. Desinvesteringen'!C231</f>
        <v>15 Compressorstations (TT-BT-AT)</v>
      </c>
      <c r="E229" s="43">
        <f>'13. Desinvesteringen'!D231</f>
        <v>1987</v>
      </c>
      <c r="F229" s="48">
        <f>'13. Desinvesteringen'!E231</f>
        <v>30140.38</v>
      </c>
      <c r="G229" s="43">
        <f>'13. Desinvesteringen'!G231</f>
        <v>2021</v>
      </c>
    </row>
    <row r="230" spans="2:7" s="3" customFormat="1">
      <c r="B230" s="43">
        <f>'13. Desinvesteringen'!B232</f>
        <v>213</v>
      </c>
      <c r="D230" s="43" t="str">
        <f>'13. Desinvesteringen'!C232</f>
        <v>15 Compressorstations (TT-BT-AT)</v>
      </c>
      <c r="E230" s="43">
        <f>'13. Desinvesteringen'!D232</f>
        <v>2006</v>
      </c>
      <c r="F230" s="48">
        <f>'13. Desinvesteringen'!E232</f>
        <v>220824.52000000002</v>
      </c>
      <c r="G230" s="43">
        <f>'13. Desinvesteringen'!G232</f>
        <v>2021</v>
      </c>
    </row>
    <row r="231" spans="2:7" s="3" customFormat="1">
      <c r="B231" s="43">
        <f>'13. Desinvesteringen'!B233</f>
        <v>214</v>
      </c>
      <c r="D231" s="43" t="str">
        <f>'13. Desinvesteringen'!C233</f>
        <v>15 Compressorstations (TT-BT-AT)</v>
      </c>
      <c r="E231" s="43">
        <f>'13. Desinvesteringen'!D233</f>
        <v>2007</v>
      </c>
      <c r="F231" s="48">
        <f>'13. Desinvesteringen'!E233</f>
        <v>118615.11181912628</v>
      </c>
      <c r="G231" s="43">
        <f>'13. Desinvesteringen'!G233</f>
        <v>2021</v>
      </c>
    </row>
    <row r="232" spans="2:7" s="3" customFormat="1">
      <c r="B232" s="43">
        <f>'13. Desinvesteringen'!B234</f>
        <v>215</v>
      </c>
      <c r="D232" s="43" t="str">
        <f>'13. Desinvesteringen'!C234</f>
        <v>15 Compressorstations (TT-BT-AT)</v>
      </c>
      <c r="E232" s="43">
        <f>'13. Desinvesteringen'!D234</f>
        <v>2009</v>
      </c>
      <c r="F232" s="48">
        <f>'13. Desinvesteringen'!E234</f>
        <v>36749.480000000003</v>
      </c>
      <c r="G232" s="43">
        <f>'13. Desinvesteringen'!G234</f>
        <v>2021</v>
      </c>
    </row>
    <row r="233" spans="2:7" s="3" customFormat="1">
      <c r="B233" s="43">
        <f>'13. Desinvesteringen'!B235</f>
        <v>216</v>
      </c>
      <c r="D233" s="43" t="str">
        <f>'13. Desinvesteringen'!C235</f>
        <v>15 Compressorstations (TT-BT-AT)</v>
      </c>
      <c r="E233" s="43">
        <f>'13. Desinvesteringen'!D235</f>
        <v>2010</v>
      </c>
      <c r="F233" s="48">
        <f>'13. Desinvesteringen'!E235</f>
        <v>16852.444769673708</v>
      </c>
      <c r="G233" s="43">
        <f>'13. Desinvesteringen'!G235</f>
        <v>2021</v>
      </c>
    </row>
    <row r="234" spans="2:7" s="3" customFormat="1">
      <c r="B234" s="43">
        <f>'13. Desinvesteringen'!B236</f>
        <v>217</v>
      </c>
      <c r="D234" s="43" t="str">
        <f>'13. Desinvesteringen'!C236</f>
        <v>15 Compressorstations (TT-BT-AT)</v>
      </c>
      <c r="E234" s="43">
        <f>'13. Desinvesteringen'!D236</f>
        <v>2011</v>
      </c>
      <c r="F234" s="48">
        <f>'13. Desinvesteringen'!E236</f>
        <v>161240.22989045532</v>
      </c>
      <c r="G234" s="43">
        <f>'13. Desinvesteringen'!G236</f>
        <v>2021</v>
      </c>
    </row>
    <row r="235" spans="2:7" s="3" customFormat="1">
      <c r="B235" s="43">
        <f>'13. Desinvesteringen'!B237</f>
        <v>218</v>
      </c>
      <c r="D235" s="43" t="str">
        <f>'13. Desinvesteringen'!C237</f>
        <v>16 LNG installaties</v>
      </c>
      <c r="E235" s="43">
        <f>'13. Desinvesteringen'!D237</f>
        <v>1977</v>
      </c>
      <c r="F235" s="48">
        <f>'13. Desinvesteringen'!E237</f>
        <v>35828970.149999999</v>
      </c>
      <c r="G235" s="43">
        <f>'13. Desinvesteringen'!G237</f>
        <v>2021</v>
      </c>
    </row>
    <row r="236" spans="2:7" s="3" customFormat="1">
      <c r="B236" s="43">
        <f>'13. Desinvesteringen'!B238</f>
        <v>219</v>
      </c>
      <c r="D236" s="43" t="str">
        <f>'13. Desinvesteringen'!C238</f>
        <v>16 LNG installaties</v>
      </c>
      <c r="E236" s="43">
        <f>'13. Desinvesteringen'!D238</f>
        <v>1998</v>
      </c>
      <c r="F236" s="48">
        <f>'13. Desinvesteringen'!E238</f>
        <v>75833.259999999995</v>
      </c>
      <c r="G236" s="43">
        <f>'13. Desinvesteringen'!G238</f>
        <v>2021</v>
      </c>
    </row>
    <row r="237" spans="2:7" s="3" customFormat="1">
      <c r="B237" s="43">
        <f>'13. Desinvesteringen'!B239</f>
        <v>220</v>
      </c>
      <c r="D237" s="43" t="str">
        <f>'13. Desinvesteringen'!C239</f>
        <v>16 LNG installaties</v>
      </c>
      <c r="E237" s="43">
        <f>'13. Desinvesteringen'!D239</f>
        <v>2004</v>
      </c>
      <c r="F237" s="48">
        <f>'13. Desinvesteringen'!E239</f>
        <v>698617.72</v>
      </c>
      <c r="G237" s="43">
        <f>'13. Desinvesteringen'!G239</f>
        <v>2021</v>
      </c>
    </row>
    <row r="238" spans="2:7" s="3" customFormat="1">
      <c r="B238" s="43">
        <f>'13. Desinvesteringen'!B240</f>
        <v>221</v>
      </c>
      <c r="D238" s="43" t="str">
        <f>'13. Desinvesteringen'!C240</f>
        <v>16 LNG installaties</v>
      </c>
      <c r="E238" s="43">
        <f>'13. Desinvesteringen'!D240</f>
        <v>2006</v>
      </c>
      <c r="F238" s="48">
        <f>'13. Desinvesteringen'!E240</f>
        <v>134414.63</v>
      </c>
      <c r="G238" s="43">
        <f>'13. Desinvesteringen'!G240</f>
        <v>2021</v>
      </c>
    </row>
    <row r="239" spans="2:7" s="3" customFormat="1">
      <c r="B239" s="43">
        <f>'13. Desinvesteringen'!B241</f>
        <v>222</v>
      </c>
      <c r="D239" s="43" t="str">
        <f>'13. Desinvesteringen'!C241</f>
        <v>16 LNG installaties</v>
      </c>
      <c r="E239" s="43">
        <f>'13. Desinvesteringen'!D241</f>
        <v>2007</v>
      </c>
      <c r="F239" s="48">
        <f>'13. Desinvesteringen'!E241</f>
        <v>295840.56</v>
      </c>
      <c r="G239" s="43">
        <f>'13. Desinvesteringen'!G241</f>
        <v>2021</v>
      </c>
    </row>
    <row r="240" spans="2:7" s="3" customFormat="1">
      <c r="B240" s="43">
        <f>'13. Desinvesteringen'!B242</f>
        <v>223</v>
      </c>
      <c r="D240" s="43" t="str">
        <f>'13. Desinvesteringen'!C242</f>
        <v>16 LNG installaties</v>
      </c>
      <c r="E240" s="43">
        <f>'13. Desinvesteringen'!D242</f>
        <v>2008</v>
      </c>
      <c r="F240" s="48">
        <f>'13. Desinvesteringen'!E242</f>
        <v>422693.60000000003</v>
      </c>
      <c r="G240" s="43">
        <f>'13. Desinvesteringen'!G242</f>
        <v>2021</v>
      </c>
    </row>
    <row r="241" spans="2:7" s="3" customFormat="1">
      <c r="B241" s="43">
        <f>'13. Desinvesteringen'!B243</f>
        <v>224</v>
      </c>
      <c r="D241" s="43" t="str">
        <f>'13. Desinvesteringen'!C243</f>
        <v>16 LNG installaties</v>
      </c>
      <c r="E241" s="43">
        <f>'13. Desinvesteringen'!D243</f>
        <v>2009</v>
      </c>
      <c r="F241" s="48">
        <f>'13. Desinvesteringen'!E243</f>
        <v>7501964.5199999996</v>
      </c>
      <c r="G241" s="43">
        <f>'13. Desinvesteringen'!G243</f>
        <v>2021</v>
      </c>
    </row>
    <row r="242" spans="2:7" s="3" customFormat="1">
      <c r="B242" s="43">
        <f>'13. Desinvesteringen'!B244</f>
        <v>225</v>
      </c>
      <c r="D242" s="43" t="str">
        <f>'13. Desinvesteringen'!C244</f>
        <v>16 LNG installaties</v>
      </c>
      <c r="E242" s="43">
        <f>'13. Desinvesteringen'!D244</f>
        <v>2010</v>
      </c>
      <c r="F242" s="48">
        <f>'13. Desinvesteringen'!E244</f>
        <v>1044433.3749015761</v>
      </c>
      <c r="G242" s="43">
        <f>'13. Desinvesteringen'!G244</f>
        <v>2021</v>
      </c>
    </row>
    <row r="243" spans="2:7" s="3" customFormat="1">
      <c r="B243" s="43">
        <f>'13. Desinvesteringen'!B245</f>
        <v>226</v>
      </c>
      <c r="D243" s="43" t="str">
        <f>'13. Desinvesteringen'!C245</f>
        <v>16 LNG installaties</v>
      </c>
      <c r="E243" s="43">
        <f>'13. Desinvesteringen'!D245</f>
        <v>2011</v>
      </c>
      <c r="F243" s="48">
        <f>'13. Desinvesteringen'!E245</f>
        <v>55479.276483167145</v>
      </c>
      <c r="G243" s="43">
        <f>'13. Desinvesteringen'!G245</f>
        <v>2021</v>
      </c>
    </row>
    <row r="244" spans="2:7" s="3" customFormat="1">
      <c r="B244" s="43">
        <f>'13. Desinvesteringen'!B246</f>
        <v>227</v>
      </c>
      <c r="D244" s="43" t="str">
        <f>'13. Desinvesteringen'!C246</f>
        <v>16 LNG installaties</v>
      </c>
      <c r="E244" s="43">
        <f>'13. Desinvesteringen'!D246</f>
        <v>2012</v>
      </c>
      <c r="F244" s="48">
        <f>'13. Desinvesteringen'!E246</f>
        <v>3622072.4393920866</v>
      </c>
      <c r="G244" s="43">
        <f>'13. Desinvesteringen'!G246</f>
        <v>2021</v>
      </c>
    </row>
    <row r="245" spans="2:7" s="3" customFormat="1">
      <c r="B245" s="43">
        <f>'13. Desinvesteringen'!B247</f>
        <v>228</v>
      </c>
      <c r="D245" s="43" t="str">
        <f>'13. Desinvesteringen'!C247</f>
        <v>16 LNG installaties</v>
      </c>
      <c r="E245" s="43">
        <f>'13. Desinvesteringen'!D247</f>
        <v>2013</v>
      </c>
      <c r="F245" s="48">
        <f>'13. Desinvesteringen'!E247</f>
        <v>3696661.0956130447</v>
      </c>
      <c r="G245" s="43">
        <f>'13. Desinvesteringen'!G247</f>
        <v>2021</v>
      </c>
    </row>
    <row r="246" spans="2:7" s="3" customFormat="1">
      <c r="B246" s="43">
        <f>'13. Desinvesteringen'!B248</f>
        <v>229</v>
      </c>
      <c r="D246" s="43" t="str">
        <f>'13. Desinvesteringen'!C248</f>
        <v>16 LNG installaties</v>
      </c>
      <c r="E246" s="43">
        <f>'13. Desinvesteringen'!D248</f>
        <v>2014</v>
      </c>
      <c r="F246" s="48">
        <f>'13. Desinvesteringen'!E248</f>
        <v>-211261.47377242689</v>
      </c>
      <c r="G246" s="43">
        <f>'13. Desinvesteringen'!G248</f>
        <v>2021</v>
      </c>
    </row>
    <row r="247" spans="2:7" s="3" customFormat="1">
      <c r="B247" s="43">
        <f>'13. Desinvesteringen'!B249</f>
        <v>230</v>
      </c>
      <c r="D247" s="43" t="str">
        <f>'13. Desinvesteringen'!C249</f>
        <v>16 LNG installaties</v>
      </c>
      <c r="E247" s="43">
        <f>'13. Desinvesteringen'!D249</f>
        <v>2015</v>
      </c>
      <c r="F247" s="48">
        <f>'13. Desinvesteringen'!E249</f>
        <v>1410348.6255901323</v>
      </c>
      <c r="G247" s="43">
        <f>'13. Desinvesteringen'!G249</f>
        <v>2021</v>
      </c>
    </row>
    <row r="248" spans="2:7" s="3" customFormat="1">
      <c r="B248" s="43">
        <f>'13. Desinvesteringen'!B250</f>
        <v>231</v>
      </c>
      <c r="D248" s="43" t="str">
        <f>'13. Desinvesteringen'!C250</f>
        <v>16 LNG installaties</v>
      </c>
      <c r="E248" s="43">
        <f>'13. Desinvesteringen'!D250</f>
        <v>2016</v>
      </c>
      <c r="F248" s="48">
        <f>'13. Desinvesteringen'!E250</f>
        <v>1210083.3299999998</v>
      </c>
      <c r="G248" s="43">
        <f>'13. Desinvesteringen'!G250</f>
        <v>2021</v>
      </c>
    </row>
    <row r="249" spans="2:7" s="3" customFormat="1">
      <c r="B249" s="43">
        <f>'13. Desinvesteringen'!B251</f>
        <v>232</v>
      </c>
      <c r="D249" s="43" t="str">
        <f>'13. Desinvesteringen'!C251</f>
        <v>16 LNG installaties</v>
      </c>
      <c r="E249" s="43">
        <f>'13. Desinvesteringen'!D251</f>
        <v>2016</v>
      </c>
      <c r="F249" s="48">
        <f>'13. Desinvesteringen'!E251</f>
        <v>4463010.1800000006</v>
      </c>
      <c r="G249" s="43">
        <f>'13. Desinvesteringen'!G251</f>
        <v>2021</v>
      </c>
    </row>
    <row r="250" spans="2:7" s="3" customFormat="1">
      <c r="B250" s="43">
        <f>'13. Desinvesteringen'!B252</f>
        <v>233</v>
      </c>
      <c r="D250" s="43" t="str">
        <f>'13. Desinvesteringen'!C252</f>
        <v>17 Mengstations</v>
      </c>
      <c r="E250" s="43">
        <f>'13. Desinvesteringen'!D252</f>
        <v>1993</v>
      </c>
      <c r="F250" s="48">
        <f>'13. Desinvesteringen'!E252</f>
        <v>7214.43</v>
      </c>
      <c r="G250" s="43">
        <f>'13. Desinvesteringen'!G252</f>
        <v>2021</v>
      </c>
    </row>
    <row r="251" spans="2:7" s="3" customFormat="1">
      <c r="B251" s="43">
        <f>'13. Desinvesteringen'!B253</f>
        <v>234</v>
      </c>
      <c r="D251" s="43" t="str">
        <f>'13. Desinvesteringen'!C253</f>
        <v>17 Mengstations</v>
      </c>
      <c r="E251" s="43">
        <f>'13. Desinvesteringen'!D253</f>
        <v>2006</v>
      </c>
      <c r="F251" s="48">
        <f>'13. Desinvesteringen'!E253</f>
        <v>90670.522605892213</v>
      </c>
      <c r="G251" s="43">
        <f>'13. Desinvesteringen'!G253</f>
        <v>2021</v>
      </c>
    </row>
    <row r="252" spans="2:7" s="3" customFormat="1">
      <c r="B252" s="43">
        <f>'13. Desinvesteringen'!B254</f>
        <v>235</v>
      </c>
      <c r="D252" s="43" t="str">
        <f>'13. Desinvesteringen'!C254</f>
        <v>17 Mengstations</v>
      </c>
      <c r="E252" s="43">
        <f>'13. Desinvesteringen'!D254</f>
        <v>2007</v>
      </c>
      <c r="F252" s="48">
        <f>'13. Desinvesteringen'!E254</f>
        <v>15457.31</v>
      </c>
      <c r="G252" s="43">
        <f>'13. Desinvesteringen'!G254</f>
        <v>2021</v>
      </c>
    </row>
    <row r="253" spans="2:7" s="3" customFormat="1">
      <c r="B253" s="43">
        <f>'13. Desinvesteringen'!B255</f>
        <v>236</v>
      </c>
      <c r="D253" s="43" t="str">
        <f>'13. Desinvesteringen'!C255</f>
        <v>17 Mengstations</v>
      </c>
      <c r="E253" s="43">
        <f>'13. Desinvesteringen'!D255</f>
        <v>2011</v>
      </c>
      <c r="F253" s="48">
        <f>'13. Desinvesteringen'!E255</f>
        <v>17709.499967104181</v>
      </c>
      <c r="G253" s="43">
        <f>'13. Desinvesteringen'!G255</f>
        <v>2021</v>
      </c>
    </row>
    <row r="254" spans="2:7" s="3" customFormat="1">
      <c r="B254" s="43">
        <f>'13. Desinvesteringen'!B256</f>
        <v>237</v>
      </c>
      <c r="D254" s="43" t="str">
        <f>'13. Desinvesteringen'!C256</f>
        <v>20 Kantoorgebouwen</v>
      </c>
      <c r="E254" s="43">
        <f>'13. Desinvesteringen'!D256</f>
        <v>1998</v>
      </c>
      <c r="F254" s="48">
        <f>'13. Desinvesteringen'!E256</f>
        <v>1145228.3699999999</v>
      </c>
      <c r="G254" s="43">
        <f>'13. Desinvesteringen'!G256</f>
        <v>2021</v>
      </c>
    </row>
    <row r="255" spans="2:7" s="3" customFormat="1">
      <c r="B255" s="43">
        <f>'13. Desinvesteringen'!B257</f>
        <v>238</v>
      </c>
      <c r="D255" s="43" t="str">
        <f>'13. Desinvesteringen'!C257</f>
        <v>20 Kantoorgebouwen</v>
      </c>
      <c r="E255" s="43">
        <f>'13. Desinvesteringen'!D257</f>
        <v>2002</v>
      </c>
      <c r="F255" s="48">
        <f>'13. Desinvesteringen'!E257</f>
        <v>207275.81</v>
      </c>
      <c r="G255" s="43">
        <f>'13. Desinvesteringen'!G257</f>
        <v>2021</v>
      </c>
    </row>
    <row r="256" spans="2:7" s="3" customFormat="1">
      <c r="B256" s="43">
        <f>'13. Desinvesteringen'!B258</f>
        <v>239</v>
      </c>
      <c r="D256" s="43" t="str">
        <f>'13. Desinvesteringen'!C258</f>
        <v>20 Kantoorgebouwen</v>
      </c>
      <c r="E256" s="43">
        <f>'13. Desinvesteringen'!D258</f>
        <v>2004</v>
      </c>
      <c r="F256" s="48">
        <f>'13. Desinvesteringen'!E258</f>
        <v>114452.9</v>
      </c>
      <c r="G256" s="43">
        <f>'13. Desinvesteringen'!G258</f>
        <v>2021</v>
      </c>
    </row>
    <row r="257" spans="2:7" s="3" customFormat="1">
      <c r="B257" s="43">
        <f>'13. Desinvesteringen'!B259</f>
        <v>240</v>
      </c>
      <c r="D257" s="43" t="str">
        <f>'13. Desinvesteringen'!C259</f>
        <v>20 Kantoorgebouwen</v>
      </c>
      <c r="E257" s="43">
        <f>'13. Desinvesteringen'!D259</f>
        <v>2005</v>
      </c>
      <c r="F257" s="48">
        <f>'13. Desinvesteringen'!E259</f>
        <v>188996.13</v>
      </c>
      <c r="G257" s="43">
        <f>'13. Desinvesteringen'!G259</f>
        <v>2021</v>
      </c>
    </row>
    <row r="258" spans="2:7" s="3" customFormat="1">
      <c r="B258" s="43">
        <f>'13. Desinvesteringen'!B260</f>
        <v>241</v>
      </c>
      <c r="D258" s="43" t="str">
        <f>'13. Desinvesteringen'!C260</f>
        <v>20 Kantoorgebouwen</v>
      </c>
      <c r="E258" s="43">
        <f>'13. Desinvesteringen'!D260</f>
        <v>2008</v>
      </c>
      <c r="F258" s="48">
        <f>'13. Desinvesteringen'!E260</f>
        <v>84567.28</v>
      </c>
      <c r="G258" s="43">
        <f>'13. Desinvesteringen'!G260</f>
        <v>2021</v>
      </c>
    </row>
    <row r="259" spans="2:7" s="3" customFormat="1">
      <c r="B259" s="43">
        <f>'13. Desinvesteringen'!B261</f>
        <v>242</v>
      </c>
      <c r="D259" s="43" t="str">
        <f>'13. Desinvesteringen'!C261</f>
        <v>20 Kantoorgebouwen</v>
      </c>
      <c r="E259" s="43">
        <f>'13. Desinvesteringen'!D261</f>
        <v>2009</v>
      </c>
      <c r="F259" s="48">
        <f>'13. Desinvesteringen'!E261</f>
        <v>163009.45000000001</v>
      </c>
      <c r="G259" s="43">
        <f>'13. Desinvesteringen'!G261</f>
        <v>2021</v>
      </c>
    </row>
    <row r="260" spans="2:7" s="3" customFormat="1">
      <c r="B260" s="43">
        <f>'13. Desinvesteringen'!B262</f>
        <v>243</v>
      </c>
      <c r="D260" s="43" t="str">
        <f>'13. Desinvesteringen'!C262</f>
        <v>20 Kantoorgebouwen</v>
      </c>
      <c r="E260" s="43">
        <f>'13. Desinvesteringen'!D262</f>
        <v>2010</v>
      </c>
      <c r="F260" s="48">
        <f>'13. Desinvesteringen'!E262</f>
        <v>137160.34344793225</v>
      </c>
      <c r="G260" s="43">
        <f>'13. Desinvesteringen'!G262</f>
        <v>2021</v>
      </c>
    </row>
    <row r="261" spans="2:7" s="3" customFormat="1">
      <c r="B261" s="43">
        <f>'13. Desinvesteringen'!B263</f>
        <v>244</v>
      </c>
      <c r="D261" s="43" t="str">
        <f>'13. Desinvesteringen'!C263</f>
        <v>20 Kantoorgebouwen</v>
      </c>
      <c r="E261" s="43">
        <f>'13. Desinvesteringen'!D263</f>
        <v>2011</v>
      </c>
      <c r="F261" s="48">
        <f>'13. Desinvesteringen'!E263</f>
        <v>28002.195226489926</v>
      </c>
      <c r="G261" s="43">
        <f>'13. Desinvesteringen'!G263</f>
        <v>2021</v>
      </c>
    </row>
    <row r="262" spans="2:7" s="3" customFormat="1">
      <c r="B262" s="43">
        <f>'13. Desinvesteringen'!B264</f>
        <v>245</v>
      </c>
      <c r="D262" s="43" t="str">
        <f>'13. Desinvesteringen'!C264</f>
        <v>20 Kantoorgebouwen</v>
      </c>
      <c r="E262" s="43">
        <f>'13. Desinvesteringen'!D264</f>
        <v>2012</v>
      </c>
      <c r="F262" s="48">
        <f>'13. Desinvesteringen'!E264</f>
        <v>418308.90169201128</v>
      </c>
      <c r="G262" s="43">
        <f>'13. Desinvesteringen'!G264</f>
        <v>2021</v>
      </c>
    </row>
    <row r="263" spans="2:7" s="3" customFormat="1">
      <c r="B263" s="43">
        <f>'13. Desinvesteringen'!B265</f>
        <v>246</v>
      </c>
      <c r="D263" s="43" t="str">
        <f>'13. Desinvesteringen'!C265</f>
        <v>20 Kantoorgebouwen</v>
      </c>
      <c r="E263" s="43">
        <f>'13. Desinvesteringen'!D265</f>
        <v>2012</v>
      </c>
      <c r="F263" s="48">
        <f>'13. Desinvesteringen'!E265</f>
        <v>34493.89</v>
      </c>
      <c r="G263" s="43">
        <f>'13. Desinvesteringen'!G265</f>
        <v>2021</v>
      </c>
    </row>
    <row r="264" spans="2:7" s="3" customFormat="1">
      <c r="B264" s="43">
        <f>'13. Desinvesteringen'!B266</f>
        <v>247</v>
      </c>
      <c r="D264" s="43" t="str">
        <f>'13. Desinvesteringen'!C266</f>
        <v>20 Kantoorgebouwen</v>
      </c>
      <c r="E264" s="43">
        <f>'13. Desinvesteringen'!D266</f>
        <v>2014</v>
      </c>
      <c r="F264" s="48">
        <f>'13. Desinvesteringen'!E266</f>
        <v>119209.70383364368</v>
      </c>
      <c r="G264" s="43">
        <f>'13. Desinvesteringen'!G266</f>
        <v>2021</v>
      </c>
    </row>
    <row r="265" spans="2:7" s="3" customFormat="1">
      <c r="B265" s="43">
        <f>'13. Desinvesteringen'!B267</f>
        <v>248</v>
      </c>
      <c r="D265" s="43" t="str">
        <f>'13. Desinvesteringen'!C267</f>
        <v>20 Kantoorgebouwen</v>
      </c>
      <c r="E265" s="43">
        <f>'13. Desinvesteringen'!D267</f>
        <v>2015</v>
      </c>
      <c r="F265" s="48">
        <f>'13. Desinvesteringen'!E267</f>
        <v>86744.489646918475</v>
      </c>
      <c r="G265" s="43">
        <f>'13. Desinvesteringen'!G267</f>
        <v>2021</v>
      </c>
    </row>
    <row r="266" spans="2:7" s="3" customFormat="1">
      <c r="B266" s="43">
        <f>'13. Desinvesteringen'!B268</f>
        <v>249</v>
      </c>
      <c r="D266" s="43" t="str">
        <f>'13. Desinvesteringen'!C268</f>
        <v>20 Kantoorgebouwen</v>
      </c>
      <c r="E266" s="43">
        <f>'13. Desinvesteringen'!D268</f>
        <v>2016</v>
      </c>
      <c r="F266" s="48">
        <f>'13. Desinvesteringen'!E268</f>
        <v>872938.23153047287</v>
      </c>
      <c r="G266" s="43">
        <f>'13. Desinvesteringen'!G268</f>
        <v>2021</v>
      </c>
    </row>
    <row r="267" spans="2:7" s="3" customFormat="1">
      <c r="B267" s="43">
        <f>'13. Desinvesteringen'!B269</f>
        <v>250</v>
      </c>
      <c r="D267" s="43" t="str">
        <f>'13. Desinvesteringen'!C269</f>
        <v>20 Kantoorgebouwen</v>
      </c>
      <c r="E267" s="43">
        <f>'13. Desinvesteringen'!D269</f>
        <v>2018</v>
      </c>
      <c r="F267" s="48">
        <f>'13. Desinvesteringen'!E269</f>
        <v>318444.09968867822</v>
      </c>
      <c r="G267" s="43">
        <f>'13. Desinvesteringen'!G269</f>
        <v>2021</v>
      </c>
    </row>
    <row r="268" spans="2:7" s="3" customFormat="1">
      <c r="B268" s="43">
        <f>'13. Desinvesteringen'!B270</f>
        <v>251</v>
      </c>
      <c r="D268" s="43" t="str">
        <f>'13. Desinvesteringen'!C270</f>
        <v>20 Kantoorgebouwen</v>
      </c>
      <c r="E268" s="43">
        <f>'13. Desinvesteringen'!D270</f>
        <v>2019</v>
      </c>
      <c r="F268" s="48">
        <f>'13. Desinvesteringen'!E270</f>
        <v>470203.71904289688</v>
      </c>
      <c r="G268" s="43">
        <f>'13. Desinvesteringen'!G270</f>
        <v>2021</v>
      </c>
    </row>
    <row r="269" spans="2:7" s="3" customFormat="1">
      <c r="B269" s="43">
        <f>'13. Desinvesteringen'!B271</f>
        <v>252</v>
      </c>
      <c r="D269" s="43" t="str">
        <f>'13. Desinvesteringen'!C271</f>
        <v>21 Hoofdtransportleiding</v>
      </c>
      <c r="E269" s="43">
        <f>'13. Desinvesteringen'!D271</f>
        <v>1964</v>
      </c>
      <c r="F269" s="48">
        <f>'13. Desinvesteringen'!E271</f>
        <v>1904</v>
      </c>
      <c r="G269" s="43">
        <f>'13. Desinvesteringen'!G271</f>
        <v>2021</v>
      </c>
    </row>
    <row r="270" spans="2:7" s="3" customFormat="1">
      <c r="B270" s="43">
        <f>'13. Desinvesteringen'!B272</f>
        <v>253</v>
      </c>
      <c r="D270" s="43" t="str">
        <f>'13. Desinvesteringen'!C272</f>
        <v>21 Hoofdtransportleiding</v>
      </c>
      <c r="E270" s="43">
        <f>'13. Desinvesteringen'!D272</f>
        <v>1966</v>
      </c>
      <c r="F270" s="48">
        <f>'13. Desinvesteringen'!E272</f>
        <v>360</v>
      </c>
      <c r="G270" s="43">
        <f>'13. Desinvesteringen'!G272</f>
        <v>2021</v>
      </c>
    </row>
    <row r="271" spans="2:7" s="3" customFormat="1">
      <c r="B271" s="43">
        <f>'13. Desinvesteringen'!B273</f>
        <v>254</v>
      </c>
      <c r="D271" s="43" t="str">
        <f>'13. Desinvesteringen'!C273</f>
        <v>21 Hoofdtransportleiding</v>
      </c>
      <c r="E271" s="43">
        <f>'13. Desinvesteringen'!D273</f>
        <v>1967</v>
      </c>
      <c r="F271" s="48">
        <f>'13. Desinvesteringen'!E273</f>
        <v>168</v>
      </c>
      <c r="G271" s="43">
        <f>'13. Desinvesteringen'!G273</f>
        <v>2021</v>
      </c>
    </row>
    <row r="272" spans="2:7" s="3" customFormat="1">
      <c r="B272" s="43">
        <f>'13. Desinvesteringen'!B274</f>
        <v>255</v>
      </c>
      <c r="D272" s="43" t="str">
        <f>'13. Desinvesteringen'!C274</f>
        <v>21 Hoofdtransportleiding</v>
      </c>
      <c r="E272" s="43">
        <f>'13. Desinvesteringen'!D274</f>
        <v>1968</v>
      </c>
      <c r="F272" s="48">
        <f>'13. Desinvesteringen'!E274</f>
        <v>10784</v>
      </c>
      <c r="G272" s="43">
        <f>'13. Desinvesteringen'!G274</f>
        <v>2021</v>
      </c>
    </row>
    <row r="273" spans="2:7" s="3" customFormat="1">
      <c r="B273" s="43">
        <f>'13. Desinvesteringen'!B275</f>
        <v>256</v>
      </c>
      <c r="D273" s="43" t="str">
        <f>'13. Desinvesteringen'!C275</f>
        <v>21 Hoofdtransportleiding</v>
      </c>
      <c r="E273" s="43">
        <f>'13. Desinvesteringen'!D275</f>
        <v>1969</v>
      </c>
      <c r="F273" s="48">
        <f>'13. Desinvesteringen'!E275</f>
        <v>528</v>
      </c>
      <c r="G273" s="43">
        <f>'13. Desinvesteringen'!G275</f>
        <v>2021</v>
      </c>
    </row>
    <row r="274" spans="2:7" s="3" customFormat="1">
      <c r="B274" s="43">
        <f>'13. Desinvesteringen'!B276</f>
        <v>257</v>
      </c>
      <c r="D274" s="43" t="str">
        <f>'13. Desinvesteringen'!C276</f>
        <v>21 Hoofdtransportleiding</v>
      </c>
      <c r="E274" s="43">
        <f>'13. Desinvesteringen'!D276</f>
        <v>1970</v>
      </c>
      <c r="F274" s="48">
        <f>'13. Desinvesteringen'!E276</f>
        <v>126766.11</v>
      </c>
      <c r="G274" s="43">
        <f>'13. Desinvesteringen'!G276</f>
        <v>2021</v>
      </c>
    </row>
    <row r="275" spans="2:7" s="3" customFormat="1">
      <c r="B275" s="43">
        <f>'13. Desinvesteringen'!B277</f>
        <v>258</v>
      </c>
      <c r="D275" s="43" t="str">
        <f>'13. Desinvesteringen'!C277</f>
        <v>21 Hoofdtransportleiding</v>
      </c>
      <c r="E275" s="43">
        <f>'13. Desinvesteringen'!D277</f>
        <v>1971</v>
      </c>
      <c r="F275" s="48">
        <f>'13. Desinvesteringen'!E277</f>
        <v>13448</v>
      </c>
      <c r="G275" s="43">
        <f>'13. Desinvesteringen'!G277</f>
        <v>2021</v>
      </c>
    </row>
    <row r="276" spans="2:7" s="3" customFormat="1">
      <c r="B276" s="43">
        <f>'13. Desinvesteringen'!B278</f>
        <v>259</v>
      </c>
      <c r="D276" s="43" t="str">
        <f>'13. Desinvesteringen'!C278</f>
        <v>21 Hoofdtransportleiding</v>
      </c>
      <c r="E276" s="43">
        <f>'13. Desinvesteringen'!D278</f>
        <v>1972</v>
      </c>
      <c r="F276" s="48">
        <f>'13. Desinvesteringen'!E278</f>
        <v>3048</v>
      </c>
      <c r="G276" s="43">
        <f>'13. Desinvesteringen'!G278</f>
        <v>2021</v>
      </c>
    </row>
    <row r="277" spans="2:7" s="3" customFormat="1">
      <c r="B277" s="43">
        <f>'13. Desinvesteringen'!B279</f>
        <v>260</v>
      </c>
      <c r="D277" s="43" t="str">
        <f>'13. Desinvesteringen'!C279</f>
        <v>21 Hoofdtransportleiding</v>
      </c>
      <c r="E277" s="43">
        <f>'13. Desinvesteringen'!D279</f>
        <v>1973</v>
      </c>
      <c r="F277" s="48">
        <f>'13. Desinvesteringen'!E279</f>
        <v>216</v>
      </c>
      <c r="G277" s="43">
        <f>'13. Desinvesteringen'!G279</f>
        <v>2021</v>
      </c>
    </row>
    <row r="278" spans="2:7" s="3" customFormat="1">
      <c r="B278" s="43">
        <f>'13. Desinvesteringen'!B280</f>
        <v>261</v>
      </c>
      <c r="D278" s="43" t="str">
        <f>'13. Desinvesteringen'!C280</f>
        <v>21 Hoofdtransportleiding</v>
      </c>
      <c r="E278" s="43">
        <f>'13. Desinvesteringen'!D280</f>
        <v>1974</v>
      </c>
      <c r="F278" s="48">
        <f>'13. Desinvesteringen'!E280</f>
        <v>3688</v>
      </c>
      <c r="G278" s="43">
        <f>'13. Desinvesteringen'!G280</f>
        <v>2021</v>
      </c>
    </row>
    <row r="279" spans="2:7" s="3" customFormat="1">
      <c r="B279" s="43">
        <f>'13. Desinvesteringen'!B281</f>
        <v>262</v>
      </c>
      <c r="D279" s="43" t="str">
        <f>'13. Desinvesteringen'!C281</f>
        <v>21 Hoofdtransportleiding</v>
      </c>
      <c r="E279" s="43">
        <f>'13. Desinvesteringen'!D281</f>
        <v>1975</v>
      </c>
      <c r="F279" s="48">
        <f>'13. Desinvesteringen'!E281</f>
        <v>4480.3200000000006</v>
      </c>
      <c r="G279" s="43">
        <f>'13. Desinvesteringen'!G281</f>
        <v>2021</v>
      </c>
    </row>
    <row r="280" spans="2:7" s="3" customFormat="1">
      <c r="B280" s="43">
        <f>'13. Desinvesteringen'!B282</f>
        <v>263</v>
      </c>
      <c r="D280" s="43" t="str">
        <f>'13. Desinvesteringen'!C282</f>
        <v>21 Hoofdtransportleiding</v>
      </c>
      <c r="E280" s="43">
        <f>'13. Desinvesteringen'!D282</f>
        <v>1977</v>
      </c>
      <c r="F280" s="48">
        <f>'13. Desinvesteringen'!E282</f>
        <v>745.37</v>
      </c>
      <c r="G280" s="43">
        <f>'13. Desinvesteringen'!G282</f>
        <v>2021</v>
      </c>
    </row>
    <row r="281" spans="2:7" s="3" customFormat="1">
      <c r="B281" s="43">
        <f>'13. Desinvesteringen'!B283</f>
        <v>264</v>
      </c>
      <c r="D281" s="43" t="str">
        <f>'13. Desinvesteringen'!C283</f>
        <v>21 Hoofdtransportleiding</v>
      </c>
      <c r="E281" s="43">
        <f>'13. Desinvesteringen'!D283</f>
        <v>1978</v>
      </c>
      <c r="F281" s="48">
        <f>'13. Desinvesteringen'!E283</f>
        <v>25825.9</v>
      </c>
      <c r="G281" s="43">
        <f>'13. Desinvesteringen'!G283</f>
        <v>2021</v>
      </c>
    </row>
    <row r="282" spans="2:7" s="3" customFormat="1">
      <c r="B282" s="43">
        <f>'13. Desinvesteringen'!B284</f>
        <v>265</v>
      </c>
      <c r="D282" s="43" t="str">
        <f>'13. Desinvesteringen'!C284</f>
        <v>21 Hoofdtransportleiding</v>
      </c>
      <c r="E282" s="43">
        <f>'13. Desinvesteringen'!D284</f>
        <v>1980</v>
      </c>
      <c r="F282" s="48">
        <f>'13. Desinvesteringen'!E284</f>
        <v>1675.53</v>
      </c>
      <c r="G282" s="43">
        <f>'13. Desinvesteringen'!G284</f>
        <v>2021</v>
      </c>
    </row>
    <row r="283" spans="2:7" s="3" customFormat="1">
      <c r="B283" s="43">
        <f>'13. Desinvesteringen'!B285</f>
        <v>266</v>
      </c>
      <c r="D283" s="43" t="str">
        <f>'13. Desinvesteringen'!C285</f>
        <v>21 Hoofdtransportleiding</v>
      </c>
      <c r="E283" s="43">
        <f>'13. Desinvesteringen'!D285</f>
        <v>1981</v>
      </c>
      <c r="F283" s="48">
        <f>'13. Desinvesteringen'!E285</f>
        <v>2145.67</v>
      </c>
      <c r="G283" s="43">
        <f>'13. Desinvesteringen'!G285</f>
        <v>2021</v>
      </c>
    </row>
    <row r="284" spans="2:7" s="3" customFormat="1">
      <c r="B284" s="43">
        <f>'13. Desinvesteringen'!B286</f>
        <v>267</v>
      </c>
      <c r="D284" s="43" t="str">
        <f>'13. Desinvesteringen'!C286</f>
        <v>21 Hoofdtransportleiding</v>
      </c>
      <c r="E284" s="43">
        <f>'13. Desinvesteringen'!D286</f>
        <v>1983</v>
      </c>
      <c r="F284" s="48">
        <f>'13. Desinvesteringen'!E286</f>
        <v>47940.21</v>
      </c>
      <c r="G284" s="43">
        <f>'13. Desinvesteringen'!G286</f>
        <v>2021</v>
      </c>
    </row>
    <row r="285" spans="2:7" s="3" customFormat="1">
      <c r="B285" s="43">
        <f>'13. Desinvesteringen'!B287</f>
        <v>268</v>
      </c>
      <c r="D285" s="43" t="str">
        <f>'13. Desinvesteringen'!C287</f>
        <v>21 Hoofdtransportleiding</v>
      </c>
      <c r="E285" s="43">
        <f>'13. Desinvesteringen'!D287</f>
        <v>1984</v>
      </c>
      <c r="F285" s="48">
        <f>'13. Desinvesteringen'!E287</f>
        <v>3028.66</v>
      </c>
      <c r="G285" s="43">
        <f>'13. Desinvesteringen'!G287</f>
        <v>2021</v>
      </c>
    </row>
    <row r="286" spans="2:7" s="3" customFormat="1">
      <c r="B286" s="43">
        <f>'13. Desinvesteringen'!B288</f>
        <v>269</v>
      </c>
      <c r="D286" s="43" t="str">
        <f>'13. Desinvesteringen'!C288</f>
        <v>21 Hoofdtransportleiding</v>
      </c>
      <c r="E286" s="43">
        <f>'13. Desinvesteringen'!D288</f>
        <v>1985</v>
      </c>
      <c r="F286" s="48">
        <f>'13. Desinvesteringen'!E288</f>
        <v>5162.49</v>
      </c>
      <c r="G286" s="43">
        <f>'13. Desinvesteringen'!G288</f>
        <v>2021</v>
      </c>
    </row>
    <row r="287" spans="2:7" s="3" customFormat="1">
      <c r="B287" s="43">
        <f>'13. Desinvesteringen'!B289</f>
        <v>270</v>
      </c>
      <c r="D287" s="43" t="str">
        <f>'13. Desinvesteringen'!C289</f>
        <v>21 Hoofdtransportleiding</v>
      </c>
      <c r="E287" s="43">
        <f>'13. Desinvesteringen'!D289</f>
        <v>1986</v>
      </c>
      <c r="F287" s="48">
        <f>'13. Desinvesteringen'!E289</f>
        <v>6123683.1800000006</v>
      </c>
      <c r="G287" s="43">
        <f>'13. Desinvesteringen'!G289</f>
        <v>2021</v>
      </c>
    </row>
    <row r="288" spans="2:7" s="3" customFormat="1">
      <c r="B288" s="43">
        <f>'13. Desinvesteringen'!B290</f>
        <v>271</v>
      </c>
      <c r="D288" s="43" t="str">
        <f>'13. Desinvesteringen'!C290</f>
        <v>21 Hoofdtransportleiding</v>
      </c>
      <c r="E288" s="43">
        <f>'13. Desinvesteringen'!D290</f>
        <v>1987</v>
      </c>
      <c r="F288" s="48">
        <f>'13. Desinvesteringen'!E290</f>
        <v>5769.73</v>
      </c>
      <c r="G288" s="43">
        <f>'13. Desinvesteringen'!G290</f>
        <v>2021</v>
      </c>
    </row>
    <row r="289" spans="2:7" s="3" customFormat="1">
      <c r="B289" s="43">
        <f>'13. Desinvesteringen'!B291</f>
        <v>272</v>
      </c>
      <c r="D289" s="43" t="str">
        <f>'13. Desinvesteringen'!C291</f>
        <v>21 Hoofdtransportleiding</v>
      </c>
      <c r="E289" s="43">
        <f>'13. Desinvesteringen'!D291</f>
        <v>1988</v>
      </c>
      <c r="F289" s="48">
        <f>'13. Desinvesteringen'!E291</f>
        <v>2251.5500000000002</v>
      </c>
      <c r="G289" s="43">
        <f>'13. Desinvesteringen'!G291</f>
        <v>2021</v>
      </c>
    </row>
    <row r="290" spans="2:7" s="3" customFormat="1">
      <c r="B290" s="43">
        <f>'13. Desinvesteringen'!B292</f>
        <v>273</v>
      </c>
      <c r="D290" s="43" t="str">
        <f>'13. Desinvesteringen'!C292</f>
        <v>21 Hoofdtransportleiding</v>
      </c>
      <c r="E290" s="43">
        <f>'13. Desinvesteringen'!D292</f>
        <v>1990</v>
      </c>
      <c r="F290" s="48">
        <f>'13. Desinvesteringen'!E292</f>
        <v>2264.98</v>
      </c>
      <c r="G290" s="43">
        <f>'13. Desinvesteringen'!G292</f>
        <v>2021</v>
      </c>
    </row>
    <row r="291" spans="2:7" s="3" customFormat="1">
      <c r="B291" s="43">
        <f>'13. Desinvesteringen'!B293</f>
        <v>274</v>
      </c>
      <c r="D291" s="43" t="str">
        <f>'13. Desinvesteringen'!C293</f>
        <v>21 Hoofdtransportleiding</v>
      </c>
      <c r="E291" s="43">
        <f>'13. Desinvesteringen'!D293</f>
        <v>1991</v>
      </c>
      <c r="F291" s="48">
        <f>'13. Desinvesteringen'!E293</f>
        <v>212044.27000000002</v>
      </c>
      <c r="G291" s="43">
        <f>'13. Desinvesteringen'!G293</f>
        <v>2021</v>
      </c>
    </row>
    <row r="292" spans="2:7" s="3" customFormat="1">
      <c r="B292" s="43">
        <f>'13. Desinvesteringen'!B294</f>
        <v>275</v>
      </c>
      <c r="D292" s="43" t="str">
        <f>'13. Desinvesteringen'!C294</f>
        <v>21 Hoofdtransportleiding</v>
      </c>
      <c r="E292" s="43">
        <f>'13. Desinvesteringen'!D294</f>
        <v>1992</v>
      </c>
      <c r="F292" s="48">
        <f>'13. Desinvesteringen'!E294</f>
        <v>17214.810000000001</v>
      </c>
      <c r="G292" s="43">
        <f>'13. Desinvesteringen'!G294</f>
        <v>2021</v>
      </c>
    </row>
    <row r="293" spans="2:7" s="3" customFormat="1">
      <c r="B293" s="43">
        <f>'13. Desinvesteringen'!B295</f>
        <v>276</v>
      </c>
      <c r="D293" s="43" t="str">
        <f>'13. Desinvesteringen'!C295</f>
        <v>21 Hoofdtransportleiding</v>
      </c>
      <c r="E293" s="43">
        <f>'13. Desinvesteringen'!D295</f>
        <v>1993</v>
      </c>
      <c r="F293" s="48">
        <f>'13. Desinvesteringen'!E295</f>
        <v>955.02</v>
      </c>
      <c r="G293" s="43">
        <f>'13. Desinvesteringen'!G295</f>
        <v>2021</v>
      </c>
    </row>
    <row r="294" spans="2:7" s="3" customFormat="1">
      <c r="B294" s="43">
        <f>'13. Desinvesteringen'!B296</f>
        <v>277</v>
      </c>
      <c r="D294" s="43" t="str">
        <f>'13. Desinvesteringen'!C296</f>
        <v>21 Hoofdtransportleiding</v>
      </c>
      <c r="E294" s="43">
        <f>'13. Desinvesteringen'!D296</f>
        <v>1994</v>
      </c>
      <c r="F294" s="48">
        <f>'13. Desinvesteringen'!E296</f>
        <v>2215.4899999999998</v>
      </c>
      <c r="G294" s="43">
        <f>'13. Desinvesteringen'!G296</f>
        <v>2021</v>
      </c>
    </row>
    <row r="295" spans="2:7" s="3" customFormat="1">
      <c r="B295" s="43">
        <f>'13. Desinvesteringen'!B297</f>
        <v>278</v>
      </c>
      <c r="D295" s="43" t="str">
        <f>'13. Desinvesteringen'!C297</f>
        <v>21 Hoofdtransportleiding</v>
      </c>
      <c r="E295" s="43">
        <f>'13. Desinvesteringen'!D297</f>
        <v>1995</v>
      </c>
      <c r="F295" s="48">
        <f>'13. Desinvesteringen'!E297</f>
        <v>2202.9899999999998</v>
      </c>
      <c r="G295" s="43">
        <f>'13. Desinvesteringen'!G297</f>
        <v>2021</v>
      </c>
    </row>
    <row r="296" spans="2:7" s="3" customFormat="1">
      <c r="B296" s="43">
        <f>'13. Desinvesteringen'!B298</f>
        <v>279</v>
      </c>
      <c r="D296" s="43" t="str">
        <f>'13. Desinvesteringen'!C298</f>
        <v>21 Hoofdtransportleiding</v>
      </c>
      <c r="E296" s="43">
        <f>'13. Desinvesteringen'!D298</f>
        <v>1996</v>
      </c>
      <c r="F296" s="48">
        <f>'13. Desinvesteringen'!E298</f>
        <v>25933.81</v>
      </c>
      <c r="G296" s="43">
        <f>'13. Desinvesteringen'!G298</f>
        <v>2021</v>
      </c>
    </row>
    <row r="297" spans="2:7" s="3" customFormat="1">
      <c r="B297" s="43">
        <f>'13. Desinvesteringen'!B299</f>
        <v>280</v>
      </c>
      <c r="D297" s="43" t="str">
        <f>'13. Desinvesteringen'!C299</f>
        <v>21 Hoofdtransportleiding</v>
      </c>
      <c r="E297" s="43">
        <f>'13. Desinvesteringen'!D299</f>
        <v>1998</v>
      </c>
      <c r="F297" s="48">
        <f>'13. Desinvesteringen'!E299</f>
        <v>218.17</v>
      </c>
      <c r="G297" s="43">
        <f>'13. Desinvesteringen'!G299</f>
        <v>2021</v>
      </c>
    </row>
    <row r="298" spans="2:7" s="3" customFormat="1">
      <c r="B298" s="43">
        <f>'13. Desinvesteringen'!B300</f>
        <v>281</v>
      </c>
      <c r="D298" s="43" t="str">
        <f>'13. Desinvesteringen'!C300</f>
        <v>21 Hoofdtransportleiding</v>
      </c>
      <c r="E298" s="43">
        <f>'13. Desinvesteringen'!D300</f>
        <v>2000</v>
      </c>
      <c r="F298" s="48">
        <f>'13. Desinvesteringen'!E300</f>
        <v>3336.46</v>
      </c>
      <c r="G298" s="43">
        <f>'13. Desinvesteringen'!G300</f>
        <v>2021</v>
      </c>
    </row>
    <row r="299" spans="2:7" s="3" customFormat="1">
      <c r="B299" s="43">
        <f>'13. Desinvesteringen'!B301</f>
        <v>282</v>
      </c>
      <c r="D299" s="43" t="str">
        <f>'13. Desinvesteringen'!C301</f>
        <v>21 Hoofdtransportleiding</v>
      </c>
      <c r="E299" s="43">
        <f>'13. Desinvesteringen'!D301</f>
        <v>2001</v>
      </c>
      <c r="F299" s="48">
        <f>'13. Desinvesteringen'!E301</f>
        <v>7332.67</v>
      </c>
      <c r="G299" s="43">
        <f>'13. Desinvesteringen'!G301</f>
        <v>2021</v>
      </c>
    </row>
    <row r="300" spans="2:7" s="3" customFormat="1">
      <c r="B300" s="43">
        <f>'13. Desinvesteringen'!B302</f>
        <v>283</v>
      </c>
      <c r="D300" s="43" t="str">
        <f>'13. Desinvesteringen'!C302</f>
        <v>21 Hoofdtransportleiding</v>
      </c>
      <c r="E300" s="43">
        <f>'13. Desinvesteringen'!D302</f>
        <v>2004</v>
      </c>
      <c r="F300" s="48">
        <f>'13. Desinvesteringen'!E302</f>
        <v>32470.219999999998</v>
      </c>
      <c r="G300" s="43">
        <f>'13. Desinvesteringen'!G302</f>
        <v>2021</v>
      </c>
    </row>
    <row r="301" spans="2:7" s="3" customFormat="1">
      <c r="B301" s="43">
        <f>'13. Desinvesteringen'!B303</f>
        <v>284</v>
      </c>
      <c r="D301" s="43" t="str">
        <f>'13. Desinvesteringen'!C303</f>
        <v>21 Hoofdtransportleiding</v>
      </c>
      <c r="E301" s="43">
        <f>'13. Desinvesteringen'!D303</f>
        <v>2007</v>
      </c>
      <c r="F301" s="48">
        <f>'13. Desinvesteringen'!E303</f>
        <v>36698.050000000003</v>
      </c>
      <c r="G301" s="43">
        <f>'13. Desinvesteringen'!G303</f>
        <v>2021</v>
      </c>
    </row>
    <row r="302" spans="2:7" s="3" customFormat="1">
      <c r="B302" s="43">
        <f>'13. Desinvesteringen'!B304</f>
        <v>285</v>
      </c>
      <c r="D302" s="43" t="str">
        <f>'13. Desinvesteringen'!C304</f>
        <v>21 Hoofdtransportleiding</v>
      </c>
      <c r="E302" s="43">
        <f>'13. Desinvesteringen'!D304</f>
        <v>2007</v>
      </c>
      <c r="F302" s="48">
        <f>'13. Desinvesteringen'!E304</f>
        <v>814.86374062264201</v>
      </c>
      <c r="G302" s="43">
        <f>'13. Desinvesteringen'!G304</f>
        <v>2021</v>
      </c>
    </row>
    <row r="303" spans="2:7" s="3" customFormat="1">
      <c r="B303" s="43">
        <f>'13. Desinvesteringen'!B305</f>
        <v>286</v>
      </c>
      <c r="D303" s="43" t="str">
        <f>'13. Desinvesteringen'!C305</f>
        <v>21 Hoofdtransportleiding</v>
      </c>
      <c r="E303" s="43">
        <f>'13. Desinvesteringen'!D305</f>
        <v>2008</v>
      </c>
      <c r="F303" s="48">
        <f>'13. Desinvesteringen'!E305</f>
        <v>1697.82</v>
      </c>
      <c r="G303" s="43">
        <f>'13. Desinvesteringen'!G305</f>
        <v>2021</v>
      </c>
    </row>
    <row r="304" spans="2:7" s="3" customFormat="1">
      <c r="B304" s="43">
        <f>'13. Desinvesteringen'!B306</f>
        <v>287</v>
      </c>
      <c r="D304" s="43" t="str">
        <f>'13. Desinvesteringen'!C306</f>
        <v>21 Hoofdtransportleiding</v>
      </c>
      <c r="E304" s="43">
        <f>'13. Desinvesteringen'!D306</f>
        <v>2009</v>
      </c>
      <c r="F304" s="48">
        <f>'13. Desinvesteringen'!E306</f>
        <v>306.17</v>
      </c>
      <c r="G304" s="43">
        <f>'13. Desinvesteringen'!G306</f>
        <v>2021</v>
      </c>
    </row>
    <row r="305" spans="2:7" s="3" customFormat="1">
      <c r="B305" s="43">
        <f>'13. Desinvesteringen'!B307</f>
        <v>288</v>
      </c>
      <c r="D305" s="43" t="str">
        <f>'13. Desinvesteringen'!C307</f>
        <v>21 Hoofdtransportleiding</v>
      </c>
      <c r="E305" s="43">
        <f>'13. Desinvesteringen'!D307</f>
        <v>2013</v>
      </c>
      <c r="F305" s="48">
        <f>'13. Desinvesteringen'!E307</f>
        <v>111081.36098285067</v>
      </c>
      <c r="G305" s="43">
        <f>'13. Desinvesteringen'!G307</f>
        <v>2021</v>
      </c>
    </row>
    <row r="306" spans="2:7" s="3" customFormat="1">
      <c r="B306" s="43">
        <f>'13. Desinvesteringen'!B308</f>
        <v>289</v>
      </c>
      <c r="D306" s="43" t="str">
        <f>'13. Desinvesteringen'!C308</f>
        <v>21 Hoofdtransportleiding</v>
      </c>
      <c r="E306" s="43">
        <f>'13. Desinvesteringen'!D308</f>
        <v>2015</v>
      </c>
      <c r="F306" s="48">
        <f>'13. Desinvesteringen'!E308</f>
        <v>10546.74451914087</v>
      </c>
      <c r="G306" s="43">
        <f>'13. Desinvesteringen'!G308</f>
        <v>2021</v>
      </c>
    </row>
    <row r="307" spans="2:7" s="3" customFormat="1">
      <c r="B307" s="43">
        <f>'13. Desinvesteringen'!B309</f>
        <v>290</v>
      </c>
      <c r="D307" s="43" t="str">
        <f>'13. Desinvesteringen'!C309</f>
        <v>21 Hoofdtransportleiding</v>
      </c>
      <c r="E307" s="43">
        <f>'13. Desinvesteringen'!D309</f>
        <v>2016</v>
      </c>
      <c r="F307" s="48">
        <f>'13. Desinvesteringen'!E309</f>
        <v>23513.843749704858</v>
      </c>
      <c r="G307" s="43">
        <f>'13. Desinvesteringen'!G309</f>
        <v>2021</v>
      </c>
    </row>
    <row r="308" spans="2:7" s="3" customFormat="1">
      <c r="B308" s="43">
        <f>'13. Desinvesteringen'!B310</f>
        <v>291</v>
      </c>
      <c r="D308" s="43" t="str">
        <f>'13. Desinvesteringen'!C310</f>
        <v>23 Brigittaleiding</v>
      </c>
      <c r="E308" s="43">
        <f>'13. Desinvesteringen'!D310</f>
        <v>1980</v>
      </c>
      <c r="F308" s="48">
        <f>'13. Desinvesteringen'!E310</f>
        <v>634.20000000000005</v>
      </c>
      <c r="G308" s="43">
        <f>'13. Desinvesteringen'!G310</f>
        <v>2021</v>
      </c>
    </row>
    <row r="309" spans="2:7" s="3" customFormat="1">
      <c r="B309" s="43">
        <f>'13. Desinvesteringen'!B311</f>
        <v>292</v>
      </c>
      <c r="D309" s="43" t="str">
        <f>'13. Desinvesteringen'!C311</f>
        <v>23 Brigittaleiding</v>
      </c>
      <c r="E309" s="43">
        <f>'13. Desinvesteringen'!D311</f>
        <v>1995</v>
      </c>
      <c r="F309" s="48">
        <f>'13. Desinvesteringen'!E311</f>
        <v>3276.15</v>
      </c>
      <c r="G309" s="43">
        <f>'13. Desinvesteringen'!G311</f>
        <v>2021</v>
      </c>
    </row>
    <row r="310" spans="2:7" s="3" customFormat="1">
      <c r="B310" s="43">
        <f>'13. Desinvesteringen'!B312</f>
        <v>293</v>
      </c>
      <c r="D310" s="43" t="str">
        <f>'13. Desinvesteringen'!C312</f>
        <v>32 M&amp;R stations</v>
      </c>
      <c r="E310" s="43">
        <f>'13. Desinvesteringen'!D312</f>
        <v>1964</v>
      </c>
      <c r="F310" s="48">
        <f>'13. Desinvesteringen'!E312</f>
        <v>6186.9699999999993</v>
      </c>
      <c r="G310" s="43">
        <f>'13. Desinvesteringen'!G312</f>
        <v>2021</v>
      </c>
    </row>
    <row r="311" spans="2:7" s="3" customFormat="1">
      <c r="B311" s="43">
        <f>'13. Desinvesteringen'!B313</f>
        <v>294</v>
      </c>
      <c r="D311" s="43" t="str">
        <f>'13. Desinvesteringen'!C313</f>
        <v>32 M&amp;R stations</v>
      </c>
      <c r="E311" s="43">
        <f>'13. Desinvesteringen'!D313</f>
        <v>1966</v>
      </c>
      <c r="F311" s="48">
        <f>'13. Desinvesteringen'!E313</f>
        <v>944.59</v>
      </c>
      <c r="G311" s="43">
        <f>'13. Desinvesteringen'!G313</f>
        <v>2021</v>
      </c>
    </row>
    <row r="312" spans="2:7" s="3" customFormat="1">
      <c r="B312" s="43">
        <f>'13. Desinvesteringen'!B314</f>
        <v>295</v>
      </c>
      <c r="D312" s="43" t="str">
        <f>'13. Desinvesteringen'!C314</f>
        <v>32 M&amp;R stations</v>
      </c>
      <c r="E312" s="43">
        <f>'13. Desinvesteringen'!D314</f>
        <v>1967</v>
      </c>
      <c r="F312" s="48">
        <f>'13. Desinvesteringen'!E314</f>
        <v>5645.93</v>
      </c>
      <c r="G312" s="43">
        <f>'13. Desinvesteringen'!G314</f>
        <v>2021</v>
      </c>
    </row>
    <row r="313" spans="2:7" s="3" customFormat="1">
      <c r="B313" s="43">
        <f>'13. Desinvesteringen'!B315</f>
        <v>296</v>
      </c>
      <c r="D313" s="43" t="str">
        <f>'13. Desinvesteringen'!C315</f>
        <v>32 M&amp;R stations</v>
      </c>
      <c r="E313" s="43">
        <f>'13. Desinvesteringen'!D315</f>
        <v>1972</v>
      </c>
      <c r="F313" s="48">
        <f>'13. Desinvesteringen'!E315</f>
        <v>33239.620000000003</v>
      </c>
      <c r="G313" s="43">
        <f>'13. Desinvesteringen'!G315</f>
        <v>2021</v>
      </c>
    </row>
    <row r="314" spans="2:7" s="3" customFormat="1">
      <c r="B314" s="43">
        <f>'13. Desinvesteringen'!B316</f>
        <v>297</v>
      </c>
      <c r="D314" s="43" t="str">
        <f>'13. Desinvesteringen'!C316</f>
        <v>32 M&amp;R stations</v>
      </c>
      <c r="E314" s="43">
        <f>'13. Desinvesteringen'!D316</f>
        <v>1973</v>
      </c>
      <c r="F314" s="48">
        <f>'13. Desinvesteringen'!E316</f>
        <v>126124.84</v>
      </c>
      <c r="G314" s="43">
        <f>'13. Desinvesteringen'!G316</f>
        <v>2021</v>
      </c>
    </row>
    <row r="315" spans="2:7" s="3" customFormat="1">
      <c r="B315" s="43">
        <f>'13. Desinvesteringen'!B317</f>
        <v>298</v>
      </c>
      <c r="D315" s="43" t="str">
        <f>'13. Desinvesteringen'!C317</f>
        <v>32 M&amp;R stations</v>
      </c>
      <c r="E315" s="43">
        <f>'13. Desinvesteringen'!D317</f>
        <v>1974</v>
      </c>
      <c r="F315" s="48">
        <f>'13. Desinvesteringen'!E317</f>
        <v>12379.830000000002</v>
      </c>
      <c r="G315" s="43">
        <f>'13. Desinvesteringen'!G317</f>
        <v>2021</v>
      </c>
    </row>
    <row r="316" spans="2:7" s="3" customFormat="1">
      <c r="B316" s="43">
        <f>'13. Desinvesteringen'!B318</f>
        <v>299</v>
      </c>
      <c r="D316" s="43" t="str">
        <f>'13. Desinvesteringen'!C318</f>
        <v>32 M&amp;R stations</v>
      </c>
      <c r="E316" s="43">
        <f>'13. Desinvesteringen'!D318</f>
        <v>1996</v>
      </c>
      <c r="F316" s="48">
        <f>'13. Desinvesteringen'!E318</f>
        <v>4334.99</v>
      </c>
      <c r="G316" s="43">
        <f>'13. Desinvesteringen'!G318</f>
        <v>2021</v>
      </c>
    </row>
    <row r="317" spans="2:7" s="3" customFormat="1">
      <c r="B317" s="43">
        <f>'13. Desinvesteringen'!B319</f>
        <v>300</v>
      </c>
      <c r="D317" s="43" t="str">
        <f>'13. Desinvesteringen'!C319</f>
        <v>32 M&amp;R stations</v>
      </c>
      <c r="E317" s="43">
        <f>'13. Desinvesteringen'!D319</f>
        <v>2004</v>
      </c>
      <c r="F317" s="48">
        <f>'13. Desinvesteringen'!E319</f>
        <v>3261.03</v>
      </c>
      <c r="G317" s="43">
        <f>'13. Desinvesteringen'!G319</f>
        <v>2021</v>
      </c>
    </row>
    <row r="318" spans="2:7" s="3" customFormat="1">
      <c r="B318" s="43">
        <f>'13. Desinvesteringen'!B320</f>
        <v>301</v>
      </c>
      <c r="D318" s="43" t="str">
        <f>'13. Desinvesteringen'!C320</f>
        <v>32 M&amp;R stations</v>
      </c>
      <c r="E318" s="43">
        <f>'13. Desinvesteringen'!D320</f>
        <v>2005</v>
      </c>
      <c r="F318" s="48">
        <f>'13. Desinvesteringen'!E320</f>
        <v>6498.35</v>
      </c>
      <c r="G318" s="43">
        <f>'13. Desinvesteringen'!G320</f>
        <v>2021</v>
      </c>
    </row>
    <row r="319" spans="2:7" s="3" customFormat="1">
      <c r="B319" s="43">
        <f>'13. Desinvesteringen'!B321</f>
        <v>302</v>
      </c>
      <c r="D319" s="43" t="str">
        <f>'13. Desinvesteringen'!C321</f>
        <v>33 Exportstations</v>
      </c>
      <c r="E319" s="43">
        <f>'13. Desinvesteringen'!D321</f>
        <v>1966</v>
      </c>
      <c r="F319" s="48">
        <f>'13. Desinvesteringen'!E321</f>
        <v>9693.7099999999991</v>
      </c>
      <c r="G319" s="43">
        <f>'13. Desinvesteringen'!G321</f>
        <v>2021</v>
      </c>
    </row>
    <row r="320" spans="2:7" s="3" customFormat="1">
      <c r="B320" s="43">
        <f>'13. Desinvesteringen'!B322</f>
        <v>303</v>
      </c>
      <c r="D320" s="43" t="str">
        <f>'13. Desinvesteringen'!C322</f>
        <v>33 Exportstations</v>
      </c>
      <c r="E320" s="43">
        <f>'13. Desinvesteringen'!D322</f>
        <v>1975</v>
      </c>
      <c r="F320" s="48">
        <f>'13. Desinvesteringen'!E322</f>
        <v>41515.949999999997</v>
      </c>
      <c r="G320" s="43">
        <f>'13. Desinvesteringen'!G322</f>
        <v>2021</v>
      </c>
    </row>
    <row r="321" spans="2:7" s="3" customFormat="1">
      <c r="B321" s="43">
        <f>'13. Desinvesteringen'!B323</f>
        <v>304</v>
      </c>
      <c r="D321" s="43" t="str">
        <f>'13. Desinvesteringen'!C323</f>
        <v>33 Exportstations</v>
      </c>
      <c r="E321" s="43">
        <f>'13. Desinvesteringen'!D323</f>
        <v>1998</v>
      </c>
      <c r="F321" s="48">
        <f>'13. Desinvesteringen'!E323</f>
        <v>15977.01</v>
      </c>
      <c r="G321" s="43">
        <f>'13. Desinvesteringen'!G323</f>
        <v>2021</v>
      </c>
    </row>
    <row r="322" spans="2:7" s="3" customFormat="1">
      <c r="B322" s="43">
        <f>'13. Desinvesteringen'!B324</f>
        <v>305</v>
      </c>
      <c r="D322" s="43" t="str">
        <f>'13. Desinvesteringen'!C324</f>
        <v>33 Exportstations</v>
      </c>
      <c r="E322" s="43">
        <f>'13. Desinvesteringen'!D324</f>
        <v>2006</v>
      </c>
      <c r="F322" s="48">
        <f>'13. Desinvesteringen'!E324</f>
        <v>102233.51999999999</v>
      </c>
      <c r="G322" s="43">
        <f>'13. Desinvesteringen'!G324</f>
        <v>2021</v>
      </c>
    </row>
    <row r="323" spans="2:7" s="3" customFormat="1">
      <c r="B323" s="43">
        <f>'13. Desinvesteringen'!B325</f>
        <v>306</v>
      </c>
      <c r="D323" s="43" t="str">
        <f>'13. Desinvesteringen'!C325</f>
        <v>34 Reduceerstations</v>
      </c>
      <c r="E323" s="43">
        <f>'13. Desinvesteringen'!D325</f>
        <v>1986</v>
      </c>
      <c r="F323" s="48">
        <f>'13. Desinvesteringen'!E325</f>
        <v>11474.46</v>
      </c>
      <c r="G323" s="43">
        <f>'13. Desinvesteringen'!G325</f>
        <v>2021</v>
      </c>
    </row>
    <row r="324" spans="2:7" s="3" customFormat="1">
      <c r="B324" s="43">
        <f>'13. Desinvesteringen'!B326</f>
        <v>307</v>
      </c>
      <c r="D324" s="43" t="str">
        <f>'13. Desinvesteringen'!C326</f>
        <v>34 Reduceerstations</v>
      </c>
      <c r="E324" s="43">
        <f>'13. Desinvesteringen'!D326</f>
        <v>1996</v>
      </c>
      <c r="F324" s="48">
        <f>'13. Desinvesteringen'!E326</f>
        <v>3094.13</v>
      </c>
      <c r="G324" s="43">
        <f>'13. Desinvesteringen'!G326</f>
        <v>2021</v>
      </c>
    </row>
    <row r="325" spans="2:7" s="3" customFormat="1">
      <c r="B325" s="43">
        <f>'13. Desinvesteringen'!B327</f>
        <v>308</v>
      </c>
      <c r="D325" s="43" t="str">
        <f>'13. Desinvesteringen'!C327</f>
        <v>34 Reduceerstations</v>
      </c>
      <c r="E325" s="43">
        <f>'13. Desinvesteringen'!D327</f>
        <v>1997</v>
      </c>
      <c r="F325" s="48">
        <f>'13. Desinvesteringen'!E327</f>
        <v>31484.79</v>
      </c>
      <c r="G325" s="43">
        <f>'13. Desinvesteringen'!G327</f>
        <v>2021</v>
      </c>
    </row>
    <row r="326" spans="2:7" s="3" customFormat="1">
      <c r="B326" s="43">
        <f>'13. Desinvesteringen'!B328</f>
        <v>309</v>
      </c>
      <c r="D326" s="43" t="str">
        <f>'13. Desinvesteringen'!C328</f>
        <v>34 Reduceerstations</v>
      </c>
      <c r="E326" s="43">
        <f>'13. Desinvesteringen'!D328</f>
        <v>1998</v>
      </c>
      <c r="F326" s="48">
        <f>'13. Desinvesteringen'!E328</f>
        <v>1479.93</v>
      </c>
      <c r="G326" s="43">
        <f>'13. Desinvesteringen'!G328</f>
        <v>2021</v>
      </c>
    </row>
    <row r="327" spans="2:7" s="3" customFormat="1">
      <c r="B327" s="43">
        <f>'13. Desinvesteringen'!B329</f>
        <v>310</v>
      </c>
      <c r="D327" s="43" t="str">
        <f>'13. Desinvesteringen'!C329</f>
        <v>37 ICT middelen 1</v>
      </c>
      <c r="E327" s="43">
        <f>'13. Desinvesteringen'!D329</f>
        <v>2014</v>
      </c>
      <c r="F327" s="48">
        <f>'13. Desinvesteringen'!E329</f>
        <v>389821.72686058586</v>
      </c>
      <c r="G327" s="43">
        <f>'13. Desinvesteringen'!G329</f>
        <v>2021</v>
      </c>
    </row>
    <row r="328" spans="2:7" s="3" customFormat="1">
      <c r="B328" s="43">
        <f>'13. Desinvesteringen'!B330</f>
        <v>311</v>
      </c>
      <c r="D328" s="43" t="str">
        <f>'13. Desinvesteringen'!C330</f>
        <v>37 ICT middelen 1</v>
      </c>
      <c r="E328" s="43">
        <f>'13. Desinvesteringen'!D330</f>
        <v>2016</v>
      </c>
      <c r="F328" s="48">
        <f>'13. Desinvesteringen'!E330</f>
        <v>6703956.690605375</v>
      </c>
      <c r="G328" s="43">
        <f>'13. Desinvesteringen'!G330</f>
        <v>2021</v>
      </c>
    </row>
    <row r="329" spans="2:7" s="3" customFormat="1">
      <c r="B329" s="43">
        <f>'13. Desinvesteringen'!B331</f>
        <v>312</v>
      </c>
      <c r="D329" s="43" t="str">
        <f>'13. Desinvesteringen'!C331</f>
        <v>37 ICT middelen 1</v>
      </c>
      <c r="E329" s="43">
        <f>'13. Desinvesteringen'!D331</f>
        <v>2017</v>
      </c>
      <c r="F329" s="48">
        <f>'13. Desinvesteringen'!E331</f>
        <v>684727.21448209102</v>
      </c>
      <c r="G329" s="43">
        <f>'13. Desinvesteringen'!G331</f>
        <v>2021</v>
      </c>
    </row>
    <row r="330" spans="2:7" s="3" customFormat="1">
      <c r="B330" s="43">
        <f>'13. Desinvesteringen'!B332</f>
        <v>313</v>
      </c>
      <c r="D330" s="43" t="str">
        <f>'13. Desinvesteringen'!C332</f>
        <v>37 ICT middelen 1</v>
      </c>
      <c r="E330" s="43">
        <f>'13. Desinvesteringen'!D332</f>
        <v>2018</v>
      </c>
      <c r="F330" s="48">
        <f>'13. Desinvesteringen'!E332</f>
        <v>493959.41966385196</v>
      </c>
      <c r="G330" s="43">
        <f>'13. Desinvesteringen'!G332</f>
        <v>2021</v>
      </c>
    </row>
    <row r="331" spans="2:7" s="3" customFormat="1">
      <c r="B331" s="43">
        <f>'13. Desinvesteringen'!B333</f>
        <v>314</v>
      </c>
      <c r="D331" s="43" t="str">
        <f>'13. Desinvesteringen'!C333</f>
        <v>37 ICT middelen 1</v>
      </c>
      <c r="E331" s="43">
        <f>'13. Desinvesteringen'!D333</f>
        <v>2019</v>
      </c>
      <c r="F331" s="48">
        <f>'13. Desinvesteringen'!E333</f>
        <v>890860.60513630731</v>
      </c>
      <c r="G331" s="43">
        <f>'13. Desinvesteringen'!G333</f>
        <v>2021</v>
      </c>
    </row>
    <row r="332" spans="2:7" s="3" customFormat="1">
      <c r="B332" s="43">
        <f>'13. Desinvesteringen'!B334</f>
        <v>315</v>
      </c>
      <c r="D332" s="43" t="str">
        <f>'13. Desinvesteringen'!C334</f>
        <v>38 ICT middelen 2</v>
      </c>
      <c r="E332" s="43">
        <f>'13. Desinvesteringen'!D334</f>
        <v>2019</v>
      </c>
      <c r="F332" s="48">
        <f>'13. Desinvesteringen'!E334</f>
        <v>211448.77498552162</v>
      </c>
      <c r="G332" s="43">
        <f>'13. Desinvesteringen'!G334</f>
        <v>2021</v>
      </c>
    </row>
    <row r="333" spans="2:7" s="3" customFormat="1">
      <c r="B333" s="43">
        <f>'13. Desinvesteringen'!B335</f>
        <v>316</v>
      </c>
      <c r="D333" s="43" t="str">
        <f>'13. Desinvesteringen'!C335</f>
        <v>01 Regionale leidingen</v>
      </c>
      <c r="E333" s="43">
        <f>'13. Desinvesteringen'!D335</f>
        <v>1949</v>
      </c>
      <c r="F333" s="48">
        <f>'13. Desinvesteringen'!E335</f>
        <v>160877.82</v>
      </c>
      <c r="G333" s="43">
        <f>'13. Desinvesteringen'!G335</f>
        <v>2022</v>
      </c>
    </row>
    <row r="334" spans="2:7" s="3" customFormat="1">
      <c r="B334" s="43">
        <f>'13. Desinvesteringen'!B336</f>
        <v>317</v>
      </c>
      <c r="D334" s="43" t="str">
        <f>'13. Desinvesteringen'!C336</f>
        <v>01 Regionale leidingen</v>
      </c>
      <c r="E334" s="43">
        <f>'13. Desinvesteringen'!D336</f>
        <v>1951</v>
      </c>
      <c r="F334" s="48">
        <f>'13. Desinvesteringen'!E336</f>
        <v>84605.79</v>
      </c>
      <c r="G334" s="43">
        <f>'13. Desinvesteringen'!G336</f>
        <v>2022</v>
      </c>
    </row>
    <row r="335" spans="2:7" s="3" customFormat="1">
      <c r="B335" s="43">
        <f>'13. Desinvesteringen'!B337</f>
        <v>318</v>
      </c>
      <c r="D335" s="43" t="str">
        <f>'13. Desinvesteringen'!C337</f>
        <v>01 Regionale leidingen</v>
      </c>
      <c r="E335" s="43">
        <f>'13. Desinvesteringen'!D337</f>
        <v>1955</v>
      </c>
      <c r="F335" s="48">
        <f>'13. Desinvesteringen'!E337</f>
        <v>144.74</v>
      </c>
      <c r="G335" s="43">
        <f>'13. Desinvesteringen'!G337</f>
        <v>2022</v>
      </c>
    </row>
    <row r="336" spans="2:7" s="3" customFormat="1">
      <c r="B336" s="43">
        <f>'13. Desinvesteringen'!B338</f>
        <v>319</v>
      </c>
      <c r="D336" s="43" t="str">
        <f>'13. Desinvesteringen'!C338</f>
        <v>01 Regionale leidingen</v>
      </c>
      <c r="E336" s="43">
        <f>'13. Desinvesteringen'!D338</f>
        <v>1960</v>
      </c>
      <c r="F336" s="48">
        <f>'13. Desinvesteringen'!E338</f>
        <v>0.01</v>
      </c>
      <c r="G336" s="43">
        <f>'13. Desinvesteringen'!G338</f>
        <v>2022</v>
      </c>
    </row>
    <row r="337" spans="2:7" s="3" customFormat="1">
      <c r="B337" s="43">
        <f>'13. Desinvesteringen'!B339</f>
        <v>320</v>
      </c>
      <c r="D337" s="43" t="str">
        <f>'13. Desinvesteringen'!C339</f>
        <v>01 Regionale leidingen</v>
      </c>
      <c r="E337" s="43">
        <f>'13. Desinvesteringen'!D339</f>
        <v>1964</v>
      </c>
      <c r="F337" s="48">
        <f>'13. Desinvesteringen'!E339</f>
        <v>30000</v>
      </c>
      <c r="G337" s="43">
        <f>'13. Desinvesteringen'!G339</f>
        <v>2022</v>
      </c>
    </row>
    <row r="338" spans="2:7" s="3" customFormat="1">
      <c r="B338" s="43">
        <f>'13. Desinvesteringen'!B340</f>
        <v>321</v>
      </c>
      <c r="D338" s="43" t="str">
        <f>'13. Desinvesteringen'!C340</f>
        <v>01 Regionale leidingen</v>
      </c>
      <c r="E338" s="43">
        <f>'13. Desinvesteringen'!D340</f>
        <v>1965</v>
      </c>
      <c r="F338" s="48">
        <f>'13. Desinvesteringen'!E340</f>
        <v>138426.70000000001</v>
      </c>
      <c r="G338" s="43">
        <f>'13. Desinvesteringen'!G340</f>
        <v>2022</v>
      </c>
    </row>
    <row r="339" spans="2:7" s="3" customFormat="1">
      <c r="B339" s="43">
        <f>'13. Desinvesteringen'!B341</f>
        <v>322</v>
      </c>
      <c r="D339" s="43" t="str">
        <f>'13. Desinvesteringen'!C341</f>
        <v>01 Regionale leidingen</v>
      </c>
      <c r="E339" s="43">
        <f>'13. Desinvesteringen'!D341</f>
        <v>1966</v>
      </c>
      <c r="F339" s="48">
        <f>'13. Desinvesteringen'!E341</f>
        <v>234290.08</v>
      </c>
      <c r="G339" s="43">
        <f>'13. Desinvesteringen'!G341</f>
        <v>2022</v>
      </c>
    </row>
    <row r="340" spans="2:7" s="3" customFormat="1">
      <c r="B340" s="43">
        <f>'13. Desinvesteringen'!B342</f>
        <v>323</v>
      </c>
      <c r="D340" s="43" t="str">
        <f>'13. Desinvesteringen'!C342</f>
        <v>01 Regionale leidingen</v>
      </c>
      <c r="E340" s="43">
        <f>'13. Desinvesteringen'!D342</f>
        <v>1967</v>
      </c>
      <c r="F340" s="48">
        <f>'13. Desinvesteringen'!E342</f>
        <v>91461.86</v>
      </c>
      <c r="G340" s="43">
        <f>'13. Desinvesteringen'!G342</f>
        <v>2022</v>
      </c>
    </row>
    <row r="341" spans="2:7" s="3" customFormat="1">
      <c r="B341" s="43">
        <f>'13. Desinvesteringen'!B343</f>
        <v>324</v>
      </c>
      <c r="D341" s="43" t="str">
        <f>'13. Desinvesteringen'!C343</f>
        <v>01 Regionale leidingen</v>
      </c>
      <c r="E341" s="43">
        <f>'13. Desinvesteringen'!D343</f>
        <v>1968</v>
      </c>
      <c r="F341" s="48">
        <f>'13. Desinvesteringen'!E343</f>
        <v>48585.87</v>
      </c>
      <c r="G341" s="43">
        <f>'13. Desinvesteringen'!G343</f>
        <v>2022</v>
      </c>
    </row>
    <row r="342" spans="2:7" s="3" customFormat="1">
      <c r="B342" s="43">
        <f>'13. Desinvesteringen'!B344</f>
        <v>325</v>
      </c>
      <c r="D342" s="43" t="str">
        <f>'13. Desinvesteringen'!C344</f>
        <v>01 Regionale leidingen</v>
      </c>
      <c r="E342" s="43">
        <f>'13. Desinvesteringen'!D344</f>
        <v>1969</v>
      </c>
      <c r="F342" s="48">
        <f>'13. Desinvesteringen'!E344</f>
        <v>78148.28</v>
      </c>
      <c r="G342" s="43">
        <f>'13. Desinvesteringen'!G344</f>
        <v>2022</v>
      </c>
    </row>
    <row r="343" spans="2:7" s="3" customFormat="1">
      <c r="B343" s="43">
        <f>'13. Desinvesteringen'!B345</f>
        <v>326</v>
      </c>
      <c r="D343" s="43" t="str">
        <f>'13. Desinvesteringen'!C345</f>
        <v>01 Regionale leidingen</v>
      </c>
      <c r="E343" s="43">
        <f>'13. Desinvesteringen'!D345</f>
        <v>1970</v>
      </c>
      <c r="F343" s="48">
        <f>'13. Desinvesteringen'!E345</f>
        <v>107313.68999999999</v>
      </c>
      <c r="G343" s="43">
        <f>'13. Desinvesteringen'!G345</f>
        <v>2022</v>
      </c>
    </row>
    <row r="344" spans="2:7" s="3" customFormat="1">
      <c r="B344" s="43">
        <f>'13. Desinvesteringen'!B346</f>
        <v>327</v>
      </c>
      <c r="D344" s="43" t="str">
        <f>'13. Desinvesteringen'!C346</f>
        <v>01 Regionale leidingen</v>
      </c>
      <c r="E344" s="43">
        <f>'13. Desinvesteringen'!D346</f>
        <v>1971</v>
      </c>
      <c r="F344" s="48">
        <f>'13. Desinvesteringen'!E346</f>
        <v>63212.38</v>
      </c>
      <c r="G344" s="43">
        <f>'13. Desinvesteringen'!G346</f>
        <v>2022</v>
      </c>
    </row>
    <row r="345" spans="2:7" s="3" customFormat="1">
      <c r="B345" s="43">
        <f>'13. Desinvesteringen'!B347</f>
        <v>328</v>
      </c>
      <c r="D345" s="43" t="str">
        <f>'13. Desinvesteringen'!C347</f>
        <v>01 Regionale leidingen</v>
      </c>
      <c r="E345" s="43">
        <f>'13. Desinvesteringen'!D347</f>
        <v>1972</v>
      </c>
      <c r="F345" s="48">
        <f>'13. Desinvesteringen'!E347</f>
        <v>191127.04000000001</v>
      </c>
      <c r="G345" s="43">
        <f>'13. Desinvesteringen'!G347</f>
        <v>2022</v>
      </c>
    </row>
    <row r="346" spans="2:7" s="3" customFormat="1">
      <c r="B346" s="43">
        <f>'13. Desinvesteringen'!B348</f>
        <v>329</v>
      </c>
      <c r="D346" s="43" t="str">
        <f>'13. Desinvesteringen'!C348</f>
        <v>01 Regionale leidingen</v>
      </c>
      <c r="E346" s="43">
        <f>'13. Desinvesteringen'!D348</f>
        <v>1973</v>
      </c>
      <c r="F346" s="48">
        <f>'13. Desinvesteringen'!E348</f>
        <v>149822.34</v>
      </c>
      <c r="G346" s="43">
        <f>'13. Desinvesteringen'!G348</f>
        <v>2022</v>
      </c>
    </row>
    <row r="347" spans="2:7" s="3" customFormat="1">
      <c r="B347" s="43">
        <f>'13. Desinvesteringen'!B349</f>
        <v>330</v>
      </c>
      <c r="D347" s="43" t="str">
        <f>'13. Desinvesteringen'!C349</f>
        <v>01 Regionale leidingen</v>
      </c>
      <c r="E347" s="43">
        <f>'13. Desinvesteringen'!D349</f>
        <v>1974</v>
      </c>
      <c r="F347" s="48">
        <f>'13. Desinvesteringen'!E349</f>
        <v>54981.1</v>
      </c>
      <c r="G347" s="43">
        <f>'13. Desinvesteringen'!G349</f>
        <v>2022</v>
      </c>
    </row>
    <row r="348" spans="2:7" s="3" customFormat="1">
      <c r="B348" s="43">
        <f>'13. Desinvesteringen'!B350</f>
        <v>331</v>
      </c>
      <c r="D348" s="43" t="str">
        <f>'13. Desinvesteringen'!C350</f>
        <v>01 Regionale leidingen</v>
      </c>
      <c r="E348" s="43">
        <f>'13. Desinvesteringen'!D350</f>
        <v>1975</v>
      </c>
      <c r="F348" s="48">
        <f>'13. Desinvesteringen'!E350</f>
        <v>42603.9</v>
      </c>
      <c r="G348" s="43">
        <f>'13. Desinvesteringen'!G350</f>
        <v>2022</v>
      </c>
    </row>
    <row r="349" spans="2:7" s="3" customFormat="1">
      <c r="B349" s="43">
        <f>'13. Desinvesteringen'!B351</f>
        <v>332</v>
      </c>
      <c r="D349" s="43" t="str">
        <f>'13. Desinvesteringen'!C351</f>
        <v>01 Regionale leidingen</v>
      </c>
      <c r="E349" s="43">
        <f>'13. Desinvesteringen'!D351</f>
        <v>1976</v>
      </c>
      <c r="F349" s="48">
        <f>'13. Desinvesteringen'!E351</f>
        <v>96350.659999999989</v>
      </c>
      <c r="G349" s="43">
        <f>'13. Desinvesteringen'!G351</f>
        <v>2022</v>
      </c>
    </row>
    <row r="350" spans="2:7" s="3" customFormat="1">
      <c r="B350" s="43">
        <f>'13. Desinvesteringen'!B352</f>
        <v>333</v>
      </c>
      <c r="D350" s="43" t="str">
        <f>'13. Desinvesteringen'!C352</f>
        <v>01 Regionale leidingen</v>
      </c>
      <c r="E350" s="43">
        <f>'13. Desinvesteringen'!D352</f>
        <v>1977</v>
      </c>
      <c r="F350" s="48">
        <f>'13. Desinvesteringen'!E352</f>
        <v>40000</v>
      </c>
      <c r="G350" s="43">
        <f>'13. Desinvesteringen'!G352</f>
        <v>2022</v>
      </c>
    </row>
    <row r="351" spans="2:7" s="3" customFormat="1">
      <c r="B351" s="43">
        <f>'13. Desinvesteringen'!B353</f>
        <v>334</v>
      </c>
      <c r="D351" s="43" t="str">
        <f>'13. Desinvesteringen'!C353</f>
        <v>01 Regionale leidingen</v>
      </c>
      <c r="E351" s="43">
        <f>'13. Desinvesteringen'!D353</f>
        <v>1980</v>
      </c>
      <c r="F351" s="48">
        <f>'13. Desinvesteringen'!E353</f>
        <v>120440.92</v>
      </c>
      <c r="G351" s="43">
        <f>'13. Desinvesteringen'!G353</f>
        <v>2022</v>
      </c>
    </row>
    <row r="352" spans="2:7" s="3" customFormat="1">
      <c r="B352" s="43">
        <f>'13. Desinvesteringen'!B354</f>
        <v>335</v>
      </c>
      <c r="D352" s="43" t="str">
        <f>'13. Desinvesteringen'!C354</f>
        <v>01 Regionale leidingen</v>
      </c>
      <c r="E352" s="43">
        <f>'13. Desinvesteringen'!D354</f>
        <v>1986</v>
      </c>
      <c r="F352" s="48">
        <f>'13. Desinvesteringen'!E354</f>
        <v>522.41999999999996</v>
      </c>
      <c r="G352" s="43">
        <f>'13. Desinvesteringen'!G354</f>
        <v>2022</v>
      </c>
    </row>
    <row r="353" spans="2:7" s="3" customFormat="1">
      <c r="B353" s="43">
        <f>'13. Desinvesteringen'!B355</f>
        <v>336</v>
      </c>
      <c r="D353" s="43" t="str">
        <f>'13. Desinvesteringen'!C355</f>
        <v>01 Regionale leidingen</v>
      </c>
      <c r="E353" s="43">
        <f>'13. Desinvesteringen'!D355</f>
        <v>1987</v>
      </c>
      <c r="F353" s="48">
        <f>'13. Desinvesteringen'!E355</f>
        <v>53825.87</v>
      </c>
      <c r="G353" s="43">
        <f>'13. Desinvesteringen'!G355</f>
        <v>2022</v>
      </c>
    </row>
    <row r="354" spans="2:7" s="3" customFormat="1">
      <c r="B354" s="43">
        <f>'13. Desinvesteringen'!B356</f>
        <v>337</v>
      </c>
      <c r="D354" s="43" t="str">
        <f>'13. Desinvesteringen'!C356</f>
        <v>01 Regionale leidingen</v>
      </c>
      <c r="E354" s="43">
        <f>'13. Desinvesteringen'!D356</f>
        <v>1991</v>
      </c>
      <c r="F354" s="48">
        <f>'13. Desinvesteringen'!E356</f>
        <v>27309.98</v>
      </c>
      <c r="G354" s="43">
        <f>'13. Desinvesteringen'!G356</f>
        <v>2022</v>
      </c>
    </row>
    <row r="355" spans="2:7" s="3" customFormat="1">
      <c r="B355" s="43">
        <f>'13. Desinvesteringen'!B357</f>
        <v>338</v>
      </c>
      <c r="D355" s="43" t="str">
        <f>'13. Desinvesteringen'!C357</f>
        <v>01 Regionale leidingen</v>
      </c>
      <c r="E355" s="43">
        <f>'13. Desinvesteringen'!D357</f>
        <v>1994</v>
      </c>
      <c r="F355" s="48">
        <f>'13. Desinvesteringen'!E357</f>
        <v>108598.45</v>
      </c>
      <c r="G355" s="43">
        <f>'13. Desinvesteringen'!G357</f>
        <v>2022</v>
      </c>
    </row>
    <row r="356" spans="2:7" s="3" customFormat="1">
      <c r="B356" s="43">
        <f>'13. Desinvesteringen'!B358</f>
        <v>339</v>
      </c>
      <c r="D356" s="43" t="str">
        <f>'13. Desinvesteringen'!C358</f>
        <v>01 Regionale leidingen</v>
      </c>
      <c r="E356" s="43">
        <f>'13. Desinvesteringen'!D358</f>
        <v>1995</v>
      </c>
      <c r="F356" s="48">
        <f>'13. Desinvesteringen'!E358</f>
        <v>22977.040000000001</v>
      </c>
      <c r="G356" s="43">
        <f>'13. Desinvesteringen'!G358</f>
        <v>2022</v>
      </c>
    </row>
    <row r="357" spans="2:7" s="3" customFormat="1">
      <c r="B357" s="43">
        <f>'13. Desinvesteringen'!B359</f>
        <v>340</v>
      </c>
      <c r="D357" s="43" t="str">
        <f>'13. Desinvesteringen'!C359</f>
        <v>01 Regionale leidingen</v>
      </c>
      <c r="E357" s="43">
        <f>'13. Desinvesteringen'!D359</f>
        <v>1997</v>
      </c>
      <c r="F357" s="48">
        <f>'13. Desinvesteringen'!E359</f>
        <v>4863.96</v>
      </c>
      <c r="G357" s="43">
        <f>'13. Desinvesteringen'!G359</f>
        <v>2022</v>
      </c>
    </row>
    <row r="358" spans="2:7" s="3" customFormat="1">
      <c r="B358" s="43">
        <f>'13. Desinvesteringen'!B360</f>
        <v>341</v>
      </c>
      <c r="D358" s="43" t="str">
        <f>'13. Desinvesteringen'!C360</f>
        <v>01 Regionale leidingen</v>
      </c>
      <c r="E358" s="43">
        <f>'13. Desinvesteringen'!D360</f>
        <v>2001</v>
      </c>
      <c r="F358" s="48">
        <f>'13. Desinvesteringen'!E360</f>
        <v>6708.79</v>
      </c>
      <c r="G358" s="43">
        <f>'13. Desinvesteringen'!G360</f>
        <v>2022</v>
      </c>
    </row>
    <row r="359" spans="2:7" s="3" customFormat="1">
      <c r="B359" s="43">
        <f>'13. Desinvesteringen'!B361</f>
        <v>342</v>
      </c>
      <c r="D359" s="43" t="str">
        <f>'13. Desinvesteringen'!C361</f>
        <v>01 Regionale leidingen</v>
      </c>
      <c r="E359" s="43">
        <f>'13. Desinvesteringen'!D361</f>
        <v>2002</v>
      </c>
      <c r="F359" s="48">
        <f>'13. Desinvesteringen'!E361</f>
        <v>4460.3999999999996</v>
      </c>
      <c r="G359" s="43">
        <f>'13. Desinvesteringen'!G361</f>
        <v>2022</v>
      </c>
    </row>
    <row r="360" spans="2:7" s="3" customFormat="1">
      <c r="B360" s="43">
        <f>'13. Desinvesteringen'!B362</f>
        <v>343</v>
      </c>
      <c r="D360" s="43" t="str">
        <f>'13. Desinvesteringen'!C362</f>
        <v>01 Regionale leidingen</v>
      </c>
      <c r="E360" s="43">
        <f>'13. Desinvesteringen'!D362</f>
        <v>2004</v>
      </c>
      <c r="F360" s="48">
        <f>'13. Desinvesteringen'!E362</f>
        <v>111686.38999999998</v>
      </c>
      <c r="G360" s="43">
        <f>'13. Desinvesteringen'!G362</f>
        <v>2022</v>
      </c>
    </row>
    <row r="361" spans="2:7" s="3" customFormat="1">
      <c r="B361" s="43">
        <f>'13. Desinvesteringen'!B363</f>
        <v>344</v>
      </c>
      <c r="D361" s="43" t="str">
        <f>'13. Desinvesteringen'!C363</f>
        <v>01 Regionale leidingen</v>
      </c>
      <c r="E361" s="43">
        <f>'13. Desinvesteringen'!D363</f>
        <v>2005</v>
      </c>
      <c r="F361" s="48">
        <f>'13. Desinvesteringen'!E363</f>
        <v>24040.95</v>
      </c>
      <c r="G361" s="43">
        <f>'13. Desinvesteringen'!G363</f>
        <v>2022</v>
      </c>
    </row>
    <row r="362" spans="2:7" s="3" customFormat="1">
      <c r="B362" s="43">
        <f>'13. Desinvesteringen'!B364</f>
        <v>345</v>
      </c>
      <c r="D362" s="43" t="str">
        <f>'13. Desinvesteringen'!C364</f>
        <v>01 Regionale leidingen</v>
      </c>
      <c r="E362" s="43">
        <f>'13. Desinvesteringen'!D364</f>
        <v>2009</v>
      </c>
      <c r="F362" s="48">
        <f>'13. Desinvesteringen'!E364</f>
        <v>382357.44</v>
      </c>
      <c r="G362" s="43">
        <f>'13. Desinvesteringen'!G364</f>
        <v>2022</v>
      </c>
    </row>
    <row r="363" spans="2:7" s="3" customFormat="1">
      <c r="B363" s="43">
        <f>'13. Desinvesteringen'!B365</f>
        <v>346</v>
      </c>
      <c r="D363" s="43" t="str">
        <f>'13. Desinvesteringen'!C365</f>
        <v>01 Regionale leidingen</v>
      </c>
      <c r="E363" s="43">
        <f>'13. Desinvesteringen'!D365</f>
        <v>2010</v>
      </c>
      <c r="F363" s="48">
        <f>'13. Desinvesteringen'!E365</f>
        <v>161319.04441174126</v>
      </c>
      <c r="G363" s="43">
        <f>'13. Desinvesteringen'!G365</f>
        <v>2022</v>
      </c>
    </row>
    <row r="364" spans="2:7" s="3" customFormat="1">
      <c r="B364" s="43">
        <f>'13. Desinvesteringen'!B366</f>
        <v>347</v>
      </c>
      <c r="D364" s="43" t="str">
        <f>'13. Desinvesteringen'!C366</f>
        <v>01 Regionale leidingen</v>
      </c>
      <c r="E364" s="43">
        <f>'13. Desinvesteringen'!D366</f>
        <v>2011</v>
      </c>
      <c r="F364" s="48">
        <f>'13. Desinvesteringen'!E366</f>
        <v>58878.280274353092</v>
      </c>
      <c r="G364" s="43">
        <f>'13. Desinvesteringen'!G366</f>
        <v>2022</v>
      </c>
    </row>
    <row r="365" spans="2:7" s="3" customFormat="1">
      <c r="B365" s="43">
        <f>'13. Desinvesteringen'!B367</f>
        <v>348</v>
      </c>
      <c r="D365" s="43" t="str">
        <f>'13. Desinvesteringen'!C367</f>
        <v>01 Regionale leidingen</v>
      </c>
      <c r="E365" s="43">
        <f>'13. Desinvesteringen'!D367</f>
        <v>2012</v>
      </c>
      <c r="F365" s="48">
        <f>'13. Desinvesteringen'!E367</f>
        <v>93953.985920705352</v>
      </c>
      <c r="G365" s="43">
        <f>'13. Desinvesteringen'!G367</f>
        <v>2022</v>
      </c>
    </row>
    <row r="366" spans="2:7" s="3" customFormat="1">
      <c r="B366" s="43">
        <f>'13. Desinvesteringen'!B368</f>
        <v>349</v>
      </c>
      <c r="D366" s="43" t="str">
        <f>'13. Desinvesteringen'!C368</f>
        <v>01 Regionale leidingen</v>
      </c>
      <c r="E366" s="43">
        <f>'13. Desinvesteringen'!D368</f>
        <v>2013</v>
      </c>
      <c r="F366" s="48">
        <f>'13. Desinvesteringen'!E368</f>
        <v>168956.89717004116</v>
      </c>
      <c r="G366" s="43">
        <f>'13. Desinvesteringen'!G368</f>
        <v>2022</v>
      </c>
    </row>
    <row r="367" spans="2:7" s="3" customFormat="1">
      <c r="B367" s="43">
        <f>'13. Desinvesteringen'!B369</f>
        <v>350</v>
      </c>
      <c r="D367" s="43" t="str">
        <f>'13. Desinvesteringen'!C369</f>
        <v>02 Gasontvangststations</v>
      </c>
      <c r="E367" s="43">
        <f>'13. Desinvesteringen'!D369</f>
        <v>1965</v>
      </c>
      <c r="F367" s="48">
        <f>'13. Desinvesteringen'!E369</f>
        <v>59962.48</v>
      </c>
      <c r="G367" s="43">
        <f>'13. Desinvesteringen'!G369</f>
        <v>2022</v>
      </c>
    </row>
    <row r="368" spans="2:7" s="3" customFormat="1">
      <c r="B368" s="43">
        <f>'13. Desinvesteringen'!B370</f>
        <v>351</v>
      </c>
      <c r="D368" s="43" t="str">
        <f>'13. Desinvesteringen'!C370</f>
        <v>02 Gasontvangststations</v>
      </c>
      <c r="E368" s="43">
        <f>'13. Desinvesteringen'!D370</f>
        <v>1966</v>
      </c>
      <c r="F368" s="48">
        <f>'13. Desinvesteringen'!E370</f>
        <v>318047.64</v>
      </c>
      <c r="G368" s="43">
        <f>'13. Desinvesteringen'!G370</f>
        <v>2022</v>
      </c>
    </row>
    <row r="369" spans="2:7" s="3" customFormat="1">
      <c r="B369" s="43">
        <f>'13. Desinvesteringen'!B371</f>
        <v>352</v>
      </c>
      <c r="D369" s="43" t="str">
        <f>'13. Desinvesteringen'!C371</f>
        <v>02 Gasontvangststations</v>
      </c>
      <c r="E369" s="43">
        <f>'13. Desinvesteringen'!D371</f>
        <v>1967</v>
      </c>
      <c r="F369" s="48">
        <f>'13. Desinvesteringen'!E371</f>
        <v>109472.13</v>
      </c>
      <c r="G369" s="43">
        <f>'13. Desinvesteringen'!G371</f>
        <v>2022</v>
      </c>
    </row>
    <row r="370" spans="2:7" s="3" customFormat="1">
      <c r="B370" s="43">
        <f>'13. Desinvesteringen'!B372</f>
        <v>353</v>
      </c>
      <c r="D370" s="43" t="str">
        <f>'13. Desinvesteringen'!C372</f>
        <v>02 Gasontvangststations</v>
      </c>
      <c r="E370" s="43">
        <f>'13. Desinvesteringen'!D372</f>
        <v>1968</v>
      </c>
      <c r="F370" s="48">
        <f>'13. Desinvesteringen'!E372</f>
        <v>205157.75</v>
      </c>
      <c r="G370" s="43">
        <f>'13. Desinvesteringen'!G372</f>
        <v>2022</v>
      </c>
    </row>
    <row r="371" spans="2:7" s="3" customFormat="1">
      <c r="B371" s="43">
        <f>'13. Desinvesteringen'!B373</f>
        <v>354</v>
      </c>
      <c r="D371" s="43" t="str">
        <f>'13. Desinvesteringen'!C373</f>
        <v>02 Gasontvangststations</v>
      </c>
      <c r="E371" s="43">
        <f>'13. Desinvesteringen'!D373</f>
        <v>1969</v>
      </c>
      <c r="F371" s="48">
        <f>'13. Desinvesteringen'!E373</f>
        <v>384223.42</v>
      </c>
      <c r="G371" s="43">
        <f>'13. Desinvesteringen'!G373</f>
        <v>2022</v>
      </c>
    </row>
    <row r="372" spans="2:7" s="3" customFormat="1">
      <c r="B372" s="43">
        <f>'13. Desinvesteringen'!B374</f>
        <v>355</v>
      </c>
      <c r="D372" s="43" t="str">
        <f>'13. Desinvesteringen'!C374</f>
        <v>02 Gasontvangststations</v>
      </c>
      <c r="E372" s="43">
        <f>'13. Desinvesteringen'!D374</f>
        <v>1970</v>
      </c>
      <c r="F372" s="48">
        <f>'13. Desinvesteringen'!E374</f>
        <v>158864.33000000002</v>
      </c>
      <c r="G372" s="43">
        <f>'13. Desinvesteringen'!G374</f>
        <v>2022</v>
      </c>
    </row>
    <row r="373" spans="2:7" s="3" customFormat="1">
      <c r="B373" s="43">
        <f>'13. Desinvesteringen'!B375</f>
        <v>356</v>
      </c>
      <c r="D373" s="43" t="str">
        <f>'13. Desinvesteringen'!C375</f>
        <v>02 Gasontvangststations</v>
      </c>
      <c r="E373" s="43">
        <f>'13. Desinvesteringen'!D375</f>
        <v>1971</v>
      </c>
      <c r="F373" s="48">
        <f>'13. Desinvesteringen'!E375</f>
        <v>262805.23</v>
      </c>
      <c r="G373" s="43">
        <f>'13. Desinvesteringen'!G375</f>
        <v>2022</v>
      </c>
    </row>
    <row r="374" spans="2:7" s="3" customFormat="1">
      <c r="B374" s="43">
        <f>'13. Desinvesteringen'!B376</f>
        <v>357</v>
      </c>
      <c r="D374" s="43" t="str">
        <f>'13. Desinvesteringen'!C376</f>
        <v>02 Gasontvangststations</v>
      </c>
      <c r="E374" s="43">
        <f>'13. Desinvesteringen'!D376</f>
        <v>1972</v>
      </c>
      <c r="F374" s="48">
        <f>'13. Desinvesteringen'!E376</f>
        <v>114985.86000000002</v>
      </c>
      <c r="G374" s="43">
        <f>'13. Desinvesteringen'!G376</f>
        <v>2022</v>
      </c>
    </row>
    <row r="375" spans="2:7" s="3" customFormat="1">
      <c r="B375" s="43">
        <f>'13. Desinvesteringen'!B377</f>
        <v>358</v>
      </c>
      <c r="D375" s="43" t="str">
        <f>'13. Desinvesteringen'!C377</f>
        <v>02 Gasontvangststations</v>
      </c>
      <c r="E375" s="43">
        <f>'13. Desinvesteringen'!D377</f>
        <v>1973</v>
      </c>
      <c r="F375" s="48">
        <f>'13. Desinvesteringen'!E377</f>
        <v>120091.87999999999</v>
      </c>
      <c r="G375" s="43">
        <f>'13. Desinvesteringen'!G377</f>
        <v>2022</v>
      </c>
    </row>
    <row r="376" spans="2:7" s="3" customFormat="1">
      <c r="B376" s="43">
        <f>'13. Desinvesteringen'!B378</f>
        <v>359</v>
      </c>
      <c r="D376" s="43" t="str">
        <f>'13. Desinvesteringen'!C378</f>
        <v>02 Gasontvangststations</v>
      </c>
      <c r="E376" s="43">
        <f>'13. Desinvesteringen'!D378</f>
        <v>1974</v>
      </c>
      <c r="F376" s="48">
        <f>'13. Desinvesteringen'!E378</f>
        <v>93174.06</v>
      </c>
      <c r="G376" s="43">
        <f>'13. Desinvesteringen'!G378</f>
        <v>2022</v>
      </c>
    </row>
    <row r="377" spans="2:7" s="3" customFormat="1">
      <c r="B377" s="43">
        <f>'13. Desinvesteringen'!B379</f>
        <v>360</v>
      </c>
      <c r="D377" s="43" t="str">
        <f>'13. Desinvesteringen'!C379</f>
        <v>02 Gasontvangststations</v>
      </c>
      <c r="E377" s="43">
        <f>'13. Desinvesteringen'!D379</f>
        <v>1975</v>
      </c>
      <c r="F377" s="48">
        <f>'13. Desinvesteringen'!E379</f>
        <v>4893.67</v>
      </c>
      <c r="G377" s="43">
        <f>'13. Desinvesteringen'!G379</f>
        <v>2022</v>
      </c>
    </row>
    <row r="378" spans="2:7" s="3" customFormat="1">
      <c r="B378" s="43">
        <f>'13. Desinvesteringen'!B380</f>
        <v>361</v>
      </c>
      <c r="D378" s="43" t="str">
        <f>'13. Desinvesteringen'!C380</f>
        <v>02 Gasontvangststations</v>
      </c>
      <c r="E378" s="43">
        <f>'13. Desinvesteringen'!D380</f>
        <v>1976</v>
      </c>
      <c r="F378" s="48">
        <f>'13. Desinvesteringen'!E380</f>
        <v>22029.58</v>
      </c>
      <c r="G378" s="43">
        <f>'13. Desinvesteringen'!G380</f>
        <v>2022</v>
      </c>
    </row>
    <row r="379" spans="2:7" s="3" customFormat="1">
      <c r="B379" s="43">
        <f>'13. Desinvesteringen'!B381</f>
        <v>362</v>
      </c>
      <c r="D379" s="43" t="str">
        <f>'13. Desinvesteringen'!C381</f>
        <v>02 Gasontvangststations</v>
      </c>
      <c r="E379" s="43">
        <f>'13. Desinvesteringen'!D381</f>
        <v>1977</v>
      </c>
      <c r="F379" s="48">
        <f>'13. Desinvesteringen'!E381</f>
        <v>46858.65</v>
      </c>
      <c r="G379" s="43">
        <f>'13. Desinvesteringen'!G381</f>
        <v>2022</v>
      </c>
    </row>
    <row r="380" spans="2:7" s="3" customFormat="1">
      <c r="B380" s="43">
        <f>'13. Desinvesteringen'!B382</f>
        <v>363</v>
      </c>
      <c r="D380" s="43" t="str">
        <f>'13. Desinvesteringen'!C382</f>
        <v>02 Gasontvangststations</v>
      </c>
      <c r="E380" s="43">
        <f>'13. Desinvesteringen'!D382</f>
        <v>1979</v>
      </c>
      <c r="F380" s="48">
        <f>'13. Desinvesteringen'!E382</f>
        <v>5905.65</v>
      </c>
      <c r="G380" s="43">
        <f>'13. Desinvesteringen'!G382</f>
        <v>2022</v>
      </c>
    </row>
    <row r="381" spans="2:7" s="3" customFormat="1">
      <c r="B381" s="43">
        <f>'13. Desinvesteringen'!B383</f>
        <v>364</v>
      </c>
      <c r="D381" s="43" t="str">
        <f>'13. Desinvesteringen'!C383</f>
        <v>02 Gasontvangststations</v>
      </c>
      <c r="E381" s="43">
        <f>'13. Desinvesteringen'!D383</f>
        <v>1980</v>
      </c>
      <c r="F381" s="48">
        <f>'13. Desinvesteringen'!E383</f>
        <v>150815.79</v>
      </c>
      <c r="G381" s="43">
        <f>'13. Desinvesteringen'!G383</f>
        <v>2022</v>
      </c>
    </row>
    <row r="382" spans="2:7" s="3" customFormat="1">
      <c r="B382" s="43">
        <f>'13. Desinvesteringen'!B384</f>
        <v>365</v>
      </c>
      <c r="D382" s="43" t="str">
        <f>'13. Desinvesteringen'!C384</f>
        <v>02 Gasontvangststations</v>
      </c>
      <c r="E382" s="43">
        <f>'13. Desinvesteringen'!D384</f>
        <v>1981</v>
      </c>
      <c r="F382" s="48">
        <f>'13. Desinvesteringen'!E384</f>
        <v>32315.9</v>
      </c>
      <c r="G382" s="43">
        <f>'13. Desinvesteringen'!G384</f>
        <v>2022</v>
      </c>
    </row>
    <row r="383" spans="2:7" s="3" customFormat="1">
      <c r="B383" s="43">
        <f>'13. Desinvesteringen'!B385</f>
        <v>366</v>
      </c>
      <c r="D383" s="43" t="str">
        <f>'13. Desinvesteringen'!C385</f>
        <v>02 Gasontvangststations</v>
      </c>
      <c r="E383" s="43">
        <f>'13. Desinvesteringen'!D385</f>
        <v>1982</v>
      </c>
      <c r="F383" s="48">
        <f>'13. Desinvesteringen'!E385</f>
        <v>8847.35</v>
      </c>
      <c r="G383" s="43">
        <f>'13. Desinvesteringen'!G385</f>
        <v>2022</v>
      </c>
    </row>
    <row r="384" spans="2:7" s="3" customFormat="1">
      <c r="B384" s="43">
        <f>'13. Desinvesteringen'!B386</f>
        <v>367</v>
      </c>
      <c r="D384" s="43" t="str">
        <f>'13. Desinvesteringen'!C386</f>
        <v>02 Gasontvangststations</v>
      </c>
      <c r="E384" s="43">
        <f>'13. Desinvesteringen'!D386</f>
        <v>1984</v>
      </c>
      <c r="F384" s="48">
        <f>'13. Desinvesteringen'!E386</f>
        <v>4950.9399999999996</v>
      </c>
      <c r="G384" s="43">
        <f>'13. Desinvesteringen'!G386</f>
        <v>2022</v>
      </c>
    </row>
    <row r="385" spans="2:7" s="3" customFormat="1">
      <c r="B385" s="43">
        <f>'13. Desinvesteringen'!B387</f>
        <v>368</v>
      </c>
      <c r="D385" s="43" t="str">
        <f>'13. Desinvesteringen'!C387</f>
        <v>02 Gasontvangststations</v>
      </c>
      <c r="E385" s="43">
        <f>'13. Desinvesteringen'!D387</f>
        <v>1989</v>
      </c>
      <c r="F385" s="48">
        <f>'13. Desinvesteringen'!E387</f>
        <v>51009.69</v>
      </c>
      <c r="G385" s="43">
        <f>'13. Desinvesteringen'!G387</f>
        <v>2022</v>
      </c>
    </row>
    <row r="386" spans="2:7" s="3" customFormat="1">
      <c r="B386" s="43">
        <f>'13. Desinvesteringen'!B388</f>
        <v>369</v>
      </c>
      <c r="D386" s="43" t="str">
        <f>'13. Desinvesteringen'!C388</f>
        <v>02 Gasontvangststations</v>
      </c>
      <c r="E386" s="43">
        <f>'13. Desinvesteringen'!D388</f>
        <v>1990</v>
      </c>
      <c r="F386" s="48">
        <f>'13. Desinvesteringen'!E388</f>
        <v>160044.32</v>
      </c>
      <c r="G386" s="43">
        <f>'13. Desinvesteringen'!G388</f>
        <v>2022</v>
      </c>
    </row>
    <row r="387" spans="2:7" s="3" customFormat="1">
      <c r="B387" s="43">
        <f>'13. Desinvesteringen'!B389</f>
        <v>370</v>
      </c>
      <c r="D387" s="43" t="str">
        <f>'13. Desinvesteringen'!C389</f>
        <v>02 Gasontvangststations</v>
      </c>
      <c r="E387" s="43">
        <f>'13. Desinvesteringen'!D389</f>
        <v>1991</v>
      </c>
      <c r="F387" s="48">
        <f>'13. Desinvesteringen'!E389</f>
        <v>8034.15</v>
      </c>
      <c r="G387" s="43">
        <f>'13. Desinvesteringen'!G389</f>
        <v>2022</v>
      </c>
    </row>
    <row r="388" spans="2:7" s="3" customFormat="1">
      <c r="B388" s="43">
        <f>'13. Desinvesteringen'!B390</f>
        <v>371</v>
      </c>
      <c r="D388" s="43" t="str">
        <f>'13. Desinvesteringen'!C390</f>
        <v>02 Gasontvangststations</v>
      </c>
      <c r="E388" s="43">
        <f>'13. Desinvesteringen'!D390</f>
        <v>1992</v>
      </c>
      <c r="F388" s="48">
        <f>'13. Desinvesteringen'!E390</f>
        <v>21906.92</v>
      </c>
      <c r="G388" s="43">
        <f>'13. Desinvesteringen'!G390</f>
        <v>2022</v>
      </c>
    </row>
    <row r="389" spans="2:7" s="3" customFormat="1">
      <c r="B389" s="43">
        <f>'13. Desinvesteringen'!B391</f>
        <v>372</v>
      </c>
      <c r="D389" s="43" t="str">
        <f>'13. Desinvesteringen'!C391</f>
        <v>02 Gasontvangststations</v>
      </c>
      <c r="E389" s="43">
        <f>'13. Desinvesteringen'!D391</f>
        <v>1993</v>
      </c>
      <c r="F389" s="48">
        <f>'13. Desinvesteringen'!E391</f>
        <v>15863.25</v>
      </c>
      <c r="G389" s="43">
        <f>'13. Desinvesteringen'!G391</f>
        <v>2022</v>
      </c>
    </row>
    <row r="390" spans="2:7" s="3" customFormat="1">
      <c r="B390" s="43">
        <f>'13. Desinvesteringen'!B392</f>
        <v>373</v>
      </c>
      <c r="D390" s="43" t="str">
        <f>'13. Desinvesteringen'!C392</f>
        <v>02 Gasontvangststations</v>
      </c>
      <c r="E390" s="43">
        <f>'13. Desinvesteringen'!D392</f>
        <v>1994</v>
      </c>
      <c r="F390" s="48">
        <f>'13. Desinvesteringen'!E392</f>
        <v>51450.05</v>
      </c>
      <c r="G390" s="43">
        <f>'13. Desinvesteringen'!G392</f>
        <v>2022</v>
      </c>
    </row>
    <row r="391" spans="2:7" s="3" customFormat="1">
      <c r="B391" s="43">
        <f>'13. Desinvesteringen'!B393</f>
        <v>374</v>
      </c>
      <c r="D391" s="43" t="str">
        <f>'13. Desinvesteringen'!C393</f>
        <v>02 Gasontvangststations</v>
      </c>
      <c r="E391" s="43">
        <f>'13. Desinvesteringen'!D393</f>
        <v>1995</v>
      </c>
      <c r="F391" s="48">
        <f>'13. Desinvesteringen'!E393</f>
        <v>62522.97</v>
      </c>
      <c r="G391" s="43">
        <f>'13. Desinvesteringen'!G393</f>
        <v>2022</v>
      </c>
    </row>
    <row r="392" spans="2:7" s="3" customFormat="1">
      <c r="B392" s="43">
        <f>'13. Desinvesteringen'!B394</f>
        <v>375</v>
      </c>
      <c r="D392" s="43" t="str">
        <f>'13. Desinvesteringen'!C394</f>
        <v>02 Gasontvangststations</v>
      </c>
      <c r="E392" s="43">
        <f>'13. Desinvesteringen'!D394</f>
        <v>1996</v>
      </c>
      <c r="F392" s="48">
        <f>'13. Desinvesteringen'!E394</f>
        <v>16582.84</v>
      </c>
      <c r="G392" s="43">
        <f>'13. Desinvesteringen'!G394</f>
        <v>2022</v>
      </c>
    </row>
    <row r="393" spans="2:7" s="3" customFormat="1">
      <c r="B393" s="43">
        <f>'13. Desinvesteringen'!B395</f>
        <v>376</v>
      </c>
      <c r="D393" s="43" t="str">
        <f>'13. Desinvesteringen'!C395</f>
        <v>02 Gasontvangststations</v>
      </c>
      <c r="E393" s="43">
        <f>'13. Desinvesteringen'!D395</f>
        <v>1997</v>
      </c>
      <c r="F393" s="48">
        <f>'13. Desinvesteringen'!E395</f>
        <v>16150.88</v>
      </c>
      <c r="G393" s="43">
        <f>'13. Desinvesteringen'!G395</f>
        <v>2022</v>
      </c>
    </row>
    <row r="394" spans="2:7" s="3" customFormat="1">
      <c r="B394" s="43">
        <f>'13. Desinvesteringen'!B396</f>
        <v>377</v>
      </c>
      <c r="D394" s="43" t="str">
        <f>'13. Desinvesteringen'!C396</f>
        <v>02 Gasontvangststations</v>
      </c>
      <c r="E394" s="43">
        <f>'13. Desinvesteringen'!D396</f>
        <v>2000</v>
      </c>
      <c r="F394" s="48">
        <f>'13. Desinvesteringen'!E396</f>
        <v>11054.31</v>
      </c>
      <c r="G394" s="43">
        <f>'13. Desinvesteringen'!G396</f>
        <v>2022</v>
      </c>
    </row>
    <row r="395" spans="2:7" s="3" customFormat="1">
      <c r="B395" s="43">
        <f>'13. Desinvesteringen'!B397</f>
        <v>378</v>
      </c>
      <c r="D395" s="43" t="str">
        <f>'13. Desinvesteringen'!C397</f>
        <v>02 Gasontvangststations</v>
      </c>
      <c r="E395" s="43">
        <f>'13. Desinvesteringen'!D397</f>
        <v>2002</v>
      </c>
      <c r="F395" s="48">
        <f>'13. Desinvesteringen'!E397</f>
        <v>9572.0400000000009</v>
      </c>
      <c r="G395" s="43">
        <f>'13. Desinvesteringen'!G397</f>
        <v>2022</v>
      </c>
    </row>
    <row r="396" spans="2:7" s="3" customFormat="1">
      <c r="B396" s="43">
        <f>'13. Desinvesteringen'!B398</f>
        <v>379</v>
      </c>
      <c r="D396" s="43" t="str">
        <f>'13. Desinvesteringen'!C398</f>
        <v>02 Gasontvangststations</v>
      </c>
      <c r="E396" s="43">
        <f>'13. Desinvesteringen'!D398</f>
        <v>2003</v>
      </c>
      <c r="F396" s="48">
        <f>'13. Desinvesteringen'!E398</f>
        <v>37361.589999999997</v>
      </c>
      <c r="G396" s="43">
        <f>'13. Desinvesteringen'!G398</f>
        <v>2022</v>
      </c>
    </row>
    <row r="397" spans="2:7" s="3" customFormat="1">
      <c r="B397" s="43">
        <f>'13. Desinvesteringen'!B399</f>
        <v>380</v>
      </c>
      <c r="D397" s="43" t="str">
        <f>'13. Desinvesteringen'!C399</f>
        <v>02 Gasontvangststations</v>
      </c>
      <c r="E397" s="43">
        <f>'13. Desinvesteringen'!D399</f>
        <v>2005</v>
      </c>
      <c r="F397" s="48">
        <f>'13. Desinvesteringen'!E399</f>
        <v>13619.77</v>
      </c>
      <c r="G397" s="43">
        <f>'13. Desinvesteringen'!G399</f>
        <v>2022</v>
      </c>
    </row>
    <row r="398" spans="2:7" s="3" customFormat="1">
      <c r="B398" s="43">
        <f>'13. Desinvesteringen'!B400</f>
        <v>381</v>
      </c>
      <c r="D398" s="43" t="str">
        <f>'13. Desinvesteringen'!C400</f>
        <v>02 Gasontvangststations</v>
      </c>
      <c r="E398" s="43">
        <f>'13. Desinvesteringen'!D400</f>
        <v>2007</v>
      </c>
      <c r="F398" s="48">
        <f>'13. Desinvesteringen'!E400</f>
        <v>316887.66000000003</v>
      </c>
      <c r="G398" s="43">
        <f>'13. Desinvesteringen'!G400</f>
        <v>2022</v>
      </c>
    </row>
    <row r="399" spans="2:7" s="3" customFormat="1">
      <c r="B399" s="43">
        <f>'13. Desinvesteringen'!B401</f>
        <v>382</v>
      </c>
      <c r="D399" s="43" t="str">
        <f>'13. Desinvesteringen'!C401</f>
        <v>02 Gasontvangststations</v>
      </c>
      <c r="E399" s="43">
        <f>'13. Desinvesteringen'!D401</f>
        <v>2010</v>
      </c>
      <c r="F399" s="48">
        <f>'13. Desinvesteringen'!E401</f>
        <v>154710.54390000002</v>
      </c>
      <c r="G399" s="43">
        <f>'13. Desinvesteringen'!G401</f>
        <v>2022</v>
      </c>
    </row>
    <row r="400" spans="2:7" s="3" customFormat="1">
      <c r="B400" s="43">
        <f>'13. Desinvesteringen'!B402</f>
        <v>383</v>
      </c>
      <c r="D400" s="43" t="str">
        <f>'13. Desinvesteringen'!C402</f>
        <v>02 Gasontvangststations</v>
      </c>
      <c r="E400" s="43">
        <f>'13. Desinvesteringen'!D402</f>
        <v>2012</v>
      </c>
      <c r="F400" s="48">
        <f>'13. Desinvesteringen'!E402</f>
        <v>41792.986548232657</v>
      </c>
      <c r="G400" s="43">
        <f>'13. Desinvesteringen'!G402</f>
        <v>2022</v>
      </c>
    </row>
    <row r="401" spans="2:7" s="3" customFormat="1">
      <c r="B401" s="43">
        <f>'13. Desinvesteringen'!B403</f>
        <v>384</v>
      </c>
      <c r="D401" s="43" t="str">
        <f>'13. Desinvesteringen'!C403</f>
        <v>06 Utiliteitsgebouwen</v>
      </c>
      <c r="E401" s="43">
        <f>'13. Desinvesteringen'!D403</f>
        <v>1980</v>
      </c>
      <c r="F401" s="48">
        <f>'13. Desinvesteringen'!E403</f>
        <v>47081.56</v>
      </c>
      <c r="G401" s="43">
        <f>'13. Desinvesteringen'!G403</f>
        <v>2022</v>
      </c>
    </row>
    <row r="402" spans="2:7" s="3" customFormat="1">
      <c r="B402" s="43">
        <f>'13. Desinvesteringen'!B404</f>
        <v>385</v>
      </c>
      <c r="D402" s="43" t="str">
        <f>'13. Desinvesteringen'!C404</f>
        <v>15 Compressorstations (TT-BT-AT)</v>
      </c>
      <c r="E402" s="43">
        <f>'13. Desinvesteringen'!D404</f>
        <v>1970</v>
      </c>
      <c r="F402" s="48">
        <f>'13. Desinvesteringen'!E404</f>
        <v>81298.009999999995</v>
      </c>
      <c r="G402" s="43">
        <f>'13. Desinvesteringen'!G404</f>
        <v>2022</v>
      </c>
    </row>
    <row r="403" spans="2:7" s="3" customFormat="1">
      <c r="B403" s="43">
        <f>'13. Desinvesteringen'!B405</f>
        <v>386</v>
      </c>
      <c r="D403" s="43" t="str">
        <f>'13. Desinvesteringen'!C405</f>
        <v>15 Compressorstations (TT-BT-AT)</v>
      </c>
      <c r="E403" s="43">
        <f>'13. Desinvesteringen'!D405</f>
        <v>1971</v>
      </c>
      <c r="F403" s="48">
        <f>'13. Desinvesteringen'!E405</f>
        <v>86713.88</v>
      </c>
      <c r="G403" s="43">
        <f>'13. Desinvesteringen'!G405</f>
        <v>2022</v>
      </c>
    </row>
    <row r="404" spans="2:7" s="3" customFormat="1">
      <c r="B404" s="43">
        <f>'13. Desinvesteringen'!B406</f>
        <v>387</v>
      </c>
      <c r="D404" s="43" t="str">
        <f>'13. Desinvesteringen'!C406</f>
        <v>15 Compressorstations (TT-BT-AT)</v>
      </c>
      <c r="E404" s="43">
        <f>'13. Desinvesteringen'!D406</f>
        <v>1974</v>
      </c>
      <c r="F404" s="48">
        <f>'13. Desinvesteringen'!E406</f>
        <v>177923.75</v>
      </c>
      <c r="G404" s="43">
        <f>'13. Desinvesteringen'!G406</f>
        <v>2022</v>
      </c>
    </row>
    <row r="405" spans="2:7" s="3" customFormat="1">
      <c r="B405" s="43">
        <f>'13. Desinvesteringen'!B407</f>
        <v>388</v>
      </c>
      <c r="D405" s="43" t="str">
        <f>'13. Desinvesteringen'!C407</f>
        <v>15 Compressorstations (TT-BT-AT)</v>
      </c>
      <c r="E405" s="43">
        <f>'13. Desinvesteringen'!D407</f>
        <v>1997</v>
      </c>
      <c r="F405" s="48">
        <f>'13. Desinvesteringen'!E407</f>
        <v>15658.35</v>
      </c>
      <c r="G405" s="43">
        <f>'13. Desinvesteringen'!G407</f>
        <v>2022</v>
      </c>
    </row>
    <row r="406" spans="2:7" s="3" customFormat="1">
      <c r="B406" s="43">
        <f>'13. Desinvesteringen'!B408</f>
        <v>389</v>
      </c>
      <c r="D406" s="43" t="str">
        <f>'13. Desinvesteringen'!C408</f>
        <v>15 Compressorstations (TT-BT-AT)</v>
      </c>
      <c r="E406" s="43">
        <f>'13. Desinvesteringen'!D408</f>
        <v>2011</v>
      </c>
      <c r="F406" s="48">
        <f>'13. Desinvesteringen'!E408</f>
        <v>117399.27471035083</v>
      </c>
      <c r="G406" s="43">
        <f>'13. Desinvesteringen'!G408</f>
        <v>2022</v>
      </c>
    </row>
    <row r="407" spans="2:7" s="3" customFormat="1">
      <c r="B407" s="43">
        <f>'13. Desinvesteringen'!B409</f>
        <v>390</v>
      </c>
      <c r="D407" s="43" t="str">
        <f>'13. Desinvesteringen'!C409</f>
        <v>16 LNG installaties</v>
      </c>
      <c r="E407" s="43">
        <f>'13. Desinvesteringen'!D409</f>
        <v>1977</v>
      </c>
      <c r="F407" s="48">
        <f>'13. Desinvesteringen'!E409</f>
        <v>1111944.56</v>
      </c>
      <c r="G407" s="43">
        <f>'13. Desinvesteringen'!G409</f>
        <v>2022</v>
      </c>
    </row>
    <row r="408" spans="2:7" s="3" customFormat="1">
      <c r="B408" s="43">
        <f>'13. Desinvesteringen'!B410</f>
        <v>391</v>
      </c>
      <c r="D408" s="43" t="str">
        <f>'13. Desinvesteringen'!C410</f>
        <v>16 LNG installaties</v>
      </c>
      <c r="E408" s="43">
        <f>'13. Desinvesteringen'!D410</f>
        <v>1998</v>
      </c>
      <c r="F408" s="48">
        <f>'13. Desinvesteringen'!E410</f>
        <v>1841303.44</v>
      </c>
      <c r="G408" s="43">
        <f>'13. Desinvesteringen'!G410</f>
        <v>2022</v>
      </c>
    </row>
    <row r="409" spans="2:7" s="3" customFormat="1">
      <c r="B409" s="43">
        <f>'13. Desinvesteringen'!B411</f>
        <v>392</v>
      </c>
      <c r="D409" s="43" t="str">
        <f>'13. Desinvesteringen'!C411</f>
        <v>17 Mengstations</v>
      </c>
      <c r="E409" s="43">
        <f>'13. Desinvesteringen'!D411</f>
        <v>2019</v>
      </c>
      <c r="F409" s="48">
        <f>'13. Desinvesteringen'!E411</f>
        <v>64295.18960042399</v>
      </c>
      <c r="G409" s="43">
        <f>'13. Desinvesteringen'!G411</f>
        <v>2022</v>
      </c>
    </row>
    <row r="410" spans="2:7" s="3" customFormat="1">
      <c r="B410" s="43">
        <f>'13. Desinvesteringen'!B412</f>
        <v>393</v>
      </c>
      <c r="D410" s="43" t="str">
        <f>'13. Desinvesteringen'!C412</f>
        <v>21 Hoofdtransportleiding</v>
      </c>
      <c r="E410" s="43">
        <f>'13. Desinvesteringen'!D412</f>
        <v>1964</v>
      </c>
      <c r="F410" s="48">
        <f>'13. Desinvesteringen'!E412</f>
        <v>1445.34</v>
      </c>
      <c r="G410" s="43">
        <f>'13. Desinvesteringen'!G412</f>
        <v>2022</v>
      </c>
    </row>
    <row r="411" spans="2:7" s="3" customFormat="1">
      <c r="B411" s="43">
        <f>'13. Desinvesteringen'!B413</f>
        <v>394</v>
      </c>
      <c r="D411" s="43" t="str">
        <f>'13. Desinvesteringen'!C413</f>
        <v>21 Hoofdtransportleiding</v>
      </c>
      <c r="E411" s="43">
        <f>'13. Desinvesteringen'!D413</f>
        <v>1977</v>
      </c>
      <c r="F411" s="48">
        <f>'13. Desinvesteringen'!E413</f>
        <v>50000</v>
      </c>
      <c r="G411" s="43">
        <f>'13. Desinvesteringen'!G413</f>
        <v>2022</v>
      </c>
    </row>
    <row r="412" spans="2:7" s="3" customFormat="1">
      <c r="B412" s="43">
        <f>'13. Desinvesteringen'!B414</f>
        <v>395</v>
      </c>
      <c r="D412" s="43" t="str">
        <f>'13. Desinvesteringen'!C414</f>
        <v>21 Hoofdtransportleiding</v>
      </c>
      <c r="E412" s="43">
        <f>'13. Desinvesteringen'!D414</f>
        <v>1978</v>
      </c>
      <c r="F412" s="48">
        <f>'13. Desinvesteringen'!E414</f>
        <v>16458.09</v>
      </c>
      <c r="G412" s="43">
        <f>'13. Desinvesteringen'!G414</f>
        <v>2022</v>
      </c>
    </row>
    <row r="413" spans="2:7" s="3" customFormat="1">
      <c r="B413" s="43">
        <f>'13. Desinvesteringen'!B415</f>
        <v>396</v>
      </c>
      <c r="D413" s="43" t="str">
        <f>'13. Desinvesteringen'!C415</f>
        <v>21 Hoofdtransportleiding</v>
      </c>
      <c r="E413" s="43">
        <f>'13. Desinvesteringen'!D415</f>
        <v>1983</v>
      </c>
      <c r="F413" s="48">
        <f>'13. Desinvesteringen'!E415</f>
        <v>44290.400000000001</v>
      </c>
      <c r="G413" s="43">
        <f>'13. Desinvesteringen'!G415</f>
        <v>2022</v>
      </c>
    </row>
    <row r="414" spans="2:7" s="3" customFormat="1">
      <c r="B414" s="43">
        <f>'13. Desinvesteringen'!B416</f>
        <v>397</v>
      </c>
      <c r="D414" s="43" t="str">
        <f>'13. Desinvesteringen'!C416</f>
        <v>21 Hoofdtransportleiding</v>
      </c>
      <c r="E414" s="43">
        <f>'13. Desinvesteringen'!D416</f>
        <v>1987</v>
      </c>
      <c r="F414" s="48">
        <f>'13. Desinvesteringen'!E416</f>
        <v>90000</v>
      </c>
      <c r="G414" s="43">
        <f>'13. Desinvesteringen'!G416</f>
        <v>2022</v>
      </c>
    </row>
    <row r="415" spans="2:7" s="3" customFormat="1">
      <c r="B415" s="43">
        <f>'13. Desinvesteringen'!B417</f>
        <v>398</v>
      </c>
      <c r="D415" s="43" t="str">
        <f>'13. Desinvesteringen'!C417</f>
        <v>32 M&amp;R stations</v>
      </c>
      <c r="E415" s="43">
        <f>'13. Desinvesteringen'!D417</f>
        <v>1964</v>
      </c>
      <c r="F415" s="48">
        <f>'13. Desinvesteringen'!E417</f>
        <v>184143.09</v>
      </c>
      <c r="G415" s="43">
        <f>'13. Desinvesteringen'!G417</f>
        <v>2022</v>
      </c>
    </row>
    <row r="416" spans="2:7" s="3" customFormat="1">
      <c r="B416" s="43">
        <f>'13. Desinvesteringen'!B418</f>
        <v>399</v>
      </c>
      <c r="D416" s="43" t="str">
        <f>'13. Desinvesteringen'!C418</f>
        <v>32 M&amp;R stations</v>
      </c>
      <c r="E416" s="43">
        <f>'13. Desinvesteringen'!D418</f>
        <v>1967</v>
      </c>
      <c r="F416" s="48">
        <f>'13. Desinvesteringen'!E418</f>
        <v>477869.69</v>
      </c>
      <c r="G416" s="43">
        <f>'13. Desinvesteringen'!G418</f>
        <v>2022</v>
      </c>
    </row>
    <row r="417" spans="2:13" s="3" customFormat="1">
      <c r="B417" s="43">
        <f>'13. Desinvesteringen'!B419</f>
        <v>400</v>
      </c>
      <c r="D417" s="43" t="str">
        <f>'13. Desinvesteringen'!C419</f>
        <v>32 M&amp;R stations</v>
      </c>
      <c r="E417" s="43">
        <f>'13. Desinvesteringen'!D419</f>
        <v>1968</v>
      </c>
      <c r="F417" s="48">
        <f>'13. Desinvesteringen'!E419</f>
        <v>7990.16</v>
      </c>
      <c r="G417" s="43">
        <f>'13. Desinvesteringen'!G419</f>
        <v>2022</v>
      </c>
    </row>
    <row r="418" spans="2:13" s="3" customFormat="1">
      <c r="B418" s="43">
        <f>'13. Desinvesteringen'!B420</f>
        <v>401</v>
      </c>
      <c r="D418" s="43" t="str">
        <f>'13. Desinvesteringen'!C420</f>
        <v>32 M&amp;R stations</v>
      </c>
      <c r="E418" s="43">
        <f>'13. Desinvesteringen'!D420</f>
        <v>1969</v>
      </c>
      <c r="F418" s="48">
        <f>'13. Desinvesteringen'!E420</f>
        <v>64322.44</v>
      </c>
      <c r="G418" s="43">
        <f>'13. Desinvesteringen'!G420</f>
        <v>2022</v>
      </c>
    </row>
    <row r="419" spans="2:13" s="3" customFormat="1">
      <c r="B419" s="43">
        <f>'13. Desinvesteringen'!B421</f>
        <v>402</v>
      </c>
      <c r="D419" s="43" t="str">
        <f>'13. Desinvesteringen'!C421</f>
        <v>32 M&amp;R stations</v>
      </c>
      <c r="E419" s="43">
        <f>'13. Desinvesteringen'!D421</f>
        <v>1972</v>
      </c>
      <c r="F419" s="48">
        <f>'13. Desinvesteringen'!E421</f>
        <v>58241.78</v>
      </c>
      <c r="G419" s="43">
        <f>'13. Desinvesteringen'!G421</f>
        <v>2022</v>
      </c>
    </row>
    <row r="420" spans="2:13" s="3" customFormat="1">
      <c r="B420" s="43">
        <f>'13. Desinvesteringen'!B422</f>
        <v>403</v>
      </c>
      <c r="D420" s="43" t="str">
        <f>'13. Desinvesteringen'!C422</f>
        <v>32 M&amp;R stations</v>
      </c>
      <c r="E420" s="43">
        <f>'13. Desinvesteringen'!D422</f>
        <v>1974</v>
      </c>
      <c r="F420" s="48">
        <f>'13. Desinvesteringen'!E422</f>
        <v>117946.1</v>
      </c>
      <c r="G420" s="43">
        <f>'13. Desinvesteringen'!G422</f>
        <v>2022</v>
      </c>
    </row>
    <row r="421" spans="2:13" s="3" customFormat="1">
      <c r="B421" s="43">
        <f>'13. Desinvesteringen'!B423</f>
        <v>404</v>
      </c>
      <c r="D421" s="43" t="str">
        <f>'13. Desinvesteringen'!C423</f>
        <v>32 M&amp;R stations</v>
      </c>
      <c r="E421" s="43">
        <f>'13. Desinvesteringen'!D423</f>
        <v>1978</v>
      </c>
      <c r="F421" s="48">
        <f>'13. Desinvesteringen'!E423</f>
        <v>1289616.6000000001</v>
      </c>
      <c r="G421" s="43">
        <f>'13. Desinvesteringen'!G423</f>
        <v>2022</v>
      </c>
    </row>
    <row r="422" spans="2:13" s="3" customFormat="1">
      <c r="B422" s="43">
        <f>'13. Desinvesteringen'!B424</f>
        <v>405</v>
      </c>
      <c r="D422" s="43" t="str">
        <f>'13. Desinvesteringen'!C424</f>
        <v>32 M&amp;R stations</v>
      </c>
      <c r="E422" s="43">
        <f>'13. Desinvesteringen'!D424</f>
        <v>1995</v>
      </c>
      <c r="F422" s="48">
        <f>'13. Desinvesteringen'!E424</f>
        <v>15754.34</v>
      </c>
      <c r="G422" s="43">
        <f>'13. Desinvesteringen'!G424</f>
        <v>2022</v>
      </c>
    </row>
    <row r="423" spans="2:13" s="3" customFormat="1">
      <c r="B423" s="43">
        <f>'13. Desinvesteringen'!B425</f>
        <v>406</v>
      </c>
      <c r="D423" s="43" t="str">
        <f>'13. Desinvesteringen'!C425</f>
        <v>32 M&amp;R stations</v>
      </c>
      <c r="E423" s="43">
        <f>'13. Desinvesteringen'!D425</f>
        <v>2012</v>
      </c>
      <c r="F423" s="48">
        <f>'13. Desinvesteringen'!E425</f>
        <v>386956.48760918935</v>
      </c>
      <c r="G423" s="43">
        <f>'13. Desinvesteringen'!G425</f>
        <v>2022</v>
      </c>
    </row>
    <row r="424" spans="2:13" s="3" customFormat="1">
      <c r="B424" s="43">
        <f>'13. Desinvesteringen'!B426</f>
        <v>407</v>
      </c>
      <c r="D424" s="43" t="str">
        <f>'13. Desinvesteringen'!C426</f>
        <v>34 Reduceerstations</v>
      </c>
      <c r="E424" s="43">
        <f>'13. Desinvesteringen'!D426</f>
        <v>1986</v>
      </c>
      <c r="F424" s="48">
        <f>'13. Desinvesteringen'!E426</f>
        <v>29497.66</v>
      </c>
      <c r="G424" s="43">
        <f>'13. Desinvesteringen'!G426</f>
        <v>2022</v>
      </c>
      <c r="M424" s="97"/>
    </row>
    <row r="425" spans="2:13" s="240" customFormat="1">
      <c r="B425" s="43">
        <f>'13. Desinvesteringen'!B427</f>
        <v>408</v>
      </c>
      <c r="C425" s="3"/>
      <c r="D425" s="43" t="str">
        <f>'13. Desinvesteringen'!C427</f>
        <v>01 Regionale leidingen</v>
      </c>
      <c r="E425" s="43">
        <f>'13. Desinvesteringen'!D427</f>
        <v>1954</v>
      </c>
      <c r="F425" s="48">
        <f>'13. Desinvesteringen'!E427</f>
        <v>30000</v>
      </c>
      <c r="G425" s="43">
        <f>'13. Desinvesteringen'!G427</f>
        <v>2023</v>
      </c>
    </row>
    <row r="426" spans="2:13" s="240" customFormat="1">
      <c r="B426" s="43">
        <f>'13. Desinvesteringen'!B428</f>
        <v>409</v>
      </c>
      <c r="C426" s="3"/>
      <c r="D426" s="43" t="str">
        <f>'13. Desinvesteringen'!C428</f>
        <v>01 Regionale leidingen</v>
      </c>
      <c r="E426" s="43">
        <f>'13. Desinvesteringen'!D428</f>
        <v>1955</v>
      </c>
      <c r="F426" s="48">
        <f>'13. Desinvesteringen'!E428</f>
        <v>26680</v>
      </c>
      <c r="G426" s="43">
        <f>'13. Desinvesteringen'!G428</f>
        <v>2023</v>
      </c>
    </row>
    <row r="427" spans="2:13" s="240" customFormat="1">
      <c r="B427" s="43">
        <f>'13. Desinvesteringen'!B429</f>
        <v>410</v>
      </c>
      <c r="C427" s="3"/>
      <c r="D427" s="43" t="str">
        <f>'13. Desinvesteringen'!C429</f>
        <v>01 Regionale leidingen</v>
      </c>
      <c r="E427" s="43">
        <f>'13. Desinvesteringen'!D429</f>
        <v>1958</v>
      </c>
      <c r="F427" s="48">
        <f>'13. Desinvesteringen'!E429</f>
        <v>41066</v>
      </c>
      <c r="G427" s="43">
        <f>'13. Desinvesteringen'!G429</f>
        <v>2023</v>
      </c>
    </row>
    <row r="428" spans="2:13" s="240" customFormat="1">
      <c r="B428" s="43">
        <f>'13. Desinvesteringen'!B430</f>
        <v>411</v>
      </c>
      <c r="C428" s="3"/>
      <c r="D428" s="43" t="str">
        <f>'13. Desinvesteringen'!C430</f>
        <v>01 Regionale leidingen</v>
      </c>
      <c r="E428" s="43">
        <f>'13. Desinvesteringen'!D430</f>
        <v>1959</v>
      </c>
      <c r="F428" s="48">
        <f>'13. Desinvesteringen'!E430</f>
        <v>38260</v>
      </c>
      <c r="G428" s="43">
        <f>'13. Desinvesteringen'!G430</f>
        <v>2023</v>
      </c>
    </row>
    <row r="429" spans="2:13" s="240" customFormat="1">
      <c r="B429" s="43">
        <f>'13. Desinvesteringen'!B431</f>
        <v>412</v>
      </c>
      <c r="C429" s="3"/>
      <c r="D429" s="43" t="str">
        <f>'13. Desinvesteringen'!C431</f>
        <v>01 Regionale leidingen</v>
      </c>
      <c r="E429" s="43">
        <f>'13. Desinvesteringen'!D431</f>
        <v>1965</v>
      </c>
      <c r="F429" s="48">
        <f>'13. Desinvesteringen'!E431</f>
        <v>125091</v>
      </c>
      <c r="G429" s="43">
        <f>'13. Desinvesteringen'!G431</f>
        <v>2023</v>
      </c>
    </row>
    <row r="430" spans="2:13" s="240" customFormat="1">
      <c r="B430" s="43">
        <f>'13. Desinvesteringen'!B432</f>
        <v>413</v>
      </c>
      <c r="C430" s="3"/>
      <c r="D430" s="43" t="str">
        <f>'13. Desinvesteringen'!C432</f>
        <v>01 Regionale leidingen</v>
      </c>
      <c r="E430" s="43">
        <f>'13. Desinvesteringen'!D432</f>
        <v>1966</v>
      </c>
      <c r="F430" s="48">
        <f>'13. Desinvesteringen'!E432</f>
        <v>71100</v>
      </c>
      <c r="G430" s="43">
        <f>'13. Desinvesteringen'!G432</f>
        <v>2023</v>
      </c>
    </row>
    <row r="431" spans="2:13" s="240" customFormat="1">
      <c r="B431" s="43">
        <f>'13. Desinvesteringen'!B433</f>
        <v>414</v>
      </c>
      <c r="C431" s="3"/>
      <c r="D431" s="43" t="str">
        <f>'13. Desinvesteringen'!C433</f>
        <v>01 Regionale leidingen</v>
      </c>
      <c r="E431" s="43">
        <f>'13. Desinvesteringen'!D433</f>
        <v>1967</v>
      </c>
      <c r="F431" s="48">
        <f>'13. Desinvesteringen'!E433</f>
        <v>77488</v>
      </c>
      <c r="G431" s="43">
        <f>'13. Desinvesteringen'!G433</f>
        <v>2023</v>
      </c>
    </row>
    <row r="432" spans="2:13" s="240" customFormat="1">
      <c r="B432" s="43">
        <f>'13. Desinvesteringen'!B434</f>
        <v>415</v>
      </c>
      <c r="C432" s="3"/>
      <c r="D432" s="43" t="str">
        <f>'13. Desinvesteringen'!C434</f>
        <v>01 Regionale leidingen</v>
      </c>
      <c r="E432" s="43">
        <f>'13. Desinvesteringen'!D434</f>
        <v>1968</v>
      </c>
      <c r="F432" s="48">
        <f>'13. Desinvesteringen'!E434</f>
        <v>477209</v>
      </c>
      <c r="G432" s="43">
        <f>'13. Desinvesteringen'!G434</f>
        <v>2023</v>
      </c>
    </row>
    <row r="433" spans="2:7" s="240" customFormat="1">
      <c r="B433" s="43">
        <f>'13. Desinvesteringen'!B435</f>
        <v>416</v>
      </c>
      <c r="C433" s="3"/>
      <c r="D433" s="43" t="str">
        <f>'13. Desinvesteringen'!C435</f>
        <v>01 Regionale leidingen</v>
      </c>
      <c r="E433" s="43">
        <f>'13. Desinvesteringen'!D435</f>
        <v>1969</v>
      </c>
      <c r="F433" s="48">
        <f>'13. Desinvesteringen'!E435</f>
        <v>160414</v>
      </c>
      <c r="G433" s="43">
        <f>'13. Desinvesteringen'!G435</f>
        <v>2023</v>
      </c>
    </row>
    <row r="434" spans="2:7" s="240" customFormat="1">
      <c r="B434" s="43">
        <f>'13. Desinvesteringen'!B436</f>
        <v>417</v>
      </c>
      <c r="C434" s="3"/>
      <c r="D434" s="43" t="str">
        <f>'13. Desinvesteringen'!C436</f>
        <v>01 Regionale leidingen</v>
      </c>
      <c r="E434" s="43">
        <f>'13. Desinvesteringen'!D436</f>
        <v>1970</v>
      </c>
      <c r="F434" s="48">
        <f>'13. Desinvesteringen'!E436</f>
        <v>218021</v>
      </c>
      <c r="G434" s="43">
        <f>'13. Desinvesteringen'!G436</f>
        <v>2023</v>
      </c>
    </row>
    <row r="435" spans="2:7" s="240" customFormat="1">
      <c r="B435" s="43">
        <f>'13. Desinvesteringen'!B437</f>
        <v>418</v>
      </c>
      <c r="C435" s="3"/>
      <c r="D435" s="43" t="str">
        <f>'13. Desinvesteringen'!C437</f>
        <v>01 Regionale leidingen</v>
      </c>
      <c r="E435" s="43">
        <f>'13. Desinvesteringen'!D437</f>
        <v>1971</v>
      </c>
      <c r="F435" s="48">
        <f>'13. Desinvesteringen'!E437</f>
        <v>98792</v>
      </c>
      <c r="G435" s="43">
        <f>'13. Desinvesteringen'!G437</f>
        <v>2023</v>
      </c>
    </row>
    <row r="436" spans="2:7" s="240" customFormat="1">
      <c r="B436" s="43">
        <f>'13. Desinvesteringen'!B438</f>
        <v>419</v>
      </c>
      <c r="C436" s="3"/>
      <c r="D436" s="43" t="str">
        <f>'13. Desinvesteringen'!C438</f>
        <v>01 Regionale leidingen</v>
      </c>
      <c r="E436" s="43">
        <f>'13. Desinvesteringen'!D438</f>
        <v>1972</v>
      </c>
      <c r="F436" s="48">
        <f>'13. Desinvesteringen'!E438</f>
        <v>49371</v>
      </c>
      <c r="G436" s="43">
        <f>'13. Desinvesteringen'!G438</f>
        <v>2023</v>
      </c>
    </row>
    <row r="437" spans="2:7" s="240" customFormat="1">
      <c r="B437" s="43">
        <f>'13. Desinvesteringen'!B439</f>
        <v>420</v>
      </c>
      <c r="C437" s="3"/>
      <c r="D437" s="43" t="str">
        <f>'13. Desinvesteringen'!C439</f>
        <v>01 Regionale leidingen</v>
      </c>
      <c r="E437" s="43">
        <f>'13. Desinvesteringen'!D439</f>
        <v>1973</v>
      </c>
      <c r="F437" s="48">
        <f>'13. Desinvesteringen'!E439</f>
        <v>35155</v>
      </c>
      <c r="G437" s="43">
        <f>'13. Desinvesteringen'!G439</f>
        <v>2023</v>
      </c>
    </row>
    <row r="438" spans="2:7" s="240" customFormat="1">
      <c r="B438" s="43">
        <f>'13. Desinvesteringen'!B440</f>
        <v>421</v>
      </c>
      <c r="C438" s="3"/>
      <c r="D438" s="43" t="str">
        <f>'13. Desinvesteringen'!C440</f>
        <v>01 Regionale leidingen</v>
      </c>
      <c r="E438" s="43">
        <f>'13. Desinvesteringen'!D440</f>
        <v>1985</v>
      </c>
      <c r="F438" s="48">
        <f>'13. Desinvesteringen'!E440</f>
        <v>4444</v>
      </c>
      <c r="G438" s="43">
        <f>'13. Desinvesteringen'!G440</f>
        <v>2023</v>
      </c>
    </row>
    <row r="439" spans="2:7" s="240" customFormat="1">
      <c r="B439" s="43">
        <f>'13. Desinvesteringen'!B441</f>
        <v>422</v>
      </c>
      <c r="C439" s="3"/>
      <c r="D439" s="43" t="str">
        <f>'13. Desinvesteringen'!C441</f>
        <v>01 Regionale leidingen</v>
      </c>
      <c r="E439" s="43">
        <f>'13. Desinvesteringen'!D441</f>
        <v>1988</v>
      </c>
      <c r="F439" s="48">
        <f>'13. Desinvesteringen'!E441</f>
        <v>1378</v>
      </c>
      <c r="G439" s="43">
        <f>'13. Desinvesteringen'!G441</f>
        <v>2023</v>
      </c>
    </row>
    <row r="440" spans="2:7" s="240" customFormat="1">
      <c r="B440" s="43">
        <f>'13. Desinvesteringen'!B442</f>
        <v>423</v>
      </c>
      <c r="C440" s="3"/>
      <c r="D440" s="43" t="str">
        <f>'13. Desinvesteringen'!C442</f>
        <v>01 Regionale leidingen</v>
      </c>
      <c r="E440" s="43">
        <f>'13. Desinvesteringen'!D442</f>
        <v>1989</v>
      </c>
      <c r="F440" s="48">
        <f>'13. Desinvesteringen'!E442</f>
        <v>2017</v>
      </c>
      <c r="G440" s="43">
        <f>'13. Desinvesteringen'!G442</f>
        <v>2023</v>
      </c>
    </row>
    <row r="441" spans="2:7" s="240" customFormat="1">
      <c r="B441" s="43">
        <f>'13. Desinvesteringen'!B443</f>
        <v>424</v>
      </c>
      <c r="C441" s="3"/>
      <c r="D441" s="43" t="str">
        <f>'13. Desinvesteringen'!C443</f>
        <v>01 Regionale leidingen</v>
      </c>
      <c r="E441" s="43">
        <f>'13. Desinvesteringen'!D443</f>
        <v>1992</v>
      </c>
      <c r="F441" s="48">
        <f>'13. Desinvesteringen'!E443</f>
        <v>8976</v>
      </c>
      <c r="G441" s="43">
        <f>'13. Desinvesteringen'!G443</f>
        <v>2023</v>
      </c>
    </row>
    <row r="442" spans="2:7" s="240" customFormat="1">
      <c r="B442" s="43">
        <f>'13. Desinvesteringen'!B444</f>
        <v>425</v>
      </c>
      <c r="C442" s="3"/>
      <c r="D442" s="43" t="str">
        <f>'13. Desinvesteringen'!C444</f>
        <v>01 Regionale leidingen</v>
      </c>
      <c r="E442" s="43">
        <f>'13. Desinvesteringen'!D444</f>
        <v>1993</v>
      </c>
      <c r="F442" s="48">
        <f>'13. Desinvesteringen'!E444</f>
        <v>168038</v>
      </c>
      <c r="G442" s="43">
        <f>'13. Desinvesteringen'!G444</f>
        <v>2023</v>
      </c>
    </row>
    <row r="443" spans="2:7" s="240" customFormat="1">
      <c r="B443" s="43">
        <f>'13. Desinvesteringen'!B445</f>
        <v>426</v>
      </c>
      <c r="C443" s="3"/>
      <c r="D443" s="43" t="str">
        <f>'13. Desinvesteringen'!C445</f>
        <v>01 Regionale leidingen</v>
      </c>
      <c r="E443" s="43">
        <f>'13. Desinvesteringen'!D445</f>
        <v>1998</v>
      </c>
      <c r="F443" s="48">
        <f>'13. Desinvesteringen'!E445</f>
        <v>0</v>
      </c>
      <c r="G443" s="43">
        <f>'13. Desinvesteringen'!G445</f>
        <v>2023</v>
      </c>
    </row>
    <row r="444" spans="2:7" s="240" customFormat="1">
      <c r="B444" s="43">
        <f>'13. Desinvesteringen'!B446</f>
        <v>427</v>
      </c>
      <c r="C444" s="3"/>
      <c r="D444" s="43" t="str">
        <f>'13. Desinvesteringen'!C446</f>
        <v>01 Regionale leidingen</v>
      </c>
      <c r="E444" s="43">
        <f>'13. Desinvesteringen'!D446</f>
        <v>1999</v>
      </c>
      <c r="F444" s="48">
        <f>'13. Desinvesteringen'!E446</f>
        <v>34291</v>
      </c>
      <c r="G444" s="43">
        <f>'13. Desinvesteringen'!G446</f>
        <v>2023</v>
      </c>
    </row>
    <row r="445" spans="2:7" s="240" customFormat="1">
      <c r="B445" s="43">
        <f>'13. Desinvesteringen'!B447</f>
        <v>428</v>
      </c>
      <c r="C445" s="3"/>
      <c r="D445" s="43" t="str">
        <f>'13. Desinvesteringen'!C447</f>
        <v>01 Regionale leidingen</v>
      </c>
      <c r="E445" s="43">
        <f>'13. Desinvesteringen'!D447</f>
        <v>2002</v>
      </c>
      <c r="F445" s="48">
        <f>'13. Desinvesteringen'!E447</f>
        <v>15500</v>
      </c>
      <c r="G445" s="43">
        <f>'13. Desinvesteringen'!G447</f>
        <v>2023</v>
      </c>
    </row>
    <row r="446" spans="2:7" s="240" customFormat="1">
      <c r="B446" s="43">
        <f>'13. Desinvesteringen'!B448</f>
        <v>429</v>
      </c>
      <c r="C446" s="3"/>
      <c r="D446" s="43" t="str">
        <f>'13. Desinvesteringen'!C448</f>
        <v>01 Regionale leidingen</v>
      </c>
      <c r="E446" s="43">
        <f>'13. Desinvesteringen'!D448</f>
        <v>2004</v>
      </c>
      <c r="F446" s="48">
        <f>'13. Desinvesteringen'!E448</f>
        <v>43774</v>
      </c>
      <c r="G446" s="43">
        <f>'13. Desinvesteringen'!G448</f>
        <v>2023</v>
      </c>
    </row>
    <row r="447" spans="2:7" s="240" customFormat="1">
      <c r="B447" s="43">
        <f>'13. Desinvesteringen'!B449</f>
        <v>430</v>
      </c>
      <c r="C447" s="3"/>
      <c r="D447" s="43" t="str">
        <f>'13. Desinvesteringen'!C449</f>
        <v>01 Regionale leidingen</v>
      </c>
      <c r="E447" s="43">
        <f>'13. Desinvesteringen'!D449</f>
        <v>2005</v>
      </c>
      <c r="F447" s="48">
        <f>'13. Desinvesteringen'!E449</f>
        <v>54999</v>
      </c>
      <c r="G447" s="43">
        <f>'13. Desinvesteringen'!G449</f>
        <v>2023</v>
      </c>
    </row>
    <row r="448" spans="2:7" s="240" customFormat="1">
      <c r="B448" s="43">
        <f>'13. Desinvesteringen'!B450</f>
        <v>431</v>
      </c>
      <c r="C448" s="3"/>
      <c r="D448" s="43" t="str">
        <f>'13. Desinvesteringen'!C450</f>
        <v>01 Regionale leidingen</v>
      </c>
      <c r="E448" s="43">
        <f>'13. Desinvesteringen'!D450</f>
        <v>2006</v>
      </c>
      <c r="F448" s="48">
        <f>'13. Desinvesteringen'!E450</f>
        <v>10076</v>
      </c>
      <c r="G448" s="43">
        <f>'13. Desinvesteringen'!G450</f>
        <v>2023</v>
      </c>
    </row>
    <row r="449" spans="2:7" s="240" customFormat="1">
      <c r="B449" s="43">
        <f>'13. Desinvesteringen'!B451</f>
        <v>432</v>
      </c>
      <c r="C449" s="3"/>
      <c r="D449" s="43" t="str">
        <f>'13. Desinvesteringen'!C451</f>
        <v>01 Regionale leidingen</v>
      </c>
      <c r="E449" s="43">
        <f>'13. Desinvesteringen'!D451</f>
        <v>2009</v>
      </c>
      <c r="F449" s="48">
        <f>'13. Desinvesteringen'!E451</f>
        <v>378063</v>
      </c>
      <c r="G449" s="43">
        <f>'13. Desinvesteringen'!G451</f>
        <v>2023</v>
      </c>
    </row>
    <row r="450" spans="2:7" s="240" customFormat="1">
      <c r="B450" s="43">
        <f>'13. Desinvesteringen'!B452</f>
        <v>433</v>
      </c>
      <c r="C450" s="3"/>
      <c r="D450" s="43" t="str">
        <f>'13. Desinvesteringen'!C452</f>
        <v>01 Regionale leidingen</v>
      </c>
      <c r="E450" s="43">
        <f>'13. Desinvesteringen'!D452</f>
        <v>2011</v>
      </c>
      <c r="F450" s="48">
        <f>'13. Desinvesteringen'!E452</f>
        <v>17627</v>
      </c>
      <c r="G450" s="43">
        <f>'13. Desinvesteringen'!G452</f>
        <v>2023</v>
      </c>
    </row>
    <row r="451" spans="2:7" s="240" customFormat="1">
      <c r="B451" s="43">
        <f>'13. Desinvesteringen'!B453</f>
        <v>434</v>
      </c>
      <c r="C451" s="3"/>
      <c r="D451" s="43" t="str">
        <f>'13. Desinvesteringen'!C453</f>
        <v>01 Regionale leidingen</v>
      </c>
      <c r="E451" s="43">
        <f>'13. Desinvesteringen'!D453</f>
        <v>2012</v>
      </c>
      <c r="F451" s="48">
        <f>'13. Desinvesteringen'!E453</f>
        <v>388523</v>
      </c>
      <c r="G451" s="43">
        <f>'13. Desinvesteringen'!G453</f>
        <v>2023</v>
      </c>
    </row>
    <row r="452" spans="2:7" s="240" customFormat="1">
      <c r="B452" s="43">
        <f>'13. Desinvesteringen'!B454</f>
        <v>435</v>
      </c>
      <c r="C452" s="3"/>
      <c r="D452" s="43" t="str">
        <f>'13. Desinvesteringen'!C454</f>
        <v>02 Gasontvangststations</v>
      </c>
      <c r="E452" s="43">
        <f>'13. Desinvesteringen'!D454</f>
        <v>1965</v>
      </c>
      <c r="F452" s="48">
        <f>'13. Desinvesteringen'!E454</f>
        <v>15848</v>
      </c>
      <c r="G452" s="43">
        <f>'13. Desinvesteringen'!G454</f>
        <v>2023</v>
      </c>
    </row>
    <row r="453" spans="2:7" s="240" customFormat="1">
      <c r="B453" s="43">
        <f>'13. Desinvesteringen'!B455</f>
        <v>436</v>
      </c>
      <c r="C453" s="3"/>
      <c r="D453" s="43" t="str">
        <f>'13. Desinvesteringen'!C455</f>
        <v>02 Gasontvangststations</v>
      </c>
      <c r="E453" s="43">
        <f>'13. Desinvesteringen'!D455</f>
        <v>1966</v>
      </c>
      <c r="F453" s="48">
        <f>'13. Desinvesteringen'!E455</f>
        <v>120953</v>
      </c>
      <c r="G453" s="43">
        <f>'13. Desinvesteringen'!G455</f>
        <v>2023</v>
      </c>
    </row>
    <row r="454" spans="2:7" s="240" customFormat="1">
      <c r="B454" s="43">
        <f>'13. Desinvesteringen'!B456</f>
        <v>437</v>
      </c>
      <c r="C454" s="3"/>
      <c r="D454" s="43" t="str">
        <f>'13. Desinvesteringen'!C456</f>
        <v>02 Gasontvangststations</v>
      </c>
      <c r="E454" s="43">
        <f>'13. Desinvesteringen'!D456</f>
        <v>1967</v>
      </c>
      <c r="F454" s="48">
        <f>'13. Desinvesteringen'!E456</f>
        <v>165153</v>
      </c>
      <c r="G454" s="43">
        <f>'13. Desinvesteringen'!G456</f>
        <v>2023</v>
      </c>
    </row>
    <row r="455" spans="2:7" s="240" customFormat="1">
      <c r="B455" s="43">
        <f>'13. Desinvesteringen'!B457</f>
        <v>438</v>
      </c>
      <c r="C455" s="3"/>
      <c r="D455" s="43" t="str">
        <f>'13. Desinvesteringen'!C457</f>
        <v>02 Gasontvangststations</v>
      </c>
      <c r="E455" s="43">
        <f>'13. Desinvesteringen'!D457</f>
        <v>1968</v>
      </c>
      <c r="F455" s="48">
        <f>'13. Desinvesteringen'!E457</f>
        <v>28853</v>
      </c>
      <c r="G455" s="43">
        <f>'13. Desinvesteringen'!G457</f>
        <v>2023</v>
      </c>
    </row>
    <row r="456" spans="2:7" s="240" customFormat="1">
      <c r="B456" s="43">
        <f>'13. Desinvesteringen'!B458</f>
        <v>439</v>
      </c>
      <c r="C456" s="3"/>
      <c r="D456" s="43" t="str">
        <f>'13. Desinvesteringen'!C458</f>
        <v>02 Gasontvangststations</v>
      </c>
      <c r="E456" s="43">
        <f>'13. Desinvesteringen'!D458</f>
        <v>1969</v>
      </c>
      <c r="F456" s="48">
        <f>'13. Desinvesteringen'!E458</f>
        <v>89836</v>
      </c>
      <c r="G456" s="43">
        <f>'13. Desinvesteringen'!G458</f>
        <v>2023</v>
      </c>
    </row>
    <row r="457" spans="2:7" s="240" customFormat="1">
      <c r="B457" s="43">
        <f>'13. Desinvesteringen'!B459</f>
        <v>440</v>
      </c>
      <c r="C457" s="3"/>
      <c r="D457" s="43" t="str">
        <f>'13. Desinvesteringen'!C459</f>
        <v>02 Gasontvangststations</v>
      </c>
      <c r="E457" s="43">
        <f>'13. Desinvesteringen'!D459</f>
        <v>1970</v>
      </c>
      <c r="F457" s="48">
        <f>'13. Desinvesteringen'!E459</f>
        <v>72338</v>
      </c>
      <c r="G457" s="43">
        <f>'13. Desinvesteringen'!G459</f>
        <v>2023</v>
      </c>
    </row>
    <row r="458" spans="2:7" s="240" customFormat="1">
      <c r="B458" s="43">
        <f>'13. Desinvesteringen'!B460</f>
        <v>441</v>
      </c>
      <c r="C458" s="3"/>
      <c r="D458" s="43" t="str">
        <f>'13. Desinvesteringen'!C460</f>
        <v>02 Gasontvangststations</v>
      </c>
      <c r="E458" s="43">
        <f>'13. Desinvesteringen'!D460</f>
        <v>1971</v>
      </c>
      <c r="F458" s="48">
        <f>'13. Desinvesteringen'!E460</f>
        <v>139522</v>
      </c>
      <c r="G458" s="43">
        <f>'13. Desinvesteringen'!G460</f>
        <v>2023</v>
      </c>
    </row>
    <row r="459" spans="2:7" s="240" customFormat="1">
      <c r="B459" s="43">
        <f>'13. Desinvesteringen'!B461</f>
        <v>442</v>
      </c>
      <c r="C459" s="3"/>
      <c r="D459" s="43" t="str">
        <f>'13. Desinvesteringen'!C461</f>
        <v>02 Gasontvangststations</v>
      </c>
      <c r="E459" s="43">
        <f>'13. Desinvesteringen'!D461</f>
        <v>1972</v>
      </c>
      <c r="F459" s="48">
        <f>'13. Desinvesteringen'!E461</f>
        <v>67745</v>
      </c>
      <c r="G459" s="43">
        <f>'13. Desinvesteringen'!G461</f>
        <v>2023</v>
      </c>
    </row>
    <row r="460" spans="2:7" s="240" customFormat="1">
      <c r="B460" s="43">
        <f>'13. Desinvesteringen'!B462</f>
        <v>443</v>
      </c>
      <c r="C460" s="3"/>
      <c r="D460" s="43" t="str">
        <f>'13. Desinvesteringen'!C462</f>
        <v>02 Gasontvangststations</v>
      </c>
      <c r="E460" s="43">
        <f>'13. Desinvesteringen'!D462</f>
        <v>1973</v>
      </c>
      <c r="F460" s="48">
        <f>'13. Desinvesteringen'!E462</f>
        <v>44525</v>
      </c>
      <c r="G460" s="43">
        <f>'13. Desinvesteringen'!G462</f>
        <v>2023</v>
      </c>
    </row>
    <row r="461" spans="2:7" s="240" customFormat="1">
      <c r="B461" s="43">
        <f>'13. Desinvesteringen'!B463</f>
        <v>444</v>
      </c>
      <c r="C461" s="3"/>
      <c r="D461" s="43" t="str">
        <f>'13. Desinvesteringen'!C463</f>
        <v>02 Gasontvangststations</v>
      </c>
      <c r="E461" s="43">
        <f>'13. Desinvesteringen'!D463</f>
        <v>1974</v>
      </c>
      <c r="F461" s="48">
        <f>'13. Desinvesteringen'!E463</f>
        <v>39757</v>
      </c>
      <c r="G461" s="43">
        <f>'13. Desinvesteringen'!G463</f>
        <v>2023</v>
      </c>
    </row>
    <row r="462" spans="2:7" s="240" customFormat="1">
      <c r="B462" s="43">
        <f>'13. Desinvesteringen'!B464</f>
        <v>445</v>
      </c>
      <c r="C462" s="3"/>
      <c r="D462" s="43" t="str">
        <f>'13. Desinvesteringen'!C464</f>
        <v>02 Gasontvangststations</v>
      </c>
      <c r="E462" s="43">
        <f>'13. Desinvesteringen'!D464</f>
        <v>1976</v>
      </c>
      <c r="F462" s="48">
        <f>'13. Desinvesteringen'!E464</f>
        <v>3452</v>
      </c>
      <c r="G462" s="43">
        <f>'13. Desinvesteringen'!G464</f>
        <v>2023</v>
      </c>
    </row>
    <row r="463" spans="2:7" s="240" customFormat="1">
      <c r="B463" s="43">
        <f>'13. Desinvesteringen'!B465</f>
        <v>446</v>
      </c>
      <c r="C463" s="3"/>
      <c r="D463" s="43" t="str">
        <f>'13. Desinvesteringen'!C465</f>
        <v>02 Gasontvangststations</v>
      </c>
      <c r="E463" s="43">
        <f>'13. Desinvesteringen'!D465</f>
        <v>1979</v>
      </c>
      <c r="F463" s="48">
        <f>'13. Desinvesteringen'!E465</f>
        <v>44473</v>
      </c>
      <c r="G463" s="43">
        <f>'13. Desinvesteringen'!G465</f>
        <v>2023</v>
      </c>
    </row>
    <row r="464" spans="2:7" s="240" customFormat="1">
      <c r="B464" s="43">
        <f>'13. Desinvesteringen'!B466</f>
        <v>447</v>
      </c>
      <c r="C464" s="3"/>
      <c r="D464" s="43" t="str">
        <f>'13. Desinvesteringen'!C466</f>
        <v>02 Gasontvangststations</v>
      </c>
      <c r="E464" s="43">
        <f>'13. Desinvesteringen'!D466</f>
        <v>1980</v>
      </c>
      <c r="F464" s="48">
        <f>'13. Desinvesteringen'!E466</f>
        <v>55424</v>
      </c>
      <c r="G464" s="43">
        <f>'13. Desinvesteringen'!G466</f>
        <v>2023</v>
      </c>
    </row>
    <row r="465" spans="2:7" s="240" customFormat="1">
      <c r="B465" s="43">
        <f>'13. Desinvesteringen'!B467</f>
        <v>448</v>
      </c>
      <c r="C465" s="3"/>
      <c r="D465" s="43" t="str">
        <f>'13. Desinvesteringen'!C467</f>
        <v>02 Gasontvangststations</v>
      </c>
      <c r="E465" s="43">
        <f>'13. Desinvesteringen'!D467</f>
        <v>1983</v>
      </c>
      <c r="F465" s="48">
        <f>'13. Desinvesteringen'!E467</f>
        <v>83092</v>
      </c>
      <c r="G465" s="43">
        <f>'13. Desinvesteringen'!G467</f>
        <v>2023</v>
      </c>
    </row>
    <row r="466" spans="2:7" s="240" customFormat="1">
      <c r="B466" s="43">
        <f>'13. Desinvesteringen'!B468</f>
        <v>449</v>
      </c>
      <c r="C466" s="3"/>
      <c r="D466" s="43" t="str">
        <f>'13. Desinvesteringen'!C468</f>
        <v>02 Gasontvangststations</v>
      </c>
      <c r="E466" s="43">
        <f>'13. Desinvesteringen'!D468</f>
        <v>1986</v>
      </c>
      <c r="F466" s="48">
        <f>'13. Desinvesteringen'!E468</f>
        <v>7736</v>
      </c>
      <c r="G466" s="43">
        <f>'13. Desinvesteringen'!G468</f>
        <v>2023</v>
      </c>
    </row>
    <row r="467" spans="2:7" s="240" customFormat="1">
      <c r="B467" s="43">
        <f>'13. Desinvesteringen'!B469</f>
        <v>450</v>
      </c>
      <c r="C467" s="3"/>
      <c r="D467" s="43" t="str">
        <f>'13. Desinvesteringen'!C469</f>
        <v>02 Gasontvangststations</v>
      </c>
      <c r="E467" s="43">
        <f>'13. Desinvesteringen'!D469</f>
        <v>1990</v>
      </c>
      <c r="F467" s="48">
        <f>'13. Desinvesteringen'!E469</f>
        <v>2988</v>
      </c>
      <c r="G467" s="43">
        <f>'13. Desinvesteringen'!G469</f>
        <v>2023</v>
      </c>
    </row>
    <row r="468" spans="2:7" s="240" customFormat="1">
      <c r="B468" s="43">
        <f>'13. Desinvesteringen'!B470</f>
        <v>451</v>
      </c>
      <c r="C468" s="3"/>
      <c r="D468" s="43" t="str">
        <f>'13. Desinvesteringen'!C470</f>
        <v>02 Gasontvangststations</v>
      </c>
      <c r="E468" s="43">
        <f>'13. Desinvesteringen'!D470</f>
        <v>1992</v>
      </c>
      <c r="F468" s="48">
        <f>'13. Desinvesteringen'!E470</f>
        <v>6529</v>
      </c>
      <c r="G468" s="43">
        <f>'13. Desinvesteringen'!G470</f>
        <v>2023</v>
      </c>
    </row>
    <row r="469" spans="2:7" s="240" customFormat="1">
      <c r="B469" s="43">
        <f>'13. Desinvesteringen'!B471</f>
        <v>452</v>
      </c>
      <c r="C469" s="3"/>
      <c r="D469" s="43" t="str">
        <f>'13. Desinvesteringen'!C471</f>
        <v>02 Gasontvangststations</v>
      </c>
      <c r="E469" s="43">
        <f>'13. Desinvesteringen'!D471</f>
        <v>1993</v>
      </c>
      <c r="F469" s="48">
        <f>'13. Desinvesteringen'!E471</f>
        <v>204300</v>
      </c>
      <c r="G469" s="43">
        <f>'13. Desinvesteringen'!G471</f>
        <v>2023</v>
      </c>
    </row>
    <row r="470" spans="2:7" s="240" customFormat="1">
      <c r="B470" s="43">
        <f>'13. Desinvesteringen'!B472</f>
        <v>453</v>
      </c>
      <c r="C470" s="3"/>
      <c r="D470" s="43" t="str">
        <f>'13. Desinvesteringen'!C472</f>
        <v>02 Gasontvangststations</v>
      </c>
      <c r="E470" s="43">
        <f>'13. Desinvesteringen'!D472</f>
        <v>1995</v>
      </c>
      <c r="F470" s="48">
        <f>'13. Desinvesteringen'!E472</f>
        <v>9078</v>
      </c>
      <c r="G470" s="43">
        <f>'13. Desinvesteringen'!G472</f>
        <v>2023</v>
      </c>
    </row>
    <row r="471" spans="2:7" s="240" customFormat="1">
      <c r="B471" s="43">
        <f>'13. Desinvesteringen'!B473</f>
        <v>454</v>
      </c>
      <c r="C471" s="3"/>
      <c r="D471" s="43" t="str">
        <f>'13. Desinvesteringen'!C473</f>
        <v>02 Gasontvangststations</v>
      </c>
      <c r="E471" s="43">
        <f>'13. Desinvesteringen'!D473</f>
        <v>1997</v>
      </c>
      <c r="F471" s="48">
        <f>'13. Desinvesteringen'!E473</f>
        <v>9837</v>
      </c>
      <c r="G471" s="43">
        <f>'13. Desinvesteringen'!G473</f>
        <v>2023</v>
      </c>
    </row>
    <row r="472" spans="2:7" s="240" customFormat="1">
      <c r="B472" s="43">
        <f>'13. Desinvesteringen'!B474</f>
        <v>455</v>
      </c>
      <c r="C472" s="3"/>
      <c r="D472" s="43" t="str">
        <f>'13. Desinvesteringen'!C474</f>
        <v>02 Gasontvangststations</v>
      </c>
      <c r="E472" s="43">
        <f>'13. Desinvesteringen'!D474</f>
        <v>2003</v>
      </c>
      <c r="F472" s="48">
        <f>'13. Desinvesteringen'!E474</f>
        <v>18238</v>
      </c>
      <c r="G472" s="43">
        <f>'13. Desinvesteringen'!G474</f>
        <v>2023</v>
      </c>
    </row>
    <row r="473" spans="2:7" s="240" customFormat="1">
      <c r="B473" s="43">
        <f>'13. Desinvesteringen'!B475</f>
        <v>456</v>
      </c>
      <c r="C473" s="3"/>
      <c r="D473" s="43" t="str">
        <f>'13. Desinvesteringen'!C475</f>
        <v>02 Gasontvangststations</v>
      </c>
      <c r="E473" s="43">
        <f>'13. Desinvesteringen'!D475</f>
        <v>2005</v>
      </c>
      <c r="F473" s="48">
        <f>'13. Desinvesteringen'!E475</f>
        <v>24460</v>
      </c>
      <c r="G473" s="43">
        <f>'13. Desinvesteringen'!G475</f>
        <v>2023</v>
      </c>
    </row>
    <row r="474" spans="2:7" s="240" customFormat="1">
      <c r="B474" s="43">
        <f>'13. Desinvesteringen'!B476</f>
        <v>457</v>
      </c>
      <c r="C474" s="3"/>
      <c r="D474" s="43" t="str">
        <f>'13. Desinvesteringen'!C476</f>
        <v>02 Gasontvangststations</v>
      </c>
      <c r="E474" s="43">
        <f>'13. Desinvesteringen'!D476</f>
        <v>2007</v>
      </c>
      <c r="F474" s="48">
        <f>'13. Desinvesteringen'!E476</f>
        <v>58086</v>
      </c>
      <c r="G474" s="43">
        <f>'13. Desinvesteringen'!G476</f>
        <v>2023</v>
      </c>
    </row>
    <row r="475" spans="2:7" s="240" customFormat="1">
      <c r="B475" s="43">
        <f>'13. Desinvesteringen'!B477</f>
        <v>458</v>
      </c>
      <c r="C475" s="3"/>
      <c r="D475" s="43" t="str">
        <f>'13. Desinvesteringen'!C477</f>
        <v>02 Gasontvangststations</v>
      </c>
      <c r="E475" s="43">
        <f>'13. Desinvesteringen'!D477</f>
        <v>2009</v>
      </c>
      <c r="F475" s="48">
        <f>'13. Desinvesteringen'!E477</f>
        <v>26309</v>
      </c>
      <c r="G475" s="43">
        <f>'13. Desinvesteringen'!G477</f>
        <v>2023</v>
      </c>
    </row>
    <row r="476" spans="2:7" s="240" customFormat="1">
      <c r="B476" s="43">
        <f>'13. Desinvesteringen'!B478</f>
        <v>459</v>
      </c>
      <c r="C476" s="3"/>
      <c r="D476" s="43" t="str">
        <f>'13. Desinvesteringen'!C478</f>
        <v>06 Utiliteitsgebouwen</v>
      </c>
      <c r="E476" s="43">
        <f>'13. Desinvesteringen'!D478</f>
        <v>2007</v>
      </c>
      <c r="F476" s="48">
        <f>'13. Desinvesteringen'!E478</f>
        <v>70174</v>
      </c>
      <c r="G476" s="43">
        <f>'13. Desinvesteringen'!G478</f>
        <v>2023</v>
      </c>
    </row>
    <row r="477" spans="2:7" s="240" customFormat="1">
      <c r="B477" s="43">
        <f>'13. Desinvesteringen'!B479</f>
        <v>460</v>
      </c>
      <c r="C477" s="3"/>
      <c r="D477" s="43" t="str">
        <f>'13. Desinvesteringen'!C479</f>
        <v>09 Bedrijfsinventaris</v>
      </c>
      <c r="E477" s="43">
        <f>'13. Desinvesteringen'!D479</f>
        <v>2003</v>
      </c>
      <c r="F477" s="48">
        <f>'13. Desinvesteringen'!E479</f>
        <v>5550</v>
      </c>
      <c r="G477" s="43">
        <f>'13. Desinvesteringen'!G479</f>
        <v>2023</v>
      </c>
    </row>
    <row r="478" spans="2:7" s="240" customFormat="1">
      <c r="B478" s="43">
        <f>'13. Desinvesteringen'!B480</f>
        <v>461</v>
      </c>
      <c r="C478" s="3"/>
      <c r="D478" s="43" t="str">
        <f>'13. Desinvesteringen'!C480</f>
        <v>15 Compressorstations (KC)</v>
      </c>
      <c r="E478" s="43">
        <f>'13. Desinvesteringen'!D480</f>
        <v>1970</v>
      </c>
      <c r="F478" s="48">
        <f>'13. Desinvesteringen'!E480</f>
        <v>37182</v>
      </c>
      <c r="G478" s="43">
        <f>'13. Desinvesteringen'!G480</f>
        <v>2023</v>
      </c>
    </row>
    <row r="479" spans="2:7" s="240" customFormat="1">
      <c r="B479" s="43">
        <f>'13. Desinvesteringen'!B481</f>
        <v>462</v>
      </c>
      <c r="C479" s="3"/>
      <c r="D479" s="43" t="str">
        <f>'13. Desinvesteringen'!C481</f>
        <v>15 Compressorstations (KC)</v>
      </c>
      <c r="E479" s="43">
        <f>'13. Desinvesteringen'!D481</f>
        <v>1971</v>
      </c>
      <c r="F479" s="48">
        <f>'13. Desinvesteringen'!E481</f>
        <v>5302</v>
      </c>
      <c r="G479" s="43">
        <f>'13. Desinvesteringen'!G481</f>
        <v>2023</v>
      </c>
    </row>
    <row r="480" spans="2:7" s="240" customFormat="1">
      <c r="B480" s="43">
        <f>'13. Desinvesteringen'!B482</f>
        <v>463</v>
      </c>
      <c r="C480" s="3"/>
      <c r="D480" s="43" t="str">
        <f>'13. Desinvesteringen'!C482</f>
        <v>15 Compressorstations (TT-BT-AT)</v>
      </c>
      <c r="E480" s="43">
        <f>'13. Desinvesteringen'!D482</f>
        <v>1970</v>
      </c>
      <c r="F480" s="48">
        <f>'13. Desinvesteringen'!E482</f>
        <v>386046</v>
      </c>
      <c r="G480" s="43">
        <f>'13. Desinvesteringen'!G482</f>
        <v>2023</v>
      </c>
    </row>
    <row r="481" spans="2:7" s="240" customFormat="1">
      <c r="B481" s="43">
        <f>'13. Desinvesteringen'!B483</f>
        <v>464</v>
      </c>
      <c r="C481" s="3"/>
      <c r="D481" s="43" t="str">
        <f>'13. Desinvesteringen'!C483</f>
        <v>15 Compressorstations (TT-BT-AT)</v>
      </c>
      <c r="E481" s="43">
        <f>'13. Desinvesteringen'!D483</f>
        <v>1971</v>
      </c>
      <c r="F481" s="48">
        <f>'13. Desinvesteringen'!E483</f>
        <v>17164</v>
      </c>
      <c r="G481" s="43">
        <f>'13. Desinvesteringen'!G483</f>
        <v>2023</v>
      </c>
    </row>
    <row r="482" spans="2:7" s="240" customFormat="1">
      <c r="B482" s="43">
        <f>'13. Desinvesteringen'!B484</f>
        <v>465</v>
      </c>
      <c r="C482" s="3"/>
      <c r="D482" s="43" t="str">
        <f>'13. Desinvesteringen'!C484</f>
        <v>15 Compressorstations (TT-BT-AT)</v>
      </c>
      <c r="E482" s="43">
        <f>'13. Desinvesteringen'!D484</f>
        <v>1973</v>
      </c>
      <c r="F482" s="48">
        <f>'13. Desinvesteringen'!E484</f>
        <v>15941</v>
      </c>
      <c r="G482" s="43">
        <f>'13. Desinvesteringen'!G484</f>
        <v>2023</v>
      </c>
    </row>
    <row r="483" spans="2:7" s="240" customFormat="1">
      <c r="B483" s="43">
        <f>'13. Desinvesteringen'!B485</f>
        <v>466</v>
      </c>
      <c r="C483" s="3"/>
      <c r="D483" s="43" t="str">
        <f>'13. Desinvesteringen'!C485</f>
        <v>15 Compressorstations (TT-BT-AT)</v>
      </c>
      <c r="E483" s="43">
        <f>'13. Desinvesteringen'!D485</f>
        <v>1974</v>
      </c>
      <c r="F483" s="48">
        <f>'13. Desinvesteringen'!E485</f>
        <v>14358</v>
      </c>
      <c r="G483" s="43">
        <f>'13. Desinvesteringen'!G485</f>
        <v>2023</v>
      </c>
    </row>
    <row r="484" spans="2:7" s="240" customFormat="1">
      <c r="B484" s="43">
        <f>'13. Desinvesteringen'!B486</f>
        <v>467</v>
      </c>
      <c r="C484" s="3"/>
      <c r="D484" s="43" t="str">
        <f>'13. Desinvesteringen'!C486</f>
        <v>15 Compressorstations (TT-BT-AT)</v>
      </c>
      <c r="E484" s="43">
        <f>'13. Desinvesteringen'!D486</f>
        <v>1977</v>
      </c>
      <c r="F484" s="48">
        <f>'13. Desinvesteringen'!E486</f>
        <v>5493996</v>
      </c>
      <c r="G484" s="43">
        <f>'13. Desinvesteringen'!G486</f>
        <v>2023</v>
      </c>
    </row>
    <row r="485" spans="2:7" s="240" customFormat="1">
      <c r="B485" s="43">
        <f>'13. Desinvesteringen'!B487</f>
        <v>468</v>
      </c>
      <c r="C485" s="3"/>
      <c r="D485" s="43" t="str">
        <f>'13. Desinvesteringen'!C487</f>
        <v>15 Compressorstations (TT-BT-AT)</v>
      </c>
      <c r="E485" s="43">
        <f>'13. Desinvesteringen'!D487</f>
        <v>1978</v>
      </c>
      <c r="F485" s="48">
        <f>'13. Desinvesteringen'!E487</f>
        <v>488039</v>
      </c>
      <c r="G485" s="43">
        <f>'13. Desinvesteringen'!G487</f>
        <v>2023</v>
      </c>
    </row>
    <row r="486" spans="2:7" s="240" customFormat="1">
      <c r="B486" s="43">
        <f>'13. Desinvesteringen'!B488</f>
        <v>469</v>
      </c>
      <c r="C486" s="3"/>
      <c r="D486" s="43" t="str">
        <f>'13. Desinvesteringen'!C488</f>
        <v>15 Compressorstations (TT-BT-AT)</v>
      </c>
      <c r="E486" s="43">
        <f>'13. Desinvesteringen'!D488</f>
        <v>1980</v>
      </c>
      <c r="F486" s="48">
        <f>'13. Desinvesteringen'!E488</f>
        <v>1219567</v>
      </c>
      <c r="G486" s="43">
        <f>'13. Desinvesteringen'!G488</f>
        <v>2023</v>
      </c>
    </row>
    <row r="487" spans="2:7" s="240" customFormat="1">
      <c r="B487" s="43">
        <f>'13. Desinvesteringen'!B489</f>
        <v>470</v>
      </c>
      <c r="C487" s="3"/>
      <c r="D487" s="43" t="str">
        <f>'13. Desinvesteringen'!C489</f>
        <v>15 Compressorstations (TT-BT-AT)</v>
      </c>
      <c r="E487" s="43">
        <f>'13. Desinvesteringen'!D489</f>
        <v>1989</v>
      </c>
      <c r="F487" s="48">
        <f>'13. Desinvesteringen'!E489</f>
        <v>920373</v>
      </c>
      <c r="G487" s="43">
        <f>'13. Desinvesteringen'!G489</f>
        <v>2023</v>
      </c>
    </row>
    <row r="488" spans="2:7" s="240" customFormat="1">
      <c r="B488" s="43">
        <f>'13. Desinvesteringen'!B490</f>
        <v>471</v>
      </c>
      <c r="C488" s="3"/>
      <c r="D488" s="43" t="str">
        <f>'13. Desinvesteringen'!C490</f>
        <v>15 Compressorstations (TT-BT-AT)</v>
      </c>
      <c r="E488" s="43">
        <f>'13. Desinvesteringen'!D490</f>
        <v>1990</v>
      </c>
      <c r="F488" s="48">
        <f>'13. Desinvesteringen'!E490</f>
        <v>17770</v>
      </c>
      <c r="G488" s="43">
        <f>'13. Desinvesteringen'!G490</f>
        <v>2023</v>
      </c>
    </row>
    <row r="489" spans="2:7" s="240" customFormat="1">
      <c r="B489" s="43">
        <f>'13. Desinvesteringen'!B491</f>
        <v>472</v>
      </c>
      <c r="C489" s="3"/>
      <c r="D489" s="43" t="str">
        <f>'13. Desinvesteringen'!C491</f>
        <v>15 Compressorstations (TT-BT-AT)</v>
      </c>
      <c r="E489" s="43">
        <f>'13. Desinvesteringen'!D491</f>
        <v>1992</v>
      </c>
      <c r="F489" s="48">
        <f>'13. Desinvesteringen'!E491</f>
        <v>697451</v>
      </c>
      <c r="G489" s="43">
        <f>'13. Desinvesteringen'!G491</f>
        <v>2023</v>
      </c>
    </row>
    <row r="490" spans="2:7" s="240" customFormat="1">
      <c r="B490" s="43">
        <f>'13. Desinvesteringen'!B492</f>
        <v>473</v>
      </c>
      <c r="C490" s="3"/>
      <c r="D490" s="43" t="str">
        <f>'13. Desinvesteringen'!C492</f>
        <v>15 Compressorstations (TT-BT-AT)</v>
      </c>
      <c r="E490" s="43">
        <f>'13. Desinvesteringen'!D492</f>
        <v>1998</v>
      </c>
      <c r="F490" s="48">
        <f>'13. Desinvesteringen'!E492</f>
        <v>18065</v>
      </c>
      <c r="G490" s="43">
        <f>'13. Desinvesteringen'!G492</f>
        <v>2023</v>
      </c>
    </row>
    <row r="491" spans="2:7" s="240" customFormat="1">
      <c r="B491" s="43">
        <f>'13. Desinvesteringen'!B493</f>
        <v>474</v>
      </c>
      <c r="C491" s="3"/>
      <c r="D491" s="43" t="str">
        <f>'13. Desinvesteringen'!C493</f>
        <v>15 Compressorstations (TT-BT-AT)</v>
      </c>
      <c r="E491" s="43">
        <f>'13. Desinvesteringen'!D493</f>
        <v>2002</v>
      </c>
      <c r="F491" s="48">
        <f>'13. Desinvesteringen'!E493</f>
        <v>237214</v>
      </c>
      <c r="G491" s="43">
        <f>'13. Desinvesteringen'!G493</f>
        <v>2023</v>
      </c>
    </row>
    <row r="492" spans="2:7" s="240" customFormat="1">
      <c r="B492" s="43">
        <f>'13. Desinvesteringen'!B494</f>
        <v>475</v>
      </c>
      <c r="C492" s="3"/>
      <c r="D492" s="43" t="str">
        <f>'13. Desinvesteringen'!C494</f>
        <v>15 Compressorstations (TT-BT-AT)</v>
      </c>
      <c r="E492" s="43">
        <f>'13. Desinvesteringen'!D494</f>
        <v>2004</v>
      </c>
      <c r="F492" s="48">
        <f>'13. Desinvesteringen'!E494</f>
        <v>1858941</v>
      </c>
      <c r="G492" s="43">
        <f>'13. Desinvesteringen'!G494</f>
        <v>2023</v>
      </c>
    </row>
    <row r="493" spans="2:7" s="240" customFormat="1">
      <c r="B493" s="43">
        <f>'13. Desinvesteringen'!B495</f>
        <v>476</v>
      </c>
      <c r="C493" s="3"/>
      <c r="D493" s="43" t="str">
        <f>'13. Desinvesteringen'!C495</f>
        <v>15 Compressorstations (TT-BT-AT)</v>
      </c>
      <c r="E493" s="43">
        <f>'13. Desinvesteringen'!D495</f>
        <v>2005</v>
      </c>
      <c r="F493" s="48">
        <f>'13. Desinvesteringen'!E495</f>
        <v>189548</v>
      </c>
      <c r="G493" s="43">
        <f>'13. Desinvesteringen'!G495</f>
        <v>2023</v>
      </c>
    </row>
    <row r="494" spans="2:7" s="240" customFormat="1">
      <c r="B494" s="43">
        <f>'13. Desinvesteringen'!B496</f>
        <v>477</v>
      </c>
      <c r="C494" s="3"/>
      <c r="D494" s="43" t="str">
        <f>'13. Desinvesteringen'!C496</f>
        <v>15 Compressorstations (TT-BT-AT)</v>
      </c>
      <c r="E494" s="43">
        <f>'13. Desinvesteringen'!D496</f>
        <v>2006</v>
      </c>
      <c r="F494" s="48">
        <f>'13. Desinvesteringen'!E496</f>
        <v>43450</v>
      </c>
      <c r="G494" s="43">
        <f>'13. Desinvesteringen'!G496</f>
        <v>2023</v>
      </c>
    </row>
    <row r="495" spans="2:7" s="240" customFormat="1">
      <c r="B495" s="43">
        <f>'13. Desinvesteringen'!B497</f>
        <v>478</v>
      </c>
      <c r="C495" s="3"/>
      <c r="D495" s="43" t="str">
        <f>'13. Desinvesteringen'!C497</f>
        <v>15 Compressorstations (TT-BT-AT)</v>
      </c>
      <c r="E495" s="43">
        <f>'13. Desinvesteringen'!D497</f>
        <v>2008</v>
      </c>
      <c r="F495" s="48">
        <f>'13. Desinvesteringen'!E497</f>
        <v>2149449</v>
      </c>
      <c r="G495" s="43">
        <f>'13. Desinvesteringen'!G497</f>
        <v>2023</v>
      </c>
    </row>
    <row r="496" spans="2:7" s="240" customFormat="1">
      <c r="B496" s="43">
        <f>'13. Desinvesteringen'!B498</f>
        <v>479</v>
      </c>
      <c r="C496" s="3"/>
      <c r="D496" s="43" t="str">
        <f>'13. Desinvesteringen'!C498</f>
        <v>15 Compressorstations (TT-BT-AT)</v>
      </c>
      <c r="E496" s="43">
        <f>'13. Desinvesteringen'!D498</f>
        <v>2009</v>
      </c>
      <c r="F496" s="48">
        <f>'13. Desinvesteringen'!E498</f>
        <v>38325</v>
      </c>
      <c r="G496" s="43">
        <f>'13. Desinvesteringen'!G498</f>
        <v>2023</v>
      </c>
    </row>
    <row r="497" spans="2:7" s="240" customFormat="1">
      <c r="B497" s="43">
        <f>'13. Desinvesteringen'!B499</f>
        <v>480</v>
      </c>
      <c r="C497" s="3"/>
      <c r="D497" s="43" t="str">
        <f>'13. Desinvesteringen'!C499</f>
        <v>15 Compressorstations (TT-BT-AT)</v>
      </c>
      <c r="E497" s="43">
        <f>'13. Desinvesteringen'!D499</f>
        <v>2010</v>
      </c>
      <c r="F497" s="48">
        <f>'13. Desinvesteringen'!E499</f>
        <v>194639</v>
      </c>
      <c r="G497" s="43">
        <f>'13. Desinvesteringen'!G499</f>
        <v>2023</v>
      </c>
    </row>
    <row r="498" spans="2:7" s="240" customFormat="1">
      <c r="B498" s="43">
        <f>'13. Desinvesteringen'!B500</f>
        <v>481</v>
      </c>
      <c r="C498" s="3"/>
      <c r="D498" s="43" t="str">
        <f>'13. Desinvesteringen'!C500</f>
        <v>15 Compressorstations (TT-BT-AT)</v>
      </c>
      <c r="E498" s="43">
        <f>'13. Desinvesteringen'!D500</f>
        <v>2011</v>
      </c>
      <c r="F498" s="48">
        <f>'13. Desinvesteringen'!E500</f>
        <v>49243</v>
      </c>
      <c r="G498" s="43">
        <f>'13. Desinvesteringen'!G500</f>
        <v>2023</v>
      </c>
    </row>
    <row r="499" spans="2:7" s="240" customFormat="1">
      <c r="B499" s="43">
        <f>'13. Desinvesteringen'!B501</f>
        <v>482</v>
      </c>
      <c r="C499" s="3"/>
      <c r="D499" s="43" t="str">
        <f>'13. Desinvesteringen'!C501</f>
        <v>15 Compressorstations (TT-BT-AT)</v>
      </c>
      <c r="E499" s="43">
        <f>'13. Desinvesteringen'!D501</f>
        <v>2012</v>
      </c>
      <c r="F499" s="48">
        <f>'13. Desinvesteringen'!E501</f>
        <v>7253368</v>
      </c>
      <c r="G499" s="43">
        <f>'13. Desinvesteringen'!G501</f>
        <v>2023</v>
      </c>
    </row>
    <row r="500" spans="2:7" s="240" customFormat="1">
      <c r="B500" s="43">
        <f>'13. Desinvesteringen'!B502</f>
        <v>483</v>
      </c>
      <c r="C500" s="3"/>
      <c r="D500" s="43" t="str">
        <f>'13. Desinvesteringen'!C502</f>
        <v>15 Compressorstations (TT-BT-AT)</v>
      </c>
      <c r="E500" s="43">
        <f>'13. Desinvesteringen'!D502</f>
        <v>2014</v>
      </c>
      <c r="F500" s="48">
        <f>'13. Desinvesteringen'!E502</f>
        <v>746917</v>
      </c>
      <c r="G500" s="43">
        <f>'13. Desinvesteringen'!G502</f>
        <v>2023</v>
      </c>
    </row>
    <row r="501" spans="2:7" s="240" customFormat="1">
      <c r="B501" s="43">
        <f>'13. Desinvesteringen'!B503</f>
        <v>484</v>
      </c>
      <c r="C501" s="3"/>
      <c r="D501" s="43" t="str">
        <f>'13. Desinvesteringen'!C503</f>
        <v>15 Compressorstations (TT-BT-AT)</v>
      </c>
      <c r="E501" s="43">
        <f>'13. Desinvesteringen'!D503</f>
        <v>2015</v>
      </c>
      <c r="F501" s="48">
        <f>'13. Desinvesteringen'!E503</f>
        <v>411557</v>
      </c>
      <c r="G501" s="43">
        <f>'13. Desinvesteringen'!G503</f>
        <v>2023</v>
      </c>
    </row>
    <row r="502" spans="2:7" s="240" customFormat="1">
      <c r="B502" s="43">
        <f>'13. Desinvesteringen'!B504</f>
        <v>485</v>
      </c>
      <c r="C502" s="3"/>
      <c r="D502" s="43" t="str">
        <f>'13. Desinvesteringen'!C504</f>
        <v>15 Compressorstations (TT-BT-AT)</v>
      </c>
      <c r="E502" s="43">
        <f>'13. Desinvesteringen'!D504</f>
        <v>2016</v>
      </c>
      <c r="F502" s="48">
        <f>'13. Desinvesteringen'!E504</f>
        <v>136755</v>
      </c>
      <c r="G502" s="43">
        <f>'13. Desinvesteringen'!G504</f>
        <v>2023</v>
      </c>
    </row>
    <row r="503" spans="2:7" s="240" customFormat="1">
      <c r="B503" s="43">
        <f>'13. Desinvesteringen'!B505</f>
        <v>486</v>
      </c>
      <c r="C503" s="3"/>
      <c r="D503" s="43" t="str">
        <f>'13. Desinvesteringen'!C505</f>
        <v>16 LNG installaties</v>
      </c>
      <c r="E503" s="43">
        <f>'13. Desinvesteringen'!D505</f>
        <v>1977</v>
      </c>
      <c r="F503" s="48">
        <f>'13. Desinvesteringen'!E505</f>
        <v>804746</v>
      </c>
      <c r="G503" s="43">
        <f>'13. Desinvesteringen'!G505</f>
        <v>2023</v>
      </c>
    </row>
    <row r="504" spans="2:7" s="240" customFormat="1">
      <c r="B504" s="43">
        <f>'13. Desinvesteringen'!B506</f>
        <v>487</v>
      </c>
      <c r="C504" s="3"/>
      <c r="D504" s="43" t="str">
        <f>'13. Desinvesteringen'!C506</f>
        <v>17 Mengstations</v>
      </c>
      <c r="E504" s="43">
        <f>'13. Desinvesteringen'!D506</f>
        <v>1985</v>
      </c>
      <c r="F504" s="48">
        <f>'13. Desinvesteringen'!E506</f>
        <v>7919770</v>
      </c>
      <c r="G504" s="43">
        <f>'13. Desinvesteringen'!G506</f>
        <v>2023</v>
      </c>
    </row>
    <row r="505" spans="2:7" s="240" customFormat="1">
      <c r="B505" s="43">
        <f>'13. Desinvesteringen'!B507</f>
        <v>488</v>
      </c>
      <c r="C505" s="3"/>
      <c r="D505" s="43" t="str">
        <f>'13. Desinvesteringen'!C507</f>
        <v>17 Mengstations</v>
      </c>
      <c r="E505" s="43">
        <f>'13. Desinvesteringen'!D507</f>
        <v>1988</v>
      </c>
      <c r="F505" s="48">
        <f>'13. Desinvesteringen'!E507</f>
        <v>378309</v>
      </c>
      <c r="G505" s="43">
        <f>'13. Desinvesteringen'!G507</f>
        <v>2023</v>
      </c>
    </row>
    <row r="506" spans="2:7" s="240" customFormat="1">
      <c r="B506" s="43">
        <f>'13. Desinvesteringen'!B508</f>
        <v>489</v>
      </c>
      <c r="C506" s="3"/>
      <c r="D506" s="43" t="str">
        <f>'13. Desinvesteringen'!C508</f>
        <v>17 Mengstations</v>
      </c>
      <c r="E506" s="43">
        <f>'13. Desinvesteringen'!D508</f>
        <v>1990</v>
      </c>
      <c r="F506" s="48">
        <f>'13. Desinvesteringen'!E508</f>
        <v>29867</v>
      </c>
      <c r="G506" s="43">
        <f>'13. Desinvesteringen'!G508</f>
        <v>2023</v>
      </c>
    </row>
    <row r="507" spans="2:7" s="240" customFormat="1">
      <c r="B507" s="43">
        <f>'13. Desinvesteringen'!B509</f>
        <v>490</v>
      </c>
      <c r="C507" s="3"/>
      <c r="D507" s="43" t="str">
        <f>'13. Desinvesteringen'!C509</f>
        <v>17 Mengstations</v>
      </c>
      <c r="E507" s="43">
        <f>'13. Desinvesteringen'!D509</f>
        <v>1992</v>
      </c>
      <c r="F507" s="48">
        <f>'13. Desinvesteringen'!E509</f>
        <v>5605988</v>
      </c>
      <c r="G507" s="43">
        <f>'13. Desinvesteringen'!G509</f>
        <v>2023</v>
      </c>
    </row>
    <row r="508" spans="2:7" s="240" customFormat="1">
      <c r="B508" s="43">
        <f>'13. Desinvesteringen'!B510</f>
        <v>491</v>
      </c>
      <c r="C508" s="3"/>
      <c r="D508" s="43" t="str">
        <f>'13. Desinvesteringen'!C510</f>
        <v>17 Mengstations</v>
      </c>
      <c r="E508" s="43">
        <f>'13. Desinvesteringen'!D510</f>
        <v>1995</v>
      </c>
      <c r="F508" s="48">
        <f>'13. Desinvesteringen'!E510</f>
        <v>2552054</v>
      </c>
      <c r="G508" s="43">
        <f>'13. Desinvesteringen'!G510</f>
        <v>2023</v>
      </c>
    </row>
    <row r="509" spans="2:7" s="240" customFormat="1">
      <c r="B509" s="43">
        <f>'13. Desinvesteringen'!B511</f>
        <v>492</v>
      </c>
      <c r="C509" s="3"/>
      <c r="D509" s="43" t="str">
        <f>'13. Desinvesteringen'!C511</f>
        <v>17 Mengstations</v>
      </c>
      <c r="E509" s="43">
        <f>'13. Desinvesteringen'!D511</f>
        <v>1996</v>
      </c>
      <c r="F509" s="48">
        <f>'13. Desinvesteringen'!E511</f>
        <v>11549</v>
      </c>
      <c r="G509" s="43">
        <f>'13. Desinvesteringen'!G511</f>
        <v>2023</v>
      </c>
    </row>
    <row r="510" spans="2:7" s="240" customFormat="1">
      <c r="B510" s="43">
        <f>'13. Desinvesteringen'!B512</f>
        <v>493</v>
      </c>
      <c r="C510" s="3"/>
      <c r="D510" s="43" t="str">
        <f>'13. Desinvesteringen'!C512</f>
        <v>17 Mengstations</v>
      </c>
      <c r="E510" s="43">
        <f>'13. Desinvesteringen'!D512</f>
        <v>1998</v>
      </c>
      <c r="F510" s="48">
        <f>'13. Desinvesteringen'!E512</f>
        <v>28291</v>
      </c>
      <c r="G510" s="43">
        <f>'13. Desinvesteringen'!G512</f>
        <v>2023</v>
      </c>
    </row>
    <row r="511" spans="2:7" s="240" customFormat="1">
      <c r="B511" s="43">
        <f>'13. Desinvesteringen'!B513</f>
        <v>494</v>
      </c>
      <c r="C511" s="3"/>
      <c r="D511" s="43" t="str">
        <f>'13. Desinvesteringen'!C513</f>
        <v>17 Mengstations</v>
      </c>
      <c r="E511" s="43">
        <f>'13. Desinvesteringen'!D513</f>
        <v>2001</v>
      </c>
      <c r="F511" s="48">
        <f>'13. Desinvesteringen'!E513</f>
        <v>273838</v>
      </c>
      <c r="G511" s="43">
        <f>'13. Desinvesteringen'!G513</f>
        <v>2023</v>
      </c>
    </row>
    <row r="512" spans="2:7" s="240" customFormat="1">
      <c r="B512" s="43">
        <f>'13. Desinvesteringen'!B514</f>
        <v>495</v>
      </c>
      <c r="C512" s="3"/>
      <c r="D512" s="43" t="str">
        <f>'13. Desinvesteringen'!C514</f>
        <v>17 Mengstations</v>
      </c>
      <c r="E512" s="43">
        <f>'13. Desinvesteringen'!D514</f>
        <v>2003</v>
      </c>
      <c r="F512" s="48">
        <f>'13. Desinvesteringen'!E514</f>
        <v>35370</v>
      </c>
      <c r="G512" s="43">
        <f>'13. Desinvesteringen'!G514</f>
        <v>2023</v>
      </c>
    </row>
    <row r="513" spans="2:7" s="240" customFormat="1">
      <c r="B513" s="43">
        <f>'13. Desinvesteringen'!B515</f>
        <v>496</v>
      </c>
      <c r="C513" s="3"/>
      <c r="D513" s="43" t="str">
        <f>'13. Desinvesteringen'!C515</f>
        <v>17 Mengstations</v>
      </c>
      <c r="E513" s="43">
        <f>'13. Desinvesteringen'!D515</f>
        <v>2004</v>
      </c>
      <c r="F513" s="48">
        <f>'13. Desinvesteringen'!E515</f>
        <v>45503</v>
      </c>
      <c r="G513" s="43">
        <f>'13. Desinvesteringen'!G515</f>
        <v>2023</v>
      </c>
    </row>
    <row r="514" spans="2:7" s="240" customFormat="1">
      <c r="B514" s="43">
        <f>'13. Desinvesteringen'!B516</f>
        <v>497</v>
      </c>
      <c r="C514" s="3"/>
      <c r="D514" s="43" t="str">
        <f>'13. Desinvesteringen'!C516</f>
        <v>17 Mengstations</v>
      </c>
      <c r="E514" s="43">
        <f>'13. Desinvesteringen'!D516</f>
        <v>2005</v>
      </c>
      <c r="F514" s="48">
        <f>'13. Desinvesteringen'!E516</f>
        <v>165266</v>
      </c>
      <c r="G514" s="43">
        <f>'13. Desinvesteringen'!G516</f>
        <v>2023</v>
      </c>
    </row>
    <row r="515" spans="2:7" s="240" customFormat="1">
      <c r="B515" s="43">
        <f>'13. Desinvesteringen'!B517</f>
        <v>498</v>
      </c>
      <c r="C515" s="3"/>
      <c r="D515" s="43" t="str">
        <f>'13. Desinvesteringen'!C517</f>
        <v>17 Mengstations</v>
      </c>
      <c r="E515" s="43">
        <f>'13. Desinvesteringen'!D517</f>
        <v>2006</v>
      </c>
      <c r="F515" s="48">
        <f>'13. Desinvesteringen'!E517</f>
        <v>419198</v>
      </c>
      <c r="G515" s="43">
        <f>'13. Desinvesteringen'!G517</f>
        <v>2023</v>
      </c>
    </row>
    <row r="516" spans="2:7" s="240" customFormat="1">
      <c r="B516" s="43">
        <f>'13. Desinvesteringen'!B518</f>
        <v>499</v>
      </c>
      <c r="C516" s="3"/>
      <c r="D516" s="43" t="str">
        <f>'13. Desinvesteringen'!C518</f>
        <v>17 Mengstations</v>
      </c>
      <c r="E516" s="43">
        <f>'13. Desinvesteringen'!D518</f>
        <v>2007</v>
      </c>
      <c r="F516" s="48">
        <f>'13. Desinvesteringen'!E518</f>
        <v>1086511</v>
      </c>
      <c r="G516" s="43">
        <f>'13. Desinvesteringen'!G518</f>
        <v>2023</v>
      </c>
    </row>
    <row r="517" spans="2:7" s="240" customFormat="1">
      <c r="B517" s="43">
        <f>'13. Desinvesteringen'!B519</f>
        <v>500</v>
      </c>
      <c r="C517" s="3"/>
      <c r="D517" s="43" t="str">
        <f>'13. Desinvesteringen'!C519</f>
        <v>17 Mengstations</v>
      </c>
      <c r="E517" s="43">
        <f>'13. Desinvesteringen'!D519</f>
        <v>2008</v>
      </c>
      <c r="F517" s="48">
        <f>'13. Desinvesteringen'!E519</f>
        <v>1532964</v>
      </c>
      <c r="G517" s="43">
        <f>'13. Desinvesteringen'!G519</f>
        <v>2023</v>
      </c>
    </row>
    <row r="518" spans="2:7" s="240" customFormat="1">
      <c r="B518" s="43">
        <f>'13. Desinvesteringen'!B520</f>
        <v>501</v>
      </c>
      <c r="C518" s="3"/>
      <c r="D518" s="43" t="str">
        <f>'13. Desinvesteringen'!C520</f>
        <v>17 Mengstations</v>
      </c>
      <c r="E518" s="43">
        <f>'13. Desinvesteringen'!D520</f>
        <v>2009</v>
      </c>
      <c r="F518" s="48">
        <f>'13. Desinvesteringen'!E520</f>
        <v>100227</v>
      </c>
      <c r="G518" s="43">
        <f>'13. Desinvesteringen'!G520</f>
        <v>2023</v>
      </c>
    </row>
    <row r="519" spans="2:7" s="240" customFormat="1">
      <c r="B519" s="43">
        <f>'13. Desinvesteringen'!B521</f>
        <v>502</v>
      </c>
      <c r="C519" s="3"/>
      <c r="D519" s="43" t="str">
        <f>'13. Desinvesteringen'!C521</f>
        <v>17 Mengstations</v>
      </c>
      <c r="E519" s="43">
        <f>'13. Desinvesteringen'!D521</f>
        <v>2010</v>
      </c>
      <c r="F519" s="48">
        <f>'13. Desinvesteringen'!E521</f>
        <v>956327</v>
      </c>
      <c r="G519" s="43">
        <f>'13. Desinvesteringen'!G521</f>
        <v>2023</v>
      </c>
    </row>
    <row r="520" spans="2:7" s="240" customFormat="1">
      <c r="B520" s="43">
        <f>'13. Desinvesteringen'!B522</f>
        <v>503</v>
      </c>
      <c r="C520" s="3"/>
      <c r="D520" s="43" t="str">
        <f>'13. Desinvesteringen'!C522</f>
        <v>17 Mengstations</v>
      </c>
      <c r="E520" s="43">
        <f>'13. Desinvesteringen'!D522</f>
        <v>2011</v>
      </c>
      <c r="F520" s="48">
        <f>'13. Desinvesteringen'!E522</f>
        <v>1338329</v>
      </c>
      <c r="G520" s="43">
        <f>'13. Desinvesteringen'!G522</f>
        <v>2023</v>
      </c>
    </row>
    <row r="521" spans="2:7" s="240" customFormat="1">
      <c r="B521" s="43">
        <f>'13. Desinvesteringen'!B523</f>
        <v>504</v>
      </c>
      <c r="C521" s="3"/>
      <c r="D521" s="43" t="str">
        <f>'13. Desinvesteringen'!C523</f>
        <v>17 Mengstations</v>
      </c>
      <c r="E521" s="43">
        <f>'13. Desinvesteringen'!D523</f>
        <v>2012</v>
      </c>
      <c r="F521" s="48">
        <f>'13. Desinvesteringen'!E523</f>
        <v>479994</v>
      </c>
      <c r="G521" s="43">
        <f>'13. Desinvesteringen'!G523</f>
        <v>2023</v>
      </c>
    </row>
    <row r="522" spans="2:7" s="240" customFormat="1">
      <c r="B522" s="43">
        <f>'13. Desinvesteringen'!B524</f>
        <v>505</v>
      </c>
      <c r="C522" s="3"/>
      <c r="D522" s="43" t="str">
        <f>'13. Desinvesteringen'!C524</f>
        <v>17 Mengstations</v>
      </c>
      <c r="E522" s="43">
        <f>'13. Desinvesteringen'!D524</f>
        <v>2013</v>
      </c>
      <c r="F522" s="48">
        <f>'13. Desinvesteringen'!E524</f>
        <v>640497</v>
      </c>
      <c r="G522" s="43">
        <f>'13. Desinvesteringen'!G524</f>
        <v>2023</v>
      </c>
    </row>
    <row r="523" spans="2:7" s="240" customFormat="1">
      <c r="B523" s="43">
        <f>'13. Desinvesteringen'!B525</f>
        <v>506</v>
      </c>
      <c r="C523" s="3"/>
      <c r="D523" s="43" t="str">
        <f>'13. Desinvesteringen'!C525</f>
        <v>17 Mengstations</v>
      </c>
      <c r="E523" s="43">
        <f>'13. Desinvesteringen'!D525</f>
        <v>2014</v>
      </c>
      <c r="F523" s="48">
        <f>'13. Desinvesteringen'!E525</f>
        <v>1591</v>
      </c>
      <c r="G523" s="43">
        <f>'13. Desinvesteringen'!G525</f>
        <v>2023</v>
      </c>
    </row>
    <row r="524" spans="2:7" s="240" customFormat="1">
      <c r="B524" s="43">
        <f>'13. Desinvesteringen'!B526</f>
        <v>507</v>
      </c>
      <c r="C524" s="3"/>
      <c r="D524" s="43" t="str">
        <f>'13. Desinvesteringen'!C526</f>
        <v>17 Mengstations</v>
      </c>
      <c r="E524" s="43">
        <f>'13. Desinvesteringen'!D526</f>
        <v>2016</v>
      </c>
      <c r="F524" s="48">
        <f>'13. Desinvesteringen'!E526</f>
        <v>36980</v>
      </c>
      <c r="G524" s="43">
        <f>'13. Desinvesteringen'!G526</f>
        <v>2023</v>
      </c>
    </row>
    <row r="525" spans="2:7" s="240" customFormat="1">
      <c r="B525" s="43">
        <f>'13. Desinvesteringen'!B527</f>
        <v>508</v>
      </c>
      <c r="C525" s="3"/>
      <c r="D525" s="43" t="str">
        <f>'13. Desinvesteringen'!C527</f>
        <v>21 Hoofdtransportleiding</v>
      </c>
      <c r="E525" s="43">
        <f>'13. Desinvesteringen'!D527</f>
        <v>1964</v>
      </c>
      <c r="F525" s="48">
        <f>'13. Desinvesteringen'!E527</f>
        <v>3025</v>
      </c>
      <c r="G525" s="43">
        <f>'13. Desinvesteringen'!G527</f>
        <v>2023</v>
      </c>
    </row>
    <row r="526" spans="2:7" s="240" customFormat="1">
      <c r="B526" s="43">
        <f>'13. Desinvesteringen'!B528</f>
        <v>509</v>
      </c>
      <c r="C526" s="3"/>
      <c r="D526" s="43" t="str">
        <f>'13. Desinvesteringen'!C528</f>
        <v>21 Hoofdtransportleiding</v>
      </c>
      <c r="E526" s="43">
        <f>'13. Desinvesteringen'!D528</f>
        <v>1966</v>
      </c>
      <c r="F526" s="48">
        <f>'13. Desinvesteringen'!E528</f>
        <v>70000</v>
      </c>
      <c r="G526" s="43">
        <f>'13. Desinvesteringen'!G528</f>
        <v>2023</v>
      </c>
    </row>
    <row r="527" spans="2:7" s="240" customFormat="1">
      <c r="B527" s="43">
        <f>'13. Desinvesteringen'!B529</f>
        <v>510</v>
      </c>
      <c r="C527" s="3"/>
      <c r="D527" s="43" t="str">
        <f>'13. Desinvesteringen'!C529</f>
        <v>21 Hoofdtransportleiding</v>
      </c>
      <c r="E527" s="43">
        <f>'13. Desinvesteringen'!D529</f>
        <v>1967</v>
      </c>
      <c r="F527" s="48">
        <f>'13. Desinvesteringen'!E529</f>
        <v>7455</v>
      </c>
      <c r="G527" s="43">
        <f>'13. Desinvesteringen'!G529</f>
        <v>2023</v>
      </c>
    </row>
    <row r="528" spans="2:7" s="240" customFormat="1">
      <c r="B528" s="43">
        <f>'13. Desinvesteringen'!B530</f>
        <v>511</v>
      </c>
      <c r="C528" s="3"/>
      <c r="D528" s="43" t="str">
        <f>'13. Desinvesteringen'!C530</f>
        <v>21 Hoofdtransportleiding</v>
      </c>
      <c r="E528" s="43">
        <f>'13. Desinvesteringen'!D530</f>
        <v>1970</v>
      </c>
      <c r="F528" s="48">
        <f>'13. Desinvesteringen'!E530</f>
        <v>18136</v>
      </c>
      <c r="G528" s="43">
        <f>'13. Desinvesteringen'!G530</f>
        <v>2023</v>
      </c>
    </row>
    <row r="529" spans="2:7" s="240" customFormat="1">
      <c r="B529" s="43">
        <f>'13. Desinvesteringen'!B531</f>
        <v>512</v>
      </c>
      <c r="C529" s="3"/>
      <c r="D529" s="43" t="str">
        <f>'13. Desinvesteringen'!C531</f>
        <v>21 Hoofdtransportleiding</v>
      </c>
      <c r="E529" s="43">
        <f>'13. Desinvesteringen'!D531</f>
        <v>1971</v>
      </c>
      <c r="F529" s="48">
        <f>'13. Desinvesteringen'!E531</f>
        <v>9848</v>
      </c>
      <c r="G529" s="43">
        <f>'13. Desinvesteringen'!G531</f>
        <v>2023</v>
      </c>
    </row>
    <row r="530" spans="2:7" s="240" customFormat="1">
      <c r="B530" s="43">
        <f>'13. Desinvesteringen'!B532</f>
        <v>513</v>
      </c>
      <c r="C530" s="3"/>
      <c r="D530" s="43" t="str">
        <f>'13. Desinvesteringen'!C532</f>
        <v>21 Hoofdtransportleiding</v>
      </c>
      <c r="E530" s="43">
        <f>'13. Desinvesteringen'!D532</f>
        <v>1975</v>
      </c>
      <c r="F530" s="48">
        <f>'13. Desinvesteringen'!E532</f>
        <v>126847</v>
      </c>
      <c r="G530" s="43">
        <f>'13. Desinvesteringen'!G532</f>
        <v>2023</v>
      </c>
    </row>
    <row r="531" spans="2:7" s="240" customFormat="1">
      <c r="B531" s="43">
        <f>'13. Desinvesteringen'!B533</f>
        <v>514</v>
      </c>
      <c r="C531" s="3"/>
      <c r="D531" s="43" t="str">
        <f>'13. Desinvesteringen'!C533</f>
        <v>21 Hoofdtransportleiding</v>
      </c>
      <c r="E531" s="43">
        <f>'13. Desinvesteringen'!D533</f>
        <v>1976</v>
      </c>
      <c r="F531" s="48">
        <f>'13. Desinvesteringen'!E533</f>
        <v>34143</v>
      </c>
      <c r="G531" s="43">
        <f>'13. Desinvesteringen'!G533</f>
        <v>2023</v>
      </c>
    </row>
    <row r="532" spans="2:7" s="240" customFormat="1">
      <c r="B532" s="43">
        <f>'13. Desinvesteringen'!B534</f>
        <v>515</v>
      </c>
      <c r="C532" s="3"/>
      <c r="D532" s="43" t="str">
        <f>'13. Desinvesteringen'!C534</f>
        <v>21 Hoofdtransportleiding</v>
      </c>
      <c r="E532" s="43">
        <f>'13. Desinvesteringen'!D534</f>
        <v>1978</v>
      </c>
      <c r="F532" s="48">
        <f>'13. Desinvesteringen'!E534</f>
        <v>16987</v>
      </c>
      <c r="G532" s="43">
        <f>'13. Desinvesteringen'!G534</f>
        <v>2023</v>
      </c>
    </row>
    <row r="533" spans="2:7" s="240" customFormat="1">
      <c r="B533" s="43">
        <f>'13. Desinvesteringen'!B535</f>
        <v>516</v>
      </c>
      <c r="C533" s="3"/>
      <c r="D533" s="43" t="str">
        <f>'13. Desinvesteringen'!C535</f>
        <v>21 Hoofdtransportleiding</v>
      </c>
      <c r="E533" s="43">
        <f>'13. Desinvesteringen'!D535</f>
        <v>1980</v>
      </c>
      <c r="F533" s="48">
        <f>'13. Desinvesteringen'!E535</f>
        <v>18508</v>
      </c>
      <c r="G533" s="43">
        <f>'13. Desinvesteringen'!G535</f>
        <v>2023</v>
      </c>
    </row>
    <row r="534" spans="2:7" s="240" customFormat="1">
      <c r="B534" s="43">
        <f>'13. Desinvesteringen'!B536</f>
        <v>517</v>
      </c>
      <c r="C534" s="3"/>
      <c r="D534" s="43" t="str">
        <f>'13. Desinvesteringen'!C536</f>
        <v>21 Hoofdtransportleiding</v>
      </c>
      <c r="E534" s="43">
        <f>'13. Desinvesteringen'!D536</f>
        <v>1982</v>
      </c>
      <c r="F534" s="48">
        <f>'13. Desinvesteringen'!E536</f>
        <v>28372</v>
      </c>
      <c r="G534" s="43">
        <f>'13. Desinvesteringen'!G536</f>
        <v>2023</v>
      </c>
    </row>
    <row r="535" spans="2:7" s="240" customFormat="1">
      <c r="B535" s="43">
        <f>'13. Desinvesteringen'!B537</f>
        <v>518</v>
      </c>
      <c r="C535" s="3"/>
      <c r="D535" s="43" t="str">
        <f>'13. Desinvesteringen'!C537</f>
        <v>21 Hoofdtransportleiding</v>
      </c>
      <c r="E535" s="43">
        <f>'13. Desinvesteringen'!D537</f>
        <v>1986</v>
      </c>
      <c r="F535" s="48">
        <f>'13. Desinvesteringen'!E537</f>
        <v>22360</v>
      </c>
      <c r="G535" s="43">
        <f>'13. Desinvesteringen'!G537</f>
        <v>2023</v>
      </c>
    </row>
    <row r="536" spans="2:7" s="240" customFormat="1">
      <c r="B536" s="43">
        <f>'13. Desinvesteringen'!B538</f>
        <v>519</v>
      </c>
      <c r="C536" s="3"/>
      <c r="D536" s="43" t="str">
        <f>'13. Desinvesteringen'!C538</f>
        <v>21 Hoofdtransportleiding</v>
      </c>
      <c r="E536" s="43">
        <f>'13. Desinvesteringen'!D538</f>
        <v>1987</v>
      </c>
      <c r="F536" s="48">
        <f>'13. Desinvesteringen'!E538</f>
        <v>22132</v>
      </c>
      <c r="G536" s="43">
        <f>'13. Desinvesteringen'!G538</f>
        <v>2023</v>
      </c>
    </row>
    <row r="537" spans="2:7" s="240" customFormat="1">
      <c r="B537" s="43">
        <f>'13. Desinvesteringen'!B539</f>
        <v>520</v>
      </c>
      <c r="C537" s="3"/>
      <c r="D537" s="43" t="str">
        <f>'13. Desinvesteringen'!C539</f>
        <v>21 Hoofdtransportleiding</v>
      </c>
      <c r="E537" s="43">
        <f>'13. Desinvesteringen'!D539</f>
        <v>1993</v>
      </c>
      <c r="F537" s="48">
        <f>'13. Desinvesteringen'!E539</f>
        <v>24502</v>
      </c>
      <c r="G537" s="43">
        <f>'13. Desinvesteringen'!G539</f>
        <v>2023</v>
      </c>
    </row>
    <row r="538" spans="2:7" s="240" customFormat="1">
      <c r="B538" s="43">
        <f>'13. Desinvesteringen'!B540</f>
        <v>521</v>
      </c>
      <c r="C538" s="3"/>
      <c r="D538" s="43" t="str">
        <f>'13. Desinvesteringen'!C540</f>
        <v>21 Hoofdtransportleiding</v>
      </c>
      <c r="E538" s="43">
        <f>'13. Desinvesteringen'!D540</f>
        <v>1996</v>
      </c>
      <c r="F538" s="48">
        <f>'13. Desinvesteringen'!E540</f>
        <v>67710</v>
      </c>
      <c r="G538" s="43">
        <f>'13. Desinvesteringen'!G540</f>
        <v>2023</v>
      </c>
    </row>
    <row r="539" spans="2:7" s="240" customFormat="1">
      <c r="B539" s="43">
        <f>'13. Desinvesteringen'!B541</f>
        <v>522</v>
      </c>
      <c r="C539" s="3"/>
      <c r="D539" s="43" t="str">
        <f>'13. Desinvesteringen'!C541</f>
        <v>21 Hoofdtransportleiding</v>
      </c>
      <c r="E539" s="43">
        <f>'13. Desinvesteringen'!D541</f>
        <v>2002</v>
      </c>
      <c r="F539" s="48">
        <f>'13. Desinvesteringen'!E541</f>
        <v>278598</v>
      </c>
      <c r="G539" s="43">
        <f>'13. Desinvesteringen'!G541</f>
        <v>2023</v>
      </c>
    </row>
    <row r="540" spans="2:7" s="240" customFormat="1">
      <c r="B540" s="43">
        <f>'13. Desinvesteringen'!B542</f>
        <v>523</v>
      </c>
      <c r="C540" s="3"/>
      <c r="D540" s="43" t="str">
        <f>'13. Desinvesteringen'!C542</f>
        <v>21 Hoofdtransportleiding</v>
      </c>
      <c r="E540" s="43">
        <f>'13. Desinvesteringen'!D542</f>
        <v>2008</v>
      </c>
      <c r="F540" s="48">
        <f>'13. Desinvesteringen'!E542</f>
        <v>34070</v>
      </c>
      <c r="G540" s="43">
        <f>'13. Desinvesteringen'!G542</f>
        <v>2023</v>
      </c>
    </row>
    <row r="541" spans="2:7" s="240" customFormat="1">
      <c r="B541" s="43">
        <f>'13. Desinvesteringen'!B543</f>
        <v>524</v>
      </c>
      <c r="C541" s="3"/>
      <c r="D541" s="43" t="str">
        <f>'13. Desinvesteringen'!C543</f>
        <v>32 M&amp;R stations</v>
      </c>
      <c r="E541" s="43">
        <f>'13. Desinvesteringen'!D543</f>
        <v>1974</v>
      </c>
      <c r="F541" s="48">
        <f>'13. Desinvesteringen'!E543</f>
        <v>91446</v>
      </c>
      <c r="G541" s="43">
        <f>'13. Desinvesteringen'!G543</f>
        <v>2023</v>
      </c>
    </row>
    <row r="542" spans="2:7" s="240" customFormat="1">
      <c r="B542" s="43">
        <f>'13. Desinvesteringen'!B544</f>
        <v>525</v>
      </c>
      <c r="C542" s="3"/>
      <c r="D542" s="43" t="str">
        <f>'13. Desinvesteringen'!C544</f>
        <v>33 Exportstations</v>
      </c>
      <c r="E542" s="43">
        <f>'13. Desinvesteringen'!D544</f>
        <v>1966</v>
      </c>
      <c r="F542" s="48">
        <f>'13. Desinvesteringen'!E544</f>
        <v>5667</v>
      </c>
      <c r="G542" s="43">
        <f>'13. Desinvesteringen'!G544</f>
        <v>2023</v>
      </c>
    </row>
    <row r="543" spans="2:7" s="240" customFormat="1">
      <c r="B543" s="43">
        <f>'13. Desinvesteringen'!B545</f>
        <v>526</v>
      </c>
      <c r="C543" s="3"/>
      <c r="D543" s="43" t="str">
        <f>'13. Desinvesteringen'!C545</f>
        <v>33 Exportstations</v>
      </c>
      <c r="E543" s="43">
        <f>'13. Desinvesteringen'!D545</f>
        <v>1967</v>
      </c>
      <c r="F543" s="48">
        <f>'13. Desinvesteringen'!E545</f>
        <v>13495</v>
      </c>
      <c r="G543" s="43">
        <f>'13. Desinvesteringen'!G545</f>
        <v>2023</v>
      </c>
    </row>
    <row r="544" spans="2:7" s="240" customFormat="1">
      <c r="B544" s="43">
        <f>'13. Desinvesteringen'!B546</f>
        <v>527</v>
      </c>
      <c r="C544" s="3"/>
      <c r="D544" s="43" t="str">
        <f>'13. Desinvesteringen'!C546</f>
        <v>33 Exportstations</v>
      </c>
      <c r="E544" s="43">
        <f>'13. Desinvesteringen'!D546</f>
        <v>1972</v>
      </c>
      <c r="F544" s="48">
        <f>'13. Desinvesteringen'!E546</f>
        <v>7627</v>
      </c>
      <c r="G544" s="43">
        <f>'13. Desinvesteringen'!G546</f>
        <v>2023</v>
      </c>
    </row>
    <row r="545" spans="1:16383" s="240" customFormat="1">
      <c r="B545" s="43">
        <f>'13. Desinvesteringen'!B547</f>
        <v>528</v>
      </c>
      <c r="C545" s="3"/>
      <c r="D545" s="43" t="str">
        <f>'13. Desinvesteringen'!C547</f>
        <v>33 Exportstations</v>
      </c>
      <c r="E545" s="43">
        <f>'13. Desinvesteringen'!D547</f>
        <v>1974</v>
      </c>
      <c r="F545" s="48">
        <f>'13. Desinvesteringen'!E547</f>
        <v>12366</v>
      </c>
      <c r="G545" s="43">
        <f>'13. Desinvesteringen'!G547</f>
        <v>2023</v>
      </c>
    </row>
    <row r="546" spans="1:16383" s="240" customFormat="1">
      <c r="B546" s="43">
        <f>'13. Desinvesteringen'!B548</f>
        <v>529</v>
      </c>
      <c r="C546" s="3"/>
      <c r="D546" s="43" t="str">
        <f>'13. Desinvesteringen'!C548</f>
        <v>33 Exportstations</v>
      </c>
      <c r="E546" s="43">
        <f>'13. Desinvesteringen'!D548</f>
        <v>1975</v>
      </c>
      <c r="F546" s="48">
        <f>'13. Desinvesteringen'!E548</f>
        <v>28804</v>
      </c>
      <c r="G546" s="43">
        <f>'13. Desinvesteringen'!G548</f>
        <v>2023</v>
      </c>
    </row>
    <row r="547" spans="1:16383" s="240" customFormat="1">
      <c r="B547" s="43">
        <f>'13. Desinvesteringen'!B549</f>
        <v>530</v>
      </c>
      <c r="C547" s="3"/>
      <c r="D547" s="43" t="str">
        <f>'13. Desinvesteringen'!C549</f>
        <v>34 Reduceerstations</v>
      </c>
      <c r="E547" s="43">
        <f>'13. Desinvesteringen'!D549</f>
        <v>1979</v>
      </c>
      <c r="F547" s="48">
        <f>'13. Desinvesteringen'!E549</f>
        <v>1824</v>
      </c>
      <c r="G547" s="43">
        <f>'13. Desinvesteringen'!G549</f>
        <v>2023</v>
      </c>
    </row>
    <row r="548" spans="1:16383" s="240" customFormat="1">
      <c r="B548" s="43">
        <f>'13. Desinvesteringen'!B550</f>
        <v>531</v>
      </c>
      <c r="C548" s="3"/>
      <c r="D548" s="43" t="str">
        <f>'13. Desinvesteringen'!C550</f>
        <v>36 Luchtscheidingsunit</v>
      </c>
      <c r="E548" s="43">
        <f>'13. Desinvesteringen'!D550</f>
        <v>2007</v>
      </c>
      <c r="F548" s="48">
        <f>'13. Desinvesteringen'!E550</f>
        <v>4508703</v>
      </c>
      <c r="G548" s="43">
        <f>'13. Desinvesteringen'!G550</f>
        <v>2023</v>
      </c>
    </row>
    <row r="549" spans="1:16383">
      <c r="A549" s="3"/>
      <c r="B549" s="3"/>
      <c r="C549" s="3"/>
      <c r="D549" s="98"/>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row>
    <row r="550" spans="1:16383">
      <c r="A550" s="8"/>
      <c r="B550" s="8" t="s">
        <v>920</v>
      </c>
      <c r="C550" s="8"/>
      <c r="D550" s="8"/>
      <c r="E550" s="120">
        <v>1946</v>
      </c>
      <c r="F550" s="120">
        <v>1947</v>
      </c>
      <c r="G550" s="120">
        <v>1948</v>
      </c>
      <c r="H550" s="120">
        <v>1949</v>
      </c>
      <c r="I550" s="120">
        <v>1950</v>
      </c>
      <c r="J550" s="120">
        <v>1951</v>
      </c>
      <c r="K550" s="120">
        <v>1952</v>
      </c>
      <c r="L550" s="120">
        <v>1953</v>
      </c>
      <c r="M550" s="120">
        <v>1954</v>
      </c>
      <c r="N550" s="120">
        <v>1955</v>
      </c>
      <c r="O550" s="120">
        <v>1956</v>
      </c>
      <c r="P550" s="120">
        <v>1957</v>
      </c>
      <c r="Q550" s="120">
        <v>1958</v>
      </c>
      <c r="R550" s="120">
        <v>1959</v>
      </c>
      <c r="S550" s="120">
        <v>1960</v>
      </c>
      <c r="T550" s="120">
        <v>1961</v>
      </c>
      <c r="U550" s="120">
        <v>1962</v>
      </c>
      <c r="V550" s="120">
        <v>1963</v>
      </c>
      <c r="W550" s="120">
        <v>1964</v>
      </c>
      <c r="X550" s="120">
        <v>1965</v>
      </c>
      <c r="Y550" s="120">
        <v>1966</v>
      </c>
      <c r="Z550" s="120">
        <v>1967</v>
      </c>
      <c r="AA550" s="120">
        <v>1968</v>
      </c>
      <c r="AB550" s="120">
        <v>1969</v>
      </c>
      <c r="AC550" s="120">
        <v>1970</v>
      </c>
      <c r="AD550" s="120">
        <v>1971</v>
      </c>
      <c r="AE550" s="120">
        <v>1972</v>
      </c>
      <c r="AF550" s="120">
        <v>1973</v>
      </c>
      <c r="AG550" s="120">
        <v>1974</v>
      </c>
      <c r="AH550" s="120">
        <v>1975</v>
      </c>
      <c r="AI550" s="120">
        <v>1976</v>
      </c>
      <c r="AJ550" s="8">
        <v>1977</v>
      </c>
      <c r="AK550" s="8">
        <v>1978</v>
      </c>
      <c r="AL550" s="8">
        <v>1979</v>
      </c>
      <c r="AM550" s="8">
        <v>1980</v>
      </c>
      <c r="AN550" s="8">
        <v>1981</v>
      </c>
      <c r="AO550" s="8">
        <v>1982</v>
      </c>
      <c r="AP550" s="8">
        <v>1983</v>
      </c>
      <c r="AQ550" s="8">
        <v>1984</v>
      </c>
      <c r="AR550" s="8">
        <v>1985</v>
      </c>
      <c r="AS550" s="8">
        <v>1986</v>
      </c>
      <c r="AT550" s="8">
        <v>1987</v>
      </c>
      <c r="AU550" s="8">
        <v>1988</v>
      </c>
      <c r="AV550" s="8">
        <v>1989</v>
      </c>
      <c r="AW550" s="8">
        <v>1990</v>
      </c>
      <c r="AX550" s="8">
        <v>1991</v>
      </c>
      <c r="AY550" s="8">
        <v>1992</v>
      </c>
      <c r="AZ550" s="8">
        <v>1993</v>
      </c>
      <c r="BA550" s="8">
        <v>1994</v>
      </c>
      <c r="BB550" s="8">
        <v>1995</v>
      </c>
      <c r="BC550" s="8">
        <v>1996</v>
      </c>
      <c r="BD550" s="8">
        <v>1997</v>
      </c>
      <c r="BE550" s="8">
        <v>1998</v>
      </c>
      <c r="BF550" s="8">
        <v>1999</v>
      </c>
      <c r="BG550" s="8">
        <v>2000</v>
      </c>
      <c r="BH550" s="8">
        <v>2001</v>
      </c>
      <c r="BI550" s="8">
        <v>2002</v>
      </c>
      <c r="BJ550" s="8">
        <v>2003</v>
      </c>
      <c r="BK550" s="8">
        <v>2004</v>
      </c>
      <c r="BL550" s="8">
        <v>2005</v>
      </c>
      <c r="BM550" s="8">
        <v>2006</v>
      </c>
      <c r="BN550" s="8">
        <v>2007</v>
      </c>
      <c r="BO550" s="8">
        <v>2008</v>
      </c>
      <c r="BP550" s="8">
        <v>2009</v>
      </c>
      <c r="BQ550" s="8">
        <v>2010</v>
      </c>
      <c r="BR550" s="8">
        <v>2011</v>
      </c>
      <c r="BS550" s="8">
        <v>2012</v>
      </c>
      <c r="BT550" s="8">
        <v>2013</v>
      </c>
      <c r="BU550" s="8">
        <v>2014</v>
      </c>
      <c r="BV550" s="8">
        <v>2015</v>
      </c>
      <c r="BW550" s="8">
        <v>2016</v>
      </c>
      <c r="BX550" s="8">
        <v>2017</v>
      </c>
      <c r="BY550" s="8">
        <v>2018</v>
      </c>
      <c r="BZ550" s="8">
        <v>2019</v>
      </c>
      <c r="CA550" s="8">
        <v>2020</v>
      </c>
      <c r="CB550" s="8">
        <v>2021</v>
      </c>
      <c r="CC550" s="8">
        <v>2022</v>
      </c>
      <c r="CD550" s="8">
        <v>2023</v>
      </c>
      <c r="CE550" s="8">
        <v>2024</v>
      </c>
      <c r="CF550" s="8">
        <v>2025</v>
      </c>
      <c r="CG550" s="8">
        <v>2026</v>
      </c>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120"/>
      <c r="HW550" s="120"/>
      <c r="HX550" s="120"/>
      <c r="HY550" s="120"/>
      <c r="HZ550" s="120"/>
      <c r="IA550" s="120"/>
      <c r="IB550" s="120"/>
      <c r="IC550" s="120"/>
      <c r="ID550" s="120"/>
      <c r="IE550" s="120"/>
      <c r="IF550" s="120"/>
      <c r="IG550" s="120"/>
      <c r="IH550" s="120"/>
      <c r="II550" s="120"/>
      <c r="IJ550" s="120"/>
      <c r="IK550" s="120"/>
      <c r="IL550" s="120"/>
      <c r="IM550" s="120"/>
      <c r="IN550" s="120"/>
      <c r="IO550" s="120"/>
      <c r="IP550" s="120"/>
      <c r="IQ550" s="120"/>
      <c r="IR550" s="120"/>
      <c r="IS550" s="120"/>
      <c r="IT550" s="120"/>
      <c r="IU550" s="120"/>
      <c r="IV550" s="120"/>
      <c r="IW550" s="120"/>
      <c r="IX550" s="120"/>
      <c r="IY550" s="120"/>
      <c r="IZ550" s="120"/>
      <c r="JA550" s="120"/>
      <c r="JB550" s="120"/>
      <c r="JC550" s="120"/>
      <c r="JD550" s="120"/>
      <c r="JE550" s="120"/>
      <c r="JF550" s="120"/>
      <c r="JG550" s="120"/>
      <c r="JH550" s="120"/>
      <c r="JI550" s="120"/>
      <c r="JJ550" s="120"/>
      <c r="JK550" s="120"/>
      <c r="JL550" s="120"/>
      <c r="JM550" s="120"/>
      <c r="JN550" s="120"/>
      <c r="JO550" s="120"/>
      <c r="JP550" s="120"/>
      <c r="JQ550" s="120"/>
      <c r="JR550" s="120"/>
      <c r="JS550" s="120"/>
      <c r="JT550" s="120"/>
      <c r="JU550" s="120"/>
      <c r="JV550" s="120"/>
      <c r="JW550" s="120"/>
      <c r="JX550" s="120"/>
      <c r="JY550" s="120"/>
      <c r="JZ550" s="120"/>
      <c r="KA550" s="120"/>
      <c r="KB550" s="120"/>
      <c r="KC550" s="120"/>
      <c r="KD550" s="120"/>
      <c r="KE550" s="120"/>
      <c r="KF550" s="120"/>
      <c r="KG550" s="120"/>
      <c r="KH550" s="120"/>
      <c r="KI550" s="120"/>
      <c r="KJ550" s="120"/>
      <c r="KK550" s="120"/>
      <c r="KL550" s="120"/>
      <c r="KM550" s="120"/>
      <c r="KN550" s="120"/>
      <c r="KO550" s="120"/>
      <c r="KP550" s="120"/>
      <c r="KQ550" s="120"/>
      <c r="KR550" s="120"/>
      <c r="KS550" s="120"/>
      <c r="KT550" s="120"/>
      <c r="KU550" s="120"/>
      <c r="KV550" s="120"/>
      <c r="KW550" s="120"/>
      <c r="KX550" s="120"/>
      <c r="KY550" s="120"/>
      <c r="KZ550" s="120"/>
      <c r="LA550" s="120"/>
      <c r="LB550" s="120"/>
      <c r="LC550" s="120"/>
      <c r="LD550" s="120"/>
      <c r="LE550" s="120"/>
      <c r="LF550" s="120"/>
      <c r="LG550" s="120"/>
      <c r="LH550" s="120"/>
      <c r="LI550" s="120"/>
      <c r="LJ550" s="120"/>
      <c r="LK550" s="120"/>
      <c r="LL550" s="120"/>
      <c r="LM550" s="120"/>
      <c r="LN550" s="120"/>
      <c r="LO550" s="120"/>
      <c r="LP550" s="120"/>
      <c r="LQ550" s="120"/>
      <c r="LR550" s="120"/>
      <c r="LS550" s="120"/>
      <c r="LT550" s="120"/>
      <c r="LU550" s="120"/>
      <c r="LV550" s="120"/>
      <c r="LW550" s="120"/>
      <c r="LX550" s="120"/>
      <c r="LY550" s="120"/>
      <c r="LZ550" s="120"/>
      <c r="MA550" s="120"/>
      <c r="MB550" s="120"/>
      <c r="MC550" s="120"/>
      <c r="MD550" s="120"/>
      <c r="ME550" s="120"/>
      <c r="MF550" s="120"/>
      <c r="MG550" s="120"/>
      <c r="MH550" s="120"/>
      <c r="MI550" s="120"/>
      <c r="MJ550" s="120"/>
      <c r="MK550" s="120"/>
      <c r="ML550" s="120"/>
      <c r="MM550" s="120"/>
      <c r="MN550" s="120"/>
      <c r="MO550" s="120"/>
      <c r="MP550" s="120"/>
      <c r="MQ550" s="120"/>
      <c r="MR550" s="120"/>
      <c r="MS550" s="120"/>
      <c r="MT550" s="120"/>
      <c r="MU550" s="120"/>
      <c r="MV550" s="120"/>
      <c r="MW550" s="120"/>
      <c r="MX550" s="120"/>
      <c r="MY550" s="120"/>
      <c r="MZ550" s="120"/>
      <c r="NA550" s="120"/>
      <c r="NB550" s="120"/>
      <c r="NC550" s="120"/>
      <c r="ND550" s="120"/>
      <c r="NE550" s="120"/>
      <c r="NF550" s="120"/>
      <c r="NG550" s="120"/>
      <c r="NH550" s="120"/>
      <c r="NI550" s="120"/>
      <c r="NJ550" s="120"/>
      <c r="NK550" s="120"/>
      <c r="NL550" s="120"/>
      <c r="NM550" s="120"/>
      <c r="NN550" s="120"/>
      <c r="NO550" s="120"/>
      <c r="NP550" s="120"/>
      <c r="NQ550" s="120"/>
      <c r="NR550" s="120"/>
      <c r="NS550" s="120"/>
      <c r="NT550" s="120"/>
      <c r="NU550" s="120"/>
      <c r="NV550" s="120"/>
      <c r="NW550" s="120"/>
      <c r="NX550" s="120"/>
      <c r="NY550" s="120"/>
      <c r="NZ550" s="120"/>
      <c r="OA550" s="120"/>
      <c r="OB550" s="120"/>
      <c r="OC550" s="120"/>
      <c r="OD550" s="120"/>
      <c r="OE550" s="120"/>
      <c r="OF550" s="120"/>
      <c r="OG550" s="120"/>
      <c r="OH550" s="120"/>
      <c r="OI550" s="120"/>
      <c r="OJ550" s="120"/>
      <c r="OK550" s="120"/>
      <c r="OL550" s="120"/>
      <c r="OM550" s="120"/>
      <c r="ON550" s="120"/>
      <c r="OO550" s="120"/>
      <c r="OP550" s="120"/>
      <c r="OQ550" s="120"/>
      <c r="OR550" s="120"/>
      <c r="OS550" s="120"/>
      <c r="OT550" s="120"/>
      <c r="OU550" s="120"/>
      <c r="OV550" s="120"/>
      <c r="OW550" s="120"/>
      <c r="OX550" s="120"/>
      <c r="OY550" s="120"/>
      <c r="OZ550" s="120"/>
      <c r="PA550" s="120"/>
      <c r="PB550" s="120"/>
      <c r="PC550" s="120"/>
      <c r="PD550" s="120"/>
      <c r="PE550" s="120"/>
      <c r="PF550" s="120"/>
      <c r="PG550" s="120"/>
      <c r="PH550" s="120"/>
      <c r="PI550" s="120"/>
      <c r="PJ550" s="120"/>
      <c r="PK550" s="120"/>
      <c r="PL550" s="120"/>
      <c r="PM550" s="120"/>
      <c r="PN550" s="120"/>
      <c r="PO550" s="120"/>
      <c r="PP550" s="120"/>
      <c r="PQ550" s="120"/>
      <c r="PR550" s="120"/>
      <c r="PS550" s="120"/>
      <c r="PT550" s="120"/>
      <c r="PU550" s="120"/>
      <c r="PV550" s="120"/>
      <c r="PW550" s="120"/>
      <c r="PX550" s="120"/>
      <c r="PY550" s="120"/>
      <c r="PZ550" s="120"/>
      <c r="QA550" s="120"/>
      <c r="QB550" s="120"/>
      <c r="QC550" s="120"/>
      <c r="QD550" s="120"/>
      <c r="QE550" s="120"/>
      <c r="QF550" s="120"/>
      <c r="QG550" s="120"/>
      <c r="QH550" s="120"/>
      <c r="QI550" s="120"/>
      <c r="QJ550" s="120"/>
      <c r="QK550" s="120"/>
      <c r="QL550" s="120"/>
      <c r="QM550" s="120"/>
      <c r="QN550" s="120"/>
      <c r="QO550" s="120"/>
      <c r="QP550" s="120"/>
      <c r="QQ550" s="120"/>
      <c r="QR550" s="120"/>
      <c r="QS550" s="120"/>
      <c r="QT550" s="120"/>
      <c r="QU550" s="120"/>
      <c r="QV550" s="120"/>
      <c r="QW550" s="120"/>
      <c r="QX550" s="120"/>
      <c r="QY550" s="120"/>
      <c r="QZ550" s="120"/>
      <c r="RA550" s="120"/>
      <c r="RB550" s="120"/>
      <c r="RC550" s="120"/>
      <c r="RD550" s="120"/>
      <c r="RE550" s="120"/>
      <c r="RF550" s="120"/>
      <c r="RG550" s="120"/>
      <c r="RH550" s="120"/>
      <c r="RI550" s="120"/>
      <c r="RJ550" s="120"/>
      <c r="RK550" s="120"/>
      <c r="RL550" s="120"/>
      <c r="RM550" s="120"/>
      <c r="RN550" s="120"/>
      <c r="RO550" s="120"/>
      <c r="RP550" s="120"/>
      <c r="RQ550" s="120"/>
      <c r="RR550" s="120"/>
      <c r="RS550" s="120"/>
      <c r="RT550" s="120"/>
      <c r="RU550" s="120"/>
      <c r="RV550" s="120"/>
      <c r="RW550" s="120"/>
      <c r="RX550" s="120"/>
      <c r="RY550" s="120"/>
      <c r="RZ550" s="120"/>
      <c r="SA550" s="120"/>
      <c r="SB550" s="120"/>
      <c r="SC550" s="120"/>
      <c r="SD550" s="120"/>
      <c r="SE550" s="120"/>
      <c r="SF550" s="120"/>
      <c r="SG550" s="120"/>
      <c r="SH550" s="120"/>
      <c r="SI550" s="120"/>
      <c r="SJ550" s="120"/>
      <c r="SK550" s="120"/>
      <c r="SL550" s="120"/>
      <c r="SM550" s="120"/>
      <c r="SN550" s="120"/>
      <c r="SO550" s="120"/>
      <c r="SP550" s="120"/>
      <c r="SQ550" s="120"/>
      <c r="SR550" s="120"/>
      <c r="SS550" s="120"/>
      <c r="ST550" s="120"/>
      <c r="SU550" s="120"/>
      <c r="SV550" s="120"/>
      <c r="SW550" s="120"/>
      <c r="SX550" s="120"/>
      <c r="SY550" s="120"/>
      <c r="SZ550" s="120"/>
      <c r="TA550" s="120"/>
      <c r="TB550" s="120"/>
      <c r="TC550" s="120"/>
      <c r="TD550" s="120"/>
      <c r="TE550" s="120"/>
      <c r="TF550" s="120"/>
      <c r="TG550" s="120"/>
      <c r="TH550" s="120"/>
      <c r="TI550" s="120"/>
      <c r="TJ550" s="120"/>
      <c r="TK550" s="120"/>
      <c r="TL550" s="120"/>
      <c r="TM550" s="120"/>
      <c r="TN550" s="120"/>
      <c r="TO550" s="120"/>
      <c r="TP550" s="120"/>
      <c r="TQ550" s="120"/>
      <c r="TR550" s="120"/>
      <c r="TS550" s="120"/>
      <c r="TT550" s="120"/>
      <c r="TU550" s="120"/>
      <c r="TV550" s="120"/>
      <c r="TW550" s="120"/>
      <c r="TX550" s="120"/>
      <c r="TY550" s="120"/>
      <c r="TZ550" s="120"/>
      <c r="UA550" s="120"/>
      <c r="UB550" s="120"/>
      <c r="UC550" s="120"/>
      <c r="UD550" s="120"/>
      <c r="UE550" s="120"/>
      <c r="UF550" s="120"/>
      <c r="UG550" s="120"/>
      <c r="UH550" s="120"/>
      <c r="UI550" s="120"/>
      <c r="UJ550" s="120"/>
      <c r="UK550" s="120"/>
      <c r="UL550" s="120"/>
      <c r="UM550" s="120"/>
      <c r="UN550" s="120"/>
      <c r="UO550" s="120"/>
      <c r="UP550" s="120"/>
      <c r="UQ550" s="120"/>
      <c r="UR550" s="120"/>
      <c r="US550" s="120"/>
      <c r="UT550" s="120"/>
      <c r="UU550" s="120"/>
      <c r="UV550" s="120"/>
      <c r="UW550" s="120"/>
      <c r="UX550" s="120"/>
      <c r="UY550" s="120"/>
      <c r="UZ550" s="120"/>
      <c r="VA550" s="120"/>
      <c r="VB550" s="120"/>
      <c r="VC550" s="120"/>
      <c r="VD550" s="120"/>
      <c r="VE550" s="120"/>
      <c r="VF550" s="120"/>
      <c r="VG550" s="120"/>
      <c r="VH550" s="120"/>
      <c r="VI550" s="120"/>
      <c r="VJ550" s="120"/>
      <c r="VK550" s="120"/>
      <c r="VL550" s="120"/>
      <c r="VM550" s="120"/>
      <c r="VN550" s="120"/>
      <c r="VO550" s="120"/>
      <c r="VP550" s="120"/>
      <c r="VQ550" s="120"/>
      <c r="VR550" s="120"/>
      <c r="VS550" s="120"/>
      <c r="VT550" s="120"/>
      <c r="VU550" s="120"/>
      <c r="VV550" s="120"/>
      <c r="VW550" s="120"/>
      <c r="VX550" s="120"/>
      <c r="VY550" s="120"/>
      <c r="VZ550" s="120"/>
      <c r="WA550" s="120"/>
      <c r="WB550" s="120"/>
      <c r="WC550" s="120"/>
      <c r="WD550" s="120"/>
      <c r="WE550" s="120"/>
      <c r="WF550" s="120"/>
      <c r="WG550" s="120"/>
      <c r="WH550" s="120"/>
      <c r="WI550" s="120"/>
      <c r="WJ550" s="120"/>
      <c r="WK550" s="120"/>
      <c r="WL550" s="120"/>
      <c r="WM550" s="120"/>
      <c r="WN550" s="120"/>
      <c r="WO550" s="120"/>
      <c r="WP550" s="120"/>
      <c r="WQ550" s="120"/>
      <c r="WR550" s="120"/>
      <c r="WS550" s="120"/>
      <c r="WT550" s="120"/>
      <c r="WU550" s="120"/>
      <c r="WV550" s="120"/>
      <c r="WW550" s="120"/>
      <c r="WX550" s="120"/>
      <c r="WY550" s="120"/>
      <c r="WZ550" s="120"/>
      <c r="XA550" s="120"/>
      <c r="XB550" s="120"/>
      <c r="XC550" s="120"/>
      <c r="XD550" s="120"/>
      <c r="XE550" s="120"/>
      <c r="XF550" s="120"/>
      <c r="XG550" s="120"/>
      <c r="XH550" s="120"/>
      <c r="XI550" s="120"/>
      <c r="XJ550" s="120"/>
      <c r="XK550" s="120"/>
      <c r="XL550" s="120"/>
      <c r="XM550" s="120"/>
      <c r="XN550" s="120"/>
      <c r="XO550" s="120"/>
      <c r="XP550" s="120"/>
      <c r="XQ550" s="120"/>
      <c r="XR550" s="120"/>
      <c r="XS550" s="120"/>
      <c r="XT550" s="120"/>
      <c r="XU550" s="120"/>
      <c r="XV550" s="120"/>
      <c r="XW550" s="120"/>
      <c r="XX550" s="120"/>
      <c r="XY550" s="120"/>
      <c r="XZ550" s="120"/>
      <c r="YA550" s="120"/>
      <c r="YB550" s="120"/>
      <c r="YC550" s="120"/>
      <c r="YD550" s="120"/>
      <c r="YE550" s="120"/>
      <c r="YF550" s="120"/>
      <c r="YG550" s="120"/>
      <c r="YH550" s="120"/>
      <c r="YI550" s="120"/>
      <c r="YJ550" s="120"/>
      <c r="YK550" s="120"/>
      <c r="YL550" s="120"/>
      <c r="YM550" s="120"/>
      <c r="YN550" s="120"/>
      <c r="YO550" s="120"/>
      <c r="YP550" s="120"/>
      <c r="YQ550" s="120"/>
      <c r="YR550" s="120"/>
      <c r="YS550" s="120"/>
      <c r="YT550" s="120"/>
      <c r="YU550" s="120"/>
      <c r="YV550" s="120"/>
      <c r="YW550" s="120"/>
      <c r="YX550" s="120"/>
      <c r="YY550" s="120"/>
      <c r="YZ550" s="120"/>
      <c r="ZA550" s="120"/>
      <c r="ZB550" s="120"/>
      <c r="ZC550" s="120"/>
      <c r="ZD550" s="120"/>
      <c r="ZE550" s="120"/>
      <c r="ZF550" s="120"/>
      <c r="ZG550" s="120"/>
      <c r="ZH550" s="120"/>
      <c r="ZI550" s="120"/>
      <c r="ZJ550" s="120"/>
      <c r="ZK550" s="120"/>
      <c r="ZL550" s="120"/>
      <c r="ZM550" s="120"/>
      <c r="ZN550" s="120"/>
      <c r="ZO550" s="120"/>
      <c r="ZP550" s="120"/>
      <c r="ZQ550" s="120"/>
      <c r="ZR550" s="120"/>
      <c r="ZS550" s="120"/>
      <c r="ZT550" s="120"/>
      <c r="ZU550" s="120"/>
      <c r="ZV550" s="120"/>
      <c r="ZW550" s="120"/>
      <c r="ZX550" s="120"/>
      <c r="ZY550" s="120"/>
      <c r="ZZ550" s="120"/>
      <c r="AAA550" s="120"/>
      <c r="AAB550" s="120"/>
      <c r="AAC550" s="120"/>
      <c r="AAD550" s="120"/>
      <c r="AAE550" s="120"/>
      <c r="AAF550" s="120"/>
      <c r="AAG550" s="120"/>
      <c r="AAH550" s="120"/>
      <c r="AAI550" s="120"/>
      <c r="AAJ550" s="120"/>
      <c r="AAK550" s="120"/>
      <c r="AAL550" s="120"/>
      <c r="AAM550" s="120"/>
      <c r="AAN550" s="120"/>
      <c r="AAO550" s="120"/>
      <c r="AAP550" s="120"/>
      <c r="AAQ550" s="120"/>
      <c r="AAR550" s="120"/>
      <c r="AAS550" s="120"/>
      <c r="AAT550" s="120"/>
      <c r="AAU550" s="120"/>
      <c r="AAV550" s="120"/>
      <c r="AAW550" s="120"/>
      <c r="AAX550" s="120"/>
      <c r="AAY550" s="120"/>
      <c r="AAZ550" s="120"/>
      <c r="ABA550" s="120"/>
      <c r="ABB550" s="120"/>
      <c r="ABC550" s="120"/>
      <c r="ABD550" s="120"/>
      <c r="ABE550" s="120"/>
      <c r="ABF550" s="120"/>
      <c r="ABG550" s="120"/>
      <c r="ABH550" s="120"/>
      <c r="ABI550" s="120"/>
      <c r="ABJ550" s="120"/>
      <c r="ABK550" s="120"/>
      <c r="ABL550" s="120"/>
      <c r="ABM550" s="120"/>
      <c r="ABN550" s="120"/>
      <c r="ABO550" s="120"/>
      <c r="ABP550" s="120"/>
      <c r="ABQ550" s="120"/>
      <c r="ABR550" s="120"/>
      <c r="ABS550" s="120"/>
      <c r="ABT550" s="120"/>
      <c r="ABU550" s="120"/>
      <c r="ABV550" s="120"/>
      <c r="ABW550" s="120"/>
      <c r="ABX550" s="120"/>
      <c r="ABY550" s="120"/>
      <c r="ABZ550" s="120"/>
      <c r="ACA550" s="120"/>
      <c r="ACB550" s="120"/>
      <c r="ACC550" s="120"/>
      <c r="ACD550" s="120"/>
      <c r="ACE550" s="120"/>
      <c r="ACF550" s="120"/>
      <c r="ACG550" s="120"/>
      <c r="ACH550" s="120"/>
      <c r="ACI550" s="120"/>
      <c r="ACJ550" s="120"/>
      <c r="ACK550" s="120"/>
      <c r="ACL550" s="120"/>
      <c r="ACM550" s="120"/>
      <c r="ACN550" s="120"/>
      <c r="ACO550" s="120"/>
      <c r="ACP550" s="120"/>
      <c r="ACQ550" s="120"/>
      <c r="ACR550" s="120"/>
      <c r="ACS550" s="120"/>
      <c r="ACT550" s="120"/>
      <c r="ACU550" s="120"/>
      <c r="ACV550" s="120"/>
      <c r="ACW550" s="120"/>
      <c r="ACX550" s="120"/>
      <c r="ACY550" s="120"/>
      <c r="ACZ550" s="120"/>
      <c r="ADA550" s="120"/>
      <c r="ADB550" s="120"/>
      <c r="ADC550" s="120"/>
      <c r="ADD550" s="120"/>
      <c r="ADE550" s="120"/>
      <c r="ADF550" s="120"/>
      <c r="ADG550" s="120"/>
      <c r="ADH550" s="120"/>
      <c r="ADI550" s="120"/>
      <c r="ADJ550" s="120"/>
      <c r="ADK550" s="120"/>
      <c r="ADL550" s="120"/>
      <c r="ADM550" s="120"/>
      <c r="ADN550" s="120"/>
      <c r="ADO550" s="120"/>
      <c r="ADP550" s="120"/>
      <c r="ADQ550" s="120"/>
      <c r="ADR550" s="120"/>
      <c r="ADS550" s="120"/>
      <c r="ADT550" s="120"/>
      <c r="ADU550" s="120"/>
      <c r="ADV550" s="120"/>
      <c r="ADW550" s="120"/>
      <c r="ADX550" s="120"/>
      <c r="ADY550" s="120"/>
      <c r="ADZ550" s="120"/>
      <c r="AEA550" s="120"/>
      <c r="AEB550" s="120"/>
      <c r="AEC550" s="120"/>
      <c r="AED550" s="120"/>
      <c r="AEE550" s="120"/>
      <c r="AEF550" s="120"/>
      <c r="AEG550" s="120"/>
      <c r="AEH550" s="120"/>
      <c r="AEI550" s="120"/>
      <c r="AEJ550" s="120"/>
      <c r="AEK550" s="120"/>
      <c r="AEL550" s="120"/>
      <c r="AEM550" s="120"/>
      <c r="AEN550" s="120"/>
      <c r="AEO550" s="120"/>
      <c r="AEP550" s="120"/>
      <c r="AEQ550" s="120"/>
      <c r="AER550" s="120"/>
      <c r="AES550" s="120"/>
      <c r="AET550" s="120"/>
      <c r="AEU550" s="120"/>
      <c r="AEV550" s="120"/>
      <c r="AEW550" s="120"/>
      <c r="AEX550" s="120"/>
      <c r="AEY550" s="120"/>
      <c r="AEZ550" s="120"/>
      <c r="AFA550" s="120"/>
      <c r="AFB550" s="120"/>
      <c r="AFC550" s="120"/>
      <c r="AFD550" s="120"/>
      <c r="AFE550" s="120"/>
      <c r="AFF550" s="120"/>
      <c r="AFG550" s="120"/>
      <c r="AFH550" s="120"/>
      <c r="AFI550" s="120"/>
      <c r="AFJ550" s="120"/>
      <c r="AFK550" s="120"/>
      <c r="AFL550" s="120"/>
      <c r="AFM550" s="120"/>
      <c r="AFN550" s="120"/>
      <c r="AFO550" s="120"/>
      <c r="AFP550" s="120"/>
      <c r="AFQ550" s="120"/>
      <c r="AFR550" s="120"/>
      <c r="AFS550" s="120"/>
      <c r="AFT550" s="120"/>
      <c r="AFU550" s="120"/>
      <c r="AFV550" s="120"/>
      <c r="AFW550" s="120"/>
      <c r="AFX550" s="120"/>
      <c r="AFY550" s="120"/>
      <c r="AFZ550" s="120"/>
      <c r="AGA550" s="120"/>
      <c r="AGB550" s="120"/>
      <c r="AGC550" s="120"/>
      <c r="AGD550" s="120"/>
      <c r="AGE550" s="120"/>
      <c r="AGF550" s="120"/>
      <c r="AGG550" s="120"/>
      <c r="AGH550" s="120"/>
      <c r="AGI550" s="120"/>
      <c r="AGJ550" s="120"/>
      <c r="AGK550" s="120"/>
      <c r="AGL550" s="120"/>
      <c r="AGM550" s="120"/>
      <c r="AGN550" s="120"/>
      <c r="AGO550" s="120"/>
      <c r="AGP550" s="120"/>
      <c r="AGQ550" s="120"/>
      <c r="AGR550" s="120"/>
      <c r="AGS550" s="120"/>
      <c r="AGT550" s="120"/>
      <c r="AGU550" s="120"/>
      <c r="AGV550" s="120"/>
      <c r="AGW550" s="120"/>
      <c r="AGX550" s="120"/>
      <c r="AGY550" s="120"/>
      <c r="AGZ550" s="120"/>
      <c r="AHA550" s="120"/>
      <c r="AHB550" s="120"/>
      <c r="AHC550" s="120"/>
      <c r="AHD550" s="120"/>
      <c r="AHE550" s="120"/>
      <c r="AHF550" s="120"/>
      <c r="AHG550" s="120"/>
      <c r="AHH550" s="120"/>
      <c r="AHI550" s="120"/>
      <c r="AHJ550" s="120"/>
      <c r="AHK550" s="120"/>
      <c r="AHL550" s="120"/>
      <c r="AHM550" s="120"/>
      <c r="AHN550" s="120"/>
      <c r="AHO550" s="120"/>
      <c r="AHP550" s="120"/>
      <c r="AHQ550" s="120"/>
      <c r="AHR550" s="120"/>
      <c r="AHS550" s="120"/>
      <c r="AHT550" s="120"/>
      <c r="AHU550" s="120"/>
      <c r="AHV550" s="120"/>
      <c r="AHW550" s="120"/>
      <c r="AHX550" s="120"/>
      <c r="AHY550" s="120"/>
      <c r="AHZ550" s="120"/>
      <c r="AIA550" s="120"/>
      <c r="AIB550" s="120"/>
      <c r="AIC550" s="120"/>
      <c r="AID550" s="120"/>
      <c r="AIE550" s="120"/>
      <c r="AIF550" s="120"/>
      <c r="AIG550" s="120"/>
      <c r="AIH550" s="120"/>
      <c r="AII550" s="120"/>
      <c r="AIJ550" s="120"/>
      <c r="AIK550" s="120"/>
      <c r="AIL550" s="120"/>
      <c r="AIM550" s="120"/>
      <c r="AIN550" s="120"/>
      <c r="AIO550" s="120"/>
      <c r="AIP550" s="120"/>
      <c r="AIQ550" s="120"/>
      <c r="AIR550" s="120"/>
      <c r="AIS550" s="120"/>
      <c r="AIT550" s="120"/>
      <c r="AIU550" s="120"/>
      <c r="AIV550" s="120"/>
      <c r="AIW550" s="120"/>
      <c r="AIX550" s="120"/>
      <c r="AIY550" s="120"/>
      <c r="AIZ550" s="120"/>
      <c r="AJA550" s="120"/>
      <c r="AJB550" s="120"/>
      <c r="AJC550" s="120"/>
      <c r="AJD550" s="120"/>
      <c r="AJE550" s="120"/>
      <c r="AJF550" s="120"/>
      <c r="AJG550" s="120"/>
      <c r="AJH550" s="120"/>
      <c r="AJI550" s="120"/>
      <c r="AJJ550" s="120"/>
      <c r="AJK550" s="120"/>
      <c r="AJL550" s="120"/>
      <c r="AJM550" s="120"/>
      <c r="AJN550" s="120"/>
      <c r="AJO550" s="120"/>
      <c r="AJP550" s="120"/>
      <c r="AJQ550" s="120"/>
      <c r="AJR550" s="120"/>
      <c r="AJS550" s="120"/>
      <c r="AJT550" s="120"/>
      <c r="AJU550" s="120"/>
      <c r="AJV550" s="120"/>
      <c r="AJW550" s="120"/>
      <c r="AJX550" s="120"/>
      <c r="AJY550" s="120"/>
      <c r="AJZ550" s="120"/>
      <c r="AKA550" s="120"/>
      <c r="AKB550" s="120"/>
      <c r="AKC550" s="120"/>
      <c r="AKD550" s="120"/>
      <c r="AKE550" s="120"/>
      <c r="AKF550" s="120"/>
      <c r="AKG550" s="120"/>
      <c r="AKH550" s="120"/>
      <c r="AKI550" s="120"/>
      <c r="AKJ550" s="120"/>
      <c r="AKK550" s="120"/>
      <c r="AKL550" s="120"/>
      <c r="AKM550" s="120"/>
      <c r="AKN550" s="120"/>
      <c r="AKO550" s="120"/>
      <c r="AKP550" s="120"/>
      <c r="AKQ550" s="120"/>
      <c r="AKR550" s="120"/>
      <c r="AKS550" s="120"/>
      <c r="AKT550" s="120"/>
      <c r="AKU550" s="120"/>
      <c r="AKV550" s="120"/>
      <c r="AKW550" s="120"/>
      <c r="AKX550" s="120"/>
      <c r="AKY550" s="120"/>
      <c r="AKZ550" s="120"/>
      <c r="ALA550" s="120"/>
      <c r="ALB550" s="120"/>
      <c r="ALC550" s="120"/>
      <c r="ALD550" s="120"/>
      <c r="ALE550" s="120"/>
      <c r="ALF550" s="120"/>
      <c r="ALG550" s="120"/>
      <c r="ALH550" s="120"/>
      <c r="ALI550" s="120"/>
      <c r="ALJ550" s="120"/>
      <c r="ALK550" s="120"/>
      <c r="ALL550" s="120"/>
      <c r="ALM550" s="120"/>
      <c r="ALN550" s="120"/>
      <c r="ALO550" s="120"/>
      <c r="ALP550" s="120"/>
      <c r="ALQ550" s="120"/>
      <c r="ALR550" s="120"/>
      <c r="ALS550" s="120"/>
      <c r="ALT550" s="120"/>
      <c r="ALU550" s="120"/>
      <c r="ALV550" s="120"/>
      <c r="ALW550" s="120"/>
      <c r="ALX550" s="120"/>
      <c r="ALY550" s="120"/>
      <c r="ALZ550" s="120"/>
      <c r="AMA550" s="120"/>
      <c r="AMB550" s="120"/>
      <c r="AMC550" s="120"/>
      <c r="AMD550" s="120"/>
      <c r="AME550" s="120"/>
      <c r="AMF550" s="120"/>
      <c r="AMG550" s="120"/>
      <c r="AMH550" s="120"/>
      <c r="AMI550" s="120"/>
      <c r="AMJ550" s="120"/>
      <c r="AMK550" s="120"/>
      <c r="AML550" s="120"/>
      <c r="AMM550" s="120"/>
      <c r="AMN550" s="120"/>
      <c r="AMO550" s="120"/>
      <c r="AMP550" s="120"/>
      <c r="AMQ550" s="120"/>
      <c r="AMR550" s="120"/>
      <c r="AMS550" s="120"/>
      <c r="AMT550" s="120"/>
      <c r="AMU550" s="120"/>
      <c r="AMV550" s="120"/>
      <c r="AMW550" s="120"/>
      <c r="AMX550" s="120"/>
      <c r="AMY550" s="120"/>
      <c r="AMZ550" s="120"/>
      <c r="ANA550" s="120"/>
      <c r="ANB550" s="120"/>
      <c r="ANC550" s="120"/>
      <c r="AND550" s="120"/>
      <c r="ANE550" s="120"/>
      <c r="ANF550" s="120"/>
      <c r="ANG550" s="120"/>
      <c r="ANH550" s="120"/>
      <c r="ANI550" s="120"/>
      <c r="ANJ550" s="120"/>
      <c r="ANK550" s="120"/>
      <c r="ANL550" s="120"/>
      <c r="ANM550" s="120"/>
      <c r="ANN550" s="120"/>
      <c r="ANO550" s="120"/>
      <c r="ANP550" s="120"/>
      <c r="ANQ550" s="120"/>
      <c r="ANR550" s="120"/>
      <c r="ANS550" s="120"/>
      <c r="ANT550" s="120"/>
      <c r="ANU550" s="120"/>
      <c r="ANV550" s="120"/>
      <c r="ANW550" s="120"/>
      <c r="ANX550" s="120"/>
      <c r="ANY550" s="120"/>
      <c r="ANZ550" s="120"/>
      <c r="AOA550" s="120"/>
      <c r="AOB550" s="120"/>
      <c r="AOC550" s="120"/>
      <c r="AOD550" s="120"/>
      <c r="AOE550" s="120"/>
      <c r="AOF550" s="120"/>
      <c r="AOG550" s="120"/>
      <c r="AOH550" s="120"/>
      <c r="AOI550" s="120"/>
      <c r="AOJ550" s="120"/>
      <c r="AOK550" s="120"/>
      <c r="AOL550" s="120"/>
      <c r="AOM550" s="120"/>
      <c r="AON550" s="120"/>
      <c r="AOO550" s="120"/>
      <c r="AOP550" s="120"/>
      <c r="AOQ550" s="120"/>
      <c r="AOR550" s="120"/>
      <c r="AOS550" s="120"/>
      <c r="AOT550" s="120"/>
      <c r="AOU550" s="120"/>
      <c r="AOV550" s="120"/>
      <c r="AOW550" s="120"/>
      <c r="AOX550" s="120"/>
      <c r="AOY550" s="120"/>
      <c r="AOZ550" s="120"/>
      <c r="APA550" s="120"/>
      <c r="APB550" s="120"/>
      <c r="APC550" s="120"/>
      <c r="APD550" s="120"/>
      <c r="APE550" s="120"/>
      <c r="APF550" s="120"/>
      <c r="APG550" s="120"/>
      <c r="APH550" s="120"/>
      <c r="API550" s="120"/>
      <c r="APJ550" s="120"/>
      <c r="APK550" s="120"/>
      <c r="APL550" s="120"/>
      <c r="APM550" s="120"/>
      <c r="APN550" s="120"/>
      <c r="APO550" s="120"/>
      <c r="APP550" s="120"/>
      <c r="APQ550" s="120"/>
      <c r="APR550" s="120"/>
      <c r="APS550" s="120"/>
      <c r="APT550" s="120"/>
      <c r="APU550" s="120"/>
      <c r="APV550" s="120"/>
      <c r="APW550" s="120"/>
      <c r="APX550" s="120"/>
      <c r="APY550" s="120"/>
      <c r="APZ550" s="120"/>
      <c r="AQA550" s="120"/>
      <c r="AQB550" s="120"/>
      <c r="AQC550" s="120"/>
      <c r="AQD550" s="120"/>
      <c r="AQE550" s="120"/>
      <c r="AQF550" s="120"/>
      <c r="AQG550" s="120"/>
      <c r="AQH550" s="120"/>
      <c r="AQI550" s="120"/>
      <c r="AQJ550" s="120"/>
      <c r="AQK550" s="120"/>
      <c r="AQL550" s="120"/>
      <c r="AQM550" s="120"/>
      <c r="AQN550" s="120"/>
      <c r="AQO550" s="120"/>
      <c r="AQP550" s="120"/>
      <c r="AQQ550" s="120"/>
      <c r="AQR550" s="120"/>
      <c r="AQS550" s="120"/>
      <c r="AQT550" s="120"/>
      <c r="AQU550" s="120"/>
      <c r="AQV550" s="120"/>
      <c r="AQW550" s="120"/>
      <c r="AQX550" s="120"/>
      <c r="AQY550" s="120"/>
      <c r="AQZ550" s="120"/>
      <c r="ARA550" s="120"/>
      <c r="ARB550" s="120"/>
      <c r="ARC550" s="120"/>
      <c r="ARD550" s="120"/>
      <c r="ARE550" s="120"/>
      <c r="ARF550" s="120"/>
      <c r="ARG550" s="120"/>
      <c r="ARH550" s="120"/>
      <c r="ARI550" s="120"/>
      <c r="ARJ550" s="120"/>
      <c r="ARK550" s="120"/>
      <c r="ARL550" s="120"/>
      <c r="ARM550" s="120"/>
      <c r="ARN550" s="120"/>
      <c r="ARO550" s="120"/>
      <c r="ARP550" s="120"/>
      <c r="ARQ550" s="120"/>
      <c r="ARR550" s="120"/>
      <c r="ARS550" s="120"/>
      <c r="ART550" s="120"/>
      <c r="ARU550" s="120"/>
      <c r="ARV550" s="120"/>
      <c r="ARW550" s="120"/>
      <c r="ARX550" s="120"/>
      <c r="ARY550" s="120"/>
      <c r="ARZ550" s="120"/>
      <c r="ASA550" s="120"/>
      <c r="ASB550" s="120"/>
      <c r="ASC550" s="120"/>
      <c r="ASD550" s="120"/>
      <c r="ASE550" s="120"/>
      <c r="ASF550" s="120"/>
      <c r="ASG550" s="120"/>
      <c r="ASH550" s="120"/>
      <c r="ASI550" s="120"/>
      <c r="ASJ550" s="120"/>
      <c r="ASK550" s="120"/>
      <c r="ASL550" s="120"/>
      <c r="ASM550" s="120"/>
      <c r="ASN550" s="120"/>
      <c r="ASO550" s="120"/>
      <c r="ASP550" s="120"/>
      <c r="ASQ550" s="120"/>
      <c r="ASR550" s="120"/>
      <c r="ASS550" s="120"/>
      <c r="AST550" s="120"/>
      <c r="ASU550" s="120"/>
      <c r="ASV550" s="120"/>
      <c r="ASW550" s="120"/>
      <c r="ASX550" s="120"/>
      <c r="ASY550" s="120"/>
      <c r="ASZ550" s="120"/>
      <c r="ATA550" s="120"/>
      <c r="ATB550" s="120"/>
      <c r="ATC550" s="120"/>
      <c r="ATD550" s="120"/>
      <c r="ATE550" s="120"/>
      <c r="ATF550" s="120"/>
      <c r="ATG550" s="120"/>
      <c r="ATH550" s="120"/>
      <c r="ATI550" s="120"/>
      <c r="ATJ550" s="120"/>
      <c r="ATK550" s="120"/>
      <c r="ATL550" s="120"/>
      <c r="ATM550" s="120"/>
      <c r="ATN550" s="120"/>
      <c r="ATO550" s="120"/>
      <c r="ATP550" s="120"/>
      <c r="ATQ550" s="120"/>
      <c r="ATR550" s="120"/>
      <c r="ATS550" s="120"/>
      <c r="ATT550" s="120"/>
      <c r="ATU550" s="120"/>
      <c r="ATV550" s="120"/>
      <c r="ATW550" s="120"/>
      <c r="ATX550" s="120"/>
      <c r="ATY550" s="120"/>
      <c r="ATZ550" s="120"/>
      <c r="AUA550" s="120"/>
      <c r="AUB550" s="120"/>
      <c r="AUC550" s="120"/>
      <c r="AUD550" s="120"/>
      <c r="AUE550" s="120"/>
      <c r="AUF550" s="120"/>
      <c r="AUG550" s="120"/>
      <c r="AUH550" s="120"/>
      <c r="AUI550" s="120"/>
      <c r="AUJ550" s="120"/>
      <c r="AUK550" s="120"/>
      <c r="AUL550" s="120"/>
      <c r="AUM550" s="120"/>
      <c r="AUN550" s="120"/>
      <c r="AUO550" s="120"/>
      <c r="AUP550" s="120"/>
      <c r="AUQ550" s="120"/>
      <c r="AUR550" s="120"/>
      <c r="AUS550" s="120"/>
      <c r="AUT550" s="120"/>
      <c r="AUU550" s="120"/>
      <c r="AUV550" s="120"/>
      <c r="AUW550" s="120"/>
      <c r="AUX550" s="120"/>
      <c r="AUY550" s="120"/>
      <c r="AUZ550" s="120"/>
      <c r="AVA550" s="120"/>
      <c r="AVB550" s="120"/>
      <c r="AVC550" s="120"/>
      <c r="AVD550" s="120"/>
      <c r="AVE550" s="120"/>
      <c r="AVF550" s="120"/>
      <c r="AVG550" s="120"/>
      <c r="AVH550" s="120"/>
      <c r="AVI550" s="120"/>
      <c r="AVJ550" s="120"/>
      <c r="AVK550" s="120"/>
      <c r="AVL550" s="120"/>
      <c r="AVM550" s="120"/>
      <c r="AVN550" s="120"/>
      <c r="AVO550" s="120"/>
      <c r="AVP550" s="120"/>
      <c r="AVQ550" s="120"/>
      <c r="AVR550" s="120"/>
      <c r="AVS550" s="120"/>
      <c r="AVT550" s="120"/>
      <c r="AVU550" s="120"/>
      <c r="AVV550" s="120"/>
      <c r="AVW550" s="120"/>
      <c r="AVX550" s="120"/>
      <c r="AVY550" s="120"/>
      <c r="AVZ550" s="120"/>
      <c r="AWA550" s="120"/>
      <c r="AWB550" s="120"/>
      <c r="AWC550" s="120"/>
      <c r="AWD550" s="120"/>
      <c r="AWE550" s="120"/>
      <c r="AWF550" s="120"/>
      <c r="AWG550" s="120"/>
      <c r="AWH550" s="120"/>
      <c r="AWI550" s="120"/>
      <c r="AWJ550" s="120"/>
      <c r="AWK550" s="120"/>
      <c r="AWL550" s="120"/>
      <c r="AWM550" s="120"/>
      <c r="AWN550" s="120"/>
      <c r="AWO550" s="120"/>
      <c r="AWP550" s="120"/>
      <c r="AWQ550" s="120"/>
      <c r="AWR550" s="120"/>
      <c r="AWS550" s="120"/>
      <c r="AWT550" s="120"/>
      <c r="AWU550" s="120"/>
      <c r="AWV550" s="120"/>
      <c r="AWW550" s="120"/>
      <c r="AWX550" s="120"/>
      <c r="AWY550" s="120"/>
      <c r="AWZ550" s="120"/>
      <c r="AXA550" s="120"/>
      <c r="AXB550" s="120"/>
      <c r="AXC550" s="120"/>
      <c r="AXD550" s="120"/>
      <c r="AXE550" s="120"/>
      <c r="AXF550" s="120"/>
      <c r="AXG550" s="120"/>
      <c r="AXH550" s="120"/>
      <c r="AXI550" s="120"/>
      <c r="AXJ550" s="120"/>
      <c r="AXK550" s="120"/>
      <c r="AXL550" s="120"/>
      <c r="AXM550" s="120"/>
      <c r="AXN550" s="120"/>
      <c r="AXO550" s="120"/>
      <c r="AXP550" s="120"/>
      <c r="AXQ550" s="120"/>
      <c r="AXR550" s="120"/>
      <c r="AXS550" s="120"/>
      <c r="AXT550" s="120"/>
      <c r="AXU550" s="120"/>
      <c r="AXV550" s="120"/>
      <c r="AXW550" s="120"/>
      <c r="AXX550" s="120"/>
      <c r="AXY550" s="120"/>
      <c r="AXZ550" s="120"/>
      <c r="AYA550" s="120"/>
      <c r="AYB550" s="120"/>
      <c r="AYC550" s="120"/>
      <c r="AYD550" s="120"/>
      <c r="AYE550" s="120"/>
      <c r="AYF550" s="120"/>
      <c r="AYG550" s="120"/>
      <c r="AYH550" s="120"/>
      <c r="AYI550" s="120"/>
      <c r="AYJ550" s="120"/>
      <c r="AYK550" s="120"/>
      <c r="AYL550" s="120"/>
      <c r="AYM550" s="120"/>
      <c r="AYN550" s="120"/>
      <c r="AYO550" s="120"/>
      <c r="AYP550" s="120"/>
      <c r="AYQ550" s="120"/>
      <c r="AYR550" s="120"/>
      <c r="AYS550" s="120"/>
      <c r="AYT550" s="120"/>
      <c r="AYU550" s="120"/>
      <c r="AYV550" s="120"/>
      <c r="AYW550" s="120"/>
      <c r="AYX550" s="120"/>
      <c r="AYY550" s="120"/>
      <c r="AYZ550" s="120"/>
      <c r="AZA550" s="120"/>
      <c r="AZB550" s="120"/>
      <c r="AZC550" s="120"/>
      <c r="AZD550" s="120"/>
      <c r="AZE550" s="120"/>
      <c r="AZF550" s="120"/>
      <c r="AZG550" s="120"/>
      <c r="AZH550" s="120"/>
      <c r="AZI550" s="120"/>
      <c r="AZJ550" s="120"/>
      <c r="AZK550" s="120"/>
      <c r="AZL550" s="120"/>
      <c r="AZM550" s="120"/>
      <c r="AZN550" s="120"/>
      <c r="AZO550" s="120"/>
      <c r="AZP550" s="120"/>
      <c r="AZQ550" s="120"/>
      <c r="AZR550" s="120"/>
      <c r="AZS550" s="120"/>
      <c r="AZT550" s="120"/>
      <c r="AZU550" s="120"/>
      <c r="AZV550" s="120"/>
      <c r="AZW550" s="120"/>
      <c r="AZX550" s="120"/>
      <c r="AZY550" s="120"/>
      <c r="AZZ550" s="120"/>
      <c r="BAA550" s="120"/>
      <c r="BAB550" s="120"/>
      <c r="BAC550" s="120"/>
      <c r="BAD550" s="120"/>
      <c r="BAE550" s="120"/>
      <c r="BAF550" s="120"/>
      <c r="BAG550" s="120"/>
      <c r="BAH550" s="120"/>
      <c r="BAI550" s="120"/>
      <c r="BAJ550" s="120"/>
      <c r="BAK550" s="120"/>
      <c r="BAL550" s="120"/>
      <c r="BAM550" s="120"/>
      <c r="BAN550" s="120"/>
      <c r="BAO550" s="120"/>
      <c r="BAP550" s="120"/>
      <c r="BAQ550" s="120"/>
      <c r="BAR550" s="120"/>
      <c r="BAS550" s="120"/>
      <c r="BAT550" s="120"/>
      <c r="BAU550" s="120"/>
      <c r="BAV550" s="120"/>
      <c r="BAW550" s="120"/>
      <c r="BAX550" s="120"/>
      <c r="BAY550" s="120"/>
      <c r="BAZ550" s="120"/>
      <c r="BBA550" s="120"/>
      <c r="BBB550" s="120"/>
      <c r="BBC550" s="120"/>
      <c r="BBD550" s="120"/>
      <c r="BBE550" s="120"/>
      <c r="BBF550" s="120"/>
      <c r="BBG550" s="120"/>
      <c r="BBH550" s="120"/>
      <c r="BBI550" s="120"/>
      <c r="BBJ550" s="120"/>
      <c r="BBK550" s="120"/>
      <c r="BBL550" s="120"/>
      <c r="BBM550" s="120"/>
      <c r="BBN550" s="120"/>
      <c r="BBO550" s="120"/>
      <c r="BBP550" s="120"/>
      <c r="BBQ550" s="120"/>
      <c r="BBR550" s="120"/>
      <c r="BBS550" s="120"/>
      <c r="BBT550" s="120"/>
      <c r="BBU550" s="120"/>
      <c r="BBV550" s="120"/>
      <c r="BBW550" s="120"/>
      <c r="BBX550" s="120"/>
      <c r="BBY550" s="120"/>
      <c r="BBZ550" s="120"/>
      <c r="BCA550" s="120"/>
      <c r="BCB550" s="120"/>
      <c r="BCC550" s="120"/>
      <c r="BCD550" s="120"/>
      <c r="BCE550" s="120"/>
      <c r="BCF550" s="120"/>
      <c r="BCG550" s="120"/>
      <c r="BCH550" s="120"/>
      <c r="BCI550" s="120"/>
      <c r="BCJ550" s="120"/>
      <c r="BCK550" s="120"/>
      <c r="BCL550" s="120"/>
      <c r="BCM550" s="120"/>
      <c r="BCN550" s="120"/>
      <c r="BCO550" s="120"/>
      <c r="BCP550" s="120"/>
      <c r="BCQ550" s="120"/>
      <c r="BCR550" s="120"/>
      <c r="BCS550" s="120"/>
      <c r="BCT550" s="120"/>
      <c r="BCU550" s="120"/>
      <c r="BCV550" s="120"/>
      <c r="BCW550" s="120"/>
      <c r="BCX550" s="120"/>
      <c r="BCY550" s="120"/>
      <c r="BCZ550" s="120"/>
      <c r="BDA550" s="120"/>
      <c r="BDB550" s="120"/>
      <c r="BDC550" s="120"/>
      <c r="BDD550" s="120"/>
      <c r="BDE550" s="120"/>
      <c r="BDF550" s="120"/>
      <c r="BDG550" s="120"/>
      <c r="BDH550" s="120"/>
      <c r="BDI550" s="120"/>
      <c r="BDJ550" s="120"/>
      <c r="BDK550" s="120"/>
      <c r="BDL550" s="120"/>
      <c r="BDM550" s="120"/>
      <c r="BDN550" s="120"/>
      <c r="BDO550" s="120"/>
      <c r="BDP550" s="120"/>
      <c r="BDQ550" s="120"/>
      <c r="BDR550" s="120"/>
      <c r="BDS550" s="120"/>
      <c r="BDT550" s="120"/>
      <c r="BDU550" s="120"/>
      <c r="BDV550" s="120"/>
      <c r="BDW550" s="120"/>
      <c r="BDX550" s="120"/>
      <c r="BDY550" s="120"/>
      <c r="BDZ550" s="120"/>
      <c r="BEA550" s="120"/>
      <c r="BEB550" s="120"/>
      <c r="BEC550" s="120"/>
      <c r="BED550" s="120"/>
      <c r="BEE550" s="120"/>
      <c r="BEF550" s="120"/>
      <c r="BEG550" s="120"/>
      <c r="BEH550" s="120"/>
      <c r="BEI550" s="120"/>
      <c r="BEJ550" s="120"/>
      <c r="BEK550" s="120"/>
      <c r="BEL550" s="120"/>
      <c r="BEM550" s="120"/>
      <c r="BEN550" s="120"/>
      <c r="BEO550" s="120"/>
      <c r="BEP550" s="120"/>
      <c r="BEQ550" s="120"/>
      <c r="BER550" s="120"/>
      <c r="BES550" s="120"/>
      <c r="BET550" s="120"/>
      <c r="BEU550" s="120"/>
      <c r="BEV550" s="120"/>
      <c r="BEW550" s="120"/>
      <c r="BEX550" s="120"/>
      <c r="BEY550" s="120"/>
      <c r="BEZ550" s="120"/>
      <c r="BFA550" s="120"/>
      <c r="BFB550" s="120"/>
      <c r="BFC550" s="120"/>
      <c r="BFD550" s="120"/>
      <c r="BFE550" s="120"/>
      <c r="BFF550" s="120"/>
      <c r="BFG550" s="120"/>
      <c r="BFH550" s="120"/>
      <c r="BFI550" s="120"/>
      <c r="BFJ550" s="120"/>
      <c r="BFK550" s="120"/>
      <c r="BFL550" s="120"/>
      <c r="BFM550" s="120"/>
      <c r="BFN550" s="120"/>
      <c r="BFO550" s="120"/>
      <c r="BFP550" s="120"/>
      <c r="BFQ550" s="120"/>
      <c r="BFR550" s="120"/>
      <c r="BFS550" s="120"/>
      <c r="BFT550" s="120"/>
      <c r="BFU550" s="120"/>
      <c r="BFV550" s="120"/>
      <c r="BFW550" s="120"/>
      <c r="BFX550" s="120"/>
      <c r="BFY550" s="120"/>
      <c r="BFZ550" s="120"/>
      <c r="BGA550" s="120"/>
      <c r="BGB550" s="120"/>
      <c r="BGC550" s="120"/>
      <c r="BGD550" s="120"/>
      <c r="BGE550" s="120"/>
      <c r="BGF550" s="120"/>
      <c r="BGG550" s="120"/>
      <c r="BGH550" s="120"/>
      <c r="BGI550" s="120"/>
      <c r="BGJ550" s="120"/>
      <c r="BGK550" s="120"/>
      <c r="BGL550" s="120"/>
      <c r="BGM550" s="120"/>
      <c r="BGN550" s="120"/>
      <c r="BGO550" s="120"/>
      <c r="BGP550" s="120"/>
      <c r="BGQ550" s="120"/>
      <c r="BGR550" s="120"/>
      <c r="BGS550" s="120"/>
      <c r="BGT550" s="120"/>
      <c r="BGU550" s="120"/>
      <c r="BGV550" s="120"/>
      <c r="BGW550" s="120"/>
      <c r="BGX550" s="120"/>
      <c r="BGY550" s="120"/>
      <c r="BGZ550" s="120"/>
      <c r="BHA550" s="120"/>
      <c r="BHB550" s="120"/>
      <c r="BHC550" s="120"/>
      <c r="BHD550" s="120"/>
      <c r="BHE550" s="120"/>
      <c r="BHF550" s="120"/>
      <c r="BHG550" s="120"/>
      <c r="BHH550" s="120"/>
      <c r="BHI550" s="120"/>
      <c r="BHJ550" s="120"/>
      <c r="BHK550" s="120"/>
      <c r="BHL550" s="120"/>
      <c r="BHM550" s="120"/>
      <c r="BHN550" s="120"/>
      <c r="BHO550" s="120"/>
      <c r="BHP550" s="120"/>
      <c r="BHQ550" s="120"/>
      <c r="BHR550" s="120"/>
      <c r="BHS550" s="120"/>
      <c r="BHT550" s="120"/>
      <c r="BHU550" s="120"/>
      <c r="BHV550" s="120"/>
      <c r="BHW550" s="120"/>
      <c r="BHX550" s="120"/>
      <c r="BHY550" s="120"/>
      <c r="BHZ550" s="120"/>
      <c r="BIA550" s="120"/>
      <c r="BIB550" s="120"/>
      <c r="BIC550" s="120"/>
      <c r="BID550" s="120"/>
      <c r="BIE550" s="120"/>
      <c r="BIF550" s="120"/>
      <c r="BIG550" s="120"/>
      <c r="BIH550" s="120"/>
      <c r="BII550" s="120"/>
      <c r="BIJ550" s="120"/>
      <c r="BIK550" s="120"/>
      <c r="BIL550" s="120"/>
      <c r="BIM550" s="120"/>
      <c r="BIN550" s="120"/>
      <c r="BIO550" s="120"/>
      <c r="BIP550" s="120"/>
      <c r="BIQ550" s="120"/>
      <c r="BIR550" s="120"/>
      <c r="BIS550" s="120"/>
      <c r="BIT550" s="120"/>
      <c r="BIU550" s="120"/>
      <c r="BIV550" s="120"/>
      <c r="BIW550" s="120"/>
      <c r="BIX550" s="120"/>
      <c r="BIY550" s="120"/>
      <c r="BIZ550" s="120"/>
      <c r="BJA550" s="120"/>
      <c r="BJB550" s="120"/>
      <c r="BJC550" s="120"/>
      <c r="BJD550" s="120"/>
      <c r="BJE550" s="120"/>
      <c r="BJF550" s="120"/>
      <c r="BJG550" s="120"/>
      <c r="BJH550" s="120"/>
      <c r="BJI550" s="120"/>
      <c r="BJJ550" s="120"/>
      <c r="BJK550" s="120"/>
      <c r="BJL550" s="120"/>
      <c r="BJM550" s="120"/>
      <c r="BJN550" s="120"/>
      <c r="BJO550" s="120"/>
      <c r="BJP550" s="120"/>
      <c r="BJQ550" s="120"/>
      <c r="BJR550" s="120"/>
      <c r="BJS550" s="120"/>
      <c r="BJT550" s="120"/>
      <c r="BJU550" s="120"/>
      <c r="BJV550" s="120"/>
      <c r="BJW550" s="120"/>
      <c r="BJX550" s="120"/>
      <c r="BJY550" s="120"/>
      <c r="BJZ550" s="120"/>
      <c r="BKA550" s="120"/>
      <c r="BKB550" s="120"/>
      <c r="BKC550" s="120"/>
      <c r="BKD550" s="120"/>
      <c r="BKE550" s="120"/>
      <c r="BKF550" s="120"/>
      <c r="BKG550" s="120"/>
      <c r="BKH550" s="120"/>
      <c r="BKI550" s="120"/>
      <c r="BKJ550" s="120"/>
      <c r="BKK550" s="120"/>
      <c r="BKL550" s="120"/>
      <c r="BKM550" s="120"/>
      <c r="BKN550" s="120"/>
      <c r="BKO550" s="120"/>
      <c r="BKP550" s="120"/>
      <c r="BKQ550" s="120"/>
      <c r="BKR550" s="120"/>
      <c r="BKS550" s="120"/>
      <c r="BKT550" s="120"/>
      <c r="BKU550" s="120"/>
      <c r="BKV550" s="120"/>
      <c r="BKW550" s="120"/>
      <c r="BKX550" s="120"/>
      <c r="BKY550" s="120"/>
      <c r="BKZ550" s="120"/>
      <c r="BLA550" s="120"/>
      <c r="BLB550" s="120"/>
      <c r="BLC550" s="120"/>
      <c r="BLD550" s="120"/>
      <c r="BLE550" s="120"/>
      <c r="BLF550" s="120"/>
      <c r="BLG550" s="120"/>
      <c r="BLH550" s="120"/>
      <c r="BLI550" s="120"/>
      <c r="BLJ550" s="120"/>
      <c r="BLK550" s="120"/>
      <c r="BLL550" s="120"/>
      <c r="BLM550" s="120"/>
      <c r="BLN550" s="120"/>
      <c r="BLO550" s="120"/>
      <c r="BLP550" s="120"/>
      <c r="BLQ550" s="120"/>
      <c r="BLR550" s="120"/>
      <c r="BLS550" s="120"/>
      <c r="BLT550" s="120"/>
      <c r="BLU550" s="120"/>
      <c r="BLV550" s="120"/>
      <c r="BLW550" s="120"/>
      <c r="BLX550" s="120"/>
      <c r="BLY550" s="120"/>
      <c r="BLZ550" s="120"/>
      <c r="BMA550" s="120"/>
      <c r="BMB550" s="120"/>
      <c r="BMC550" s="120"/>
      <c r="BMD550" s="120"/>
      <c r="BME550" s="120"/>
      <c r="BMF550" s="120"/>
      <c r="BMG550" s="120"/>
      <c r="BMH550" s="120"/>
      <c r="BMI550" s="120"/>
      <c r="BMJ550" s="120"/>
      <c r="BMK550" s="120"/>
      <c r="BML550" s="120"/>
      <c r="BMM550" s="120"/>
      <c r="BMN550" s="120"/>
      <c r="BMO550" s="120"/>
      <c r="BMP550" s="120"/>
      <c r="BMQ550" s="120"/>
      <c r="BMR550" s="120"/>
      <c r="BMS550" s="120"/>
      <c r="BMT550" s="120"/>
      <c r="BMU550" s="120"/>
      <c r="BMV550" s="120"/>
      <c r="BMW550" s="120"/>
      <c r="BMX550" s="120"/>
      <c r="BMY550" s="120"/>
      <c r="BMZ550" s="120"/>
      <c r="BNA550" s="120"/>
      <c r="BNB550" s="120"/>
      <c r="BNC550" s="120"/>
      <c r="BND550" s="120"/>
      <c r="BNE550" s="120"/>
      <c r="BNF550" s="120"/>
      <c r="BNG550" s="120"/>
      <c r="BNH550" s="120"/>
      <c r="BNI550" s="120"/>
      <c r="BNJ550" s="120"/>
      <c r="BNK550" s="120"/>
      <c r="BNL550" s="120"/>
      <c r="BNM550" s="120"/>
      <c r="BNN550" s="120"/>
      <c r="BNO550" s="120"/>
      <c r="BNP550" s="120"/>
      <c r="BNQ550" s="120"/>
      <c r="BNR550" s="120"/>
      <c r="BNS550" s="120"/>
      <c r="BNT550" s="120"/>
      <c r="BNU550" s="120"/>
      <c r="BNV550" s="120"/>
      <c r="BNW550" s="120"/>
      <c r="BNX550" s="120"/>
      <c r="BNY550" s="120"/>
      <c r="BNZ550" s="120"/>
      <c r="BOA550" s="120"/>
      <c r="BOB550" s="120"/>
      <c r="BOC550" s="120"/>
      <c r="BOD550" s="120"/>
      <c r="BOE550" s="120"/>
      <c r="BOF550" s="120"/>
      <c r="BOG550" s="120"/>
      <c r="BOH550" s="120"/>
      <c r="BOI550" s="120"/>
      <c r="BOJ550" s="120"/>
      <c r="BOK550" s="120"/>
      <c r="BOL550" s="120"/>
      <c r="BOM550" s="120"/>
      <c r="BON550" s="120"/>
      <c r="BOO550" s="120"/>
      <c r="BOP550" s="120"/>
      <c r="BOQ550" s="120"/>
      <c r="BOR550" s="120"/>
      <c r="BOS550" s="120"/>
      <c r="BOT550" s="120"/>
      <c r="BOU550" s="120"/>
      <c r="BOV550" s="120"/>
      <c r="BOW550" s="120"/>
      <c r="BOX550" s="120"/>
      <c r="BOY550" s="120"/>
      <c r="BOZ550" s="120"/>
      <c r="BPA550" s="120"/>
      <c r="BPB550" s="120"/>
      <c r="BPC550" s="120"/>
      <c r="BPD550" s="120"/>
      <c r="BPE550" s="120"/>
      <c r="BPF550" s="120"/>
      <c r="BPG550" s="120"/>
      <c r="BPH550" s="120"/>
      <c r="BPI550" s="120"/>
      <c r="BPJ550" s="120"/>
      <c r="BPK550" s="120"/>
      <c r="BPL550" s="120"/>
      <c r="BPM550" s="120"/>
      <c r="BPN550" s="120"/>
      <c r="BPO550" s="120"/>
      <c r="BPP550" s="120"/>
      <c r="BPQ550" s="120"/>
      <c r="BPR550" s="120"/>
      <c r="BPS550" s="120"/>
      <c r="BPT550" s="120"/>
      <c r="BPU550" s="120"/>
      <c r="BPV550" s="120"/>
      <c r="BPW550" s="120"/>
      <c r="BPX550" s="120"/>
      <c r="BPY550" s="120"/>
      <c r="BPZ550" s="120"/>
      <c r="BQA550" s="120"/>
      <c r="BQB550" s="120"/>
      <c r="BQC550" s="120"/>
      <c r="BQD550" s="120"/>
      <c r="BQE550" s="120"/>
      <c r="BQF550" s="120"/>
      <c r="BQG550" s="120"/>
      <c r="BQH550" s="120"/>
      <c r="BQI550" s="120"/>
      <c r="BQJ550" s="120"/>
      <c r="BQK550" s="120"/>
      <c r="BQL550" s="120"/>
      <c r="BQM550" s="120"/>
      <c r="BQN550" s="120"/>
      <c r="BQO550" s="120"/>
      <c r="BQP550" s="120"/>
      <c r="BQQ550" s="120"/>
      <c r="BQR550" s="120"/>
      <c r="BQS550" s="120"/>
      <c r="BQT550" s="120"/>
      <c r="BQU550" s="120"/>
      <c r="BQV550" s="120"/>
      <c r="BQW550" s="120"/>
      <c r="BQX550" s="120"/>
      <c r="BQY550" s="120"/>
      <c r="BQZ550" s="120"/>
      <c r="BRA550" s="120"/>
      <c r="BRB550" s="120"/>
      <c r="BRC550" s="120"/>
      <c r="BRD550" s="120"/>
      <c r="BRE550" s="120"/>
      <c r="BRF550" s="120"/>
      <c r="BRG550" s="120"/>
      <c r="BRH550" s="120"/>
      <c r="BRI550" s="120"/>
      <c r="BRJ550" s="120"/>
      <c r="BRK550" s="120"/>
      <c r="BRL550" s="120"/>
      <c r="BRM550" s="120"/>
      <c r="BRN550" s="120"/>
      <c r="BRO550" s="120"/>
      <c r="BRP550" s="120"/>
      <c r="BRQ550" s="120"/>
      <c r="BRR550" s="120"/>
      <c r="BRS550" s="120"/>
      <c r="BRT550" s="120"/>
      <c r="BRU550" s="120"/>
      <c r="BRV550" s="120"/>
      <c r="BRW550" s="120"/>
      <c r="BRX550" s="120"/>
      <c r="BRY550" s="120"/>
      <c r="BRZ550" s="120"/>
      <c r="BSA550" s="120"/>
      <c r="BSB550" s="120"/>
      <c r="BSC550" s="120"/>
      <c r="BSD550" s="120"/>
      <c r="BSE550" s="120"/>
      <c r="BSF550" s="120"/>
      <c r="BSG550" s="120"/>
      <c r="BSH550" s="120"/>
      <c r="BSI550" s="120"/>
      <c r="BSJ550" s="120"/>
      <c r="BSK550" s="120"/>
      <c r="BSL550" s="120"/>
      <c r="BSM550" s="120"/>
      <c r="BSN550" s="120"/>
      <c r="BSO550" s="120"/>
      <c r="BSP550" s="120"/>
      <c r="BSQ550" s="120"/>
      <c r="BSR550" s="120"/>
      <c r="BSS550" s="120"/>
      <c r="BST550" s="120"/>
      <c r="BSU550" s="120"/>
      <c r="BSV550" s="120"/>
      <c r="BSW550" s="120"/>
      <c r="BSX550" s="120"/>
      <c r="BSY550" s="120"/>
      <c r="BSZ550" s="120"/>
      <c r="BTA550" s="120"/>
      <c r="BTB550" s="120"/>
      <c r="BTC550" s="120"/>
      <c r="BTD550" s="120"/>
      <c r="BTE550" s="120"/>
      <c r="BTF550" s="120"/>
      <c r="BTG550" s="120"/>
      <c r="BTH550" s="120"/>
      <c r="BTI550" s="120"/>
      <c r="BTJ550" s="120"/>
      <c r="BTK550" s="120"/>
      <c r="BTL550" s="120"/>
      <c r="BTM550" s="120"/>
      <c r="BTN550" s="120"/>
      <c r="BTO550" s="120"/>
      <c r="BTP550" s="120"/>
      <c r="BTQ550" s="120"/>
      <c r="BTR550" s="120"/>
      <c r="BTS550" s="120"/>
      <c r="BTT550" s="120"/>
      <c r="BTU550" s="120"/>
      <c r="BTV550" s="120"/>
      <c r="BTW550" s="120"/>
      <c r="BTX550" s="120"/>
      <c r="BTY550" s="120"/>
      <c r="BTZ550" s="120"/>
      <c r="BUA550" s="120"/>
      <c r="BUB550" s="120"/>
      <c r="BUC550" s="120"/>
      <c r="BUD550" s="120"/>
      <c r="BUE550" s="120"/>
      <c r="BUF550" s="120"/>
      <c r="BUG550" s="120"/>
      <c r="BUH550" s="120"/>
      <c r="BUI550" s="120"/>
      <c r="BUJ550" s="120"/>
      <c r="BUK550" s="120"/>
      <c r="BUL550" s="120"/>
      <c r="BUM550" s="120"/>
      <c r="BUN550" s="120"/>
      <c r="BUO550" s="120"/>
      <c r="BUP550" s="120"/>
      <c r="BUQ550" s="120"/>
      <c r="BUR550" s="120"/>
      <c r="BUS550" s="120"/>
      <c r="BUT550" s="120"/>
      <c r="BUU550" s="120"/>
      <c r="BUV550" s="120"/>
      <c r="BUW550" s="120"/>
      <c r="BUX550" s="120"/>
      <c r="BUY550" s="120"/>
      <c r="BUZ550" s="120"/>
      <c r="BVA550" s="120"/>
      <c r="BVB550" s="120"/>
      <c r="BVC550" s="120"/>
      <c r="BVD550" s="120"/>
      <c r="BVE550" s="120"/>
      <c r="BVF550" s="120"/>
      <c r="BVG550" s="120"/>
      <c r="BVH550" s="120"/>
      <c r="BVI550" s="120"/>
      <c r="BVJ550" s="120"/>
      <c r="BVK550" s="120"/>
      <c r="BVL550" s="120"/>
      <c r="BVM550" s="120"/>
      <c r="BVN550" s="120"/>
      <c r="BVO550" s="120"/>
      <c r="BVP550" s="120"/>
      <c r="BVQ550" s="120"/>
      <c r="BVR550" s="120"/>
      <c r="BVS550" s="120"/>
      <c r="BVT550" s="120"/>
      <c r="BVU550" s="120"/>
      <c r="BVV550" s="120"/>
      <c r="BVW550" s="120"/>
      <c r="BVX550" s="120"/>
      <c r="BVY550" s="120"/>
      <c r="BVZ550" s="120"/>
      <c r="BWA550" s="120"/>
      <c r="BWB550" s="120"/>
      <c r="BWC550" s="120"/>
      <c r="BWD550" s="120"/>
      <c r="BWE550" s="120"/>
      <c r="BWF550" s="120"/>
      <c r="BWG550" s="120"/>
      <c r="BWH550" s="120"/>
      <c r="BWI550" s="120"/>
      <c r="BWJ550" s="120"/>
      <c r="BWK550" s="120"/>
      <c r="BWL550" s="120"/>
      <c r="BWM550" s="120"/>
      <c r="BWN550" s="120"/>
      <c r="BWO550" s="120"/>
      <c r="BWP550" s="120"/>
      <c r="BWQ550" s="120"/>
      <c r="BWR550" s="120"/>
      <c r="BWS550" s="120"/>
      <c r="BWT550" s="120"/>
      <c r="BWU550" s="120"/>
      <c r="BWV550" s="120"/>
      <c r="BWW550" s="120"/>
      <c r="BWX550" s="120"/>
      <c r="BWY550" s="120"/>
      <c r="BWZ550" s="120"/>
      <c r="BXA550" s="120"/>
      <c r="BXB550" s="120"/>
      <c r="BXC550" s="120"/>
      <c r="BXD550" s="120"/>
      <c r="BXE550" s="120"/>
      <c r="BXF550" s="120"/>
      <c r="BXG550" s="120"/>
      <c r="BXH550" s="120"/>
      <c r="BXI550" s="120"/>
      <c r="BXJ550" s="120"/>
      <c r="BXK550" s="120"/>
      <c r="BXL550" s="120"/>
      <c r="BXM550" s="120"/>
      <c r="BXN550" s="120"/>
      <c r="BXO550" s="120"/>
      <c r="BXP550" s="120"/>
      <c r="BXQ550" s="120"/>
      <c r="BXR550" s="120"/>
      <c r="BXS550" s="120"/>
      <c r="BXT550" s="120"/>
      <c r="BXU550" s="120"/>
      <c r="BXV550" s="120"/>
      <c r="BXW550" s="120"/>
      <c r="BXX550" s="120"/>
      <c r="BXY550" s="120"/>
      <c r="BXZ550" s="120"/>
      <c r="BYA550" s="120"/>
      <c r="BYB550" s="120"/>
      <c r="BYC550" s="120"/>
      <c r="BYD550" s="120"/>
      <c r="BYE550" s="120"/>
      <c r="BYF550" s="120"/>
      <c r="BYG550" s="120"/>
      <c r="BYH550" s="120"/>
      <c r="BYI550" s="120"/>
      <c r="BYJ550" s="120"/>
      <c r="BYK550" s="120"/>
      <c r="BYL550" s="120"/>
      <c r="BYM550" s="120"/>
      <c r="BYN550" s="120"/>
      <c r="BYO550" s="120"/>
      <c r="BYP550" s="120"/>
      <c r="BYQ550" s="120"/>
      <c r="BYR550" s="120"/>
      <c r="BYS550" s="120"/>
      <c r="BYT550" s="120"/>
      <c r="BYU550" s="120"/>
      <c r="BYV550" s="120"/>
      <c r="BYW550" s="120"/>
      <c r="BYX550" s="120"/>
      <c r="BYY550" s="120"/>
      <c r="BYZ550" s="120"/>
      <c r="BZA550" s="120"/>
      <c r="BZB550" s="120"/>
      <c r="BZC550" s="120"/>
      <c r="BZD550" s="120"/>
      <c r="BZE550" s="120"/>
      <c r="BZF550" s="120"/>
      <c r="BZG550" s="120"/>
      <c r="BZH550" s="120"/>
      <c r="BZI550" s="120"/>
      <c r="BZJ550" s="120"/>
      <c r="BZK550" s="120"/>
      <c r="BZL550" s="120"/>
      <c r="BZM550" s="120"/>
      <c r="BZN550" s="120"/>
      <c r="BZO550" s="120"/>
      <c r="BZP550" s="120"/>
      <c r="BZQ550" s="120"/>
      <c r="BZR550" s="120"/>
      <c r="BZS550" s="120"/>
      <c r="BZT550" s="120"/>
      <c r="BZU550" s="120"/>
      <c r="BZV550" s="120"/>
      <c r="BZW550" s="120"/>
      <c r="BZX550" s="120"/>
      <c r="BZY550" s="120"/>
      <c r="BZZ550" s="120"/>
      <c r="CAA550" s="120"/>
      <c r="CAB550" s="120"/>
      <c r="CAC550" s="120"/>
      <c r="CAD550" s="120"/>
      <c r="CAE550" s="120"/>
      <c r="CAF550" s="120"/>
      <c r="CAG550" s="120"/>
      <c r="CAH550" s="120"/>
      <c r="CAI550" s="120"/>
      <c r="CAJ550" s="120"/>
      <c r="CAK550" s="120"/>
      <c r="CAL550" s="120"/>
      <c r="CAM550" s="120"/>
      <c r="CAN550" s="120"/>
      <c r="CAO550" s="120"/>
      <c r="CAP550" s="120"/>
      <c r="CAQ550" s="120"/>
      <c r="CAR550" s="120"/>
      <c r="CAS550" s="120"/>
      <c r="CAT550" s="120"/>
      <c r="CAU550" s="120"/>
      <c r="CAV550" s="120"/>
      <c r="CAW550" s="120"/>
      <c r="CAX550" s="120"/>
      <c r="CAY550" s="120"/>
      <c r="CAZ550" s="120"/>
      <c r="CBA550" s="120"/>
      <c r="CBB550" s="120"/>
      <c r="CBC550" s="120"/>
      <c r="CBD550" s="120"/>
      <c r="CBE550" s="120"/>
      <c r="CBF550" s="120"/>
      <c r="CBG550" s="120"/>
      <c r="CBH550" s="120"/>
      <c r="CBI550" s="120"/>
      <c r="CBJ550" s="120"/>
      <c r="CBK550" s="120"/>
      <c r="CBL550" s="120"/>
      <c r="CBM550" s="120"/>
      <c r="CBN550" s="120"/>
      <c r="CBO550" s="120"/>
      <c r="CBP550" s="120"/>
      <c r="CBQ550" s="120"/>
      <c r="CBR550" s="120"/>
      <c r="CBS550" s="120"/>
      <c r="CBT550" s="120"/>
      <c r="CBU550" s="120"/>
      <c r="CBV550" s="120"/>
      <c r="CBW550" s="120"/>
      <c r="CBX550" s="120"/>
      <c r="CBY550" s="120"/>
      <c r="CBZ550" s="120"/>
      <c r="CCA550" s="120"/>
      <c r="CCB550" s="120"/>
      <c r="CCC550" s="120"/>
      <c r="CCD550" s="120"/>
      <c r="CCE550" s="120"/>
      <c r="CCF550" s="120"/>
      <c r="CCG550" s="120"/>
      <c r="CCH550" s="120"/>
      <c r="CCI550" s="120"/>
      <c r="CCJ550" s="120"/>
      <c r="CCK550" s="120"/>
      <c r="CCL550" s="120"/>
      <c r="CCM550" s="120"/>
      <c r="CCN550" s="120"/>
      <c r="CCO550" s="120"/>
      <c r="CCP550" s="120"/>
      <c r="CCQ550" s="120"/>
      <c r="CCR550" s="120"/>
      <c r="CCS550" s="120"/>
      <c r="CCT550" s="120"/>
      <c r="CCU550" s="120"/>
      <c r="CCV550" s="120"/>
      <c r="CCW550" s="120"/>
      <c r="CCX550" s="120"/>
      <c r="CCY550" s="120"/>
      <c r="CCZ550" s="120"/>
      <c r="CDA550" s="120"/>
      <c r="CDB550" s="120"/>
      <c r="CDC550" s="120"/>
      <c r="CDD550" s="120"/>
      <c r="CDE550" s="120"/>
      <c r="CDF550" s="120"/>
      <c r="CDG550" s="120"/>
      <c r="CDH550" s="120"/>
      <c r="CDI550" s="120"/>
      <c r="CDJ550" s="120"/>
      <c r="CDK550" s="120"/>
      <c r="CDL550" s="120"/>
      <c r="CDM550" s="120"/>
      <c r="CDN550" s="120"/>
      <c r="CDO550" s="120"/>
      <c r="CDP550" s="120"/>
      <c r="CDQ550" s="120"/>
      <c r="CDR550" s="120"/>
      <c r="CDS550" s="120"/>
      <c r="CDT550" s="120"/>
      <c r="CDU550" s="120"/>
      <c r="CDV550" s="120"/>
      <c r="CDW550" s="120"/>
      <c r="CDX550" s="120"/>
      <c r="CDY550" s="120"/>
      <c r="CDZ550" s="120"/>
      <c r="CEA550" s="120"/>
      <c r="CEB550" s="120"/>
      <c r="CEC550" s="120"/>
      <c r="CED550" s="120"/>
      <c r="CEE550" s="120"/>
      <c r="CEF550" s="120"/>
      <c r="CEG550" s="120"/>
      <c r="CEH550" s="120"/>
      <c r="CEI550" s="120"/>
      <c r="CEJ550" s="120"/>
      <c r="CEK550" s="120"/>
      <c r="CEL550" s="120"/>
      <c r="CEM550" s="120"/>
      <c r="CEN550" s="120"/>
      <c r="CEO550" s="120"/>
      <c r="CEP550" s="120"/>
      <c r="CEQ550" s="120"/>
      <c r="CER550" s="120"/>
      <c r="CES550" s="120"/>
      <c r="CET550" s="120"/>
      <c r="CEU550" s="120"/>
      <c r="CEV550" s="120"/>
      <c r="CEW550" s="120"/>
      <c r="CEX550" s="120"/>
      <c r="CEY550" s="120"/>
      <c r="CEZ550" s="120"/>
      <c r="CFA550" s="120"/>
      <c r="CFB550" s="120"/>
      <c r="CFC550" s="120"/>
      <c r="CFD550" s="120"/>
      <c r="CFE550" s="120"/>
      <c r="CFF550" s="120"/>
      <c r="CFG550" s="120"/>
      <c r="CFH550" s="120"/>
      <c r="CFI550" s="120"/>
      <c r="CFJ550" s="120"/>
      <c r="CFK550" s="120"/>
      <c r="CFL550" s="120"/>
      <c r="CFM550" s="120"/>
      <c r="CFN550" s="120"/>
      <c r="CFO550" s="120"/>
      <c r="CFP550" s="120"/>
      <c r="CFQ550" s="120"/>
      <c r="CFR550" s="120"/>
      <c r="CFS550" s="120"/>
      <c r="CFT550" s="120"/>
      <c r="CFU550" s="120"/>
      <c r="CFV550" s="120"/>
      <c r="CFW550" s="120"/>
      <c r="CFX550" s="120"/>
      <c r="CFY550" s="120"/>
      <c r="CFZ550" s="120"/>
      <c r="CGA550" s="120"/>
      <c r="CGB550" s="120"/>
      <c r="CGC550" s="120"/>
      <c r="CGD550" s="120"/>
      <c r="CGE550" s="120"/>
      <c r="CGF550" s="120"/>
      <c r="CGG550" s="120"/>
      <c r="CGH550" s="120"/>
      <c r="CGI550" s="120"/>
      <c r="CGJ550" s="120"/>
      <c r="CGK550" s="120"/>
      <c r="CGL550" s="120"/>
      <c r="CGM550" s="120"/>
      <c r="CGN550" s="120"/>
      <c r="CGO550" s="120"/>
      <c r="CGP550" s="120"/>
      <c r="CGQ550" s="120"/>
      <c r="CGR550" s="120"/>
      <c r="CGS550" s="120"/>
      <c r="CGT550" s="120"/>
      <c r="CGU550" s="120"/>
      <c r="CGV550" s="120"/>
      <c r="CGW550" s="120"/>
      <c r="CGX550" s="120"/>
      <c r="CGY550" s="120"/>
      <c r="CGZ550" s="120"/>
      <c r="CHA550" s="120"/>
      <c r="CHB550" s="120"/>
      <c r="CHC550" s="120"/>
      <c r="CHD550" s="120"/>
      <c r="CHE550" s="120"/>
      <c r="CHF550" s="120"/>
      <c r="CHG550" s="120"/>
      <c r="CHH550" s="120"/>
      <c r="CHI550" s="120"/>
      <c r="CHJ550" s="120"/>
      <c r="CHK550" s="120"/>
      <c r="CHL550" s="120"/>
      <c r="CHM550" s="120"/>
      <c r="CHN550" s="120"/>
      <c r="CHO550" s="120"/>
      <c r="CHP550" s="120"/>
      <c r="CHQ550" s="120"/>
      <c r="CHR550" s="120"/>
      <c r="CHS550" s="120"/>
      <c r="CHT550" s="120"/>
      <c r="CHU550" s="120"/>
      <c r="CHV550" s="120"/>
      <c r="CHW550" s="120"/>
      <c r="CHX550" s="120"/>
      <c r="CHY550" s="120"/>
      <c r="CHZ550" s="120"/>
      <c r="CIA550" s="120"/>
      <c r="CIB550" s="120"/>
      <c r="CIC550" s="120"/>
      <c r="CID550" s="120"/>
      <c r="CIE550" s="120"/>
      <c r="CIF550" s="120"/>
      <c r="CIG550" s="120"/>
      <c r="CIH550" s="120"/>
      <c r="CII550" s="120"/>
      <c r="CIJ550" s="120"/>
      <c r="CIK550" s="120"/>
      <c r="CIL550" s="120"/>
      <c r="CIM550" s="120"/>
      <c r="CIN550" s="120"/>
      <c r="CIO550" s="120"/>
      <c r="CIP550" s="120"/>
      <c r="CIQ550" s="120"/>
      <c r="CIR550" s="120"/>
      <c r="CIS550" s="120"/>
      <c r="CIT550" s="120"/>
      <c r="CIU550" s="120"/>
      <c r="CIV550" s="120"/>
      <c r="CIW550" s="120"/>
      <c r="CIX550" s="120"/>
      <c r="CIY550" s="120"/>
      <c r="CIZ550" s="120"/>
      <c r="CJA550" s="120"/>
      <c r="CJB550" s="120"/>
      <c r="CJC550" s="120"/>
      <c r="CJD550" s="120"/>
      <c r="CJE550" s="120"/>
      <c r="CJF550" s="120"/>
      <c r="CJG550" s="120"/>
      <c r="CJH550" s="120"/>
      <c r="CJI550" s="120"/>
      <c r="CJJ550" s="120"/>
      <c r="CJK550" s="120"/>
      <c r="CJL550" s="120"/>
      <c r="CJM550" s="120"/>
      <c r="CJN550" s="120"/>
      <c r="CJO550" s="120"/>
      <c r="CJP550" s="120"/>
      <c r="CJQ550" s="120"/>
      <c r="CJR550" s="120"/>
      <c r="CJS550" s="120"/>
      <c r="CJT550" s="120"/>
      <c r="CJU550" s="120"/>
      <c r="CJV550" s="120"/>
      <c r="CJW550" s="120"/>
      <c r="CJX550" s="120"/>
      <c r="CJY550" s="120"/>
      <c r="CJZ550" s="120"/>
      <c r="CKA550" s="120"/>
      <c r="CKB550" s="120"/>
      <c r="CKC550" s="120"/>
      <c r="CKD550" s="120"/>
      <c r="CKE550" s="120"/>
      <c r="CKF550" s="120"/>
      <c r="CKG550" s="120"/>
      <c r="CKH550" s="120"/>
      <c r="CKI550" s="120"/>
      <c r="CKJ550" s="120"/>
      <c r="CKK550" s="120"/>
      <c r="CKL550" s="120"/>
      <c r="CKM550" s="120"/>
      <c r="CKN550" s="120"/>
      <c r="CKO550" s="120"/>
      <c r="CKP550" s="120"/>
      <c r="CKQ550" s="120"/>
      <c r="CKR550" s="120"/>
      <c r="CKS550" s="120"/>
      <c r="CKT550" s="120"/>
      <c r="CKU550" s="120"/>
      <c r="CKV550" s="120"/>
      <c r="CKW550" s="120"/>
      <c r="CKX550" s="120"/>
      <c r="CKY550" s="120"/>
      <c r="CKZ550" s="120"/>
      <c r="CLA550" s="120"/>
      <c r="CLB550" s="120"/>
      <c r="CLC550" s="120"/>
      <c r="CLD550" s="120"/>
      <c r="CLE550" s="120"/>
      <c r="CLF550" s="120"/>
      <c r="CLG550" s="120"/>
      <c r="CLH550" s="120"/>
      <c r="CLI550" s="120"/>
      <c r="CLJ550" s="120"/>
      <c r="CLK550" s="120"/>
      <c r="CLL550" s="120"/>
      <c r="CLM550" s="120"/>
      <c r="CLN550" s="120"/>
      <c r="CLO550" s="120"/>
      <c r="CLP550" s="120"/>
      <c r="CLQ550" s="120"/>
      <c r="CLR550" s="120"/>
      <c r="CLS550" s="120"/>
      <c r="CLT550" s="120"/>
      <c r="CLU550" s="120"/>
      <c r="CLV550" s="120"/>
      <c r="CLW550" s="120"/>
      <c r="CLX550" s="120"/>
      <c r="CLY550" s="120"/>
      <c r="CLZ550" s="120"/>
      <c r="CMA550" s="120"/>
      <c r="CMB550" s="120"/>
      <c r="CMC550" s="120"/>
      <c r="CMD550" s="120"/>
      <c r="CME550" s="120"/>
      <c r="CMF550" s="120"/>
      <c r="CMG550" s="120"/>
      <c r="CMH550" s="120"/>
      <c r="CMI550" s="120"/>
      <c r="CMJ550" s="120"/>
      <c r="CMK550" s="120"/>
      <c r="CML550" s="120"/>
      <c r="CMM550" s="120"/>
      <c r="CMN550" s="120"/>
      <c r="CMO550" s="120"/>
      <c r="CMP550" s="120"/>
      <c r="CMQ550" s="120"/>
      <c r="CMR550" s="120"/>
      <c r="CMS550" s="120"/>
      <c r="CMT550" s="120"/>
      <c r="CMU550" s="120"/>
      <c r="CMV550" s="120"/>
      <c r="CMW550" s="120"/>
      <c r="CMX550" s="120"/>
      <c r="CMY550" s="120"/>
      <c r="CMZ550" s="120"/>
      <c r="CNA550" s="120"/>
      <c r="CNB550" s="120"/>
      <c r="CNC550" s="120"/>
      <c r="CND550" s="120"/>
      <c r="CNE550" s="120"/>
      <c r="CNF550" s="120"/>
      <c r="CNG550" s="120"/>
      <c r="CNH550" s="120"/>
      <c r="CNI550" s="120"/>
      <c r="CNJ550" s="120"/>
      <c r="CNK550" s="120"/>
      <c r="CNL550" s="120"/>
      <c r="CNM550" s="120"/>
      <c r="CNN550" s="120"/>
      <c r="CNO550" s="120"/>
      <c r="CNP550" s="120"/>
      <c r="CNQ550" s="120"/>
      <c r="CNR550" s="120"/>
      <c r="CNS550" s="120"/>
      <c r="CNT550" s="120"/>
      <c r="CNU550" s="120"/>
      <c r="CNV550" s="120"/>
      <c r="CNW550" s="120"/>
      <c r="CNX550" s="120"/>
      <c r="CNY550" s="120"/>
      <c r="CNZ550" s="120"/>
      <c r="COA550" s="120"/>
      <c r="COB550" s="120"/>
      <c r="COC550" s="120"/>
      <c r="COD550" s="120"/>
      <c r="COE550" s="120"/>
      <c r="COF550" s="120"/>
      <c r="COG550" s="120"/>
      <c r="COH550" s="120"/>
      <c r="COI550" s="120"/>
      <c r="COJ550" s="120"/>
      <c r="COK550" s="120"/>
      <c r="COL550" s="120"/>
      <c r="COM550" s="120"/>
      <c r="CON550" s="120"/>
      <c r="COO550" s="120"/>
      <c r="COP550" s="120"/>
      <c r="COQ550" s="120"/>
      <c r="COR550" s="120"/>
      <c r="COS550" s="120"/>
      <c r="COT550" s="120"/>
      <c r="COU550" s="120"/>
      <c r="COV550" s="120"/>
      <c r="COW550" s="120"/>
      <c r="COX550" s="120"/>
      <c r="COY550" s="120"/>
      <c r="COZ550" s="120"/>
      <c r="CPA550" s="120"/>
      <c r="CPB550" s="120"/>
      <c r="CPC550" s="120"/>
      <c r="CPD550" s="120"/>
      <c r="CPE550" s="120"/>
      <c r="CPF550" s="120"/>
      <c r="CPG550" s="120"/>
      <c r="CPH550" s="120"/>
      <c r="CPI550" s="120"/>
      <c r="CPJ550" s="120"/>
      <c r="CPK550" s="120"/>
      <c r="CPL550" s="120"/>
      <c r="CPM550" s="120"/>
      <c r="CPN550" s="120"/>
      <c r="CPO550" s="120"/>
      <c r="CPP550" s="120"/>
      <c r="CPQ550" s="120"/>
      <c r="CPR550" s="120"/>
      <c r="CPS550" s="120"/>
      <c r="CPT550" s="120"/>
      <c r="CPU550" s="120"/>
      <c r="CPV550" s="120"/>
      <c r="CPW550" s="120"/>
      <c r="CPX550" s="120"/>
      <c r="CPY550" s="120"/>
      <c r="CPZ550" s="120"/>
      <c r="CQA550" s="120"/>
      <c r="CQB550" s="120"/>
      <c r="CQC550" s="120"/>
      <c r="CQD550" s="120"/>
      <c r="CQE550" s="120"/>
      <c r="CQF550" s="120"/>
      <c r="CQG550" s="120"/>
      <c r="CQH550" s="120"/>
      <c r="CQI550" s="120"/>
      <c r="CQJ550" s="120"/>
      <c r="CQK550" s="120"/>
      <c r="CQL550" s="120"/>
      <c r="CQM550" s="120"/>
      <c r="CQN550" s="120"/>
      <c r="CQO550" s="120"/>
      <c r="CQP550" s="120"/>
      <c r="CQQ550" s="120"/>
      <c r="CQR550" s="120"/>
      <c r="CQS550" s="120"/>
      <c r="CQT550" s="120"/>
      <c r="CQU550" s="120"/>
      <c r="CQV550" s="120"/>
      <c r="CQW550" s="120"/>
      <c r="CQX550" s="120"/>
      <c r="CQY550" s="120"/>
      <c r="CQZ550" s="120"/>
      <c r="CRA550" s="120"/>
      <c r="CRB550" s="120"/>
      <c r="CRC550" s="120"/>
      <c r="CRD550" s="120"/>
      <c r="CRE550" s="120"/>
      <c r="CRF550" s="120"/>
      <c r="CRG550" s="120"/>
      <c r="CRH550" s="120"/>
      <c r="CRI550" s="120"/>
      <c r="CRJ550" s="120"/>
      <c r="CRK550" s="120"/>
      <c r="CRL550" s="120"/>
      <c r="CRM550" s="120"/>
      <c r="CRN550" s="120"/>
      <c r="CRO550" s="120"/>
      <c r="CRP550" s="120"/>
      <c r="CRQ550" s="120"/>
      <c r="CRR550" s="120"/>
      <c r="CRS550" s="120"/>
      <c r="CRT550" s="120"/>
      <c r="CRU550" s="120"/>
      <c r="CRV550" s="120"/>
      <c r="CRW550" s="120"/>
      <c r="CRX550" s="120"/>
      <c r="CRY550" s="120"/>
      <c r="CRZ550" s="120"/>
      <c r="CSA550" s="120"/>
      <c r="CSB550" s="120"/>
      <c r="CSC550" s="120"/>
      <c r="CSD550" s="120"/>
      <c r="CSE550" s="120"/>
      <c r="CSF550" s="120"/>
      <c r="CSG550" s="120"/>
      <c r="CSH550" s="120"/>
      <c r="CSI550" s="120"/>
      <c r="CSJ550" s="120"/>
      <c r="CSK550" s="120"/>
      <c r="CSL550" s="120"/>
      <c r="CSM550" s="120"/>
      <c r="CSN550" s="120"/>
      <c r="CSO550" s="120"/>
      <c r="CSP550" s="120"/>
      <c r="CSQ550" s="120"/>
      <c r="CSR550" s="120"/>
      <c r="CSS550" s="120"/>
      <c r="CST550" s="120"/>
      <c r="CSU550" s="120"/>
      <c r="CSV550" s="120"/>
      <c r="CSW550" s="120"/>
      <c r="CSX550" s="120"/>
      <c r="CSY550" s="120"/>
      <c r="CSZ550" s="120"/>
      <c r="CTA550" s="120"/>
      <c r="CTB550" s="120"/>
      <c r="CTC550" s="120"/>
      <c r="CTD550" s="120"/>
      <c r="CTE550" s="120"/>
      <c r="CTF550" s="120"/>
      <c r="CTG550" s="120"/>
      <c r="CTH550" s="120"/>
      <c r="CTI550" s="120"/>
      <c r="CTJ550" s="120"/>
      <c r="CTK550" s="120"/>
      <c r="CTL550" s="120"/>
      <c r="CTM550" s="120"/>
      <c r="CTN550" s="120"/>
      <c r="CTO550" s="120"/>
      <c r="CTP550" s="120"/>
      <c r="CTQ550" s="120"/>
      <c r="CTR550" s="120"/>
      <c r="CTS550" s="120"/>
      <c r="CTT550" s="120"/>
      <c r="CTU550" s="120"/>
      <c r="CTV550" s="120"/>
      <c r="CTW550" s="120"/>
      <c r="CTX550" s="120"/>
      <c r="CTY550" s="120"/>
      <c r="CTZ550" s="120"/>
      <c r="CUA550" s="120"/>
      <c r="CUB550" s="120"/>
      <c r="CUC550" s="120"/>
      <c r="CUD550" s="120"/>
      <c r="CUE550" s="120"/>
      <c r="CUF550" s="120"/>
      <c r="CUG550" s="120"/>
      <c r="CUH550" s="120"/>
      <c r="CUI550" s="120"/>
      <c r="CUJ550" s="120"/>
      <c r="CUK550" s="120"/>
      <c r="CUL550" s="120"/>
      <c r="CUM550" s="120"/>
      <c r="CUN550" s="120"/>
      <c r="CUO550" s="120"/>
      <c r="CUP550" s="120"/>
      <c r="CUQ550" s="120"/>
      <c r="CUR550" s="120"/>
      <c r="CUS550" s="120"/>
      <c r="CUT550" s="120"/>
      <c r="CUU550" s="120"/>
      <c r="CUV550" s="120"/>
      <c r="CUW550" s="120"/>
      <c r="CUX550" s="120"/>
      <c r="CUY550" s="120"/>
      <c r="CUZ550" s="120"/>
      <c r="CVA550" s="120"/>
      <c r="CVB550" s="120"/>
      <c r="CVC550" s="120"/>
      <c r="CVD550" s="120"/>
      <c r="CVE550" s="120"/>
      <c r="CVF550" s="120"/>
      <c r="CVG550" s="120"/>
      <c r="CVH550" s="120"/>
      <c r="CVI550" s="120"/>
      <c r="CVJ550" s="120"/>
      <c r="CVK550" s="120"/>
      <c r="CVL550" s="120"/>
      <c r="CVM550" s="120"/>
      <c r="CVN550" s="120"/>
      <c r="CVO550" s="120"/>
      <c r="CVP550" s="120"/>
      <c r="CVQ550" s="120"/>
      <c r="CVR550" s="120"/>
      <c r="CVS550" s="120"/>
      <c r="CVT550" s="120"/>
      <c r="CVU550" s="120"/>
      <c r="CVV550" s="120"/>
      <c r="CVW550" s="120"/>
      <c r="CVX550" s="120"/>
      <c r="CVY550" s="120"/>
      <c r="CVZ550" s="120"/>
      <c r="CWA550" s="120"/>
      <c r="CWB550" s="120"/>
      <c r="CWC550" s="120"/>
      <c r="CWD550" s="120"/>
      <c r="CWE550" s="120"/>
      <c r="CWF550" s="120"/>
      <c r="CWG550" s="120"/>
      <c r="CWH550" s="120"/>
      <c r="CWI550" s="120"/>
      <c r="CWJ550" s="120"/>
      <c r="CWK550" s="120"/>
      <c r="CWL550" s="120"/>
      <c r="CWM550" s="120"/>
      <c r="CWN550" s="120"/>
      <c r="CWO550" s="120"/>
      <c r="CWP550" s="120"/>
      <c r="CWQ550" s="120"/>
      <c r="CWR550" s="120"/>
      <c r="CWS550" s="120"/>
      <c r="CWT550" s="120"/>
      <c r="CWU550" s="120"/>
      <c r="CWV550" s="120"/>
      <c r="CWW550" s="120"/>
      <c r="CWX550" s="120"/>
      <c r="CWY550" s="120"/>
      <c r="CWZ550" s="120"/>
      <c r="CXA550" s="120"/>
      <c r="CXB550" s="120"/>
      <c r="CXC550" s="120"/>
      <c r="CXD550" s="120"/>
      <c r="CXE550" s="120"/>
      <c r="CXF550" s="120"/>
      <c r="CXG550" s="120"/>
      <c r="CXH550" s="120"/>
      <c r="CXI550" s="120"/>
      <c r="CXJ550" s="120"/>
      <c r="CXK550" s="120"/>
      <c r="CXL550" s="120"/>
      <c r="CXM550" s="120"/>
      <c r="CXN550" s="120"/>
      <c r="CXO550" s="120"/>
      <c r="CXP550" s="120"/>
      <c r="CXQ550" s="120"/>
      <c r="CXR550" s="120"/>
      <c r="CXS550" s="120"/>
      <c r="CXT550" s="120"/>
      <c r="CXU550" s="120"/>
      <c r="CXV550" s="120"/>
      <c r="CXW550" s="120"/>
      <c r="CXX550" s="120"/>
      <c r="CXY550" s="120"/>
      <c r="CXZ550" s="120"/>
      <c r="CYA550" s="120"/>
      <c r="CYB550" s="120"/>
      <c r="CYC550" s="120"/>
      <c r="CYD550" s="120"/>
      <c r="CYE550" s="120"/>
      <c r="CYF550" s="120"/>
      <c r="CYG550" s="120"/>
      <c r="CYH550" s="120"/>
      <c r="CYI550" s="120"/>
      <c r="CYJ550" s="120"/>
      <c r="CYK550" s="120"/>
      <c r="CYL550" s="120"/>
      <c r="CYM550" s="120"/>
      <c r="CYN550" s="120"/>
      <c r="CYO550" s="120"/>
      <c r="CYP550" s="120"/>
      <c r="CYQ550" s="120"/>
      <c r="CYR550" s="120"/>
      <c r="CYS550" s="120"/>
      <c r="CYT550" s="120"/>
      <c r="CYU550" s="120"/>
      <c r="CYV550" s="120"/>
      <c r="CYW550" s="120"/>
      <c r="CYX550" s="120"/>
      <c r="CYY550" s="120"/>
      <c r="CYZ550" s="120"/>
      <c r="CZA550" s="120"/>
      <c r="CZB550" s="120"/>
      <c r="CZC550" s="120"/>
      <c r="CZD550" s="120"/>
      <c r="CZE550" s="120"/>
      <c r="CZF550" s="120"/>
      <c r="CZG550" s="120"/>
      <c r="CZH550" s="120"/>
      <c r="CZI550" s="120"/>
      <c r="CZJ550" s="120"/>
      <c r="CZK550" s="120"/>
      <c r="CZL550" s="120"/>
      <c r="CZM550" s="120"/>
      <c r="CZN550" s="120"/>
      <c r="CZO550" s="120"/>
      <c r="CZP550" s="120"/>
      <c r="CZQ550" s="120"/>
      <c r="CZR550" s="120"/>
      <c r="CZS550" s="120"/>
      <c r="CZT550" s="120"/>
      <c r="CZU550" s="120"/>
      <c r="CZV550" s="120"/>
      <c r="CZW550" s="120"/>
      <c r="CZX550" s="120"/>
      <c r="CZY550" s="120"/>
      <c r="CZZ550" s="120"/>
      <c r="DAA550" s="120"/>
      <c r="DAB550" s="120"/>
      <c r="DAC550" s="120"/>
      <c r="DAD550" s="120"/>
      <c r="DAE550" s="120"/>
      <c r="DAF550" s="120"/>
      <c r="DAG550" s="120"/>
      <c r="DAH550" s="120"/>
      <c r="DAI550" s="120"/>
      <c r="DAJ550" s="120"/>
      <c r="DAK550" s="120"/>
      <c r="DAL550" s="120"/>
      <c r="DAM550" s="120"/>
      <c r="DAN550" s="120"/>
      <c r="DAO550" s="120"/>
      <c r="DAP550" s="120"/>
      <c r="DAQ550" s="120"/>
      <c r="DAR550" s="120"/>
      <c r="DAS550" s="120"/>
      <c r="DAT550" s="120"/>
      <c r="DAU550" s="120"/>
      <c r="DAV550" s="120"/>
      <c r="DAW550" s="120"/>
      <c r="DAX550" s="120"/>
      <c r="DAY550" s="120"/>
      <c r="DAZ550" s="120"/>
      <c r="DBA550" s="120"/>
      <c r="DBB550" s="120"/>
      <c r="DBC550" s="120"/>
      <c r="DBD550" s="120"/>
      <c r="DBE550" s="120"/>
      <c r="DBF550" s="120"/>
      <c r="DBG550" s="120"/>
      <c r="DBH550" s="120"/>
      <c r="DBI550" s="120"/>
      <c r="DBJ550" s="120"/>
      <c r="DBK550" s="120"/>
      <c r="DBL550" s="120"/>
      <c r="DBM550" s="120"/>
      <c r="DBN550" s="120"/>
      <c r="DBO550" s="120"/>
      <c r="DBP550" s="120"/>
      <c r="DBQ550" s="120"/>
      <c r="DBR550" s="120"/>
      <c r="DBS550" s="120"/>
      <c r="DBT550" s="120"/>
      <c r="DBU550" s="120"/>
      <c r="DBV550" s="120"/>
      <c r="DBW550" s="120"/>
      <c r="DBX550" s="120"/>
      <c r="DBY550" s="120"/>
      <c r="DBZ550" s="120"/>
      <c r="DCA550" s="120"/>
      <c r="DCB550" s="120"/>
      <c r="DCC550" s="120"/>
      <c r="DCD550" s="120"/>
      <c r="DCE550" s="120"/>
      <c r="DCF550" s="120"/>
      <c r="DCG550" s="120"/>
      <c r="DCH550" s="120"/>
      <c r="DCI550" s="120"/>
      <c r="DCJ550" s="120"/>
      <c r="DCK550" s="120"/>
      <c r="DCL550" s="120"/>
      <c r="DCM550" s="120"/>
      <c r="DCN550" s="120"/>
      <c r="DCO550" s="120"/>
      <c r="DCP550" s="120"/>
      <c r="DCQ550" s="120"/>
      <c r="DCR550" s="120"/>
      <c r="DCS550" s="120"/>
      <c r="DCT550" s="120"/>
      <c r="DCU550" s="120"/>
      <c r="DCV550" s="120"/>
      <c r="DCW550" s="120"/>
      <c r="DCX550" s="120"/>
      <c r="DCY550" s="120"/>
      <c r="DCZ550" s="120"/>
      <c r="DDA550" s="120"/>
      <c r="DDB550" s="120"/>
      <c r="DDC550" s="120"/>
      <c r="DDD550" s="120"/>
      <c r="DDE550" s="120"/>
      <c r="DDF550" s="120"/>
      <c r="DDG550" s="120"/>
      <c r="DDH550" s="120"/>
      <c r="DDI550" s="120"/>
      <c r="DDJ550" s="120"/>
      <c r="DDK550" s="120"/>
      <c r="DDL550" s="120"/>
      <c r="DDM550" s="120"/>
      <c r="DDN550" s="120"/>
      <c r="DDO550" s="120"/>
      <c r="DDP550" s="120"/>
      <c r="DDQ550" s="120"/>
      <c r="DDR550" s="120"/>
      <c r="DDS550" s="120"/>
      <c r="DDT550" s="120"/>
      <c r="DDU550" s="120"/>
      <c r="DDV550" s="120"/>
      <c r="DDW550" s="120"/>
      <c r="DDX550" s="120"/>
      <c r="DDY550" s="120"/>
      <c r="DDZ550" s="120"/>
      <c r="DEA550" s="120"/>
      <c r="DEB550" s="120"/>
      <c r="DEC550" s="120"/>
      <c r="DED550" s="120"/>
      <c r="DEE550" s="120"/>
      <c r="DEF550" s="120"/>
      <c r="DEG550" s="120"/>
      <c r="DEH550" s="120"/>
      <c r="DEI550" s="120"/>
      <c r="DEJ550" s="120"/>
      <c r="DEK550" s="120"/>
      <c r="DEL550" s="120"/>
      <c r="DEM550" s="120"/>
      <c r="DEN550" s="120"/>
      <c r="DEO550" s="120"/>
      <c r="DEP550" s="120"/>
      <c r="DEQ550" s="120"/>
      <c r="DER550" s="120"/>
      <c r="DES550" s="120"/>
      <c r="DET550" s="120"/>
      <c r="DEU550" s="120"/>
      <c r="DEV550" s="120"/>
      <c r="DEW550" s="120"/>
      <c r="DEX550" s="120"/>
      <c r="DEY550" s="120"/>
      <c r="DEZ550" s="120"/>
      <c r="DFA550" s="120"/>
      <c r="DFB550" s="120"/>
      <c r="DFC550" s="120"/>
      <c r="DFD550" s="120"/>
      <c r="DFE550" s="120"/>
      <c r="DFF550" s="120"/>
      <c r="DFG550" s="120"/>
      <c r="DFH550" s="120"/>
      <c r="DFI550" s="120"/>
      <c r="DFJ550" s="120"/>
      <c r="DFK550" s="120"/>
      <c r="DFL550" s="120"/>
      <c r="DFM550" s="120"/>
      <c r="DFN550" s="120"/>
      <c r="DFO550" s="120"/>
      <c r="DFP550" s="120"/>
      <c r="DFQ550" s="120"/>
      <c r="DFR550" s="120"/>
      <c r="DFS550" s="120"/>
      <c r="DFT550" s="120"/>
      <c r="DFU550" s="120"/>
      <c r="DFV550" s="120"/>
      <c r="DFW550" s="120"/>
      <c r="DFX550" s="120"/>
      <c r="DFY550" s="120"/>
      <c r="DFZ550" s="120"/>
      <c r="DGA550" s="120"/>
      <c r="DGB550" s="120"/>
      <c r="DGC550" s="120"/>
      <c r="DGD550" s="120"/>
      <c r="DGE550" s="120"/>
      <c r="DGF550" s="120"/>
      <c r="DGG550" s="120"/>
      <c r="DGH550" s="120"/>
      <c r="DGI550" s="120"/>
      <c r="DGJ550" s="120"/>
      <c r="DGK550" s="120"/>
      <c r="DGL550" s="120"/>
      <c r="DGM550" s="120"/>
      <c r="DGN550" s="120"/>
      <c r="DGO550" s="120"/>
      <c r="DGP550" s="120"/>
      <c r="DGQ550" s="120"/>
      <c r="DGR550" s="120"/>
      <c r="DGS550" s="120"/>
      <c r="DGT550" s="120"/>
      <c r="DGU550" s="120"/>
      <c r="DGV550" s="120"/>
      <c r="DGW550" s="120"/>
      <c r="DGX550" s="120"/>
      <c r="DGY550" s="120"/>
      <c r="DGZ550" s="120"/>
      <c r="DHA550" s="120"/>
      <c r="DHB550" s="120"/>
      <c r="DHC550" s="120"/>
      <c r="DHD550" s="120"/>
      <c r="DHE550" s="120"/>
      <c r="DHF550" s="120"/>
      <c r="DHG550" s="120"/>
      <c r="DHH550" s="120"/>
      <c r="DHI550" s="120"/>
      <c r="DHJ550" s="120"/>
      <c r="DHK550" s="120"/>
      <c r="DHL550" s="120"/>
      <c r="DHM550" s="120"/>
      <c r="DHN550" s="120"/>
      <c r="DHO550" s="120"/>
      <c r="DHP550" s="120"/>
      <c r="DHQ550" s="120"/>
      <c r="DHR550" s="120"/>
      <c r="DHS550" s="120"/>
      <c r="DHT550" s="120"/>
      <c r="DHU550" s="120"/>
      <c r="DHV550" s="120"/>
      <c r="DHW550" s="120"/>
      <c r="DHX550" s="120"/>
      <c r="DHY550" s="120"/>
      <c r="DHZ550" s="120"/>
      <c r="DIA550" s="120"/>
      <c r="DIB550" s="120"/>
      <c r="DIC550" s="120"/>
      <c r="DID550" s="120"/>
      <c r="DIE550" s="120"/>
      <c r="DIF550" s="120"/>
      <c r="DIG550" s="120"/>
      <c r="DIH550" s="120"/>
      <c r="DII550" s="120"/>
      <c r="DIJ550" s="120"/>
      <c r="DIK550" s="120"/>
      <c r="DIL550" s="120"/>
      <c r="DIM550" s="120"/>
      <c r="DIN550" s="120"/>
      <c r="DIO550" s="120"/>
      <c r="DIP550" s="120"/>
      <c r="DIQ550" s="120"/>
      <c r="DIR550" s="120"/>
      <c r="DIS550" s="120"/>
      <c r="DIT550" s="120"/>
      <c r="DIU550" s="120"/>
      <c r="DIV550" s="120"/>
      <c r="DIW550" s="120"/>
      <c r="DIX550" s="120"/>
      <c r="DIY550" s="120"/>
      <c r="DIZ550" s="120"/>
      <c r="DJA550" s="120"/>
      <c r="DJB550" s="120"/>
      <c r="DJC550" s="120"/>
      <c r="DJD550" s="120"/>
      <c r="DJE550" s="120"/>
      <c r="DJF550" s="120"/>
      <c r="DJG550" s="120"/>
      <c r="DJH550" s="120"/>
      <c r="DJI550" s="120"/>
      <c r="DJJ550" s="120"/>
      <c r="DJK550" s="120"/>
      <c r="DJL550" s="120"/>
      <c r="DJM550" s="120"/>
      <c r="DJN550" s="120"/>
      <c r="DJO550" s="120"/>
      <c r="DJP550" s="120"/>
      <c r="DJQ550" s="120"/>
      <c r="DJR550" s="120"/>
      <c r="DJS550" s="120"/>
      <c r="DJT550" s="120"/>
      <c r="DJU550" s="120"/>
      <c r="DJV550" s="120"/>
      <c r="DJW550" s="120"/>
      <c r="DJX550" s="120"/>
      <c r="DJY550" s="120"/>
      <c r="DJZ550" s="120"/>
      <c r="DKA550" s="120"/>
      <c r="DKB550" s="120"/>
      <c r="DKC550" s="120"/>
      <c r="DKD550" s="120"/>
      <c r="DKE550" s="120"/>
      <c r="DKF550" s="120"/>
      <c r="DKG550" s="120"/>
      <c r="DKH550" s="120"/>
      <c r="DKI550" s="120"/>
      <c r="DKJ550" s="120"/>
      <c r="DKK550" s="120"/>
      <c r="DKL550" s="120"/>
      <c r="DKM550" s="120"/>
      <c r="DKN550" s="120"/>
      <c r="DKO550" s="120"/>
      <c r="DKP550" s="120"/>
      <c r="DKQ550" s="120"/>
      <c r="DKR550" s="120"/>
      <c r="DKS550" s="120"/>
      <c r="DKT550" s="120"/>
      <c r="DKU550" s="120"/>
      <c r="DKV550" s="120"/>
      <c r="DKW550" s="120"/>
      <c r="DKX550" s="120"/>
      <c r="DKY550" s="120"/>
      <c r="DKZ550" s="120"/>
      <c r="DLA550" s="120"/>
      <c r="DLB550" s="120"/>
      <c r="DLC550" s="120"/>
      <c r="DLD550" s="120"/>
      <c r="DLE550" s="120"/>
      <c r="DLF550" s="120"/>
      <c r="DLG550" s="120"/>
      <c r="DLH550" s="120"/>
      <c r="DLI550" s="120"/>
      <c r="DLJ550" s="120"/>
      <c r="DLK550" s="120"/>
      <c r="DLL550" s="120"/>
      <c r="DLM550" s="120"/>
      <c r="DLN550" s="120"/>
      <c r="DLO550" s="120"/>
      <c r="DLP550" s="120"/>
      <c r="DLQ550" s="120"/>
      <c r="DLR550" s="120"/>
      <c r="DLS550" s="120"/>
      <c r="DLT550" s="120"/>
      <c r="DLU550" s="120"/>
      <c r="DLV550" s="120"/>
      <c r="DLW550" s="120"/>
      <c r="DLX550" s="120"/>
      <c r="DLY550" s="120"/>
      <c r="DLZ550" s="120"/>
      <c r="DMA550" s="120"/>
      <c r="DMB550" s="120"/>
      <c r="DMC550" s="120"/>
      <c r="DMD550" s="120"/>
      <c r="DME550" s="120"/>
      <c r="DMF550" s="120"/>
      <c r="DMG550" s="120"/>
      <c r="DMH550" s="120"/>
      <c r="DMI550" s="120"/>
      <c r="DMJ550" s="120"/>
      <c r="DMK550" s="120"/>
      <c r="DML550" s="120"/>
      <c r="DMM550" s="120"/>
      <c r="DMN550" s="120"/>
      <c r="DMO550" s="120"/>
      <c r="DMP550" s="120"/>
      <c r="DMQ550" s="120"/>
      <c r="DMR550" s="120"/>
      <c r="DMS550" s="120"/>
      <c r="DMT550" s="120"/>
      <c r="DMU550" s="120"/>
      <c r="DMV550" s="120"/>
      <c r="DMW550" s="120"/>
      <c r="DMX550" s="120"/>
      <c r="DMY550" s="120"/>
      <c r="DMZ550" s="120"/>
      <c r="DNA550" s="120"/>
      <c r="DNB550" s="120"/>
      <c r="DNC550" s="120"/>
      <c r="DND550" s="120"/>
      <c r="DNE550" s="120"/>
      <c r="DNF550" s="120"/>
      <c r="DNG550" s="120"/>
      <c r="DNH550" s="120"/>
      <c r="DNI550" s="120"/>
      <c r="DNJ550" s="120"/>
      <c r="DNK550" s="120"/>
      <c r="DNL550" s="120"/>
      <c r="DNM550" s="120"/>
      <c r="DNN550" s="120"/>
      <c r="DNO550" s="120"/>
      <c r="DNP550" s="120"/>
      <c r="DNQ550" s="120"/>
      <c r="DNR550" s="120"/>
      <c r="DNS550" s="120"/>
      <c r="DNT550" s="120"/>
      <c r="DNU550" s="120"/>
      <c r="DNV550" s="120"/>
      <c r="DNW550" s="120"/>
      <c r="DNX550" s="120"/>
      <c r="DNY550" s="120"/>
      <c r="DNZ550" s="120"/>
      <c r="DOA550" s="120"/>
      <c r="DOB550" s="120"/>
      <c r="DOC550" s="120"/>
      <c r="DOD550" s="120"/>
      <c r="DOE550" s="120"/>
      <c r="DOF550" s="120"/>
      <c r="DOG550" s="120"/>
      <c r="DOH550" s="120"/>
      <c r="DOI550" s="120"/>
      <c r="DOJ550" s="120"/>
      <c r="DOK550" s="120"/>
      <c r="DOL550" s="120"/>
      <c r="DOM550" s="120"/>
      <c r="DON550" s="120"/>
      <c r="DOO550" s="120"/>
      <c r="DOP550" s="120"/>
      <c r="DOQ550" s="120"/>
      <c r="DOR550" s="120"/>
      <c r="DOS550" s="120"/>
      <c r="DOT550" s="120"/>
      <c r="DOU550" s="120"/>
      <c r="DOV550" s="120"/>
      <c r="DOW550" s="120"/>
      <c r="DOX550" s="120"/>
      <c r="DOY550" s="120"/>
      <c r="DOZ550" s="120"/>
      <c r="DPA550" s="120"/>
      <c r="DPB550" s="120"/>
      <c r="DPC550" s="120"/>
      <c r="DPD550" s="120"/>
      <c r="DPE550" s="120"/>
      <c r="DPF550" s="120"/>
      <c r="DPG550" s="120"/>
      <c r="DPH550" s="120"/>
      <c r="DPI550" s="120"/>
      <c r="DPJ550" s="120"/>
      <c r="DPK550" s="120"/>
      <c r="DPL550" s="120"/>
      <c r="DPM550" s="120"/>
      <c r="DPN550" s="120"/>
      <c r="DPO550" s="120"/>
      <c r="DPP550" s="120"/>
      <c r="DPQ550" s="120"/>
      <c r="DPR550" s="120"/>
      <c r="DPS550" s="120"/>
      <c r="DPT550" s="120"/>
      <c r="DPU550" s="120"/>
      <c r="DPV550" s="120"/>
      <c r="DPW550" s="120"/>
      <c r="DPX550" s="120"/>
      <c r="DPY550" s="120"/>
      <c r="DPZ550" s="120"/>
      <c r="DQA550" s="120"/>
      <c r="DQB550" s="120"/>
      <c r="DQC550" s="120"/>
      <c r="DQD550" s="120"/>
      <c r="DQE550" s="120"/>
      <c r="DQF550" s="120"/>
      <c r="DQG550" s="120"/>
      <c r="DQH550" s="120"/>
      <c r="DQI550" s="120"/>
      <c r="DQJ550" s="120"/>
      <c r="DQK550" s="120"/>
      <c r="DQL550" s="120"/>
      <c r="DQM550" s="120"/>
      <c r="DQN550" s="120"/>
      <c r="DQO550" s="120"/>
      <c r="DQP550" s="120"/>
      <c r="DQQ550" s="120"/>
      <c r="DQR550" s="120"/>
      <c r="DQS550" s="120"/>
      <c r="DQT550" s="120"/>
      <c r="DQU550" s="120"/>
      <c r="DQV550" s="120"/>
      <c r="DQW550" s="120"/>
      <c r="DQX550" s="120"/>
      <c r="DQY550" s="120"/>
      <c r="DQZ550" s="120"/>
      <c r="DRA550" s="120"/>
      <c r="DRB550" s="120"/>
      <c r="DRC550" s="120"/>
      <c r="DRD550" s="120"/>
      <c r="DRE550" s="120"/>
      <c r="DRF550" s="120"/>
      <c r="DRG550" s="120"/>
      <c r="DRH550" s="120"/>
      <c r="DRI550" s="120"/>
      <c r="DRJ550" s="120"/>
      <c r="DRK550" s="120"/>
      <c r="DRL550" s="120"/>
      <c r="DRM550" s="120"/>
      <c r="DRN550" s="120"/>
      <c r="DRO550" s="120"/>
      <c r="DRP550" s="120"/>
      <c r="DRQ550" s="120"/>
      <c r="DRR550" s="120"/>
      <c r="DRS550" s="120"/>
      <c r="DRT550" s="120"/>
      <c r="DRU550" s="120"/>
      <c r="DRV550" s="120"/>
      <c r="DRW550" s="120"/>
      <c r="DRX550" s="120"/>
      <c r="DRY550" s="120"/>
      <c r="DRZ550" s="120"/>
      <c r="DSA550" s="120"/>
      <c r="DSB550" s="120"/>
      <c r="DSC550" s="120"/>
      <c r="DSD550" s="120"/>
      <c r="DSE550" s="120"/>
      <c r="DSF550" s="120"/>
      <c r="DSG550" s="120"/>
      <c r="DSH550" s="120"/>
      <c r="DSI550" s="120"/>
      <c r="DSJ550" s="120"/>
      <c r="DSK550" s="120"/>
      <c r="DSL550" s="120"/>
      <c r="DSM550" s="120"/>
      <c r="DSN550" s="120"/>
      <c r="DSO550" s="120"/>
      <c r="DSP550" s="120"/>
      <c r="DSQ550" s="120"/>
      <c r="DSR550" s="120"/>
      <c r="DSS550" s="120"/>
      <c r="DST550" s="120"/>
      <c r="DSU550" s="120"/>
      <c r="DSV550" s="120"/>
      <c r="DSW550" s="120"/>
      <c r="DSX550" s="120"/>
      <c r="DSY550" s="120"/>
      <c r="DSZ550" s="120"/>
      <c r="DTA550" s="120"/>
      <c r="DTB550" s="120"/>
      <c r="DTC550" s="120"/>
      <c r="DTD550" s="120"/>
      <c r="DTE550" s="120"/>
      <c r="DTF550" s="120"/>
      <c r="DTG550" s="120"/>
      <c r="DTH550" s="120"/>
      <c r="DTI550" s="120"/>
      <c r="DTJ550" s="120"/>
      <c r="DTK550" s="120"/>
      <c r="DTL550" s="120"/>
      <c r="DTM550" s="120"/>
      <c r="DTN550" s="120"/>
      <c r="DTO550" s="120"/>
      <c r="DTP550" s="120"/>
      <c r="DTQ550" s="120"/>
      <c r="DTR550" s="120"/>
      <c r="DTS550" s="120"/>
      <c r="DTT550" s="120"/>
      <c r="DTU550" s="120"/>
      <c r="DTV550" s="120"/>
      <c r="DTW550" s="120"/>
      <c r="DTX550" s="120"/>
      <c r="DTY550" s="120"/>
      <c r="DTZ550" s="120"/>
      <c r="DUA550" s="120"/>
      <c r="DUB550" s="120"/>
      <c r="DUC550" s="120"/>
      <c r="DUD550" s="120"/>
      <c r="DUE550" s="120"/>
      <c r="DUF550" s="120"/>
      <c r="DUG550" s="120"/>
      <c r="DUH550" s="120"/>
      <c r="DUI550" s="120"/>
      <c r="DUJ550" s="120"/>
      <c r="DUK550" s="120"/>
      <c r="DUL550" s="120"/>
      <c r="DUM550" s="120"/>
      <c r="DUN550" s="120"/>
      <c r="DUO550" s="120"/>
      <c r="DUP550" s="120"/>
      <c r="DUQ550" s="120"/>
      <c r="DUR550" s="120"/>
      <c r="DUS550" s="120"/>
      <c r="DUT550" s="120"/>
      <c r="DUU550" s="120"/>
      <c r="DUV550" s="120"/>
      <c r="DUW550" s="120"/>
      <c r="DUX550" s="120"/>
      <c r="DUY550" s="120"/>
      <c r="DUZ550" s="120"/>
      <c r="DVA550" s="120"/>
      <c r="DVB550" s="120"/>
      <c r="DVC550" s="120"/>
      <c r="DVD550" s="120"/>
      <c r="DVE550" s="120"/>
      <c r="DVF550" s="120"/>
      <c r="DVG550" s="120"/>
      <c r="DVH550" s="120"/>
      <c r="DVI550" s="120"/>
      <c r="DVJ550" s="120"/>
      <c r="DVK550" s="120"/>
      <c r="DVL550" s="120"/>
      <c r="DVM550" s="120"/>
      <c r="DVN550" s="120"/>
      <c r="DVO550" s="120"/>
      <c r="DVP550" s="120"/>
      <c r="DVQ550" s="120"/>
      <c r="DVR550" s="120"/>
      <c r="DVS550" s="120"/>
      <c r="DVT550" s="120"/>
      <c r="DVU550" s="120"/>
      <c r="DVV550" s="120"/>
      <c r="DVW550" s="120"/>
      <c r="DVX550" s="120"/>
      <c r="DVY550" s="120"/>
      <c r="DVZ550" s="120"/>
      <c r="DWA550" s="120"/>
      <c r="DWB550" s="120"/>
      <c r="DWC550" s="120"/>
      <c r="DWD550" s="120"/>
      <c r="DWE550" s="120"/>
      <c r="DWF550" s="120"/>
      <c r="DWG550" s="120"/>
      <c r="DWH550" s="120"/>
      <c r="DWI550" s="120"/>
      <c r="DWJ550" s="120"/>
      <c r="DWK550" s="120"/>
      <c r="DWL550" s="120"/>
      <c r="DWM550" s="120"/>
      <c r="DWN550" s="120"/>
      <c r="DWO550" s="120"/>
      <c r="DWP550" s="120"/>
      <c r="DWQ550" s="120"/>
      <c r="DWR550" s="120"/>
      <c r="DWS550" s="120"/>
      <c r="DWT550" s="120"/>
      <c r="DWU550" s="120"/>
      <c r="DWV550" s="120"/>
      <c r="DWW550" s="120"/>
      <c r="DWX550" s="120"/>
      <c r="DWY550" s="120"/>
      <c r="DWZ550" s="120"/>
      <c r="DXA550" s="120"/>
      <c r="DXB550" s="120"/>
      <c r="DXC550" s="120"/>
      <c r="DXD550" s="120"/>
      <c r="DXE550" s="120"/>
      <c r="DXF550" s="120"/>
      <c r="DXG550" s="120"/>
      <c r="DXH550" s="120"/>
      <c r="DXI550" s="120"/>
      <c r="DXJ550" s="120"/>
      <c r="DXK550" s="120"/>
      <c r="DXL550" s="120"/>
      <c r="DXM550" s="120"/>
      <c r="DXN550" s="120"/>
      <c r="DXO550" s="120"/>
      <c r="DXP550" s="120"/>
      <c r="DXQ550" s="120"/>
      <c r="DXR550" s="120"/>
      <c r="DXS550" s="120"/>
      <c r="DXT550" s="120"/>
      <c r="DXU550" s="120"/>
      <c r="DXV550" s="120"/>
      <c r="DXW550" s="120"/>
      <c r="DXX550" s="120"/>
      <c r="DXY550" s="120"/>
      <c r="DXZ550" s="120"/>
      <c r="DYA550" s="120"/>
      <c r="DYB550" s="120"/>
      <c r="DYC550" s="120"/>
      <c r="DYD550" s="120"/>
      <c r="DYE550" s="120"/>
      <c r="DYF550" s="120"/>
      <c r="DYG550" s="120"/>
      <c r="DYH550" s="120"/>
      <c r="DYI550" s="120"/>
      <c r="DYJ550" s="120"/>
      <c r="DYK550" s="120"/>
      <c r="DYL550" s="120"/>
      <c r="DYM550" s="120"/>
      <c r="DYN550" s="120"/>
      <c r="DYO550" s="120"/>
      <c r="DYP550" s="120"/>
      <c r="DYQ550" s="120"/>
      <c r="DYR550" s="120"/>
      <c r="DYS550" s="120"/>
      <c r="DYT550" s="120"/>
      <c r="DYU550" s="120"/>
      <c r="DYV550" s="120"/>
      <c r="DYW550" s="120"/>
      <c r="DYX550" s="120"/>
      <c r="DYY550" s="120"/>
      <c r="DYZ550" s="120"/>
      <c r="DZA550" s="120"/>
      <c r="DZB550" s="120"/>
      <c r="DZC550" s="120"/>
      <c r="DZD550" s="120"/>
      <c r="DZE550" s="120"/>
      <c r="DZF550" s="120"/>
      <c r="DZG550" s="120"/>
      <c r="DZH550" s="120"/>
      <c r="DZI550" s="120"/>
      <c r="DZJ550" s="120"/>
      <c r="DZK550" s="120"/>
      <c r="DZL550" s="120"/>
      <c r="DZM550" s="120"/>
      <c r="DZN550" s="120"/>
      <c r="DZO550" s="120"/>
      <c r="DZP550" s="120"/>
      <c r="DZQ550" s="120"/>
      <c r="DZR550" s="120"/>
      <c r="DZS550" s="120"/>
      <c r="DZT550" s="120"/>
      <c r="DZU550" s="120"/>
      <c r="DZV550" s="120"/>
      <c r="DZW550" s="120"/>
      <c r="DZX550" s="120"/>
      <c r="DZY550" s="120"/>
      <c r="DZZ550" s="120"/>
      <c r="EAA550" s="120"/>
      <c r="EAB550" s="120"/>
      <c r="EAC550" s="120"/>
      <c r="EAD550" s="120"/>
      <c r="EAE550" s="120"/>
      <c r="EAF550" s="120"/>
      <c r="EAG550" s="120"/>
      <c r="EAH550" s="120"/>
      <c r="EAI550" s="120"/>
      <c r="EAJ550" s="120"/>
      <c r="EAK550" s="120"/>
      <c r="EAL550" s="120"/>
      <c r="EAM550" s="120"/>
      <c r="EAN550" s="120"/>
      <c r="EAO550" s="120"/>
      <c r="EAP550" s="120"/>
      <c r="EAQ550" s="120"/>
      <c r="EAR550" s="120"/>
      <c r="EAS550" s="120"/>
      <c r="EAT550" s="120"/>
      <c r="EAU550" s="120"/>
      <c r="EAV550" s="120"/>
      <c r="EAW550" s="120"/>
      <c r="EAX550" s="120"/>
      <c r="EAY550" s="120"/>
      <c r="EAZ550" s="120"/>
      <c r="EBA550" s="120"/>
      <c r="EBB550" s="120"/>
      <c r="EBC550" s="120"/>
      <c r="EBD550" s="120"/>
      <c r="EBE550" s="120"/>
      <c r="EBF550" s="120"/>
      <c r="EBG550" s="120"/>
      <c r="EBH550" s="120"/>
      <c r="EBI550" s="120"/>
      <c r="EBJ550" s="120"/>
      <c r="EBK550" s="120"/>
      <c r="EBL550" s="120"/>
      <c r="EBM550" s="120"/>
      <c r="EBN550" s="120"/>
      <c r="EBO550" s="120"/>
      <c r="EBP550" s="120"/>
      <c r="EBQ550" s="120"/>
      <c r="EBR550" s="120"/>
      <c r="EBS550" s="120"/>
      <c r="EBT550" s="120"/>
      <c r="EBU550" s="120"/>
      <c r="EBV550" s="120"/>
      <c r="EBW550" s="120"/>
      <c r="EBX550" s="120"/>
      <c r="EBY550" s="120"/>
      <c r="EBZ550" s="120"/>
      <c r="ECA550" s="120"/>
      <c r="ECB550" s="120"/>
      <c r="ECC550" s="120"/>
      <c r="ECD550" s="120"/>
      <c r="ECE550" s="120"/>
      <c r="ECF550" s="120"/>
      <c r="ECG550" s="120"/>
      <c r="ECH550" s="120"/>
      <c r="ECI550" s="120"/>
      <c r="ECJ550" s="120"/>
      <c r="ECK550" s="120"/>
      <c r="ECL550" s="120"/>
      <c r="ECM550" s="120"/>
      <c r="ECN550" s="120"/>
      <c r="ECO550" s="120"/>
      <c r="ECP550" s="120"/>
      <c r="ECQ550" s="120"/>
      <c r="ECR550" s="120"/>
      <c r="ECS550" s="120"/>
      <c r="ECT550" s="120"/>
      <c r="ECU550" s="120"/>
      <c r="ECV550" s="120"/>
      <c r="ECW550" s="120"/>
      <c r="ECX550" s="120"/>
      <c r="ECY550" s="120"/>
      <c r="ECZ550" s="120"/>
      <c r="EDA550" s="120"/>
      <c r="EDB550" s="120"/>
      <c r="EDC550" s="120"/>
      <c r="EDD550" s="120"/>
      <c r="EDE550" s="120"/>
      <c r="EDF550" s="120"/>
      <c r="EDG550" s="120"/>
      <c r="EDH550" s="120"/>
      <c r="EDI550" s="120"/>
      <c r="EDJ550" s="120"/>
      <c r="EDK550" s="120"/>
      <c r="EDL550" s="120"/>
      <c r="EDM550" s="120"/>
      <c r="EDN550" s="120"/>
      <c r="EDO550" s="120"/>
      <c r="EDP550" s="120"/>
      <c r="EDQ550" s="120"/>
      <c r="EDR550" s="120"/>
      <c r="EDS550" s="120"/>
      <c r="EDT550" s="120"/>
      <c r="EDU550" s="120"/>
      <c r="EDV550" s="120"/>
      <c r="EDW550" s="120"/>
      <c r="EDX550" s="120"/>
      <c r="EDY550" s="120"/>
      <c r="EDZ550" s="120"/>
      <c r="EEA550" s="120"/>
      <c r="EEB550" s="120"/>
      <c r="EEC550" s="120"/>
      <c r="EED550" s="120"/>
      <c r="EEE550" s="120"/>
      <c r="EEF550" s="120"/>
      <c r="EEG550" s="120"/>
      <c r="EEH550" s="120"/>
      <c r="EEI550" s="120"/>
      <c r="EEJ550" s="120"/>
      <c r="EEK550" s="120"/>
      <c r="EEL550" s="120"/>
      <c r="EEM550" s="120"/>
      <c r="EEN550" s="120"/>
      <c r="EEO550" s="120"/>
      <c r="EEP550" s="120"/>
      <c r="EEQ550" s="120"/>
      <c r="EER550" s="120"/>
      <c r="EES550" s="120"/>
      <c r="EET550" s="120"/>
      <c r="EEU550" s="120"/>
      <c r="EEV550" s="120"/>
      <c r="EEW550" s="120"/>
      <c r="EEX550" s="120"/>
      <c r="EEY550" s="120"/>
      <c r="EEZ550" s="120"/>
      <c r="EFA550" s="120"/>
      <c r="EFB550" s="120"/>
      <c r="EFC550" s="120"/>
      <c r="EFD550" s="120"/>
      <c r="EFE550" s="120"/>
      <c r="EFF550" s="120"/>
      <c r="EFG550" s="120"/>
      <c r="EFH550" s="120"/>
      <c r="EFI550" s="120"/>
      <c r="EFJ550" s="120"/>
      <c r="EFK550" s="120"/>
      <c r="EFL550" s="120"/>
      <c r="EFM550" s="120"/>
      <c r="EFN550" s="120"/>
      <c r="EFO550" s="120"/>
      <c r="EFP550" s="120"/>
      <c r="EFQ550" s="120"/>
      <c r="EFR550" s="120"/>
      <c r="EFS550" s="120"/>
      <c r="EFT550" s="120"/>
      <c r="EFU550" s="120"/>
      <c r="EFV550" s="120"/>
      <c r="EFW550" s="120"/>
      <c r="EFX550" s="120"/>
      <c r="EFY550" s="120"/>
      <c r="EFZ550" s="120"/>
      <c r="EGA550" s="120"/>
      <c r="EGB550" s="120"/>
      <c r="EGC550" s="120"/>
      <c r="EGD550" s="120"/>
      <c r="EGE550" s="120"/>
      <c r="EGF550" s="120"/>
      <c r="EGG550" s="120"/>
      <c r="EGH550" s="120"/>
      <c r="EGI550" s="120"/>
      <c r="EGJ550" s="120"/>
      <c r="EGK550" s="120"/>
      <c r="EGL550" s="120"/>
      <c r="EGM550" s="120"/>
      <c r="EGN550" s="120"/>
      <c r="EGO550" s="120"/>
      <c r="EGP550" s="120"/>
      <c r="EGQ550" s="120"/>
      <c r="EGR550" s="120"/>
      <c r="EGS550" s="120"/>
      <c r="EGT550" s="120"/>
      <c r="EGU550" s="120"/>
      <c r="EGV550" s="120"/>
      <c r="EGW550" s="120"/>
      <c r="EGX550" s="120"/>
      <c r="EGY550" s="120"/>
      <c r="EGZ550" s="120"/>
      <c r="EHA550" s="120"/>
      <c r="EHB550" s="120"/>
      <c r="EHC550" s="120"/>
      <c r="EHD550" s="120"/>
      <c r="EHE550" s="120"/>
      <c r="EHF550" s="120"/>
      <c r="EHG550" s="120"/>
      <c r="EHH550" s="120"/>
      <c r="EHI550" s="120"/>
      <c r="EHJ550" s="120"/>
      <c r="EHK550" s="120"/>
      <c r="EHL550" s="120"/>
      <c r="EHM550" s="120"/>
      <c r="EHN550" s="120"/>
      <c r="EHO550" s="120"/>
      <c r="EHP550" s="120"/>
      <c r="EHQ550" s="120"/>
      <c r="EHR550" s="120"/>
      <c r="EHS550" s="120"/>
      <c r="EHT550" s="120"/>
      <c r="EHU550" s="120"/>
      <c r="EHV550" s="120"/>
      <c r="EHW550" s="120"/>
      <c r="EHX550" s="120"/>
      <c r="EHY550" s="120"/>
      <c r="EHZ550" s="120"/>
      <c r="EIA550" s="120"/>
      <c r="EIB550" s="120"/>
      <c r="EIC550" s="120"/>
      <c r="EID550" s="120"/>
      <c r="EIE550" s="120"/>
      <c r="EIF550" s="120"/>
      <c r="EIG550" s="120"/>
      <c r="EIH550" s="120"/>
      <c r="EII550" s="120"/>
      <c r="EIJ550" s="120"/>
      <c r="EIK550" s="120"/>
      <c r="EIL550" s="120"/>
      <c r="EIM550" s="120"/>
      <c r="EIN550" s="120"/>
      <c r="EIO550" s="120"/>
      <c r="EIP550" s="120"/>
      <c r="EIQ550" s="120"/>
      <c r="EIR550" s="120"/>
      <c r="EIS550" s="120"/>
      <c r="EIT550" s="120"/>
      <c r="EIU550" s="120"/>
      <c r="EIV550" s="120"/>
      <c r="EIW550" s="120"/>
      <c r="EIX550" s="120"/>
      <c r="EIY550" s="120"/>
      <c r="EIZ550" s="120"/>
      <c r="EJA550" s="120"/>
      <c r="EJB550" s="120"/>
      <c r="EJC550" s="120"/>
      <c r="EJD550" s="120"/>
      <c r="EJE550" s="120"/>
      <c r="EJF550" s="120"/>
      <c r="EJG550" s="120"/>
      <c r="EJH550" s="120"/>
      <c r="EJI550" s="120"/>
      <c r="EJJ550" s="120"/>
      <c r="EJK550" s="120"/>
      <c r="EJL550" s="120"/>
      <c r="EJM550" s="120"/>
      <c r="EJN550" s="120"/>
      <c r="EJO550" s="120"/>
      <c r="EJP550" s="120"/>
      <c r="EJQ550" s="120"/>
      <c r="EJR550" s="120"/>
      <c r="EJS550" s="120"/>
      <c r="EJT550" s="120"/>
      <c r="EJU550" s="120"/>
      <c r="EJV550" s="120"/>
      <c r="EJW550" s="120"/>
      <c r="EJX550" s="120"/>
      <c r="EJY550" s="120"/>
      <c r="EJZ550" s="120"/>
      <c r="EKA550" s="120"/>
      <c r="EKB550" s="120"/>
      <c r="EKC550" s="120"/>
      <c r="EKD550" s="120"/>
      <c r="EKE550" s="120"/>
      <c r="EKF550" s="120"/>
      <c r="EKG550" s="120"/>
      <c r="EKH550" s="120"/>
      <c r="EKI550" s="120"/>
      <c r="EKJ550" s="120"/>
      <c r="EKK550" s="120"/>
      <c r="EKL550" s="120"/>
      <c r="EKM550" s="120"/>
      <c r="EKN550" s="120"/>
      <c r="EKO550" s="120"/>
      <c r="EKP550" s="120"/>
      <c r="EKQ550" s="120"/>
      <c r="EKR550" s="120"/>
      <c r="EKS550" s="120"/>
      <c r="EKT550" s="120"/>
      <c r="EKU550" s="120"/>
      <c r="EKV550" s="120"/>
      <c r="EKW550" s="120"/>
      <c r="EKX550" s="120"/>
      <c r="EKY550" s="120"/>
      <c r="EKZ550" s="120"/>
      <c r="ELA550" s="120"/>
      <c r="ELB550" s="120"/>
      <c r="ELC550" s="120"/>
      <c r="ELD550" s="120"/>
      <c r="ELE550" s="120"/>
      <c r="ELF550" s="120"/>
      <c r="ELG550" s="120"/>
      <c r="ELH550" s="120"/>
      <c r="ELI550" s="120"/>
      <c r="ELJ550" s="120"/>
      <c r="ELK550" s="120"/>
      <c r="ELL550" s="120"/>
      <c r="ELM550" s="120"/>
      <c r="ELN550" s="120"/>
      <c r="ELO550" s="120"/>
      <c r="ELP550" s="120"/>
      <c r="ELQ550" s="120"/>
      <c r="ELR550" s="120"/>
      <c r="ELS550" s="120"/>
      <c r="ELT550" s="120"/>
      <c r="ELU550" s="120"/>
      <c r="ELV550" s="120"/>
      <c r="ELW550" s="120"/>
      <c r="ELX550" s="120"/>
      <c r="ELY550" s="120"/>
      <c r="ELZ550" s="120"/>
      <c r="EMA550" s="120"/>
      <c r="EMB550" s="120"/>
      <c r="EMC550" s="120"/>
      <c r="EMD550" s="120"/>
      <c r="EME550" s="120"/>
      <c r="EMF550" s="120"/>
      <c r="EMG550" s="120"/>
      <c r="EMH550" s="120"/>
      <c r="EMI550" s="120"/>
      <c r="EMJ550" s="120"/>
      <c r="EMK550" s="120"/>
      <c r="EML550" s="120"/>
      <c r="EMM550" s="120"/>
      <c r="EMN550" s="120"/>
      <c r="EMO550" s="120"/>
      <c r="EMP550" s="120"/>
      <c r="EMQ550" s="120"/>
      <c r="EMR550" s="120"/>
      <c r="EMS550" s="120"/>
      <c r="EMT550" s="120"/>
      <c r="EMU550" s="120"/>
      <c r="EMV550" s="120"/>
      <c r="EMW550" s="120"/>
      <c r="EMX550" s="120"/>
      <c r="EMY550" s="120"/>
      <c r="EMZ550" s="120"/>
      <c r="ENA550" s="120"/>
      <c r="ENB550" s="120"/>
      <c r="ENC550" s="120"/>
      <c r="END550" s="120"/>
      <c r="ENE550" s="120"/>
      <c r="ENF550" s="120"/>
      <c r="ENG550" s="120"/>
      <c r="ENH550" s="120"/>
      <c r="ENI550" s="120"/>
      <c r="ENJ550" s="120"/>
      <c r="ENK550" s="120"/>
      <c r="ENL550" s="120"/>
      <c r="ENM550" s="120"/>
      <c r="ENN550" s="120"/>
      <c r="ENO550" s="120"/>
      <c r="ENP550" s="120"/>
      <c r="ENQ550" s="120"/>
      <c r="ENR550" s="120"/>
      <c r="ENS550" s="120"/>
      <c r="ENT550" s="120"/>
      <c r="ENU550" s="120"/>
      <c r="ENV550" s="120"/>
      <c r="ENW550" s="120"/>
      <c r="ENX550" s="120"/>
      <c r="ENY550" s="120"/>
      <c r="ENZ550" s="120"/>
      <c r="EOA550" s="120"/>
      <c r="EOB550" s="120"/>
      <c r="EOC550" s="120"/>
      <c r="EOD550" s="120"/>
      <c r="EOE550" s="120"/>
      <c r="EOF550" s="120"/>
      <c r="EOG550" s="120"/>
      <c r="EOH550" s="120"/>
      <c r="EOI550" s="120"/>
      <c r="EOJ550" s="120"/>
      <c r="EOK550" s="120"/>
      <c r="EOL550" s="120"/>
      <c r="EOM550" s="120"/>
      <c r="EON550" s="120"/>
      <c r="EOO550" s="120"/>
      <c r="EOP550" s="120"/>
      <c r="EOQ550" s="120"/>
      <c r="EOR550" s="120"/>
      <c r="EOS550" s="120"/>
      <c r="EOT550" s="120"/>
      <c r="EOU550" s="120"/>
      <c r="EOV550" s="120"/>
      <c r="EOW550" s="120"/>
      <c r="EOX550" s="120"/>
      <c r="EOY550" s="120"/>
      <c r="EOZ550" s="120"/>
      <c r="EPA550" s="120"/>
      <c r="EPB550" s="120"/>
      <c r="EPC550" s="120"/>
      <c r="EPD550" s="120"/>
      <c r="EPE550" s="120"/>
      <c r="EPF550" s="120"/>
      <c r="EPG550" s="120"/>
      <c r="EPH550" s="120"/>
      <c r="EPI550" s="120"/>
      <c r="EPJ550" s="120"/>
      <c r="EPK550" s="120"/>
      <c r="EPL550" s="120"/>
      <c r="EPM550" s="120"/>
      <c r="EPN550" s="120"/>
      <c r="EPO550" s="120"/>
      <c r="EPP550" s="120"/>
      <c r="EPQ550" s="120"/>
      <c r="EPR550" s="120"/>
      <c r="EPS550" s="120"/>
      <c r="EPT550" s="120"/>
      <c r="EPU550" s="120"/>
      <c r="EPV550" s="120"/>
      <c r="EPW550" s="120"/>
      <c r="EPX550" s="120"/>
      <c r="EPY550" s="120"/>
      <c r="EPZ550" s="120"/>
      <c r="EQA550" s="120"/>
      <c r="EQB550" s="120"/>
      <c r="EQC550" s="120"/>
      <c r="EQD550" s="120"/>
      <c r="EQE550" s="120"/>
      <c r="EQF550" s="120"/>
      <c r="EQG550" s="120"/>
      <c r="EQH550" s="120"/>
      <c r="EQI550" s="120"/>
      <c r="EQJ550" s="120"/>
      <c r="EQK550" s="120"/>
      <c r="EQL550" s="120"/>
      <c r="EQM550" s="120"/>
      <c r="EQN550" s="120"/>
      <c r="EQO550" s="120"/>
      <c r="EQP550" s="120"/>
      <c r="EQQ550" s="120"/>
      <c r="EQR550" s="120"/>
      <c r="EQS550" s="120"/>
      <c r="EQT550" s="120"/>
      <c r="EQU550" s="120"/>
      <c r="EQV550" s="120"/>
      <c r="EQW550" s="120"/>
      <c r="EQX550" s="120"/>
      <c r="EQY550" s="120"/>
      <c r="EQZ550" s="120"/>
      <c r="ERA550" s="120"/>
      <c r="ERB550" s="120"/>
      <c r="ERC550" s="120"/>
      <c r="ERD550" s="120"/>
      <c r="ERE550" s="120"/>
      <c r="ERF550" s="120"/>
      <c r="ERG550" s="120"/>
      <c r="ERH550" s="120"/>
      <c r="ERI550" s="120"/>
      <c r="ERJ550" s="120"/>
      <c r="ERK550" s="120"/>
      <c r="ERL550" s="120"/>
      <c r="ERM550" s="120"/>
      <c r="ERN550" s="120"/>
      <c r="ERO550" s="120"/>
      <c r="ERP550" s="120"/>
      <c r="ERQ550" s="120"/>
      <c r="ERR550" s="120"/>
      <c r="ERS550" s="120"/>
      <c r="ERT550" s="120"/>
      <c r="ERU550" s="120"/>
      <c r="ERV550" s="120"/>
      <c r="ERW550" s="120"/>
      <c r="ERX550" s="120"/>
      <c r="ERY550" s="120"/>
      <c r="ERZ550" s="120"/>
      <c r="ESA550" s="120"/>
      <c r="ESB550" s="120"/>
      <c r="ESC550" s="120"/>
      <c r="ESD550" s="120"/>
      <c r="ESE550" s="120"/>
      <c r="ESF550" s="120"/>
      <c r="ESG550" s="120"/>
      <c r="ESH550" s="120"/>
      <c r="ESI550" s="120"/>
      <c r="ESJ550" s="120"/>
      <c r="ESK550" s="120"/>
      <c r="ESL550" s="120"/>
      <c r="ESM550" s="120"/>
      <c r="ESN550" s="120"/>
      <c r="ESO550" s="120"/>
      <c r="ESP550" s="120"/>
      <c r="ESQ550" s="120"/>
      <c r="ESR550" s="120"/>
      <c r="ESS550" s="120"/>
      <c r="EST550" s="120"/>
      <c r="ESU550" s="120"/>
      <c r="ESV550" s="120"/>
      <c r="ESW550" s="120"/>
      <c r="ESX550" s="120"/>
      <c r="ESY550" s="120"/>
      <c r="ESZ550" s="120"/>
      <c r="ETA550" s="120"/>
      <c r="ETB550" s="120"/>
      <c r="ETC550" s="120"/>
      <c r="ETD550" s="120"/>
      <c r="ETE550" s="120"/>
      <c r="ETF550" s="120"/>
      <c r="ETG550" s="120"/>
      <c r="ETH550" s="120"/>
      <c r="ETI550" s="120"/>
      <c r="ETJ550" s="120"/>
      <c r="ETK550" s="120"/>
      <c r="ETL550" s="120"/>
      <c r="ETM550" s="120"/>
      <c r="ETN550" s="120"/>
      <c r="ETO550" s="120"/>
      <c r="ETP550" s="120"/>
      <c r="ETQ550" s="120"/>
      <c r="ETR550" s="120"/>
      <c r="ETS550" s="120"/>
      <c r="ETT550" s="120"/>
      <c r="ETU550" s="120"/>
      <c r="ETV550" s="120"/>
      <c r="ETW550" s="120"/>
      <c r="ETX550" s="120"/>
      <c r="ETY550" s="120"/>
      <c r="ETZ550" s="120"/>
      <c r="EUA550" s="120"/>
      <c r="EUB550" s="120"/>
      <c r="EUC550" s="120"/>
      <c r="EUD550" s="120"/>
      <c r="EUE550" s="120"/>
      <c r="EUF550" s="120"/>
      <c r="EUG550" s="120"/>
      <c r="EUH550" s="120"/>
      <c r="EUI550" s="120"/>
      <c r="EUJ550" s="120"/>
      <c r="EUK550" s="120"/>
      <c r="EUL550" s="120"/>
      <c r="EUM550" s="120"/>
      <c r="EUN550" s="120"/>
      <c r="EUO550" s="120"/>
      <c r="EUP550" s="120"/>
      <c r="EUQ550" s="120"/>
      <c r="EUR550" s="120"/>
      <c r="EUS550" s="120"/>
      <c r="EUT550" s="120"/>
      <c r="EUU550" s="120"/>
      <c r="EUV550" s="120"/>
      <c r="EUW550" s="120"/>
      <c r="EUX550" s="120"/>
      <c r="EUY550" s="120"/>
      <c r="EUZ550" s="120"/>
      <c r="EVA550" s="120"/>
      <c r="EVB550" s="120"/>
      <c r="EVC550" s="120"/>
      <c r="EVD550" s="120"/>
      <c r="EVE550" s="120"/>
      <c r="EVF550" s="120"/>
      <c r="EVG550" s="120"/>
      <c r="EVH550" s="120"/>
      <c r="EVI550" s="120"/>
      <c r="EVJ550" s="120"/>
      <c r="EVK550" s="120"/>
      <c r="EVL550" s="120"/>
      <c r="EVM550" s="120"/>
      <c r="EVN550" s="120"/>
      <c r="EVO550" s="120"/>
      <c r="EVP550" s="120"/>
      <c r="EVQ550" s="120"/>
      <c r="EVR550" s="120"/>
      <c r="EVS550" s="120"/>
      <c r="EVT550" s="120"/>
      <c r="EVU550" s="120"/>
      <c r="EVV550" s="120"/>
      <c r="EVW550" s="120"/>
      <c r="EVX550" s="120"/>
      <c r="EVY550" s="120"/>
      <c r="EVZ550" s="120"/>
      <c r="EWA550" s="120"/>
      <c r="EWB550" s="120"/>
      <c r="EWC550" s="120"/>
      <c r="EWD550" s="120"/>
      <c r="EWE550" s="120"/>
      <c r="EWF550" s="120"/>
      <c r="EWG550" s="120"/>
      <c r="EWH550" s="120"/>
      <c r="EWI550" s="120"/>
      <c r="EWJ550" s="120"/>
      <c r="EWK550" s="120"/>
      <c r="EWL550" s="120"/>
      <c r="EWM550" s="120"/>
      <c r="EWN550" s="120"/>
      <c r="EWO550" s="120"/>
      <c r="EWP550" s="120"/>
      <c r="EWQ550" s="120"/>
      <c r="EWR550" s="120"/>
      <c r="EWS550" s="120"/>
      <c r="EWT550" s="120"/>
      <c r="EWU550" s="120"/>
      <c r="EWV550" s="120"/>
      <c r="EWW550" s="120"/>
      <c r="EWX550" s="120"/>
      <c r="EWY550" s="120"/>
      <c r="EWZ550" s="120"/>
      <c r="EXA550" s="120"/>
      <c r="EXB550" s="120"/>
      <c r="EXC550" s="120"/>
      <c r="EXD550" s="120"/>
      <c r="EXE550" s="120"/>
      <c r="EXF550" s="120"/>
      <c r="EXG550" s="120"/>
      <c r="EXH550" s="120"/>
      <c r="EXI550" s="120"/>
      <c r="EXJ550" s="120"/>
      <c r="EXK550" s="120"/>
      <c r="EXL550" s="120"/>
      <c r="EXM550" s="120"/>
      <c r="EXN550" s="120"/>
      <c r="EXO550" s="120"/>
      <c r="EXP550" s="120"/>
      <c r="EXQ550" s="120"/>
      <c r="EXR550" s="120"/>
      <c r="EXS550" s="120"/>
      <c r="EXT550" s="120"/>
      <c r="EXU550" s="120"/>
      <c r="EXV550" s="120"/>
      <c r="EXW550" s="120"/>
      <c r="EXX550" s="120"/>
      <c r="EXY550" s="120"/>
      <c r="EXZ550" s="120"/>
      <c r="EYA550" s="120"/>
      <c r="EYB550" s="120"/>
      <c r="EYC550" s="120"/>
      <c r="EYD550" s="120"/>
      <c r="EYE550" s="120"/>
      <c r="EYF550" s="120"/>
      <c r="EYG550" s="120"/>
      <c r="EYH550" s="120"/>
      <c r="EYI550" s="120"/>
      <c r="EYJ550" s="120"/>
      <c r="EYK550" s="120"/>
      <c r="EYL550" s="120"/>
      <c r="EYM550" s="120"/>
      <c r="EYN550" s="120"/>
      <c r="EYO550" s="120"/>
      <c r="EYP550" s="120"/>
      <c r="EYQ550" s="120"/>
      <c r="EYR550" s="120"/>
      <c r="EYS550" s="120"/>
      <c r="EYT550" s="120"/>
      <c r="EYU550" s="120"/>
      <c r="EYV550" s="120"/>
      <c r="EYW550" s="120"/>
      <c r="EYX550" s="120"/>
      <c r="EYY550" s="120"/>
      <c r="EYZ550" s="120"/>
      <c r="EZA550" s="120"/>
      <c r="EZB550" s="120"/>
      <c r="EZC550" s="120"/>
      <c r="EZD550" s="120"/>
      <c r="EZE550" s="120"/>
      <c r="EZF550" s="120"/>
      <c r="EZG550" s="120"/>
      <c r="EZH550" s="120"/>
      <c r="EZI550" s="120"/>
      <c r="EZJ550" s="120"/>
      <c r="EZK550" s="120"/>
      <c r="EZL550" s="120"/>
      <c r="EZM550" s="120"/>
      <c r="EZN550" s="120"/>
      <c r="EZO550" s="120"/>
      <c r="EZP550" s="120"/>
      <c r="EZQ550" s="120"/>
      <c r="EZR550" s="120"/>
      <c r="EZS550" s="120"/>
      <c r="EZT550" s="120"/>
      <c r="EZU550" s="120"/>
      <c r="EZV550" s="120"/>
      <c r="EZW550" s="120"/>
      <c r="EZX550" s="120"/>
      <c r="EZY550" s="120"/>
      <c r="EZZ550" s="120"/>
      <c r="FAA550" s="120"/>
      <c r="FAB550" s="120"/>
      <c r="FAC550" s="120"/>
      <c r="FAD550" s="120"/>
      <c r="FAE550" s="120"/>
      <c r="FAF550" s="120"/>
      <c r="FAG550" s="120"/>
      <c r="FAH550" s="120"/>
      <c r="FAI550" s="120"/>
      <c r="FAJ550" s="120"/>
      <c r="FAK550" s="120"/>
      <c r="FAL550" s="120"/>
      <c r="FAM550" s="120"/>
      <c r="FAN550" s="120"/>
      <c r="FAO550" s="120"/>
      <c r="FAP550" s="120"/>
      <c r="FAQ550" s="120"/>
      <c r="FAR550" s="120"/>
      <c r="FAS550" s="120"/>
      <c r="FAT550" s="120"/>
      <c r="FAU550" s="120"/>
      <c r="FAV550" s="120"/>
      <c r="FAW550" s="120"/>
      <c r="FAX550" s="120"/>
      <c r="FAY550" s="120"/>
      <c r="FAZ550" s="120"/>
      <c r="FBA550" s="120"/>
      <c r="FBB550" s="120"/>
      <c r="FBC550" s="120"/>
      <c r="FBD550" s="120"/>
      <c r="FBE550" s="120"/>
      <c r="FBF550" s="120"/>
      <c r="FBG550" s="120"/>
      <c r="FBH550" s="120"/>
      <c r="FBI550" s="120"/>
      <c r="FBJ550" s="120"/>
      <c r="FBK550" s="120"/>
      <c r="FBL550" s="120"/>
      <c r="FBM550" s="120"/>
      <c r="FBN550" s="120"/>
      <c r="FBO550" s="120"/>
      <c r="FBP550" s="120"/>
      <c r="FBQ550" s="120"/>
      <c r="FBR550" s="120"/>
      <c r="FBS550" s="120"/>
      <c r="FBT550" s="120"/>
      <c r="FBU550" s="120"/>
      <c r="FBV550" s="120"/>
      <c r="FBW550" s="120"/>
      <c r="FBX550" s="120"/>
      <c r="FBY550" s="120"/>
      <c r="FBZ550" s="120"/>
      <c r="FCA550" s="120"/>
      <c r="FCB550" s="120"/>
      <c r="FCC550" s="120"/>
      <c r="FCD550" s="120"/>
      <c r="FCE550" s="120"/>
      <c r="FCF550" s="120"/>
      <c r="FCG550" s="120"/>
      <c r="FCH550" s="120"/>
      <c r="FCI550" s="120"/>
      <c r="FCJ550" s="120"/>
      <c r="FCK550" s="120"/>
      <c r="FCL550" s="120"/>
      <c r="FCM550" s="120"/>
      <c r="FCN550" s="120"/>
      <c r="FCO550" s="120"/>
      <c r="FCP550" s="120"/>
      <c r="FCQ550" s="120"/>
      <c r="FCR550" s="120"/>
      <c r="FCS550" s="120"/>
      <c r="FCT550" s="120"/>
      <c r="FCU550" s="120"/>
      <c r="FCV550" s="120"/>
      <c r="FCW550" s="120"/>
      <c r="FCX550" s="120"/>
      <c r="FCY550" s="120"/>
      <c r="FCZ550" s="120"/>
      <c r="FDA550" s="120"/>
      <c r="FDB550" s="120"/>
      <c r="FDC550" s="120"/>
      <c r="FDD550" s="120"/>
      <c r="FDE550" s="120"/>
      <c r="FDF550" s="120"/>
      <c r="FDG550" s="120"/>
      <c r="FDH550" s="120"/>
      <c r="FDI550" s="120"/>
      <c r="FDJ550" s="120"/>
      <c r="FDK550" s="120"/>
      <c r="FDL550" s="120"/>
      <c r="FDM550" s="120"/>
      <c r="FDN550" s="120"/>
      <c r="FDO550" s="120"/>
      <c r="FDP550" s="120"/>
      <c r="FDQ550" s="120"/>
      <c r="FDR550" s="120"/>
      <c r="FDS550" s="120"/>
      <c r="FDT550" s="120"/>
      <c r="FDU550" s="120"/>
      <c r="FDV550" s="120"/>
      <c r="FDW550" s="120"/>
      <c r="FDX550" s="120"/>
      <c r="FDY550" s="120"/>
      <c r="FDZ550" s="120"/>
      <c r="FEA550" s="120"/>
      <c r="FEB550" s="120"/>
      <c r="FEC550" s="120"/>
      <c r="FED550" s="120"/>
      <c r="FEE550" s="120"/>
      <c r="FEF550" s="120"/>
      <c r="FEG550" s="120"/>
      <c r="FEH550" s="120"/>
      <c r="FEI550" s="120"/>
      <c r="FEJ550" s="120"/>
      <c r="FEK550" s="120"/>
      <c r="FEL550" s="120"/>
      <c r="FEM550" s="120"/>
      <c r="FEN550" s="120"/>
      <c r="FEO550" s="120"/>
      <c r="FEP550" s="120"/>
      <c r="FEQ550" s="120"/>
      <c r="FER550" s="120"/>
      <c r="FES550" s="120"/>
      <c r="FET550" s="120"/>
      <c r="FEU550" s="120"/>
      <c r="FEV550" s="120"/>
      <c r="FEW550" s="120"/>
      <c r="FEX550" s="120"/>
      <c r="FEY550" s="120"/>
      <c r="FEZ550" s="120"/>
      <c r="FFA550" s="120"/>
      <c r="FFB550" s="120"/>
      <c r="FFC550" s="120"/>
      <c r="FFD550" s="120"/>
      <c r="FFE550" s="120"/>
      <c r="FFF550" s="120"/>
      <c r="FFG550" s="120"/>
      <c r="FFH550" s="120"/>
      <c r="FFI550" s="120"/>
      <c r="FFJ550" s="120"/>
      <c r="FFK550" s="120"/>
      <c r="FFL550" s="120"/>
      <c r="FFM550" s="120"/>
      <c r="FFN550" s="120"/>
      <c r="FFO550" s="120"/>
      <c r="FFP550" s="120"/>
      <c r="FFQ550" s="120"/>
      <c r="FFR550" s="120"/>
      <c r="FFS550" s="120"/>
      <c r="FFT550" s="120"/>
      <c r="FFU550" s="120"/>
      <c r="FFV550" s="120"/>
      <c r="FFW550" s="120"/>
      <c r="FFX550" s="120"/>
      <c r="FFY550" s="120"/>
      <c r="FFZ550" s="120"/>
      <c r="FGA550" s="120"/>
      <c r="FGB550" s="120"/>
      <c r="FGC550" s="120"/>
      <c r="FGD550" s="120"/>
      <c r="FGE550" s="120"/>
      <c r="FGF550" s="120"/>
      <c r="FGG550" s="120"/>
      <c r="FGH550" s="120"/>
      <c r="FGI550" s="120"/>
      <c r="FGJ550" s="120"/>
      <c r="FGK550" s="120"/>
      <c r="FGL550" s="120"/>
      <c r="FGM550" s="120"/>
      <c r="FGN550" s="120"/>
      <c r="FGO550" s="120"/>
      <c r="FGP550" s="120"/>
      <c r="FGQ550" s="120"/>
      <c r="FGR550" s="120"/>
      <c r="FGS550" s="120"/>
      <c r="FGT550" s="120"/>
      <c r="FGU550" s="120"/>
      <c r="FGV550" s="120"/>
      <c r="FGW550" s="120"/>
      <c r="FGX550" s="120"/>
      <c r="FGY550" s="120"/>
      <c r="FGZ550" s="120"/>
      <c r="FHA550" s="120"/>
      <c r="FHB550" s="120"/>
      <c r="FHC550" s="120"/>
      <c r="FHD550" s="120"/>
      <c r="FHE550" s="120"/>
      <c r="FHF550" s="120"/>
      <c r="FHG550" s="120"/>
      <c r="FHH550" s="120"/>
      <c r="FHI550" s="120"/>
      <c r="FHJ550" s="120"/>
      <c r="FHK550" s="120"/>
      <c r="FHL550" s="120"/>
      <c r="FHM550" s="120"/>
      <c r="FHN550" s="120"/>
      <c r="FHO550" s="120"/>
      <c r="FHP550" s="120"/>
      <c r="FHQ550" s="120"/>
      <c r="FHR550" s="120"/>
      <c r="FHS550" s="120"/>
      <c r="FHT550" s="120"/>
      <c r="FHU550" s="120"/>
      <c r="FHV550" s="120"/>
      <c r="FHW550" s="120"/>
      <c r="FHX550" s="120"/>
      <c r="FHY550" s="120"/>
      <c r="FHZ550" s="120"/>
      <c r="FIA550" s="120"/>
      <c r="FIB550" s="120"/>
      <c r="FIC550" s="120"/>
      <c r="FID550" s="120"/>
      <c r="FIE550" s="120"/>
      <c r="FIF550" s="120"/>
      <c r="FIG550" s="120"/>
      <c r="FIH550" s="120"/>
      <c r="FII550" s="120"/>
      <c r="FIJ550" s="120"/>
      <c r="FIK550" s="120"/>
      <c r="FIL550" s="120"/>
      <c r="FIM550" s="120"/>
      <c r="FIN550" s="120"/>
      <c r="FIO550" s="120"/>
      <c r="FIP550" s="120"/>
      <c r="FIQ550" s="120"/>
      <c r="FIR550" s="120"/>
      <c r="FIS550" s="120"/>
      <c r="FIT550" s="120"/>
      <c r="FIU550" s="120"/>
      <c r="FIV550" s="120"/>
      <c r="FIW550" s="120"/>
      <c r="FIX550" s="120"/>
      <c r="FIY550" s="120"/>
      <c r="FIZ550" s="120"/>
      <c r="FJA550" s="120"/>
      <c r="FJB550" s="120"/>
      <c r="FJC550" s="120"/>
      <c r="FJD550" s="120"/>
      <c r="FJE550" s="120"/>
      <c r="FJF550" s="120"/>
      <c r="FJG550" s="120"/>
      <c r="FJH550" s="120"/>
      <c r="FJI550" s="120"/>
      <c r="FJJ550" s="120"/>
      <c r="FJK550" s="120"/>
      <c r="FJL550" s="120"/>
      <c r="FJM550" s="120"/>
      <c r="FJN550" s="120"/>
      <c r="FJO550" s="120"/>
      <c r="FJP550" s="120"/>
      <c r="FJQ550" s="120"/>
      <c r="FJR550" s="120"/>
      <c r="FJS550" s="120"/>
      <c r="FJT550" s="120"/>
      <c r="FJU550" s="120"/>
      <c r="FJV550" s="120"/>
      <c r="FJW550" s="120"/>
      <c r="FJX550" s="120"/>
      <c r="FJY550" s="120"/>
      <c r="FJZ550" s="120"/>
      <c r="FKA550" s="120"/>
      <c r="FKB550" s="120"/>
      <c r="FKC550" s="120"/>
      <c r="FKD550" s="120"/>
      <c r="FKE550" s="120"/>
      <c r="FKF550" s="120"/>
      <c r="FKG550" s="120"/>
      <c r="FKH550" s="120"/>
      <c r="FKI550" s="120"/>
      <c r="FKJ550" s="120"/>
      <c r="FKK550" s="120"/>
      <c r="FKL550" s="120"/>
      <c r="FKM550" s="120"/>
      <c r="FKN550" s="120"/>
      <c r="FKO550" s="120"/>
      <c r="FKP550" s="120"/>
      <c r="FKQ550" s="120"/>
      <c r="FKR550" s="120"/>
      <c r="FKS550" s="120"/>
      <c r="FKT550" s="120"/>
      <c r="FKU550" s="120"/>
      <c r="FKV550" s="120"/>
      <c r="FKW550" s="120"/>
      <c r="FKX550" s="120"/>
      <c r="FKY550" s="120"/>
      <c r="FKZ550" s="120"/>
      <c r="FLA550" s="120"/>
      <c r="FLB550" s="120"/>
      <c r="FLC550" s="120"/>
      <c r="FLD550" s="120"/>
      <c r="FLE550" s="120"/>
      <c r="FLF550" s="120"/>
      <c r="FLG550" s="120"/>
      <c r="FLH550" s="120"/>
      <c r="FLI550" s="120"/>
      <c r="FLJ550" s="120"/>
      <c r="FLK550" s="120"/>
      <c r="FLL550" s="120"/>
      <c r="FLM550" s="120"/>
      <c r="FLN550" s="120"/>
      <c r="FLO550" s="120"/>
      <c r="FLP550" s="120"/>
      <c r="FLQ550" s="120"/>
      <c r="FLR550" s="120"/>
      <c r="FLS550" s="120"/>
      <c r="FLT550" s="120"/>
      <c r="FLU550" s="120"/>
      <c r="FLV550" s="120"/>
      <c r="FLW550" s="120"/>
      <c r="FLX550" s="120"/>
      <c r="FLY550" s="120"/>
      <c r="FLZ550" s="120"/>
      <c r="FMA550" s="120"/>
      <c r="FMB550" s="120"/>
      <c r="FMC550" s="120"/>
      <c r="FMD550" s="120"/>
      <c r="FME550" s="120"/>
      <c r="FMF550" s="120"/>
      <c r="FMG550" s="120"/>
      <c r="FMH550" s="120"/>
      <c r="FMI550" s="120"/>
      <c r="FMJ550" s="120"/>
      <c r="FMK550" s="120"/>
      <c r="FML550" s="120"/>
      <c r="FMM550" s="120"/>
      <c r="FMN550" s="120"/>
      <c r="FMO550" s="120"/>
      <c r="FMP550" s="120"/>
      <c r="FMQ550" s="120"/>
      <c r="FMR550" s="120"/>
      <c r="FMS550" s="120"/>
      <c r="FMT550" s="120"/>
      <c r="FMU550" s="120"/>
      <c r="FMV550" s="120"/>
      <c r="FMW550" s="120"/>
      <c r="FMX550" s="120"/>
      <c r="FMY550" s="120"/>
      <c r="FMZ550" s="120"/>
      <c r="FNA550" s="120"/>
      <c r="FNB550" s="120"/>
      <c r="FNC550" s="120"/>
      <c r="FND550" s="120"/>
      <c r="FNE550" s="120"/>
      <c r="FNF550" s="120"/>
      <c r="FNG550" s="120"/>
      <c r="FNH550" s="120"/>
      <c r="FNI550" s="120"/>
      <c r="FNJ550" s="120"/>
      <c r="FNK550" s="120"/>
      <c r="FNL550" s="120"/>
      <c r="FNM550" s="120"/>
      <c r="FNN550" s="120"/>
      <c r="FNO550" s="120"/>
      <c r="FNP550" s="120"/>
      <c r="FNQ550" s="120"/>
      <c r="FNR550" s="120"/>
      <c r="FNS550" s="120"/>
      <c r="FNT550" s="120"/>
      <c r="FNU550" s="120"/>
      <c r="FNV550" s="120"/>
      <c r="FNW550" s="120"/>
      <c r="FNX550" s="120"/>
      <c r="FNY550" s="120"/>
      <c r="FNZ550" s="120"/>
      <c r="FOA550" s="120"/>
      <c r="FOB550" s="120"/>
      <c r="FOC550" s="120"/>
      <c r="FOD550" s="120"/>
      <c r="FOE550" s="120"/>
      <c r="FOF550" s="120"/>
      <c r="FOG550" s="120"/>
      <c r="FOH550" s="120"/>
      <c r="FOI550" s="120"/>
      <c r="FOJ550" s="120"/>
      <c r="FOK550" s="120"/>
      <c r="FOL550" s="120"/>
      <c r="FOM550" s="120"/>
      <c r="FON550" s="120"/>
      <c r="FOO550" s="120"/>
      <c r="FOP550" s="120"/>
      <c r="FOQ550" s="120"/>
      <c r="FOR550" s="120"/>
      <c r="FOS550" s="120"/>
      <c r="FOT550" s="120"/>
      <c r="FOU550" s="120"/>
      <c r="FOV550" s="120"/>
      <c r="FOW550" s="120"/>
      <c r="FOX550" s="120"/>
      <c r="FOY550" s="120"/>
      <c r="FOZ550" s="120"/>
      <c r="FPA550" s="120"/>
      <c r="FPB550" s="120"/>
      <c r="FPC550" s="120"/>
      <c r="FPD550" s="120"/>
      <c r="FPE550" s="120"/>
      <c r="FPF550" s="120"/>
      <c r="FPG550" s="120"/>
      <c r="FPH550" s="120"/>
      <c r="FPI550" s="120"/>
      <c r="FPJ550" s="120"/>
      <c r="FPK550" s="120"/>
      <c r="FPL550" s="120"/>
      <c r="FPM550" s="120"/>
      <c r="FPN550" s="120"/>
      <c r="FPO550" s="120"/>
      <c r="FPP550" s="120"/>
      <c r="FPQ550" s="120"/>
      <c r="FPR550" s="120"/>
      <c r="FPS550" s="120"/>
      <c r="FPT550" s="120"/>
      <c r="FPU550" s="120"/>
      <c r="FPV550" s="120"/>
      <c r="FPW550" s="120"/>
      <c r="FPX550" s="120"/>
      <c r="FPY550" s="120"/>
      <c r="FPZ550" s="120"/>
      <c r="FQA550" s="120"/>
      <c r="FQB550" s="120"/>
      <c r="FQC550" s="120"/>
      <c r="FQD550" s="120"/>
      <c r="FQE550" s="120"/>
      <c r="FQF550" s="120"/>
      <c r="FQG550" s="120"/>
      <c r="FQH550" s="120"/>
      <c r="FQI550" s="120"/>
      <c r="FQJ550" s="120"/>
      <c r="FQK550" s="120"/>
      <c r="FQL550" s="120"/>
      <c r="FQM550" s="120"/>
      <c r="FQN550" s="120"/>
      <c r="FQO550" s="120"/>
      <c r="FQP550" s="120"/>
      <c r="FQQ550" s="120"/>
      <c r="FQR550" s="120"/>
      <c r="FQS550" s="120"/>
      <c r="FQT550" s="120"/>
      <c r="FQU550" s="120"/>
      <c r="FQV550" s="120"/>
      <c r="FQW550" s="120"/>
      <c r="FQX550" s="120"/>
      <c r="FQY550" s="120"/>
      <c r="FQZ550" s="120"/>
      <c r="FRA550" s="120"/>
      <c r="FRB550" s="120"/>
      <c r="FRC550" s="120"/>
      <c r="FRD550" s="120"/>
      <c r="FRE550" s="120"/>
      <c r="FRF550" s="120"/>
      <c r="FRG550" s="120"/>
      <c r="FRH550" s="120"/>
      <c r="FRI550" s="120"/>
      <c r="FRJ550" s="120"/>
      <c r="FRK550" s="120"/>
      <c r="FRL550" s="120"/>
      <c r="FRM550" s="120"/>
      <c r="FRN550" s="120"/>
      <c r="FRO550" s="120"/>
      <c r="FRP550" s="120"/>
      <c r="FRQ550" s="120"/>
      <c r="FRR550" s="120"/>
      <c r="FRS550" s="120"/>
      <c r="FRT550" s="120"/>
      <c r="FRU550" s="120"/>
      <c r="FRV550" s="120"/>
      <c r="FRW550" s="120"/>
      <c r="FRX550" s="120"/>
      <c r="FRY550" s="120"/>
      <c r="FRZ550" s="120"/>
      <c r="FSA550" s="120"/>
      <c r="FSB550" s="120"/>
      <c r="FSC550" s="120"/>
      <c r="FSD550" s="120"/>
      <c r="FSE550" s="120"/>
      <c r="FSF550" s="120"/>
      <c r="FSG550" s="120"/>
      <c r="FSH550" s="120"/>
      <c r="FSI550" s="120"/>
      <c r="FSJ550" s="120"/>
      <c r="FSK550" s="120"/>
      <c r="FSL550" s="120"/>
      <c r="FSM550" s="120"/>
      <c r="FSN550" s="120"/>
      <c r="FSO550" s="120"/>
      <c r="FSP550" s="120"/>
      <c r="FSQ550" s="120"/>
      <c r="FSR550" s="120"/>
      <c r="FSS550" s="120"/>
      <c r="FST550" s="120"/>
      <c r="FSU550" s="120"/>
      <c r="FSV550" s="120"/>
      <c r="FSW550" s="120"/>
      <c r="FSX550" s="120"/>
      <c r="FSY550" s="120"/>
      <c r="FSZ550" s="120"/>
      <c r="FTA550" s="120"/>
      <c r="FTB550" s="120"/>
      <c r="FTC550" s="120"/>
      <c r="FTD550" s="120"/>
      <c r="FTE550" s="120"/>
      <c r="FTF550" s="120"/>
      <c r="FTG550" s="120"/>
      <c r="FTH550" s="120"/>
      <c r="FTI550" s="120"/>
      <c r="FTJ550" s="120"/>
      <c r="FTK550" s="120"/>
      <c r="FTL550" s="120"/>
      <c r="FTM550" s="120"/>
      <c r="FTN550" s="120"/>
      <c r="FTO550" s="120"/>
      <c r="FTP550" s="120"/>
      <c r="FTQ550" s="120"/>
      <c r="FTR550" s="120"/>
      <c r="FTS550" s="120"/>
      <c r="FTT550" s="120"/>
      <c r="FTU550" s="120"/>
      <c r="FTV550" s="120"/>
      <c r="FTW550" s="120"/>
      <c r="FTX550" s="120"/>
      <c r="FTY550" s="120"/>
      <c r="FTZ550" s="120"/>
      <c r="FUA550" s="120"/>
      <c r="FUB550" s="120"/>
      <c r="FUC550" s="120"/>
      <c r="FUD550" s="120"/>
      <c r="FUE550" s="120"/>
      <c r="FUF550" s="120"/>
      <c r="FUG550" s="120"/>
      <c r="FUH550" s="120"/>
      <c r="FUI550" s="120"/>
      <c r="FUJ550" s="120"/>
      <c r="FUK550" s="120"/>
      <c r="FUL550" s="120"/>
      <c r="FUM550" s="120"/>
      <c r="FUN550" s="120"/>
      <c r="FUO550" s="120"/>
      <c r="FUP550" s="120"/>
      <c r="FUQ550" s="120"/>
      <c r="FUR550" s="120"/>
      <c r="FUS550" s="120"/>
      <c r="FUT550" s="120"/>
      <c r="FUU550" s="120"/>
      <c r="FUV550" s="120"/>
      <c r="FUW550" s="120"/>
      <c r="FUX550" s="120"/>
      <c r="FUY550" s="120"/>
      <c r="FUZ550" s="120"/>
      <c r="FVA550" s="120"/>
      <c r="FVB550" s="120"/>
      <c r="FVC550" s="120"/>
      <c r="FVD550" s="120"/>
      <c r="FVE550" s="120"/>
      <c r="FVF550" s="120"/>
      <c r="FVG550" s="120"/>
      <c r="FVH550" s="120"/>
      <c r="FVI550" s="120"/>
      <c r="FVJ550" s="120"/>
      <c r="FVK550" s="120"/>
      <c r="FVL550" s="120"/>
      <c r="FVM550" s="120"/>
      <c r="FVN550" s="120"/>
      <c r="FVO550" s="120"/>
      <c r="FVP550" s="120"/>
      <c r="FVQ550" s="120"/>
      <c r="FVR550" s="120"/>
      <c r="FVS550" s="120"/>
      <c r="FVT550" s="120"/>
      <c r="FVU550" s="120"/>
      <c r="FVV550" s="120"/>
      <c r="FVW550" s="120"/>
      <c r="FVX550" s="120"/>
      <c r="FVY550" s="120"/>
      <c r="FVZ550" s="120"/>
      <c r="FWA550" s="120"/>
      <c r="FWB550" s="120"/>
      <c r="FWC550" s="120"/>
      <c r="FWD550" s="120"/>
      <c r="FWE550" s="120"/>
      <c r="FWF550" s="120"/>
      <c r="FWG550" s="120"/>
      <c r="FWH550" s="120"/>
      <c r="FWI550" s="120"/>
      <c r="FWJ550" s="120"/>
      <c r="FWK550" s="120"/>
      <c r="FWL550" s="120"/>
      <c r="FWM550" s="120"/>
      <c r="FWN550" s="120"/>
      <c r="FWO550" s="120"/>
      <c r="FWP550" s="120"/>
      <c r="FWQ550" s="120"/>
      <c r="FWR550" s="120"/>
      <c r="FWS550" s="120"/>
      <c r="FWT550" s="120"/>
      <c r="FWU550" s="120"/>
      <c r="FWV550" s="120"/>
      <c r="FWW550" s="120"/>
      <c r="FWX550" s="120"/>
      <c r="FWY550" s="120"/>
      <c r="FWZ550" s="120"/>
      <c r="FXA550" s="120"/>
      <c r="FXB550" s="120"/>
      <c r="FXC550" s="120"/>
      <c r="FXD550" s="120"/>
      <c r="FXE550" s="120"/>
      <c r="FXF550" s="120"/>
      <c r="FXG550" s="120"/>
      <c r="FXH550" s="120"/>
      <c r="FXI550" s="120"/>
      <c r="FXJ550" s="120"/>
      <c r="FXK550" s="120"/>
      <c r="FXL550" s="120"/>
      <c r="FXM550" s="120"/>
      <c r="FXN550" s="120"/>
      <c r="FXO550" s="120"/>
      <c r="FXP550" s="120"/>
      <c r="FXQ550" s="120"/>
      <c r="FXR550" s="120"/>
      <c r="FXS550" s="120"/>
      <c r="FXT550" s="120"/>
      <c r="FXU550" s="120"/>
      <c r="FXV550" s="120"/>
      <c r="FXW550" s="120"/>
      <c r="FXX550" s="120"/>
      <c r="FXY550" s="120"/>
      <c r="FXZ550" s="120"/>
      <c r="FYA550" s="120"/>
      <c r="FYB550" s="120"/>
      <c r="FYC550" s="120"/>
      <c r="FYD550" s="120"/>
      <c r="FYE550" s="120"/>
      <c r="FYF550" s="120"/>
      <c r="FYG550" s="120"/>
      <c r="FYH550" s="120"/>
      <c r="FYI550" s="120"/>
      <c r="FYJ550" s="120"/>
      <c r="FYK550" s="120"/>
      <c r="FYL550" s="120"/>
      <c r="FYM550" s="120"/>
      <c r="FYN550" s="120"/>
      <c r="FYO550" s="120"/>
      <c r="FYP550" s="120"/>
      <c r="FYQ550" s="120"/>
      <c r="FYR550" s="120"/>
      <c r="FYS550" s="120"/>
      <c r="FYT550" s="120"/>
      <c r="FYU550" s="120"/>
      <c r="FYV550" s="120"/>
      <c r="FYW550" s="120"/>
      <c r="FYX550" s="120"/>
      <c r="FYY550" s="120"/>
      <c r="FYZ550" s="120"/>
      <c r="FZA550" s="120"/>
      <c r="FZB550" s="120"/>
      <c r="FZC550" s="120"/>
      <c r="FZD550" s="120"/>
      <c r="FZE550" s="120"/>
      <c r="FZF550" s="120"/>
      <c r="FZG550" s="120"/>
      <c r="FZH550" s="120"/>
      <c r="FZI550" s="120"/>
      <c r="FZJ550" s="120"/>
      <c r="FZK550" s="120"/>
      <c r="FZL550" s="120"/>
      <c r="FZM550" s="120"/>
      <c r="FZN550" s="120"/>
      <c r="FZO550" s="120"/>
      <c r="FZP550" s="120"/>
      <c r="FZQ550" s="120"/>
      <c r="FZR550" s="120"/>
      <c r="FZS550" s="120"/>
      <c r="FZT550" s="120"/>
      <c r="FZU550" s="120"/>
      <c r="FZV550" s="120"/>
      <c r="FZW550" s="120"/>
      <c r="FZX550" s="120"/>
      <c r="FZY550" s="120"/>
      <c r="FZZ550" s="120"/>
      <c r="GAA550" s="120"/>
      <c r="GAB550" s="120"/>
      <c r="GAC550" s="120"/>
      <c r="GAD550" s="120"/>
      <c r="GAE550" s="120"/>
      <c r="GAF550" s="120"/>
      <c r="GAG550" s="120"/>
      <c r="GAH550" s="120"/>
      <c r="GAI550" s="120"/>
      <c r="GAJ550" s="120"/>
      <c r="GAK550" s="120"/>
      <c r="GAL550" s="120"/>
      <c r="GAM550" s="120"/>
      <c r="GAN550" s="120"/>
      <c r="GAO550" s="120"/>
      <c r="GAP550" s="120"/>
      <c r="GAQ550" s="120"/>
      <c r="GAR550" s="120"/>
      <c r="GAS550" s="120"/>
      <c r="GAT550" s="120"/>
      <c r="GAU550" s="120"/>
      <c r="GAV550" s="120"/>
      <c r="GAW550" s="120"/>
      <c r="GAX550" s="120"/>
      <c r="GAY550" s="120"/>
      <c r="GAZ550" s="120"/>
      <c r="GBA550" s="120"/>
      <c r="GBB550" s="120"/>
      <c r="GBC550" s="120"/>
      <c r="GBD550" s="120"/>
      <c r="GBE550" s="120"/>
      <c r="GBF550" s="120"/>
      <c r="GBG550" s="120"/>
      <c r="GBH550" s="120"/>
      <c r="GBI550" s="120"/>
      <c r="GBJ550" s="120"/>
      <c r="GBK550" s="120"/>
      <c r="GBL550" s="120"/>
      <c r="GBM550" s="120"/>
      <c r="GBN550" s="120"/>
      <c r="GBO550" s="120"/>
      <c r="GBP550" s="120"/>
      <c r="GBQ550" s="120"/>
      <c r="GBR550" s="120"/>
      <c r="GBS550" s="120"/>
      <c r="GBT550" s="120"/>
      <c r="GBU550" s="120"/>
      <c r="GBV550" s="120"/>
      <c r="GBW550" s="120"/>
      <c r="GBX550" s="120"/>
      <c r="GBY550" s="120"/>
      <c r="GBZ550" s="120"/>
      <c r="GCA550" s="120"/>
      <c r="GCB550" s="120"/>
      <c r="GCC550" s="120"/>
      <c r="GCD550" s="120"/>
      <c r="GCE550" s="120"/>
      <c r="GCF550" s="120"/>
      <c r="GCG550" s="120"/>
      <c r="GCH550" s="120"/>
      <c r="GCI550" s="120"/>
      <c r="GCJ550" s="120"/>
      <c r="GCK550" s="120"/>
      <c r="GCL550" s="120"/>
      <c r="GCM550" s="120"/>
      <c r="GCN550" s="120"/>
      <c r="GCO550" s="120"/>
      <c r="GCP550" s="120"/>
      <c r="GCQ550" s="120"/>
      <c r="GCR550" s="120"/>
      <c r="GCS550" s="120"/>
      <c r="GCT550" s="120"/>
      <c r="GCU550" s="120"/>
      <c r="GCV550" s="120"/>
      <c r="GCW550" s="120"/>
      <c r="GCX550" s="120"/>
      <c r="GCY550" s="120"/>
      <c r="GCZ550" s="120"/>
      <c r="GDA550" s="120"/>
      <c r="GDB550" s="120"/>
      <c r="GDC550" s="120"/>
      <c r="GDD550" s="120"/>
      <c r="GDE550" s="120"/>
      <c r="GDF550" s="120"/>
      <c r="GDG550" s="120"/>
      <c r="GDH550" s="120"/>
      <c r="GDI550" s="120"/>
      <c r="GDJ550" s="120"/>
      <c r="GDK550" s="120"/>
      <c r="GDL550" s="120"/>
      <c r="GDM550" s="120"/>
      <c r="GDN550" s="120"/>
      <c r="GDO550" s="120"/>
      <c r="GDP550" s="120"/>
      <c r="GDQ550" s="120"/>
      <c r="GDR550" s="120"/>
      <c r="GDS550" s="120"/>
      <c r="GDT550" s="120"/>
      <c r="GDU550" s="120"/>
      <c r="GDV550" s="120"/>
      <c r="GDW550" s="120"/>
      <c r="GDX550" s="120"/>
      <c r="GDY550" s="120"/>
      <c r="GDZ550" s="120"/>
      <c r="GEA550" s="120"/>
      <c r="GEB550" s="120"/>
      <c r="GEC550" s="120"/>
      <c r="GED550" s="120"/>
      <c r="GEE550" s="120"/>
      <c r="GEF550" s="120"/>
      <c r="GEG550" s="120"/>
      <c r="GEH550" s="120"/>
      <c r="GEI550" s="120"/>
      <c r="GEJ550" s="120"/>
      <c r="GEK550" s="120"/>
      <c r="GEL550" s="120"/>
      <c r="GEM550" s="120"/>
      <c r="GEN550" s="120"/>
      <c r="GEO550" s="120"/>
      <c r="GEP550" s="120"/>
      <c r="GEQ550" s="120"/>
      <c r="GER550" s="120"/>
      <c r="GES550" s="120"/>
      <c r="GET550" s="120"/>
      <c r="GEU550" s="120"/>
      <c r="GEV550" s="120"/>
      <c r="GEW550" s="120"/>
      <c r="GEX550" s="120"/>
      <c r="GEY550" s="120"/>
      <c r="GEZ550" s="120"/>
      <c r="GFA550" s="120"/>
      <c r="GFB550" s="120"/>
      <c r="GFC550" s="120"/>
      <c r="GFD550" s="120"/>
      <c r="GFE550" s="120"/>
      <c r="GFF550" s="120"/>
      <c r="GFG550" s="120"/>
      <c r="GFH550" s="120"/>
      <c r="GFI550" s="120"/>
      <c r="GFJ550" s="120"/>
      <c r="GFK550" s="120"/>
      <c r="GFL550" s="120"/>
      <c r="GFM550" s="120"/>
      <c r="GFN550" s="120"/>
      <c r="GFO550" s="120"/>
      <c r="GFP550" s="120"/>
      <c r="GFQ550" s="120"/>
      <c r="GFR550" s="120"/>
      <c r="GFS550" s="120"/>
      <c r="GFT550" s="120"/>
      <c r="GFU550" s="120"/>
      <c r="GFV550" s="120"/>
      <c r="GFW550" s="120"/>
      <c r="GFX550" s="120"/>
      <c r="GFY550" s="120"/>
      <c r="GFZ550" s="120"/>
      <c r="GGA550" s="120"/>
      <c r="GGB550" s="120"/>
      <c r="GGC550" s="120"/>
      <c r="GGD550" s="120"/>
      <c r="GGE550" s="120"/>
      <c r="GGF550" s="120"/>
      <c r="GGG550" s="120"/>
      <c r="GGH550" s="120"/>
      <c r="GGI550" s="120"/>
      <c r="GGJ550" s="120"/>
      <c r="GGK550" s="120"/>
      <c r="GGL550" s="120"/>
      <c r="GGM550" s="120"/>
      <c r="GGN550" s="120"/>
      <c r="GGO550" s="120"/>
      <c r="GGP550" s="120"/>
      <c r="GGQ550" s="120"/>
      <c r="GGR550" s="120"/>
      <c r="GGS550" s="120"/>
      <c r="GGT550" s="120"/>
      <c r="GGU550" s="120"/>
      <c r="GGV550" s="120"/>
      <c r="GGW550" s="120"/>
      <c r="GGX550" s="120"/>
      <c r="GGY550" s="120"/>
      <c r="GGZ550" s="120"/>
      <c r="GHA550" s="120"/>
      <c r="GHB550" s="120"/>
      <c r="GHC550" s="120"/>
      <c r="GHD550" s="120"/>
      <c r="GHE550" s="120"/>
      <c r="GHF550" s="120"/>
      <c r="GHG550" s="120"/>
      <c r="GHH550" s="120"/>
      <c r="GHI550" s="120"/>
      <c r="GHJ550" s="120"/>
      <c r="GHK550" s="120"/>
      <c r="GHL550" s="120"/>
      <c r="GHM550" s="120"/>
      <c r="GHN550" s="120"/>
      <c r="GHO550" s="120"/>
      <c r="GHP550" s="120"/>
      <c r="GHQ550" s="120"/>
      <c r="GHR550" s="120"/>
      <c r="GHS550" s="120"/>
      <c r="GHT550" s="120"/>
      <c r="GHU550" s="120"/>
      <c r="GHV550" s="120"/>
      <c r="GHW550" s="120"/>
      <c r="GHX550" s="120"/>
      <c r="GHY550" s="120"/>
      <c r="GHZ550" s="120"/>
      <c r="GIA550" s="120"/>
      <c r="GIB550" s="120"/>
      <c r="GIC550" s="120"/>
      <c r="GID550" s="120"/>
      <c r="GIE550" s="120"/>
      <c r="GIF550" s="120"/>
      <c r="GIG550" s="120"/>
      <c r="GIH550" s="120"/>
      <c r="GII550" s="120"/>
      <c r="GIJ550" s="120"/>
      <c r="GIK550" s="120"/>
      <c r="GIL550" s="120"/>
      <c r="GIM550" s="120"/>
      <c r="GIN550" s="120"/>
      <c r="GIO550" s="120"/>
      <c r="GIP550" s="120"/>
      <c r="GIQ550" s="120"/>
      <c r="GIR550" s="120"/>
      <c r="GIS550" s="120"/>
      <c r="GIT550" s="120"/>
      <c r="GIU550" s="120"/>
      <c r="GIV550" s="120"/>
      <c r="GIW550" s="120"/>
      <c r="GIX550" s="120"/>
      <c r="GIY550" s="120"/>
      <c r="GIZ550" s="120"/>
      <c r="GJA550" s="120"/>
      <c r="GJB550" s="120"/>
      <c r="GJC550" s="120"/>
      <c r="GJD550" s="120"/>
      <c r="GJE550" s="120"/>
      <c r="GJF550" s="120"/>
      <c r="GJG550" s="120"/>
      <c r="GJH550" s="120"/>
      <c r="GJI550" s="120"/>
      <c r="GJJ550" s="120"/>
      <c r="GJK550" s="120"/>
      <c r="GJL550" s="120"/>
      <c r="GJM550" s="120"/>
      <c r="GJN550" s="120"/>
      <c r="GJO550" s="120"/>
      <c r="GJP550" s="120"/>
      <c r="GJQ550" s="120"/>
      <c r="GJR550" s="120"/>
      <c r="GJS550" s="120"/>
      <c r="GJT550" s="120"/>
      <c r="GJU550" s="120"/>
      <c r="GJV550" s="120"/>
      <c r="GJW550" s="120"/>
      <c r="GJX550" s="120"/>
      <c r="GJY550" s="120"/>
      <c r="GJZ550" s="120"/>
      <c r="GKA550" s="120"/>
      <c r="GKB550" s="120"/>
      <c r="GKC550" s="120"/>
      <c r="GKD550" s="120"/>
      <c r="GKE550" s="120"/>
      <c r="GKF550" s="120"/>
      <c r="GKG550" s="120"/>
      <c r="GKH550" s="120"/>
      <c r="GKI550" s="120"/>
      <c r="GKJ550" s="120"/>
      <c r="GKK550" s="120"/>
      <c r="GKL550" s="120"/>
      <c r="GKM550" s="120"/>
      <c r="GKN550" s="120"/>
      <c r="GKO550" s="120"/>
      <c r="GKP550" s="120"/>
      <c r="GKQ550" s="120"/>
      <c r="GKR550" s="120"/>
      <c r="GKS550" s="120"/>
      <c r="GKT550" s="120"/>
      <c r="GKU550" s="120"/>
      <c r="GKV550" s="120"/>
      <c r="GKW550" s="120"/>
      <c r="GKX550" s="120"/>
      <c r="GKY550" s="120"/>
      <c r="GKZ550" s="120"/>
      <c r="GLA550" s="120"/>
      <c r="GLB550" s="120"/>
      <c r="GLC550" s="120"/>
      <c r="GLD550" s="120"/>
      <c r="GLE550" s="120"/>
      <c r="GLF550" s="120"/>
      <c r="GLG550" s="120"/>
      <c r="GLH550" s="120"/>
      <c r="GLI550" s="120"/>
      <c r="GLJ550" s="120"/>
      <c r="GLK550" s="120"/>
      <c r="GLL550" s="120"/>
      <c r="GLM550" s="120"/>
      <c r="GLN550" s="120"/>
      <c r="GLO550" s="120"/>
      <c r="GLP550" s="120"/>
      <c r="GLQ550" s="120"/>
      <c r="GLR550" s="120"/>
      <c r="GLS550" s="120"/>
      <c r="GLT550" s="120"/>
      <c r="GLU550" s="120"/>
      <c r="GLV550" s="120"/>
      <c r="GLW550" s="120"/>
      <c r="GLX550" s="120"/>
      <c r="GLY550" s="120"/>
      <c r="GLZ550" s="120"/>
      <c r="GMA550" s="120"/>
      <c r="GMB550" s="120"/>
      <c r="GMC550" s="120"/>
      <c r="GMD550" s="120"/>
      <c r="GME550" s="120"/>
      <c r="GMF550" s="120"/>
      <c r="GMG550" s="120"/>
      <c r="GMH550" s="120"/>
      <c r="GMI550" s="120"/>
      <c r="GMJ550" s="120"/>
      <c r="GMK550" s="120"/>
      <c r="GML550" s="120"/>
      <c r="GMM550" s="120"/>
      <c r="GMN550" s="120"/>
      <c r="GMO550" s="120"/>
      <c r="GMP550" s="120"/>
      <c r="GMQ550" s="120"/>
      <c r="GMR550" s="120"/>
      <c r="GMS550" s="120"/>
      <c r="GMT550" s="120"/>
      <c r="GMU550" s="120"/>
      <c r="GMV550" s="120"/>
      <c r="GMW550" s="120"/>
      <c r="GMX550" s="120"/>
      <c r="GMY550" s="120"/>
      <c r="GMZ550" s="120"/>
      <c r="GNA550" s="120"/>
      <c r="GNB550" s="120"/>
      <c r="GNC550" s="120"/>
      <c r="GND550" s="120"/>
      <c r="GNE550" s="120"/>
      <c r="GNF550" s="120"/>
      <c r="GNG550" s="120"/>
      <c r="GNH550" s="120"/>
      <c r="GNI550" s="120"/>
      <c r="GNJ550" s="120"/>
      <c r="GNK550" s="120"/>
      <c r="GNL550" s="120"/>
      <c r="GNM550" s="120"/>
      <c r="GNN550" s="120"/>
      <c r="GNO550" s="120"/>
      <c r="GNP550" s="120"/>
      <c r="GNQ550" s="120"/>
      <c r="GNR550" s="120"/>
      <c r="GNS550" s="120"/>
      <c r="GNT550" s="120"/>
      <c r="GNU550" s="120"/>
      <c r="GNV550" s="120"/>
      <c r="GNW550" s="120"/>
      <c r="GNX550" s="120"/>
      <c r="GNY550" s="120"/>
      <c r="GNZ550" s="120"/>
      <c r="GOA550" s="120"/>
      <c r="GOB550" s="120"/>
      <c r="GOC550" s="120"/>
      <c r="GOD550" s="120"/>
      <c r="GOE550" s="120"/>
      <c r="GOF550" s="120"/>
      <c r="GOG550" s="120"/>
      <c r="GOH550" s="120"/>
      <c r="GOI550" s="120"/>
      <c r="GOJ550" s="120"/>
      <c r="GOK550" s="120"/>
      <c r="GOL550" s="120"/>
      <c r="GOM550" s="120"/>
      <c r="GON550" s="120"/>
      <c r="GOO550" s="120"/>
      <c r="GOP550" s="120"/>
      <c r="GOQ550" s="120"/>
      <c r="GOR550" s="120"/>
      <c r="GOS550" s="120"/>
      <c r="GOT550" s="120"/>
      <c r="GOU550" s="120"/>
      <c r="GOV550" s="120"/>
      <c r="GOW550" s="120"/>
      <c r="GOX550" s="120"/>
      <c r="GOY550" s="120"/>
      <c r="GOZ550" s="120"/>
      <c r="GPA550" s="120"/>
      <c r="GPB550" s="120"/>
      <c r="GPC550" s="120"/>
      <c r="GPD550" s="120"/>
      <c r="GPE550" s="120"/>
      <c r="GPF550" s="120"/>
      <c r="GPG550" s="120"/>
      <c r="GPH550" s="120"/>
      <c r="GPI550" s="120"/>
      <c r="GPJ550" s="120"/>
      <c r="GPK550" s="120"/>
      <c r="GPL550" s="120"/>
      <c r="GPM550" s="120"/>
      <c r="GPN550" s="120"/>
      <c r="GPO550" s="120"/>
      <c r="GPP550" s="120"/>
      <c r="GPQ550" s="120"/>
      <c r="GPR550" s="120"/>
      <c r="GPS550" s="120"/>
      <c r="GPT550" s="120"/>
      <c r="GPU550" s="120"/>
      <c r="GPV550" s="120"/>
      <c r="GPW550" s="120"/>
      <c r="GPX550" s="120"/>
      <c r="GPY550" s="120"/>
      <c r="GPZ550" s="120"/>
      <c r="GQA550" s="120"/>
      <c r="GQB550" s="120"/>
      <c r="GQC550" s="120"/>
      <c r="GQD550" s="120"/>
      <c r="GQE550" s="120"/>
      <c r="GQF550" s="120"/>
      <c r="GQG550" s="120"/>
      <c r="GQH550" s="120"/>
      <c r="GQI550" s="120"/>
      <c r="GQJ550" s="120"/>
      <c r="GQK550" s="120"/>
      <c r="GQL550" s="120"/>
      <c r="GQM550" s="120"/>
      <c r="GQN550" s="120"/>
      <c r="GQO550" s="120"/>
      <c r="GQP550" s="120"/>
      <c r="GQQ550" s="120"/>
      <c r="GQR550" s="120"/>
      <c r="GQS550" s="120"/>
      <c r="GQT550" s="120"/>
      <c r="GQU550" s="120"/>
      <c r="GQV550" s="120"/>
      <c r="GQW550" s="120"/>
      <c r="GQX550" s="120"/>
      <c r="GQY550" s="120"/>
      <c r="GQZ550" s="120"/>
      <c r="GRA550" s="120"/>
      <c r="GRB550" s="120"/>
      <c r="GRC550" s="120"/>
      <c r="GRD550" s="120"/>
      <c r="GRE550" s="120"/>
      <c r="GRF550" s="120"/>
      <c r="GRG550" s="120"/>
      <c r="GRH550" s="120"/>
      <c r="GRI550" s="120"/>
      <c r="GRJ550" s="120"/>
      <c r="GRK550" s="120"/>
      <c r="GRL550" s="120"/>
      <c r="GRM550" s="120"/>
      <c r="GRN550" s="120"/>
      <c r="GRO550" s="120"/>
      <c r="GRP550" s="120"/>
      <c r="GRQ550" s="120"/>
      <c r="GRR550" s="120"/>
      <c r="GRS550" s="120"/>
      <c r="GRT550" s="120"/>
      <c r="GRU550" s="120"/>
      <c r="GRV550" s="120"/>
      <c r="GRW550" s="120"/>
      <c r="GRX550" s="120"/>
      <c r="GRY550" s="120"/>
      <c r="GRZ550" s="120"/>
      <c r="GSA550" s="120"/>
      <c r="GSB550" s="120"/>
      <c r="GSC550" s="120"/>
      <c r="GSD550" s="120"/>
      <c r="GSE550" s="120"/>
      <c r="GSF550" s="120"/>
      <c r="GSG550" s="120"/>
      <c r="GSH550" s="120"/>
      <c r="GSI550" s="120"/>
      <c r="GSJ550" s="120"/>
      <c r="GSK550" s="120"/>
      <c r="GSL550" s="120"/>
      <c r="GSM550" s="120"/>
      <c r="GSN550" s="120"/>
      <c r="GSO550" s="120"/>
      <c r="GSP550" s="120"/>
      <c r="GSQ550" s="120"/>
      <c r="GSR550" s="120"/>
      <c r="GSS550" s="120"/>
      <c r="GST550" s="120"/>
      <c r="GSU550" s="120"/>
      <c r="GSV550" s="120"/>
      <c r="GSW550" s="120"/>
      <c r="GSX550" s="120"/>
      <c r="GSY550" s="120"/>
      <c r="GSZ550" s="120"/>
      <c r="GTA550" s="120"/>
      <c r="GTB550" s="120"/>
      <c r="GTC550" s="120"/>
      <c r="GTD550" s="120"/>
      <c r="GTE550" s="120"/>
      <c r="GTF550" s="120"/>
      <c r="GTG550" s="120"/>
      <c r="GTH550" s="120"/>
      <c r="GTI550" s="120"/>
      <c r="GTJ550" s="120"/>
      <c r="GTK550" s="120"/>
      <c r="GTL550" s="120"/>
      <c r="GTM550" s="120"/>
      <c r="GTN550" s="120"/>
      <c r="GTO550" s="120"/>
      <c r="GTP550" s="120"/>
      <c r="GTQ550" s="120"/>
      <c r="GTR550" s="120"/>
      <c r="GTS550" s="120"/>
      <c r="GTT550" s="120"/>
      <c r="GTU550" s="120"/>
      <c r="GTV550" s="120"/>
      <c r="GTW550" s="120"/>
      <c r="GTX550" s="120"/>
      <c r="GTY550" s="120"/>
      <c r="GTZ550" s="120"/>
      <c r="GUA550" s="120"/>
      <c r="GUB550" s="120"/>
      <c r="GUC550" s="120"/>
      <c r="GUD550" s="120"/>
      <c r="GUE550" s="120"/>
      <c r="GUF550" s="120"/>
      <c r="GUG550" s="120"/>
      <c r="GUH550" s="120"/>
      <c r="GUI550" s="120"/>
      <c r="GUJ550" s="120"/>
      <c r="GUK550" s="120"/>
      <c r="GUL550" s="120"/>
      <c r="GUM550" s="120"/>
      <c r="GUN550" s="120"/>
      <c r="GUO550" s="120"/>
      <c r="GUP550" s="120"/>
      <c r="GUQ550" s="120"/>
      <c r="GUR550" s="120"/>
      <c r="GUS550" s="120"/>
      <c r="GUT550" s="120"/>
      <c r="GUU550" s="120"/>
      <c r="GUV550" s="120"/>
      <c r="GUW550" s="120"/>
      <c r="GUX550" s="120"/>
      <c r="GUY550" s="120"/>
      <c r="GUZ550" s="120"/>
      <c r="GVA550" s="120"/>
      <c r="GVB550" s="120"/>
      <c r="GVC550" s="120"/>
      <c r="GVD550" s="120"/>
      <c r="GVE550" s="120"/>
      <c r="GVF550" s="120"/>
      <c r="GVG550" s="120"/>
      <c r="GVH550" s="120"/>
      <c r="GVI550" s="120"/>
      <c r="GVJ550" s="120"/>
      <c r="GVK550" s="120"/>
      <c r="GVL550" s="120"/>
      <c r="GVM550" s="120"/>
      <c r="GVN550" s="120"/>
      <c r="GVO550" s="120"/>
      <c r="GVP550" s="120"/>
      <c r="GVQ550" s="120"/>
      <c r="GVR550" s="120"/>
      <c r="GVS550" s="120"/>
      <c r="GVT550" s="120"/>
      <c r="GVU550" s="120"/>
      <c r="GVV550" s="120"/>
      <c r="GVW550" s="120"/>
      <c r="GVX550" s="120"/>
      <c r="GVY550" s="120"/>
      <c r="GVZ550" s="120"/>
      <c r="GWA550" s="120"/>
      <c r="GWB550" s="120"/>
      <c r="GWC550" s="120"/>
      <c r="GWD550" s="120"/>
      <c r="GWE550" s="120"/>
      <c r="GWF550" s="120"/>
      <c r="GWG550" s="120"/>
      <c r="GWH550" s="120"/>
      <c r="GWI550" s="120"/>
      <c r="GWJ550" s="120"/>
      <c r="GWK550" s="120"/>
      <c r="GWL550" s="120"/>
      <c r="GWM550" s="120"/>
      <c r="GWN550" s="120"/>
      <c r="GWO550" s="120"/>
      <c r="GWP550" s="120"/>
      <c r="GWQ550" s="120"/>
      <c r="GWR550" s="120"/>
      <c r="GWS550" s="120"/>
      <c r="GWT550" s="120"/>
      <c r="GWU550" s="120"/>
      <c r="GWV550" s="120"/>
      <c r="GWW550" s="120"/>
      <c r="GWX550" s="120"/>
      <c r="GWY550" s="120"/>
      <c r="GWZ550" s="120"/>
      <c r="GXA550" s="120"/>
      <c r="GXB550" s="120"/>
      <c r="GXC550" s="120"/>
      <c r="GXD550" s="120"/>
      <c r="GXE550" s="120"/>
      <c r="GXF550" s="120"/>
      <c r="GXG550" s="120"/>
      <c r="GXH550" s="120"/>
      <c r="GXI550" s="120"/>
      <c r="GXJ550" s="120"/>
      <c r="GXK550" s="120"/>
      <c r="GXL550" s="120"/>
      <c r="GXM550" s="120"/>
      <c r="GXN550" s="120"/>
      <c r="GXO550" s="120"/>
      <c r="GXP550" s="120"/>
      <c r="GXQ550" s="120"/>
      <c r="GXR550" s="120"/>
      <c r="GXS550" s="120"/>
      <c r="GXT550" s="120"/>
      <c r="GXU550" s="120"/>
      <c r="GXV550" s="120"/>
      <c r="GXW550" s="120"/>
      <c r="GXX550" s="120"/>
      <c r="GXY550" s="120"/>
      <c r="GXZ550" s="120"/>
      <c r="GYA550" s="120"/>
      <c r="GYB550" s="120"/>
      <c r="GYC550" s="120"/>
      <c r="GYD550" s="120"/>
      <c r="GYE550" s="120"/>
      <c r="GYF550" s="120"/>
      <c r="GYG550" s="120"/>
      <c r="GYH550" s="120"/>
      <c r="GYI550" s="120"/>
      <c r="GYJ550" s="120"/>
      <c r="GYK550" s="120"/>
      <c r="GYL550" s="120"/>
      <c r="GYM550" s="120"/>
      <c r="GYN550" s="120"/>
      <c r="GYO550" s="120"/>
      <c r="GYP550" s="120"/>
      <c r="GYQ550" s="120"/>
      <c r="GYR550" s="120"/>
      <c r="GYS550" s="120"/>
      <c r="GYT550" s="120"/>
      <c r="GYU550" s="120"/>
      <c r="GYV550" s="120"/>
      <c r="GYW550" s="120"/>
      <c r="GYX550" s="120"/>
      <c r="GYY550" s="120"/>
      <c r="GYZ550" s="120"/>
      <c r="GZA550" s="120"/>
      <c r="GZB550" s="120"/>
      <c r="GZC550" s="120"/>
      <c r="GZD550" s="120"/>
      <c r="GZE550" s="120"/>
      <c r="GZF550" s="120"/>
      <c r="GZG550" s="120"/>
      <c r="GZH550" s="120"/>
      <c r="GZI550" s="120"/>
      <c r="GZJ550" s="120"/>
      <c r="GZK550" s="120"/>
      <c r="GZL550" s="120"/>
      <c r="GZM550" s="120"/>
      <c r="GZN550" s="120"/>
      <c r="GZO550" s="120"/>
      <c r="GZP550" s="120"/>
      <c r="GZQ550" s="120"/>
      <c r="GZR550" s="120"/>
      <c r="GZS550" s="120"/>
      <c r="GZT550" s="120"/>
      <c r="GZU550" s="120"/>
      <c r="GZV550" s="120"/>
      <c r="GZW550" s="120"/>
      <c r="GZX550" s="120"/>
      <c r="GZY550" s="120"/>
      <c r="GZZ550" s="120"/>
      <c r="HAA550" s="120"/>
      <c r="HAB550" s="120"/>
      <c r="HAC550" s="120"/>
      <c r="HAD550" s="120"/>
      <c r="HAE550" s="120"/>
      <c r="HAF550" s="120"/>
      <c r="HAG550" s="120"/>
      <c r="HAH550" s="120"/>
      <c r="HAI550" s="120"/>
      <c r="HAJ550" s="120"/>
      <c r="HAK550" s="120"/>
      <c r="HAL550" s="120"/>
      <c r="HAM550" s="120"/>
      <c r="HAN550" s="120"/>
      <c r="HAO550" s="120"/>
      <c r="HAP550" s="120"/>
      <c r="HAQ550" s="120"/>
      <c r="HAR550" s="120"/>
      <c r="HAS550" s="120"/>
      <c r="HAT550" s="120"/>
      <c r="HAU550" s="120"/>
      <c r="HAV550" s="120"/>
      <c r="HAW550" s="120"/>
      <c r="HAX550" s="120"/>
      <c r="HAY550" s="120"/>
      <c r="HAZ550" s="120"/>
      <c r="HBA550" s="120"/>
      <c r="HBB550" s="120"/>
      <c r="HBC550" s="120"/>
      <c r="HBD550" s="120"/>
      <c r="HBE550" s="120"/>
      <c r="HBF550" s="120"/>
      <c r="HBG550" s="120"/>
      <c r="HBH550" s="120"/>
      <c r="HBI550" s="120"/>
      <c r="HBJ550" s="120"/>
      <c r="HBK550" s="120"/>
      <c r="HBL550" s="120"/>
      <c r="HBM550" s="120"/>
      <c r="HBN550" s="120"/>
      <c r="HBO550" s="120"/>
      <c r="HBP550" s="120"/>
      <c r="HBQ550" s="120"/>
      <c r="HBR550" s="120"/>
      <c r="HBS550" s="120"/>
      <c r="HBT550" s="120"/>
      <c r="HBU550" s="120"/>
      <c r="HBV550" s="120"/>
      <c r="HBW550" s="120"/>
      <c r="HBX550" s="120"/>
      <c r="HBY550" s="120"/>
      <c r="HBZ550" s="120"/>
      <c r="HCA550" s="120"/>
      <c r="HCB550" s="120"/>
      <c r="HCC550" s="120"/>
      <c r="HCD550" s="120"/>
      <c r="HCE550" s="120"/>
      <c r="HCF550" s="120"/>
      <c r="HCG550" s="120"/>
      <c r="HCH550" s="120"/>
      <c r="HCI550" s="120"/>
      <c r="HCJ550" s="120"/>
      <c r="HCK550" s="120"/>
      <c r="HCL550" s="120"/>
      <c r="HCM550" s="120"/>
      <c r="HCN550" s="120"/>
      <c r="HCO550" s="120"/>
      <c r="HCP550" s="120"/>
      <c r="HCQ550" s="120"/>
      <c r="HCR550" s="120"/>
      <c r="HCS550" s="120"/>
      <c r="HCT550" s="120"/>
      <c r="HCU550" s="120"/>
      <c r="HCV550" s="120"/>
      <c r="HCW550" s="120"/>
      <c r="HCX550" s="120"/>
      <c r="HCY550" s="120"/>
      <c r="HCZ550" s="120"/>
      <c r="HDA550" s="120"/>
      <c r="HDB550" s="120"/>
      <c r="HDC550" s="120"/>
      <c r="HDD550" s="120"/>
      <c r="HDE550" s="120"/>
      <c r="HDF550" s="120"/>
      <c r="HDG550" s="120"/>
      <c r="HDH550" s="120"/>
      <c r="HDI550" s="120"/>
      <c r="HDJ550" s="120"/>
      <c r="HDK550" s="120"/>
      <c r="HDL550" s="120"/>
      <c r="HDM550" s="120"/>
      <c r="HDN550" s="120"/>
      <c r="HDO550" s="120"/>
      <c r="HDP550" s="120"/>
      <c r="HDQ550" s="120"/>
      <c r="HDR550" s="120"/>
      <c r="HDS550" s="120"/>
      <c r="HDT550" s="120"/>
      <c r="HDU550" s="120"/>
      <c r="HDV550" s="120"/>
      <c r="HDW550" s="120"/>
      <c r="HDX550" s="120"/>
      <c r="HDY550" s="120"/>
      <c r="HDZ550" s="120"/>
      <c r="HEA550" s="120"/>
      <c r="HEB550" s="120"/>
      <c r="HEC550" s="120"/>
      <c r="HED550" s="120"/>
      <c r="HEE550" s="120"/>
      <c r="HEF550" s="120"/>
      <c r="HEG550" s="120"/>
      <c r="HEH550" s="120"/>
      <c r="HEI550" s="120"/>
      <c r="HEJ550" s="120"/>
      <c r="HEK550" s="120"/>
      <c r="HEL550" s="120"/>
      <c r="HEM550" s="120"/>
      <c r="HEN550" s="120"/>
      <c r="HEO550" s="120"/>
      <c r="HEP550" s="120"/>
      <c r="HEQ550" s="120"/>
      <c r="HER550" s="120"/>
      <c r="HES550" s="120"/>
      <c r="HET550" s="120"/>
      <c r="HEU550" s="120"/>
      <c r="HEV550" s="120"/>
      <c r="HEW550" s="120"/>
      <c r="HEX550" s="120"/>
      <c r="HEY550" s="120"/>
      <c r="HEZ550" s="120"/>
      <c r="HFA550" s="120"/>
      <c r="HFB550" s="120"/>
      <c r="HFC550" s="120"/>
      <c r="HFD550" s="120"/>
      <c r="HFE550" s="120"/>
      <c r="HFF550" s="120"/>
      <c r="HFG550" s="120"/>
      <c r="HFH550" s="120"/>
      <c r="HFI550" s="120"/>
      <c r="HFJ550" s="120"/>
      <c r="HFK550" s="120"/>
      <c r="HFL550" s="120"/>
      <c r="HFM550" s="120"/>
      <c r="HFN550" s="120"/>
      <c r="HFO550" s="120"/>
      <c r="HFP550" s="120"/>
      <c r="HFQ550" s="120"/>
      <c r="HFR550" s="120"/>
      <c r="HFS550" s="120"/>
      <c r="HFT550" s="120"/>
      <c r="HFU550" s="120"/>
      <c r="HFV550" s="120"/>
      <c r="HFW550" s="120"/>
      <c r="HFX550" s="120"/>
      <c r="HFY550" s="120"/>
      <c r="HFZ550" s="120"/>
      <c r="HGA550" s="120"/>
      <c r="HGB550" s="120"/>
      <c r="HGC550" s="120"/>
      <c r="HGD550" s="120"/>
      <c r="HGE550" s="120"/>
      <c r="HGF550" s="120"/>
      <c r="HGG550" s="120"/>
      <c r="HGH550" s="120"/>
      <c r="HGI550" s="120"/>
      <c r="HGJ550" s="120"/>
      <c r="HGK550" s="120"/>
      <c r="HGL550" s="120"/>
      <c r="HGM550" s="120"/>
      <c r="HGN550" s="120"/>
      <c r="HGO550" s="120"/>
      <c r="HGP550" s="120"/>
      <c r="HGQ550" s="120"/>
      <c r="HGR550" s="120"/>
      <c r="HGS550" s="120"/>
      <c r="HGT550" s="120"/>
      <c r="HGU550" s="120"/>
      <c r="HGV550" s="120"/>
      <c r="HGW550" s="120"/>
      <c r="HGX550" s="120"/>
      <c r="HGY550" s="120"/>
      <c r="HGZ550" s="120"/>
      <c r="HHA550" s="120"/>
      <c r="HHB550" s="120"/>
      <c r="HHC550" s="120"/>
      <c r="HHD550" s="120"/>
      <c r="HHE550" s="120"/>
      <c r="HHF550" s="120"/>
      <c r="HHG550" s="120"/>
      <c r="HHH550" s="120"/>
      <c r="HHI550" s="120"/>
      <c r="HHJ550" s="120"/>
      <c r="HHK550" s="120"/>
      <c r="HHL550" s="120"/>
      <c r="HHM550" s="120"/>
      <c r="HHN550" s="120"/>
      <c r="HHO550" s="120"/>
      <c r="HHP550" s="120"/>
      <c r="HHQ550" s="120"/>
      <c r="HHR550" s="120"/>
      <c r="HHS550" s="120"/>
      <c r="HHT550" s="120"/>
      <c r="HHU550" s="120"/>
      <c r="HHV550" s="120"/>
      <c r="HHW550" s="120"/>
      <c r="HHX550" s="120"/>
      <c r="HHY550" s="120"/>
      <c r="HHZ550" s="120"/>
      <c r="HIA550" s="120"/>
      <c r="HIB550" s="120"/>
      <c r="HIC550" s="120"/>
      <c r="HID550" s="120"/>
      <c r="HIE550" s="120"/>
      <c r="HIF550" s="120"/>
      <c r="HIG550" s="120"/>
      <c r="HIH550" s="120"/>
      <c r="HII550" s="120"/>
      <c r="HIJ550" s="120"/>
      <c r="HIK550" s="120"/>
      <c r="HIL550" s="120"/>
      <c r="HIM550" s="120"/>
      <c r="HIN550" s="120"/>
      <c r="HIO550" s="120"/>
      <c r="HIP550" s="120"/>
      <c r="HIQ550" s="120"/>
      <c r="HIR550" s="120"/>
      <c r="HIS550" s="120"/>
      <c r="HIT550" s="120"/>
      <c r="HIU550" s="120"/>
      <c r="HIV550" s="120"/>
      <c r="HIW550" s="120"/>
      <c r="HIX550" s="120"/>
      <c r="HIY550" s="120"/>
      <c r="HIZ550" s="120"/>
      <c r="HJA550" s="120"/>
      <c r="HJB550" s="120"/>
      <c r="HJC550" s="120"/>
      <c r="HJD550" s="120"/>
      <c r="HJE550" s="120"/>
      <c r="HJF550" s="120"/>
      <c r="HJG550" s="120"/>
      <c r="HJH550" s="120"/>
      <c r="HJI550" s="120"/>
      <c r="HJJ550" s="120"/>
      <c r="HJK550" s="120"/>
      <c r="HJL550" s="120"/>
      <c r="HJM550" s="120"/>
      <c r="HJN550" s="120"/>
      <c r="HJO550" s="120"/>
      <c r="HJP550" s="120"/>
      <c r="HJQ550" s="120"/>
      <c r="HJR550" s="120"/>
      <c r="HJS550" s="120"/>
      <c r="HJT550" s="120"/>
      <c r="HJU550" s="120"/>
      <c r="HJV550" s="120"/>
      <c r="HJW550" s="120"/>
      <c r="HJX550" s="120"/>
      <c r="HJY550" s="120"/>
      <c r="HJZ550" s="120"/>
      <c r="HKA550" s="120"/>
      <c r="HKB550" s="120"/>
      <c r="HKC550" s="120"/>
      <c r="HKD550" s="120"/>
      <c r="HKE550" s="120"/>
      <c r="HKF550" s="120"/>
      <c r="HKG550" s="120"/>
      <c r="HKH550" s="120"/>
      <c r="HKI550" s="120"/>
      <c r="HKJ550" s="120"/>
      <c r="HKK550" s="120"/>
      <c r="HKL550" s="120"/>
      <c r="HKM550" s="120"/>
      <c r="HKN550" s="120"/>
      <c r="HKO550" s="120"/>
      <c r="HKP550" s="120"/>
      <c r="HKQ550" s="120"/>
      <c r="HKR550" s="120"/>
      <c r="HKS550" s="120"/>
      <c r="HKT550" s="120"/>
      <c r="HKU550" s="120"/>
      <c r="HKV550" s="120"/>
      <c r="HKW550" s="120"/>
      <c r="HKX550" s="120"/>
      <c r="HKY550" s="120"/>
      <c r="HKZ550" s="120"/>
      <c r="HLA550" s="120"/>
      <c r="HLB550" s="120"/>
      <c r="HLC550" s="120"/>
      <c r="HLD550" s="120"/>
      <c r="HLE550" s="120"/>
      <c r="HLF550" s="120"/>
      <c r="HLG550" s="120"/>
      <c r="HLH550" s="120"/>
      <c r="HLI550" s="120"/>
      <c r="HLJ550" s="120"/>
      <c r="HLK550" s="120"/>
      <c r="HLL550" s="120"/>
      <c r="HLM550" s="120"/>
      <c r="HLN550" s="120"/>
      <c r="HLO550" s="120"/>
      <c r="HLP550" s="120"/>
      <c r="HLQ550" s="120"/>
      <c r="HLR550" s="120"/>
      <c r="HLS550" s="120"/>
      <c r="HLT550" s="120"/>
      <c r="HLU550" s="120"/>
      <c r="HLV550" s="120"/>
      <c r="HLW550" s="120"/>
      <c r="HLX550" s="120"/>
      <c r="HLY550" s="120"/>
      <c r="HLZ550" s="120"/>
      <c r="HMA550" s="120"/>
      <c r="HMB550" s="120"/>
      <c r="HMC550" s="120"/>
      <c r="HMD550" s="120"/>
      <c r="HME550" s="120"/>
      <c r="HMF550" s="120"/>
      <c r="HMG550" s="120"/>
      <c r="HMH550" s="120"/>
      <c r="HMI550" s="120"/>
      <c r="HMJ550" s="120"/>
      <c r="HMK550" s="120"/>
      <c r="HML550" s="120"/>
      <c r="HMM550" s="120"/>
      <c r="HMN550" s="120"/>
      <c r="HMO550" s="120"/>
      <c r="HMP550" s="120"/>
      <c r="HMQ550" s="120"/>
      <c r="HMR550" s="120"/>
      <c r="HMS550" s="120"/>
      <c r="HMT550" s="120"/>
      <c r="HMU550" s="120"/>
      <c r="HMV550" s="120"/>
      <c r="HMW550" s="120"/>
      <c r="HMX550" s="120"/>
      <c r="HMY550" s="120"/>
      <c r="HMZ550" s="120"/>
      <c r="HNA550" s="120"/>
      <c r="HNB550" s="120"/>
      <c r="HNC550" s="120"/>
      <c r="HND550" s="120"/>
      <c r="HNE550" s="120"/>
      <c r="HNF550" s="120"/>
      <c r="HNG550" s="120"/>
      <c r="HNH550" s="120"/>
      <c r="HNI550" s="120"/>
      <c r="HNJ550" s="120"/>
      <c r="HNK550" s="120"/>
      <c r="HNL550" s="120"/>
      <c r="HNM550" s="120"/>
      <c r="HNN550" s="120"/>
      <c r="HNO550" s="120"/>
      <c r="HNP550" s="120"/>
      <c r="HNQ550" s="120"/>
      <c r="HNR550" s="120"/>
      <c r="HNS550" s="120"/>
      <c r="HNT550" s="120"/>
      <c r="HNU550" s="120"/>
      <c r="HNV550" s="120"/>
      <c r="HNW550" s="120"/>
      <c r="HNX550" s="120"/>
      <c r="HNY550" s="120"/>
      <c r="HNZ550" s="120"/>
      <c r="HOA550" s="120"/>
      <c r="HOB550" s="120"/>
      <c r="HOC550" s="120"/>
      <c r="HOD550" s="120"/>
      <c r="HOE550" s="120"/>
      <c r="HOF550" s="120"/>
      <c r="HOG550" s="120"/>
      <c r="HOH550" s="120"/>
      <c r="HOI550" s="120"/>
      <c r="HOJ550" s="120"/>
      <c r="HOK550" s="120"/>
      <c r="HOL550" s="120"/>
      <c r="HOM550" s="120"/>
      <c r="HON550" s="120"/>
      <c r="HOO550" s="120"/>
      <c r="HOP550" s="120"/>
      <c r="HOQ550" s="120"/>
      <c r="HOR550" s="120"/>
      <c r="HOS550" s="120"/>
      <c r="HOT550" s="120"/>
      <c r="HOU550" s="120"/>
      <c r="HOV550" s="120"/>
      <c r="HOW550" s="120"/>
      <c r="HOX550" s="120"/>
      <c r="HOY550" s="120"/>
      <c r="HOZ550" s="120"/>
      <c r="HPA550" s="120"/>
      <c r="HPB550" s="120"/>
      <c r="HPC550" s="120"/>
      <c r="HPD550" s="120"/>
      <c r="HPE550" s="120"/>
      <c r="HPF550" s="120"/>
      <c r="HPG550" s="120"/>
      <c r="HPH550" s="120"/>
      <c r="HPI550" s="120"/>
      <c r="HPJ550" s="120"/>
      <c r="HPK550" s="120"/>
      <c r="HPL550" s="120"/>
      <c r="HPM550" s="120"/>
      <c r="HPN550" s="120"/>
      <c r="HPO550" s="120"/>
      <c r="HPP550" s="120"/>
      <c r="HPQ550" s="120"/>
      <c r="HPR550" s="120"/>
      <c r="HPS550" s="120"/>
      <c r="HPT550" s="120"/>
      <c r="HPU550" s="120"/>
      <c r="HPV550" s="120"/>
      <c r="HPW550" s="120"/>
      <c r="HPX550" s="120"/>
      <c r="HPY550" s="120"/>
      <c r="HPZ550" s="120"/>
      <c r="HQA550" s="120"/>
      <c r="HQB550" s="120"/>
      <c r="HQC550" s="120"/>
      <c r="HQD550" s="120"/>
      <c r="HQE550" s="120"/>
      <c r="HQF550" s="120"/>
      <c r="HQG550" s="120"/>
      <c r="HQH550" s="120"/>
      <c r="HQI550" s="120"/>
      <c r="HQJ550" s="120"/>
      <c r="HQK550" s="120"/>
      <c r="HQL550" s="120"/>
      <c r="HQM550" s="120"/>
      <c r="HQN550" s="120"/>
      <c r="HQO550" s="120"/>
      <c r="HQP550" s="120"/>
      <c r="HQQ550" s="120"/>
      <c r="HQR550" s="120"/>
      <c r="HQS550" s="120"/>
      <c r="HQT550" s="120"/>
      <c r="HQU550" s="120"/>
      <c r="HQV550" s="120"/>
      <c r="HQW550" s="120"/>
      <c r="HQX550" s="120"/>
      <c r="HQY550" s="120"/>
      <c r="HQZ550" s="120"/>
      <c r="HRA550" s="120"/>
      <c r="HRB550" s="120"/>
      <c r="HRC550" s="120"/>
      <c r="HRD550" s="120"/>
      <c r="HRE550" s="120"/>
      <c r="HRF550" s="120"/>
      <c r="HRG550" s="120"/>
      <c r="HRH550" s="120"/>
      <c r="HRI550" s="120"/>
      <c r="HRJ550" s="120"/>
      <c r="HRK550" s="120"/>
      <c r="HRL550" s="120"/>
      <c r="HRM550" s="120"/>
      <c r="HRN550" s="120"/>
      <c r="HRO550" s="120"/>
      <c r="HRP550" s="120"/>
      <c r="HRQ550" s="120"/>
      <c r="HRR550" s="120"/>
      <c r="HRS550" s="120"/>
      <c r="HRT550" s="120"/>
      <c r="HRU550" s="120"/>
      <c r="HRV550" s="120"/>
      <c r="HRW550" s="120"/>
      <c r="HRX550" s="120"/>
      <c r="HRY550" s="120"/>
      <c r="HRZ550" s="120"/>
      <c r="HSA550" s="120"/>
      <c r="HSB550" s="120"/>
      <c r="HSC550" s="120"/>
      <c r="HSD550" s="120"/>
      <c r="HSE550" s="120"/>
      <c r="HSF550" s="120"/>
      <c r="HSG550" s="120"/>
      <c r="HSH550" s="120"/>
      <c r="HSI550" s="120"/>
      <c r="HSJ550" s="120"/>
      <c r="HSK550" s="120"/>
      <c r="HSL550" s="120"/>
      <c r="HSM550" s="120"/>
      <c r="HSN550" s="120"/>
      <c r="HSO550" s="120"/>
      <c r="HSP550" s="120"/>
      <c r="HSQ550" s="120"/>
      <c r="HSR550" s="120"/>
      <c r="HSS550" s="120"/>
      <c r="HST550" s="120"/>
      <c r="HSU550" s="120"/>
      <c r="HSV550" s="120"/>
      <c r="HSW550" s="120"/>
      <c r="HSX550" s="120"/>
      <c r="HSY550" s="120"/>
      <c r="HSZ550" s="120"/>
      <c r="HTA550" s="120"/>
      <c r="HTB550" s="120"/>
      <c r="HTC550" s="120"/>
      <c r="HTD550" s="120"/>
      <c r="HTE550" s="120"/>
      <c r="HTF550" s="120"/>
      <c r="HTG550" s="120"/>
      <c r="HTH550" s="120"/>
      <c r="HTI550" s="120"/>
      <c r="HTJ550" s="120"/>
      <c r="HTK550" s="120"/>
      <c r="HTL550" s="120"/>
      <c r="HTM550" s="120"/>
      <c r="HTN550" s="120"/>
      <c r="HTO550" s="120"/>
      <c r="HTP550" s="120"/>
      <c r="HTQ550" s="120"/>
      <c r="HTR550" s="120"/>
      <c r="HTS550" s="120"/>
      <c r="HTT550" s="120"/>
      <c r="HTU550" s="120"/>
      <c r="HTV550" s="120"/>
      <c r="HTW550" s="120"/>
      <c r="HTX550" s="120"/>
      <c r="HTY550" s="120"/>
      <c r="HTZ550" s="120"/>
      <c r="HUA550" s="120"/>
      <c r="HUB550" s="120"/>
      <c r="HUC550" s="120"/>
      <c r="HUD550" s="120"/>
      <c r="HUE550" s="120"/>
      <c r="HUF550" s="120"/>
      <c r="HUG550" s="120"/>
      <c r="HUH550" s="120"/>
      <c r="HUI550" s="120"/>
      <c r="HUJ550" s="120"/>
      <c r="HUK550" s="120"/>
      <c r="HUL550" s="120"/>
      <c r="HUM550" s="120"/>
      <c r="HUN550" s="120"/>
      <c r="HUO550" s="120"/>
      <c r="HUP550" s="120"/>
      <c r="HUQ550" s="120"/>
      <c r="HUR550" s="120"/>
      <c r="HUS550" s="120"/>
      <c r="HUT550" s="120"/>
      <c r="HUU550" s="120"/>
      <c r="HUV550" s="120"/>
      <c r="HUW550" s="120"/>
      <c r="HUX550" s="120"/>
      <c r="HUY550" s="120"/>
      <c r="HUZ550" s="120"/>
      <c r="HVA550" s="120"/>
      <c r="HVB550" s="120"/>
      <c r="HVC550" s="120"/>
      <c r="HVD550" s="120"/>
      <c r="HVE550" s="120"/>
      <c r="HVF550" s="120"/>
      <c r="HVG550" s="120"/>
      <c r="HVH550" s="120"/>
      <c r="HVI550" s="120"/>
      <c r="HVJ550" s="120"/>
      <c r="HVK550" s="120"/>
      <c r="HVL550" s="120"/>
      <c r="HVM550" s="120"/>
      <c r="HVN550" s="120"/>
      <c r="HVO550" s="120"/>
      <c r="HVP550" s="120"/>
      <c r="HVQ550" s="120"/>
      <c r="HVR550" s="120"/>
      <c r="HVS550" s="120"/>
      <c r="HVT550" s="120"/>
      <c r="HVU550" s="120"/>
      <c r="HVV550" s="120"/>
      <c r="HVW550" s="120"/>
      <c r="HVX550" s="120"/>
      <c r="HVY550" s="120"/>
      <c r="HVZ550" s="120"/>
      <c r="HWA550" s="120"/>
      <c r="HWB550" s="120"/>
      <c r="HWC550" s="120"/>
      <c r="HWD550" s="120"/>
      <c r="HWE550" s="120"/>
      <c r="HWF550" s="120"/>
      <c r="HWG550" s="120"/>
      <c r="HWH550" s="120"/>
      <c r="HWI550" s="120"/>
      <c r="HWJ550" s="120"/>
      <c r="HWK550" s="120"/>
      <c r="HWL550" s="120"/>
      <c r="HWM550" s="120"/>
      <c r="HWN550" s="120"/>
      <c r="HWO550" s="120"/>
      <c r="HWP550" s="120"/>
      <c r="HWQ550" s="120"/>
      <c r="HWR550" s="120"/>
      <c r="HWS550" s="120"/>
      <c r="HWT550" s="120"/>
      <c r="HWU550" s="120"/>
      <c r="HWV550" s="120"/>
      <c r="HWW550" s="120"/>
      <c r="HWX550" s="120"/>
      <c r="HWY550" s="120"/>
      <c r="HWZ550" s="120"/>
      <c r="HXA550" s="120"/>
      <c r="HXB550" s="120"/>
      <c r="HXC550" s="120"/>
      <c r="HXD550" s="120"/>
      <c r="HXE550" s="120"/>
      <c r="HXF550" s="120"/>
      <c r="HXG550" s="120"/>
      <c r="HXH550" s="120"/>
      <c r="HXI550" s="120"/>
      <c r="HXJ550" s="120"/>
      <c r="HXK550" s="120"/>
      <c r="HXL550" s="120"/>
      <c r="HXM550" s="120"/>
      <c r="HXN550" s="120"/>
      <c r="HXO550" s="120"/>
      <c r="HXP550" s="120"/>
      <c r="HXQ550" s="120"/>
      <c r="HXR550" s="120"/>
      <c r="HXS550" s="120"/>
      <c r="HXT550" s="120"/>
      <c r="HXU550" s="120"/>
      <c r="HXV550" s="120"/>
      <c r="HXW550" s="120"/>
      <c r="HXX550" s="120"/>
      <c r="HXY550" s="120"/>
      <c r="HXZ550" s="120"/>
      <c r="HYA550" s="120"/>
      <c r="HYB550" s="120"/>
      <c r="HYC550" s="120"/>
      <c r="HYD550" s="120"/>
      <c r="HYE550" s="120"/>
      <c r="HYF550" s="120"/>
      <c r="HYG550" s="120"/>
      <c r="HYH550" s="120"/>
      <c r="HYI550" s="120"/>
      <c r="HYJ550" s="120"/>
      <c r="HYK550" s="120"/>
      <c r="HYL550" s="120"/>
      <c r="HYM550" s="120"/>
      <c r="HYN550" s="120"/>
      <c r="HYO550" s="120"/>
      <c r="HYP550" s="120"/>
      <c r="HYQ550" s="120"/>
      <c r="HYR550" s="120"/>
      <c r="HYS550" s="120"/>
      <c r="HYT550" s="120"/>
      <c r="HYU550" s="120"/>
      <c r="HYV550" s="120"/>
      <c r="HYW550" s="120"/>
      <c r="HYX550" s="120"/>
      <c r="HYY550" s="120"/>
      <c r="HYZ550" s="120"/>
      <c r="HZA550" s="120"/>
      <c r="HZB550" s="120"/>
      <c r="HZC550" s="120"/>
      <c r="HZD550" s="120"/>
      <c r="HZE550" s="120"/>
      <c r="HZF550" s="120"/>
      <c r="HZG550" s="120"/>
      <c r="HZH550" s="120"/>
      <c r="HZI550" s="120"/>
      <c r="HZJ550" s="120"/>
      <c r="HZK550" s="120"/>
      <c r="HZL550" s="120"/>
      <c r="HZM550" s="120"/>
      <c r="HZN550" s="120"/>
      <c r="HZO550" s="120"/>
      <c r="HZP550" s="120"/>
      <c r="HZQ550" s="120"/>
      <c r="HZR550" s="120"/>
      <c r="HZS550" s="120"/>
      <c r="HZT550" s="120"/>
      <c r="HZU550" s="120"/>
      <c r="HZV550" s="120"/>
      <c r="HZW550" s="120"/>
      <c r="HZX550" s="120"/>
      <c r="HZY550" s="120"/>
      <c r="HZZ550" s="120"/>
      <c r="IAA550" s="120"/>
      <c r="IAB550" s="120"/>
      <c r="IAC550" s="120"/>
      <c r="IAD550" s="120"/>
      <c r="IAE550" s="120"/>
      <c r="IAF550" s="120"/>
      <c r="IAG550" s="120"/>
      <c r="IAH550" s="120"/>
      <c r="IAI550" s="120"/>
      <c r="IAJ550" s="120"/>
      <c r="IAK550" s="120"/>
      <c r="IAL550" s="120"/>
      <c r="IAM550" s="120"/>
      <c r="IAN550" s="120"/>
      <c r="IAO550" s="120"/>
      <c r="IAP550" s="120"/>
      <c r="IAQ550" s="120"/>
      <c r="IAR550" s="120"/>
      <c r="IAS550" s="120"/>
      <c r="IAT550" s="120"/>
      <c r="IAU550" s="120"/>
      <c r="IAV550" s="120"/>
      <c r="IAW550" s="120"/>
      <c r="IAX550" s="120"/>
      <c r="IAY550" s="120"/>
      <c r="IAZ550" s="120"/>
      <c r="IBA550" s="120"/>
      <c r="IBB550" s="120"/>
      <c r="IBC550" s="120"/>
      <c r="IBD550" s="120"/>
      <c r="IBE550" s="120"/>
      <c r="IBF550" s="120"/>
      <c r="IBG550" s="120"/>
      <c r="IBH550" s="120"/>
      <c r="IBI550" s="120"/>
      <c r="IBJ550" s="120"/>
      <c r="IBK550" s="120"/>
      <c r="IBL550" s="120"/>
      <c r="IBM550" s="120"/>
      <c r="IBN550" s="120"/>
      <c r="IBO550" s="120"/>
      <c r="IBP550" s="120"/>
      <c r="IBQ550" s="120"/>
      <c r="IBR550" s="120"/>
      <c r="IBS550" s="120"/>
      <c r="IBT550" s="120"/>
      <c r="IBU550" s="120"/>
      <c r="IBV550" s="120"/>
      <c r="IBW550" s="120"/>
      <c r="IBX550" s="120"/>
      <c r="IBY550" s="120"/>
      <c r="IBZ550" s="120"/>
      <c r="ICA550" s="120"/>
      <c r="ICB550" s="120"/>
      <c r="ICC550" s="120"/>
      <c r="ICD550" s="120"/>
      <c r="ICE550" s="120"/>
      <c r="ICF550" s="120"/>
      <c r="ICG550" s="120"/>
      <c r="ICH550" s="120"/>
      <c r="ICI550" s="120"/>
      <c r="ICJ550" s="120"/>
      <c r="ICK550" s="120"/>
      <c r="ICL550" s="120"/>
      <c r="ICM550" s="120"/>
      <c r="ICN550" s="120"/>
      <c r="ICO550" s="120"/>
      <c r="ICP550" s="120"/>
      <c r="ICQ550" s="120"/>
      <c r="ICR550" s="120"/>
      <c r="ICS550" s="120"/>
      <c r="ICT550" s="120"/>
      <c r="ICU550" s="120"/>
      <c r="ICV550" s="120"/>
      <c r="ICW550" s="120"/>
      <c r="ICX550" s="120"/>
      <c r="ICY550" s="120"/>
      <c r="ICZ550" s="120"/>
      <c r="IDA550" s="120"/>
      <c r="IDB550" s="120"/>
      <c r="IDC550" s="120"/>
      <c r="IDD550" s="120"/>
      <c r="IDE550" s="120"/>
      <c r="IDF550" s="120"/>
      <c r="IDG550" s="120"/>
      <c r="IDH550" s="120"/>
      <c r="IDI550" s="120"/>
      <c r="IDJ550" s="120"/>
      <c r="IDK550" s="120"/>
      <c r="IDL550" s="120"/>
      <c r="IDM550" s="120"/>
      <c r="IDN550" s="120"/>
      <c r="IDO550" s="120"/>
      <c r="IDP550" s="120"/>
      <c r="IDQ550" s="120"/>
      <c r="IDR550" s="120"/>
      <c r="IDS550" s="120"/>
      <c r="IDT550" s="120"/>
      <c r="IDU550" s="120"/>
      <c r="IDV550" s="120"/>
      <c r="IDW550" s="120"/>
      <c r="IDX550" s="120"/>
      <c r="IDY550" s="120"/>
      <c r="IDZ550" s="120"/>
      <c r="IEA550" s="120"/>
      <c r="IEB550" s="120"/>
      <c r="IEC550" s="120"/>
      <c r="IED550" s="120"/>
      <c r="IEE550" s="120"/>
      <c r="IEF550" s="120"/>
      <c r="IEG550" s="120"/>
      <c r="IEH550" s="120"/>
      <c r="IEI550" s="120"/>
      <c r="IEJ550" s="120"/>
      <c r="IEK550" s="120"/>
      <c r="IEL550" s="120"/>
      <c r="IEM550" s="120"/>
      <c r="IEN550" s="120"/>
      <c r="IEO550" s="120"/>
      <c r="IEP550" s="120"/>
      <c r="IEQ550" s="120"/>
      <c r="IER550" s="120"/>
      <c r="IES550" s="120"/>
      <c r="IET550" s="120"/>
      <c r="IEU550" s="120"/>
      <c r="IEV550" s="120"/>
      <c r="IEW550" s="120"/>
      <c r="IEX550" s="120"/>
      <c r="IEY550" s="120"/>
      <c r="IEZ550" s="120"/>
      <c r="IFA550" s="120"/>
      <c r="IFB550" s="120"/>
      <c r="IFC550" s="120"/>
      <c r="IFD550" s="120"/>
      <c r="IFE550" s="120"/>
      <c r="IFF550" s="120"/>
      <c r="IFG550" s="120"/>
      <c r="IFH550" s="120"/>
      <c r="IFI550" s="120"/>
      <c r="IFJ550" s="120"/>
      <c r="IFK550" s="120"/>
      <c r="IFL550" s="120"/>
      <c r="IFM550" s="120"/>
      <c r="IFN550" s="120"/>
      <c r="IFO550" s="120"/>
      <c r="IFP550" s="120"/>
      <c r="IFQ550" s="120"/>
      <c r="IFR550" s="120"/>
      <c r="IFS550" s="120"/>
      <c r="IFT550" s="120"/>
      <c r="IFU550" s="120"/>
      <c r="IFV550" s="120"/>
      <c r="IFW550" s="120"/>
      <c r="IFX550" s="120"/>
      <c r="IFY550" s="120"/>
      <c r="IFZ550" s="120"/>
      <c r="IGA550" s="120"/>
      <c r="IGB550" s="120"/>
      <c r="IGC550" s="120"/>
      <c r="IGD550" s="120"/>
      <c r="IGE550" s="120"/>
      <c r="IGF550" s="120"/>
      <c r="IGG550" s="120"/>
      <c r="IGH550" s="120"/>
      <c r="IGI550" s="120"/>
      <c r="IGJ550" s="120"/>
      <c r="IGK550" s="120"/>
      <c r="IGL550" s="120"/>
      <c r="IGM550" s="120"/>
      <c r="IGN550" s="120"/>
      <c r="IGO550" s="120"/>
      <c r="IGP550" s="120"/>
      <c r="IGQ550" s="120"/>
      <c r="IGR550" s="120"/>
      <c r="IGS550" s="120"/>
      <c r="IGT550" s="120"/>
      <c r="IGU550" s="120"/>
      <c r="IGV550" s="120"/>
      <c r="IGW550" s="120"/>
      <c r="IGX550" s="120"/>
      <c r="IGY550" s="120"/>
      <c r="IGZ550" s="120"/>
      <c r="IHA550" s="120"/>
      <c r="IHB550" s="120"/>
      <c r="IHC550" s="120"/>
      <c r="IHD550" s="120"/>
      <c r="IHE550" s="120"/>
      <c r="IHF550" s="120"/>
      <c r="IHG550" s="120"/>
      <c r="IHH550" s="120"/>
      <c r="IHI550" s="120"/>
      <c r="IHJ550" s="120"/>
      <c r="IHK550" s="120"/>
      <c r="IHL550" s="120"/>
      <c r="IHM550" s="120"/>
      <c r="IHN550" s="120"/>
      <c r="IHO550" s="120"/>
      <c r="IHP550" s="120"/>
      <c r="IHQ550" s="120"/>
      <c r="IHR550" s="120"/>
      <c r="IHS550" s="120"/>
      <c r="IHT550" s="120"/>
      <c r="IHU550" s="120"/>
      <c r="IHV550" s="120"/>
      <c r="IHW550" s="120"/>
      <c r="IHX550" s="120"/>
      <c r="IHY550" s="120"/>
      <c r="IHZ550" s="120"/>
      <c r="IIA550" s="120"/>
      <c r="IIB550" s="120"/>
      <c r="IIC550" s="120"/>
      <c r="IID550" s="120"/>
      <c r="IIE550" s="120"/>
      <c r="IIF550" s="120"/>
      <c r="IIG550" s="120"/>
      <c r="IIH550" s="120"/>
      <c r="III550" s="120"/>
      <c r="IIJ550" s="120"/>
      <c r="IIK550" s="120"/>
      <c r="IIL550" s="120"/>
      <c r="IIM550" s="120"/>
      <c r="IIN550" s="120"/>
      <c r="IIO550" s="120"/>
      <c r="IIP550" s="120"/>
      <c r="IIQ550" s="120"/>
      <c r="IIR550" s="120"/>
      <c r="IIS550" s="120"/>
      <c r="IIT550" s="120"/>
      <c r="IIU550" s="120"/>
      <c r="IIV550" s="120"/>
      <c r="IIW550" s="120"/>
      <c r="IIX550" s="120"/>
      <c r="IIY550" s="120"/>
      <c r="IIZ550" s="120"/>
      <c r="IJA550" s="120"/>
      <c r="IJB550" s="120"/>
      <c r="IJC550" s="120"/>
      <c r="IJD550" s="120"/>
      <c r="IJE550" s="120"/>
      <c r="IJF550" s="120"/>
      <c r="IJG550" s="120"/>
      <c r="IJH550" s="120"/>
      <c r="IJI550" s="120"/>
      <c r="IJJ550" s="120"/>
      <c r="IJK550" s="120"/>
      <c r="IJL550" s="120"/>
      <c r="IJM550" s="120"/>
      <c r="IJN550" s="120"/>
      <c r="IJO550" s="120"/>
      <c r="IJP550" s="120"/>
      <c r="IJQ550" s="120"/>
      <c r="IJR550" s="120"/>
      <c r="IJS550" s="120"/>
      <c r="IJT550" s="120"/>
      <c r="IJU550" s="120"/>
      <c r="IJV550" s="120"/>
      <c r="IJW550" s="120"/>
      <c r="IJX550" s="120"/>
      <c r="IJY550" s="120"/>
      <c r="IJZ550" s="120"/>
      <c r="IKA550" s="120"/>
      <c r="IKB550" s="120"/>
      <c r="IKC550" s="120"/>
      <c r="IKD550" s="120"/>
      <c r="IKE550" s="120"/>
      <c r="IKF550" s="120"/>
      <c r="IKG550" s="120"/>
      <c r="IKH550" s="120"/>
      <c r="IKI550" s="120"/>
      <c r="IKJ550" s="120"/>
      <c r="IKK550" s="120"/>
      <c r="IKL550" s="120"/>
      <c r="IKM550" s="120"/>
      <c r="IKN550" s="120"/>
      <c r="IKO550" s="120"/>
      <c r="IKP550" s="120"/>
      <c r="IKQ550" s="120"/>
      <c r="IKR550" s="120"/>
      <c r="IKS550" s="120"/>
      <c r="IKT550" s="120"/>
      <c r="IKU550" s="120"/>
      <c r="IKV550" s="120"/>
      <c r="IKW550" s="120"/>
      <c r="IKX550" s="120"/>
      <c r="IKY550" s="120"/>
      <c r="IKZ550" s="120"/>
      <c r="ILA550" s="120"/>
      <c r="ILB550" s="120"/>
      <c r="ILC550" s="120"/>
      <c r="ILD550" s="120"/>
      <c r="ILE550" s="120"/>
      <c r="ILF550" s="120"/>
      <c r="ILG550" s="120"/>
      <c r="ILH550" s="120"/>
      <c r="ILI550" s="120"/>
      <c r="ILJ550" s="120"/>
      <c r="ILK550" s="120"/>
      <c r="ILL550" s="120"/>
      <c r="ILM550" s="120"/>
      <c r="ILN550" s="120"/>
      <c r="ILO550" s="120"/>
      <c r="ILP550" s="120"/>
      <c r="ILQ550" s="120"/>
      <c r="ILR550" s="120"/>
      <c r="ILS550" s="120"/>
      <c r="ILT550" s="120"/>
      <c r="ILU550" s="120"/>
      <c r="ILV550" s="120"/>
      <c r="ILW550" s="120"/>
      <c r="ILX550" s="120"/>
      <c r="ILY550" s="120"/>
      <c r="ILZ550" s="120"/>
      <c r="IMA550" s="120"/>
      <c r="IMB550" s="120"/>
      <c r="IMC550" s="120"/>
      <c r="IMD550" s="120"/>
      <c r="IME550" s="120"/>
      <c r="IMF550" s="120"/>
      <c r="IMG550" s="120"/>
      <c r="IMH550" s="120"/>
      <c r="IMI550" s="120"/>
      <c r="IMJ550" s="120"/>
      <c r="IMK550" s="120"/>
      <c r="IML550" s="120"/>
      <c r="IMM550" s="120"/>
      <c r="IMN550" s="120"/>
      <c r="IMO550" s="120"/>
      <c r="IMP550" s="120"/>
      <c r="IMQ550" s="120"/>
      <c r="IMR550" s="120"/>
      <c r="IMS550" s="120"/>
      <c r="IMT550" s="120"/>
      <c r="IMU550" s="120"/>
      <c r="IMV550" s="120"/>
      <c r="IMW550" s="120"/>
      <c r="IMX550" s="120"/>
      <c r="IMY550" s="120"/>
      <c r="IMZ550" s="120"/>
      <c r="INA550" s="120"/>
      <c r="INB550" s="120"/>
      <c r="INC550" s="120"/>
      <c r="IND550" s="120"/>
      <c r="INE550" s="120"/>
      <c r="INF550" s="120"/>
      <c r="ING550" s="120"/>
      <c r="INH550" s="120"/>
      <c r="INI550" s="120"/>
      <c r="INJ550" s="120"/>
      <c r="INK550" s="120"/>
      <c r="INL550" s="120"/>
      <c r="INM550" s="120"/>
      <c r="INN550" s="120"/>
      <c r="INO550" s="120"/>
      <c r="INP550" s="120"/>
      <c r="INQ550" s="120"/>
      <c r="INR550" s="120"/>
      <c r="INS550" s="120"/>
      <c r="INT550" s="120"/>
      <c r="INU550" s="120"/>
      <c r="INV550" s="120"/>
      <c r="INW550" s="120"/>
      <c r="INX550" s="120"/>
      <c r="INY550" s="120"/>
      <c r="INZ550" s="120"/>
      <c r="IOA550" s="120"/>
      <c r="IOB550" s="120"/>
      <c r="IOC550" s="120"/>
      <c r="IOD550" s="120"/>
      <c r="IOE550" s="120"/>
      <c r="IOF550" s="120"/>
      <c r="IOG550" s="120"/>
      <c r="IOH550" s="120"/>
      <c r="IOI550" s="120"/>
      <c r="IOJ550" s="120"/>
      <c r="IOK550" s="120"/>
      <c r="IOL550" s="120"/>
      <c r="IOM550" s="120"/>
      <c r="ION550" s="120"/>
      <c r="IOO550" s="120"/>
      <c r="IOP550" s="120"/>
      <c r="IOQ550" s="120"/>
      <c r="IOR550" s="120"/>
      <c r="IOS550" s="120"/>
      <c r="IOT550" s="120"/>
      <c r="IOU550" s="120"/>
      <c r="IOV550" s="120"/>
      <c r="IOW550" s="120"/>
      <c r="IOX550" s="120"/>
      <c r="IOY550" s="120"/>
      <c r="IOZ550" s="120"/>
      <c r="IPA550" s="120"/>
      <c r="IPB550" s="120"/>
      <c r="IPC550" s="120"/>
      <c r="IPD550" s="120"/>
      <c r="IPE550" s="120"/>
      <c r="IPF550" s="120"/>
      <c r="IPG550" s="120"/>
      <c r="IPH550" s="120"/>
      <c r="IPI550" s="120"/>
      <c r="IPJ550" s="120"/>
      <c r="IPK550" s="120"/>
      <c r="IPL550" s="120"/>
      <c r="IPM550" s="120"/>
      <c r="IPN550" s="120"/>
      <c r="IPO550" s="120"/>
      <c r="IPP550" s="120"/>
      <c r="IPQ550" s="120"/>
      <c r="IPR550" s="120"/>
      <c r="IPS550" s="120"/>
      <c r="IPT550" s="120"/>
      <c r="IPU550" s="120"/>
      <c r="IPV550" s="120"/>
      <c r="IPW550" s="120"/>
      <c r="IPX550" s="120"/>
      <c r="IPY550" s="120"/>
      <c r="IPZ550" s="120"/>
      <c r="IQA550" s="120"/>
      <c r="IQB550" s="120"/>
      <c r="IQC550" s="120"/>
      <c r="IQD550" s="120"/>
      <c r="IQE550" s="120"/>
      <c r="IQF550" s="120"/>
      <c r="IQG550" s="120"/>
      <c r="IQH550" s="120"/>
      <c r="IQI550" s="120"/>
      <c r="IQJ550" s="120"/>
      <c r="IQK550" s="120"/>
      <c r="IQL550" s="120"/>
      <c r="IQM550" s="120"/>
      <c r="IQN550" s="120"/>
      <c r="IQO550" s="120"/>
      <c r="IQP550" s="120"/>
      <c r="IQQ550" s="120"/>
      <c r="IQR550" s="120"/>
      <c r="IQS550" s="120"/>
      <c r="IQT550" s="120"/>
      <c r="IQU550" s="120"/>
      <c r="IQV550" s="120"/>
      <c r="IQW550" s="120"/>
      <c r="IQX550" s="120"/>
      <c r="IQY550" s="120"/>
      <c r="IQZ550" s="120"/>
      <c r="IRA550" s="120"/>
      <c r="IRB550" s="120"/>
      <c r="IRC550" s="120"/>
      <c r="IRD550" s="120"/>
      <c r="IRE550" s="120"/>
      <c r="IRF550" s="120"/>
      <c r="IRG550" s="120"/>
      <c r="IRH550" s="120"/>
      <c r="IRI550" s="120"/>
      <c r="IRJ550" s="120"/>
      <c r="IRK550" s="120"/>
      <c r="IRL550" s="120"/>
      <c r="IRM550" s="120"/>
      <c r="IRN550" s="120"/>
      <c r="IRO550" s="120"/>
      <c r="IRP550" s="120"/>
      <c r="IRQ550" s="120"/>
      <c r="IRR550" s="120"/>
      <c r="IRS550" s="120"/>
      <c r="IRT550" s="120"/>
      <c r="IRU550" s="120"/>
      <c r="IRV550" s="120"/>
      <c r="IRW550" s="120"/>
      <c r="IRX550" s="120"/>
      <c r="IRY550" s="120"/>
      <c r="IRZ550" s="120"/>
      <c r="ISA550" s="120"/>
      <c r="ISB550" s="120"/>
      <c r="ISC550" s="120"/>
      <c r="ISD550" s="120"/>
      <c r="ISE550" s="120"/>
      <c r="ISF550" s="120"/>
      <c r="ISG550" s="120"/>
      <c r="ISH550" s="120"/>
      <c r="ISI550" s="120"/>
      <c r="ISJ550" s="120"/>
      <c r="ISK550" s="120"/>
      <c r="ISL550" s="120"/>
      <c r="ISM550" s="120"/>
      <c r="ISN550" s="120"/>
      <c r="ISO550" s="120"/>
      <c r="ISP550" s="120"/>
      <c r="ISQ550" s="120"/>
      <c r="ISR550" s="120"/>
      <c r="ISS550" s="120"/>
      <c r="IST550" s="120"/>
      <c r="ISU550" s="120"/>
      <c r="ISV550" s="120"/>
      <c r="ISW550" s="120"/>
      <c r="ISX550" s="120"/>
      <c r="ISY550" s="120"/>
      <c r="ISZ550" s="120"/>
      <c r="ITA550" s="120"/>
      <c r="ITB550" s="120"/>
      <c r="ITC550" s="120"/>
      <c r="ITD550" s="120"/>
      <c r="ITE550" s="120"/>
      <c r="ITF550" s="120"/>
      <c r="ITG550" s="120"/>
      <c r="ITH550" s="120"/>
      <c r="ITI550" s="120"/>
      <c r="ITJ550" s="120"/>
      <c r="ITK550" s="120"/>
      <c r="ITL550" s="120"/>
      <c r="ITM550" s="120"/>
      <c r="ITN550" s="120"/>
      <c r="ITO550" s="120"/>
      <c r="ITP550" s="120"/>
      <c r="ITQ550" s="120"/>
      <c r="ITR550" s="120"/>
      <c r="ITS550" s="120"/>
      <c r="ITT550" s="120"/>
      <c r="ITU550" s="120"/>
      <c r="ITV550" s="120"/>
      <c r="ITW550" s="120"/>
      <c r="ITX550" s="120"/>
      <c r="ITY550" s="120"/>
      <c r="ITZ550" s="120"/>
      <c r="IUA550" s="120"/>
      <c r="IUB550" s="120"/>
      <c r="IUC550" s="120"/>
      <c r="IUD550" s="120"/>
      <c r="IUE550" s="120"/>
      <c r="IUF550" s="120"/>
      <c r="IUG550" s="120"/>
      <c r="IUH550" s="120"/>
      <c r="IUI550" s="120"/>
      <c r="IUJ550" s="120"/>
      <c r="IUK550" s="120"/>
      <c r="IUL550" s="120"/>
      <c r="IUM550" s="120"/>
      <c r="IUN550" s="120"/>
      <c r="IUO550" s="120"/>
      <c r="IUP550" s="120"/>
      <c r="IUQ550" s="120"/>
      <c r="IUR550" s="120"/>
      <c r="IUS550" s="120"/>
      <c r="IUT550" s="120"/>
      <c r="IUU550" s="120"/>
      <c r="IUV550" s="120"/>
      <c r="IUW550" s="120"/>
      <c r="IUX550" s="120"/>
      <c r="IUY550" s="120"/>
      <c r="IUZ550" s="120"/>
      <c r="IVA550" s="120"/>
      <c r="IVB550" s="120"/>
      <c r="IVC550" s="120"/>
      <c r="IVD550" s="120"/>
      <c r="IVE550" s="120"/>
      <c r="IVF550" s="120"/>
      <c r="IVG550" s="120"/>
      <c r="IVH550" s="120"/>
      <c r="IVI550" s="120"/>
      <c r="IVJ550" s="120"/>
      <c r="IVK550" s="120"/>
      <c r="IVL550" s="120"/>
      <c r="IVM550" s="120"/>
      <c r="IVN550" s="120"/>
      <c r="IVO550" s="120"/>
      <c r="IVP550" s="120"/>
      <c r="IVQ550" s="120"/>
      <c r="IVR550" s="120"/>
      <c r="IVS550" s="120"/>
      <c r="IVT550" s="120"/>
      <c r="IVU550" s="120"/>
      <c r="IVV550" s="120"/>
      <c r="IVW550" s="120"/>
      <c r="IVX550" s="120"/>
      <c r="IVY550" s="120"/>
      <c r="IVZ550" s="120"/>
      <c r="IWA550" s="120"/>
      <c r="IWB550" s="120"/>
      <c r="IWC550" s="120"/>
      <c r="IWD550" s="120"/>
      <c r="IWE550" s="120"/>
      <c r="IWF550" s="120"/>
      <c r="IWG550" s="120"/>
      <c r="IWH550" s="120"/>
      <c r="IWI550" s="120"/>
      <c r="IWJ550" s="120"/>
      <c r="IWK550" s="120"/>
      <c r="IWL550" s="120"/>
      <c r="IWM550" s="120"/>
      <c r="IWN550" s="120"/>
      <c r="IWO550" s="120"/>
      <c r="IWP550" s="120"/>
      <c r="IWQ550" s="120"/>
      <c r="IWR550" s="120"/>
      <c r="IWS550" s="120"/>
      <c r="IWT550" s="120"/>
      <c r="IWU550" s="120"/>
      <c r="IWV550" s="120"/>
      <c r="IWW550" s="120"/>
      <c r="IWX550" s="120"/>
      <c r="IWY550" s="120"/>
      <c r="IWZ550" s="120"/>
      <c r="IXA550" s="120"/>
      <c r="IXB550" s="120"/>
      <c r="IXC550" s="120"/>
      <c r="IXD550" s="120"/>
      <c r="IXE550" s="120"/>
      <c r="IXF550" s="120"/>
      <c r="IXG550" s="120"/>
      <c r="IXH550" s="120"/>
      <c r="IXI550" s="120"/>
      <c r="IXJ550" s="120"/>
      <c r="IXK550" s="120"/>
      <c r="IXL550" s="120"/>
      <c r="IXM550" s="120"/>
      <c r="IXN550" s="120"/>
      <c r="IXO550" s="120"/>
      <c r="IXP550" s="120"/>
      <c r="IXQ550" s="120"/>
      <c r="IXR550" s="120"/>
      <c r="IXS550" s="120"/>
      <c r="IXT550" s="120"/>
      <c r="IXU550" s="120"/>
      <c r="IXV550" s="120"/>
      <c r="IXW550" s="120"/>
      <c r="IXX550" s="120"/>
      <c r="IXY550" s="120"/>
      <c r="IXZ550" s="120"/>
      <c r="IYA550" s="120"/>
      <c r="IYB550" s="120"/>
      <c r="IYC550" s="120"/>
      <c r="IYD550" s="120"/>
      <c r="IYE550" s="120"/>
      <c r="IYF550" s="120"/>
      <c r="IYG550" s="120"/>
      <c r="IYH550" s="120"/>
      <c r="IYI550" s="120"/>
      <c r="IYJ550" s="120"/>
      <c r="IYK550" s="120"/>
      <c r="IYL550" s="120"/>
      <c r="IYM550" s="120"/>
      <c r="IYN550" s="120"/>
      <c r="IYO550" s="120"/>
      <c r="IYP550" s="120"/>
      <c r="IYQ550" s="120"/>
      <c r="IYR550" s="120"/>
      <c r="IYS550" s="120"/>
      <c r="IYT550" s="120"/>
      <c r="IYU550" s="120"/>
      <c r="IYV550" s="120"/>
      <c r="IYW550" s="120"/>
      <c r="IYX550" s="120"/>
      <c r="IYY550" s="120"/>
      <c r="IYZ550" s="120"/>
      <c r="IZA550" s="120"/>
      <c r="IZB550" s="120"/>
      <c r="IZC550" s="120"/>
      <c r="IZD550" s="120"/>
      <c r="IZE550" s="120"/>
      <c r="IZF550" s="120"/>
      <c r="IZG550" s="120"/>
      <c r="IZH550" s="120"/>
      <c r="IZI550" s="120"/>
      <c r="IZJ550" s="120"/>
      <c r="IZK550" s="120"/>
      <c r="IZL550" s="120"/>
      <c r="IZM550" s="120"/>
      <c r="IZN550" s="120"/>
      <c r="IZO550" s="120"/>
      <c r="IZP550" s="120"/>
      <c r="IZQ550" s="120"/>
      <c r="IZR550" s="120"/>
      <c r="IZS550" s="120"/>
      <c r="IZT550" s="120"/>
      <c r="IZU550" s="120"/>
      <c r="IZV550" s="120"/>
      <c r="IZW550" s="120"/>
      <c r="IZX550" s="120"/>
      <c r="IZY550" s="120"/>
      <c r="IZZ550" s="120"/>
      <c r="JAA550" s="120"/>
      <c r="JAB550" s="120"/>
      <c r="JAC550" s="120"/>
      <c r="JAD550" s="120"/>
      <c r="JAE550" s="120"/>
      <c r="JAF550" s="120"/>
      <c r="JAG550" s="120"/>
      <c r="JAH550" s="120"/>
      <c r="JAI550" s="120"/>
      <c r="JAJ550" s="120"/>
      <c r="JAK550" s="120"/>
      <c r="JAL550" s="120"/>
      <c r="JAM550" s="120"/>
      <c r="JAN550" s="120"/>
      <c r="JAO550" s="120"/>
      <c r="JAP550" s="120"/>
      <c r="JAQ550" s="120"/>
      <c r="JAR550" s="120"/>
      <c r="JAS550" s="120"/>
      <c r="JAT550" s="120"/>
      <c r="JAU550" s="120"/>
      <c r="JAV550" s="120"/>
      <c r="JAW550" s="120"/>
      <c r="JAX550" s="120"/>
      <c r="JAY550" s="120"/>
      <c r="JAZ550" s="120"/>
      <c r="JBA550" s="120"/>
      <c r="JBB550" s="120"/>
      <c r="JBC550" s="120"/>
      <c r="JBD550" s="120"/>
      <c r="JBE550" s="120"/>
      <c r="JBF550" s="120"/>
      <c r="JBG550" s="120"/>
      <c r="JBH550" s="120"/>
      <c r="JBI550" s="120"/>
      <c r="JBJ550" s="120"/>
      <c r="JBK550" s="120"/>
      <c r="JBL550" s="120"/>
      <c r="JBM550" s="120"/>
      <c r="JBN550" s="120"/>
      <c r="JBO550" s="120"/>
      <c r="JBP550" s="120"/>
      <c r="JBQ550" s="120"/>
      <c r="JBR550" s="120"/>
      <c r="JBS550" s="120"/>
      <c r="JBT550" s="120"/>
      <c r="JBU550" s="120"/>
      <c r="JBV550" s="120"/>
      <c r="JBW550" s="120"/>
      <c r="JBX550" s="120"/>
      <c r="JBY550" s="120"/>
      <c r="JBZ550" s="120"/>
      <c r="JCA550" s="120"/>
      <c r="JCB550" s="120"/>
      <c r="JCC550" s="120"/>
      <c r="JCD550" s="120"/>
      <c r="JCE550" s="120"/>
      <c r="JCF550" s="120"/>
      <c r="JCG550" s="120"/>
      <c r="JCH550" s="120"/>
      <c r="JCI550" s="120"/>
      <c r="JCJ550" s="120"/>
      <c r="JCK550" s="120"/>
      <c r="JCL550" s="120"/>
      <c r="JCM550" s="120"/>
      <c r="JCN550" s="120"/>
      <c r="JCO550" s="120"/>
      <c r="JCP550" s="120"/>
      <c r="JCQ550" s="120"/>
      <c r="JCR550" s="120"/>
      <c r="JCS550" s="120"/>
      <c r="JCT550" s="120"/>
      <c r="JCU550" s="120"/>
      <c r="JCV550" s="120"/>
      <c r="JCW550" s="120"/>
      <c r="JCX550" s="120"/>
      <c r="JCY550" s="120"/>
      <c r="JCZ550" s="120"/>
      <c r="JDA550" s="120"/>
      <c r="JDB550" s="120"/>
      <c r="JDC550" s="120"/>
      <c r="JDD550" s="120"/>
      <c r="JDE550" s="120"/>
      <c r="JDF550" s="120"/>
      <c r="JDG550" s="120"/>
      <c r="JDH550" s="120"/>
      <c r="JDI550" s="120"/>
      <c r="JDJ550" s="120"/>
      <c r="JDK550" s="120"/>
      <c r="JDL550" s="120"/>
      <c r="JDM550" s="120"/>
      <c r="JDN550" s="120"/>
      <c r="JDO550" s="120"/>
      <c r="JDP550" s="120"/>
      <c r="JDQ550" s="120"/>
      <c r="JDR550" s="120"/>
      <c r="JDS550" s="120"/>
      <c r="JDT550" s="120"/>
      <c r="JDU550" s="120"/>
      <c r="JDV550" s="120"/>
      <c r="JDW550" s="120"/>
      <c r="JDX550" s="120"/>
      <c r="JDY550" s="120"/>
      <c r="JDZ550" s="120"/>
      <c r="JEA550" s="120"/>
      <c r="JEB550" s="120"/>
      <c r="JEC550" s="120"/>
      <c r="JED550" s="120"/>
      <c r="JEE550" s="120"/>
      <c r="JEF550" s="120"/>
      <c r="JEG550" s="120"/>
      <c r="JEH550" s="120"/>
      <c r="JEI550" s="120"/>
      <c r="JEJ550" s="120"/>
      <c r="JEK550" s="120"/>
      <c r="JEL550" s="120"/>
      <c r="JEM550" s="120"/>
      <c r="JEN550" s="120"/>
      <c r="JEO550" s="120"/>
      <c r="JEP550" s="120"/>
      <c r="JEQ550" s="120"/>
      <c r="JER550" s="120"/>
      <c r="JES550" s="120"/>
      <c r="JET550" s="120"/>
      <c r="JEU550" s="120"/>
      <c r="JEV550" s="120"/>
      <c r="JEW550" s="120"/>
      <c r="JEX550" s="120"/>
      <c r="JEY550" s="120"/>
      <c r="JEZ550" s="120"/>
      <c r="JFA550" s="120"/>
      <c r="JFB550" s="120"/>
      <c r="JFC550" s="120"/>
      <c r="JFD550" s="120"/>
      <c r="JFE550" s="120"/>
      <c r="JFF550" s="120"/>
      <c r="JFG550" s="120"/>
      <c r="JFH550" s="120"/>
      <c r="JFI550" s="120"/>
      <c r="JFJ550" s="120"/>
      <c r="JFK550" s="120"/>
      <c r="JFL550" s="120"/>
      <c r="JFM550" s="120"/>
      <c r="JFN550" s="120"/>
      <c r="JFO550" s="120"/>
      <c r="JFP550" s="120"/>
      <c r="JFQ550" s="120"/>
      <c r="JFR550" s="120"/>
      <c r="JFS550" s="120"/>
      <c r="JFT550" s="120"/>
      <c r="JFU550" s="120"/>
      <c r="JFV550" s="120"/>
      <c r="JFW550" s="120"/>
      <c r="JFX550" s="120"/>
      <c r="JFY550" s="120"/>
      <c r="JFZ550" s="120"/>
      <c r="JGA550" s="120"/>
      <c r="JGB550" s="120"/>
      <c r="JGC550" s="120"/>
      <c r="JGD550" s="120"/>
      <c r="JGE550" s="120"/>
      <c r="JGF550" s="120"/>
      <c r="JGG550" s="120"/>
      <c r="JGH550" s="120"/>
      <c r="JGI550" s="120"/>
      <c r="JGJ550" s="120"/>
      <c r="JGK550" s="120"/>
      <c r="JGL550" s="120"/>
      <c r="JGM550" s="120"/>
      <c r="JGN550" s="120"/>
      <c r="JGO550" s="120"/>
      <c r="JGP550" s="120"/>
      <c r="JGQ550" s="120"/>
      <c r="JGR550" s="120"/>
      <c r="JGS550" s="120"/>
      <c r="JGT550" s="120"/>
      <c r="JGU550" s="120"/>
      <c r="JGV550" s="120"/>
      <c r="JGW550" s="120"/>
      <c r="JGX550" s="120"/>
      <c r="JGY550" s="120"/>
      <c r="JGZ550" s="120"/>
      <c r="JHA550" s="120"/>
      <c r="JHB550" s="120"/>
      <c r="JHC550" s="120"/>
      <c r="JHD550" s="120"/>
      <c r="JHE550" s="120"/>
      <c r="JHF550" s="120"/>
      <c r="JHG550" s="120"/>
      <c r="JHH550" s="120"/>
      <c r="JHI550" s="120"/>
      <c r="JHJ550" s="120"/>
      <c r="JHK550" s="120"/>
      <c r="JHL550" s="120"/>
      <c r="JHM550" s="120"/>
      <c r="JHN550" s="120"/>
      <c r="JHO550" s="120"/>
      <c r="JHP550" s="120"/>
      <c r="JHQ550" s="120"/>
      <c r="JHR550" s="120"/>
      <c r="JHS550" s="120"/>
      <c r="JHT550" s="120"/>
      <c r="JHU550" s="120"/>
      <c r="JHV550" s="120"/>
      <c r="JHW550" s="120"/>
      <c r="JHX550" s="120"/>
      <c r="JHY550" s="120"/>
      <c r="JHZ550" s="120"/>
      <c r="JIA550" s="120"/>
      <c r="JIB550" s="120"/>
      <c r="JIC550" s="120"/>
      <c r="JID550" s="120"/>
      <c r="JIE550" s="120"/>
      <c r="JIF550" s="120"/>
      <c r="JIG550" s="120"/>
      <c r="JIH550" s="120"/>
      <c r="JII550" s="120"/>
      <c r="JIJ550" s="120"/>
      <c r="JIK550" s="120"/>
      <c r="JIL550" s="120"/>
      <c r="JIM550" s="120"/>
      <c r="JIN550" s="120"/>
      <c r="JIO550" s="120"/>
      <c r="JIP550" s="120"/>
      <c r="JIQ550" s="120"/>
      <c r="JIR550" s="120"/>
      <c r="JIS550" s="120"/>
      <c r="JIT550" s="120"/>
      <c r="JIU550" s="120"/>
      <c r="JIV550" s="120"/>
      <c r="JIW550" s="120"/>
      <c r="JIX550" s="120"/>
      <c r="JIY550" s="120"/>
      <c r="JIZ550" s="120"/>
      <c r="JJA550" s="120"/>
      <c r="JJB550" s="120"/>
      <c r="JJC550" s="120"/>
      <c r="JJD550" s="120"/>
      <c r="JJE550" s="120"/>
      <c r="JJF550" s="120"/>
      <c r="JJG550" s="120"/>
      <c r="JJH550" s="120"/>
      <c r="JJI550" s="120"/>
      <c r="JJJ550" s="120"/>
      <c r="JJK550" s="120"/>
      <c r="JJL550" s="120"/>
      <c r="JJM550" s="120"/>
      <c r="JJN550" s="120"/>
      <c r="JJO550" s="120"/>
      <c r="JJP550" s="120"/>
      <c r="JJQ550" s="120"/>
      <c r="JJR550" s="120"/>
      <c r="JJS550" s="120"/>
      <c r="JJT550" s="120"/>
      <c r="JJU550" s="120"/>
      <c r="JJV550" s="120"/>
      <c r="JJW550" s="120"/>
      <c r="JJX550" s="120"/>
      <c r="JJY550" s="120"/>
      <c r="JJZ550" s="120"/>
      <c r="JKA550" s="120"/>
      <c r="JKB550" s="120"/>
      <c r="JKC550" s="120"/>
      <c r="JKD550" s="120"/>
      <c r="JKE550" s="120"/>
      <c r="JKF550" s="120"/>
      <c r="JKG550" s="120"/>
      <c r="JKH550" s="120"/>
      <c r="JKI550" s="120"/>
      <c r="JKJ550" s="120"/>
      <c r="JKK550" s="120"/>
      <c r="JKL550" s="120"/>
      <c r="JKM550" s="120"/>
      <c r="JKN550" s="120"/>
      <c r="JKO550" s="120"/>
      <c r="JKP550" s="120"/>
      <c r="JKQ550" s="120"/>
      <c r="JKR550" s="120"/>
      <c r="JKS550" s="120"/>
      <c r="JKT550" s="120"/>
      <c r="JKU550" s="120"/>
      <c r="JKV550" s="120"/>
      <c r="JKW550" s="120"/>
      <c r="JKX550" s="120"/>
      <c r="JKY550" s="120"/>
      <c r="JKZ550" s="120"/>
      <c r="JLA550" s="120"/>
      <c r="JLB550" s="120"/>
      <c r="JLC550" s="120"/>
      <c r="JLD550" s="120"/>
      <c r="JLE550" s="120"/>
      <c r="JLF550" s="120"/>
      <c r="JLG550" s="120"/>
      <c r="JLH550" s="120"/>
      <c r="JLI550" s="120"/>
      <c r="JLJ550" s="120"/>
      <c r="JLK550" s="120"/>
      <c r="JLL550" s="120"/>
      <c r="JLM550" s="120"/>
      <c r="JLN550" s="120"/>
      <c r="JLO550" s="120"/>
      <c r="JLP550" s="120"/>
      <c r="JLQ550" s="120"/>
      <c r="JLR550" s="120"/>
      <c r="JLS550" s="120"/>
      <c r="JLT550" s="120"/>
      <c r="JLU550" s="120"/>
      <c r="JLV550" s="120"/>
      <c r="JLW550" s="120"/>
      <c r="JLX550" s="120"/>
      <c r="JLY550" s="120"/>
      <c r="JLZ550" s="120"/>
      <c r="JMA550" s="120"/>
      <c r="JMB550" s="120"/>
      <c r="JMC550" s="120"/>
      <c r="JMD550" s="120"/>
      <c r="JME550" s="120"/>
      <c r="JMF550" s="120"/>
      <c r="JMG550" s="120"/>
      <c r="JMH550" s="120"/>
      <c r="JMI550" s="120"/>
      <c r="JMJ550" s="120"/>
      <c r="JMK550" s="120"/>
      <c r="JML550" s="120"/>
      <c r="JMM550" s="120"/>
      <c r="JMN550" s="120"/>
      <c r="JMO550" s="120"/>
      <c r="JMP550" s="120"/>
      <c r="JMQ550" s="120"/>
      <c r="JMR550" s="120"/>
      <c r="JMS550" s="120"/>
      <c r="JMT550" s="120"/>
      <c r="JMU550" s="120"/>
      <c r="JMV550" s="120"/>
      <c r="JMW550" s="120"/>
      <c r="JMX550" s="120"/>
      <c r="JMY550" s="120"/>
      <c r="JMZ550" s="120"/>
      <c r="JNA550" s="120"/>
      <c r="JNB550" s="120"/>
      <c r="JNC550" s="120"/>
      <c r="JND550" s="120"/>
      <c r="JNE550" s="120"/>
      <c r="JNF550" s="120"/>
      <c r="JNG550" s="120"/>
      <c r="JNH550" s="120"/>
      <c r="JNI550" s="120"/>
      <c r="JNJ550" s="120"/>
      <c r="JNK550" s="120"/>
      <c r="JNL550" s="120"/>
      <c r="JNM550" s="120"/>
      <c r="JNN550" s="120"/>
      <c r="JNO550" s="120"/>
      <c r="JNP550" s="120"/>
      <c r="JNQ550" s="120"/>
      <c r="JNR550" s="120"/>
      <c r="JNS550" s="120"/>
      <c r="JNT550" s="120"/>
      <c r="JNU550" s="120"/>
      <c r="JNV550" s="120"/>
      <c r="JNW550" s="120"/>
      <c r="JNX550" s="120"/>
      <c r="JNY550" s="120"/>
      <c r="JNZ550" s="120"/>
      <c r="JOA550" s="120"/>
      <c r="JOB550" s="120"/>
      <c r="JOC550" s="120"/>
      <c r="JOD550" s="120"/>
      <c r="JOE550" s="120"/>
      <c r="JOF550" s="120"/>
      <c r="JOG550" s="120"/>
      <c r="JOH550" s="120"/>
      <c r="JOI550" s="120"/>
      <c r="JOJ550" s="120"/>
      <c r="JOK550" s="120"/>
      <c r="JOL550" s="120"/>
      <c r="JOM550" s="120"/>
      <c r="JON550" s="120"/>
      <c r="JOO550" s="120"/>
      <c r="JOP550" s="120"/>
      <c r="JOQ550" s="120"/>
      <c r="JOR550" s="120"/>
      <c r="JOS550" s="120"/>
      <c r="JOT550" s="120"/>
      <c r="JOU550" s="120"/>
      <c r="JOV550" s="120"/>
      <c r="JOW550" s="120"/>
      <c r="JOX550" s="120"/>
      <c r="JOY550" s="120"/>
      <c r="JOZ550" s="120"/>
      <c r="JPA550" s="120"/>
      <c r="JPB550" s="120"/>
      <c r="JPC550" s="120"/>
      <c r="JPD550" s="120"/>
      <c r="JPE550" s="120"/>
      <c r="JPF550" s="120"/>
      <c r="JPG550" s="120"/>
      <c r="JPH550" s="120"/>
      <c r="JPI550" s="120"/>
      <c r="JPJ550" s="120"/>
      <c r="JPK550" s="120"/>
      <c r="JPL550" s="120"/>
      <c r="JPM550" s="120"/>
      <c r="JPN550" s="120"/>
      <c r="JPO550" s="120"/>
      <c r="JPP550" s="120"/>
      <c r="JPQ550" s="120"/>
      <c r="JPR550" s="120"/>
      <c r="JPS550" s="120"/>
      <c r="JPT550" s="120"/>
      <c r="JPU550" s="120"/>
      <c r="JPV550" s="120"/>
      <c r="JPW550" s="120"/>
      <c r="JPX550" s="120"/>
      <c r="JPY550" s="120"/>
      <c r="JPZ550" s="120"/>
      <c r="JQA550" s="120"/>
      <c r="JQB550" s="120"/>
      <c r="JQC550" s="120"/>
      <c r="JQD550" s="120"/>
      <c r="JQE550" s="120"/>
      <c r="JQF550" s="120"/>
      <c r="JQG550" s="120"/>
      <c r="JQH550" s="120"/>
      <c r="JQI550" s="120"/>
      <c r="JQJ550" s="120"/>
      <c r="JQK550" s="120"/>
      <c r="JQL550" s="120"/>
      <c r="JQM550" s="120"/>
      <c r="JQN550" s="120"/>
      <c r="JQO550" s="120"/>
      <c r="JQP550" s="120"/>
      <c r="JQQ550" s="120"/>
      <c r="JQR550" s="120"/>
      <c r="JQS550" s="120"/>
      <c r="JQT550" s="120"/>
      <c r="JQU550" s="120"/>
      <c r="JQV550" s="120"/>
      <c r="JQW550" s="120"/>
      <c r="JQX550" s="120"/>
      <c r="JQY550" s="120"/>
      <c r="JQZ550" s="120"/>
      <c r="JRA550" s="120"/>
      <c r="JRB550" s="120"/>
      <c r="JRC550" s="120"/>
      <c r="JRD550" s="120"/>
      <c r="JRE550" s="120"/>
      <c r="JRF550" s="120"/>
      <c r="JRG550" s="120"/>
      <c r="JRH550" s="120"/>
      <c r="JRI550" s="120"/>
      <c r="JRJ550" s="120"/>
      <c r="JRK550" s="120"/>
      <c r="JRL550" s="120"/>
      <c r="JRM550" s="120"/>
      <c r="JRN550" s="120"/>
      <c r="JRO550" s="120"/>
      <c r="JRP550" s="120"/>
      <c r="JRQ550" s="120"/>
      <c r="JRR550" s="120"/>
      <c r="JRS550" s="120"/>
      <c r="JRT550" s="120"/>
      <c r="JRU550" s="120"/>
      <c r="JRV550" s="120"/>
      <c r="JRW550" s="120"/>
      <c r="JRX550" s="120"/>
      <c r="JRY550" s="120"/>
      <c r="JRZ550" s="120"/>
      <c r="JSA550" s="120"/>
      <c r="JSB550" s="120"/>
      <c r="JSC550" s="120"/>
      <c r="JSD550" s="120"/>
      <c r="JSE550" s="120"/>
      <c r="JSF550" s="120"/>
      <c r="JSG550" s="120"/>
      <c r="JSH550" s="120"/>
      <c r="JSI550" s="120"/>
      <c r="JSJ550" s="120"/>
      <c r="JSK550" s="120"/>
      <c r="JSL550" s="120"/>
      <c r="JSM550" s="120"/>
      <c r="JSN550" s="120"/>
      <c r="JSO550" s="120"/>
      <c r="JSP550" s="120"/>
      <c r="JSQ550" s="120"/>
      <c r="JSR550" s="120"/>
      <c r="JSS550" s="120"/>
      <c r="JST550" s="120"/>
      <c r="JSU550" s="120"/>
      <c r="JSV550" s="120"/>
      <c r="JSW550" s="120"/>
      <c r="JSX550" s="120"/>
      <c r="JSY550" s="120"/>
      <c r="JSZ550" s="120"/>
      <c r="JTA550" s="120"/>
      <c r="JTB550" s="120"/>
      <c r="JTC550" s="120"/>
      <c r="JTD550" s="120"/>
      <c r="JTE550" s="120"/>
      <c r="JTF550" s="120"/>
      <c r="JTG550" s="120"/>
      <c r="JTH550" s="120"/>
      <c r="JTI550" s="120"/>
      <c r="JTJ550" s="120"/>
      <c r="JTK550" s="120"/>
      <c r="JTL550" s="120"/>
      <c r="JTM550" s="120"/>
      <c r="JTN550" s="120"/>
      <c r="JTO550" s="120"/>
      <c r="JTP550" s="120"/>
      <c r="JTQ550" s="120"/>
      <c r="JTR550" s="120"/>
      <c r="JTS550" s="120"/>
      <c r="JTT550" s="120"/>
      <c r="JTU550" s="120"/>
      <c r="JTV550" s="120"/>
      <c r="JTW550" s="120"/>
      <c r="JTX550" s="120"/>
      <c r="JTY550" s="120"/>
      <c r="JTZ550" s="120"/>
      <c r="JUA550" s="120"/>
      <c r="JUB550" s="120"/>
      <c r="JUC550" s="120"/>
      <c r="JUD550" s="120"/>
      <c r="JUE550" s="120"/>
      <c r="JUF550" s="120"/>
      <c r="JUG550" s="120"/>
      <c r="JUH550" s="120"/>
      <c r="JUI550" s="120"/>
      <c r="JUJ550" s="120"/>
      <c r="JUK550" s="120"/>
      <c r="JUL550" s="120"/>
      <c r="JUM550" s="120"/>
      <c r="JUN550" s="120"/>
      <c r="JUO550" s="120"/>
      <c r="JUP550" s="120"/>
      <c r="JUQ550" s="120"/>
      <c r="JUR550" s="120"/>
      <c r="JUS550" s="120"/>
      <c r="JUT550" s="120"/>
      <c r="JUU550" s="120"/>
      <c r="JUV550" s="120"/>
      <c r="JUW550" s="120"/>
      <c r="JUX550" s="120"/>
      <c r="JUY550" s="120"/>
      <c r="JUZ550" s="120"/>
      <c r="JVA550" s="120"/>
      <c r="JVB550" s="120"/>
      <c r="JVC550" s="120"/>
      <c r="JVD550" s="120"/>
      <c r="JVE550" s="120"/>
      <c r="JVF550" s="120"/>
      <c r="JVG550" s="120"/>
      <c r="JVH550" s="120"/>
      <c r="JVI550" s="120"/>
      <c r="JVJ550" s="120"/>
      <c r="JVK550" s="120"/>
      <c r="JVL550" s="120"/>
      <c r="JVM550" s="120"/>
      <c r="JVN550" s="120"/>
      <c r="JVO550" s="120"/>
      <c r="JVP550" s="120"/>
      <c r="JVQ550" s="120"/>
      <c r="JVR550" s="120"/>
      <c r="JVS550" s="120"/>
      <c r="JVT550" s="120"/>
      <c r="JVU550" s="120"/>
      <c r="JVV550" s="120"/>
      <c r="JVW550" s="120"/>
      <c r="JVX550" s="120"/>
      <c r="JVY550" s="120"/>
      <c r="JVZ550" s="120"/>
      <c r="JWA550" s="120"/>
      <c r="JWB550" s="120"/>
      <c r="JWC550" s="120"/>
      <c r="JWD550" s="120"/>
      <c r="JWE550" s="120"/>
      <c r="JWF550" s="120"/>
      <c r="JWG550" s="120"/>
      <c r="JWH550" s="120"/>
      <c r="JWI550" s="120"/>
      <c r="JWJ550" s="120"/>
      <c r="JWK550" s="120"/>
      <c r="JWL550" s="120"/>
      <c r="JWM550" s="120"/>
      <c r="JWN550" s="120"/>
      <c r="JWO550" s="120"/>
      <c r="JWP550" s="120"/>
      <c r="JWQ550" s="120"/>
      <c r="JWR550" s="120"/>
      <c r="JWS550" s="120"/>
      <c r="JWT550" s="120"/>
      <c r="JWU550" s="120"/>
      <c r="JWV550" s="120"/>
      <c r="JWW550" s="120"/>
      <c r="JWX550" s="120"/>
      <c r="JWY550" s="120"/>
      <c r="JWZ550" s="120"/>
      <c r="JXA550" s="120"/>
      <c r="JXB550" s="120"/>
      <c r="JXC550" s="120"/>
      <c r="JXD550" s="120"/>
      <c r="JXE550" s="120"/>
      <c r="JXF550" s="120"/>
      <c r="JXG550" s="120"/>
      <c r="JXH550" s="120"/>
      <c r="JXI550" s="120"/>
      <c r="JXJ550" s="120"/>
      <c r="JXK550" s="120"/>
      <c r="JXL550" s="120"/>
      <c r="JXM550" s="120"/>
      <c r="JXN550" s="120"/>
      <c r="JXO550" s="120"/>
      <c r="JXP550" s="120"/>
      <c r="JXQ550" s="120"/>
      <c r="JXR550" s="120"/>
      <c r="JXS550" s="120"/>
      <c r="JXT550" s="120"/>
      <c r="JXU550" s="120"/>
      <c r="JXV550" s="120"/>
      <c r="JXW550" s="120"/>
      <c r="JXX550" s="120"/>
      <c r="JXY550" s="120"/>
      <c r="JXZ550" s="120"/>
      <c r="JYA550" s="120"/>
      <c r="JYB550" s="120"/>
      <c r="JYC550" s="120"/>
      <c r="JYD550" s="120"/>
      <c r="JYE550" s="120"/>
      <c r="JYF550" s="120"/>
      <c r="JYG550" s="120"/>
      <c r="JYH550" s="120"/>
      <c r="JYI550" s="120"/>
      <c r="JYJ550" s="120"/>
      <c r="JYK550" s="120"/>
      <c r="JYL550" s="120"/>
      <c r="JYM550" s="120"/>
      <c r="JYN550" s="120"/>
      <c r="JYO550" s="120"/>
      <c r="JYP550" s="120"/>
      <c r="JYQ550" s="120"/>
      <c r="JYR550" s="120"/>
      <c r="JYS550" s="120"/>
      <c r="JYT550" s="120"/>
      <c r="JYU550" s="120"/>
      <c r="JYV550" s="120"/>
      <c r="JYW550" s="120"/>
      <c r="JYX550" s="120"/>
      <c r="JYY550" s="120"/>
      <c r="JYZ550" s="120"/>
      <c r="JZA550" s="120"/>
      <c r="JZB550" s="120"/>
      <c r="JZC550" s="120"/>
      <c r="JZD550" s="120"/>
      <c r="JZE550" s="120"/>
      <c r="JZF550" s="120"/>
      <c r="JZG550" s="120"/>
      <c r="JZH550" s="120"/>
      <c r="JZI550" s="120"/>
      <c r="JZJ550" s="120"/>
      <c r="JZK550" s="120"/>
      <c r="JZL550" s="120"/>
      <c r="JZM550" s="120"/>
      <c r="JZN550" s="120"/>
      <c r="JZO550" s="120"/>
      <c r="JZP550" s="120"/>
      <c r="JZQ550" s="120"/>
      <c r="JZR550" s="120"/>
      <c r="JZS550" s="120"/>
      <c r="JZT550" s="120"/>
      <c r="JZU550" s="120"/>
      <c r="JZV550" s="120"/>
      <c r="JZW550" s="120"/>
      <c r="JZX550" s="120"/>
      <c r="JZY550" s="120"/>
      <c r="JZZ550" s="120"/>
      <c r="KAA550" s="120"/>
      <c r="KAB550" s="120"/>
      <c r="KAC550" s="120"/>
      <c r="KAD550" s="120"/>
      <c r="KAE550" s="120"/>
      <c r="KAF550" s="120"/>
      <c r="KAG550" s="120"/>
      <c r="KAH550" s="120"/>
      <c r="KAI550" s="120"/>
      <c r="KAJ550" s="120"/>
      <c r="KAK550" s="120"/>
      <c r="KAL550" s="120"/>
      <c r="KAM550" s="120"/>
      <c r="KAN550" s="120"/>
      <c r="KAO550" s="120"/>
      <c r="KAP550" s="120"/>
      <c r="KAQ550" s="120"/>
      <c r="KAR550" s="120"/>
      <c r="KAS550" s="120"/>
      <c r="KAT550" s="120"/>
      <c r="KAU550" s="120"/>
      <c r="KAV550" s="120"/>
      <c r="KAW550" s="120"/>
      <c r="KAX550" s="120"/>
      <c r="KAY550" s="120"/>
      <c r="KAZ550" s="120"/>
      <c r="KBA550" s="120"/>
      <c r="KBB550" s="120"/>
      <c r="KBC550" s="120"/>
      <c r="KBD550" s="120"/>
      <c r="KBE550" s="120"/>
      <c r="KBF550" s="120"/>
      <c r="KBG550" s="120"/>
      <c r="KBH550" s="120"/>
      <c r="KBI550" s="120"/>
      <c r="KBJ550" s="120"/>
      <c r="KBK550" s="120"/>
      <c r="KBL550" s="120"/>
      <c r="KBM550" s="120"/>
      <c r="KBN550" s="120"/>
      <c r="KBO550" s="120"/>
      <c r="KBP550" s="120"/>
      <c r="KBQ550" s="120"/>
      <c r="KBR550" s="120"/>
      <c r="KBS550" s="120"/>
      <c r="KBT550" s="120"/>
      <c r="KBU550" s="120"/>
      <c r="KBV550" s="120"/>
      <c r="KBW550" s="120"/>
      <c r="KBX550" s="120"/>
      <c r="KBY550" s="120"/>
      <c r="KBZ550" s="120"/>
      <c r="KCA550" s="120"/>
      <c r="KCB550" s="120"/>
      <c r="KCC550" s="120"/>
      <c r="KCD550" s="120"/>
      <c r="KCE550" s="120"/>
      <c r="KCF550" s="120"/>
      <c r="KCG550" s="120"/>
      <c r="KCH550" s="120"/>
      <c r="KCI550" s="120"/>
      <c r="KCJ550" s="120"/>
      <c r="KCK550" s="120"/>
      <c r="KCL550" s="120"/>
      <c r="KCM550" s="120"/>
      <c r="KCN550" s="120"/>
      <c r="KCO550" s="120"/>
      <c r="KCP550" s="120"/>
      <c r="KCQ550" s="120"/>
      <c r="KCR550" s="120"/>
      <c r="KCS550" s="120"/>
      <c r="KCT550" s="120"/>
      <c r="KCU550" s="120"/>
      <c r="KCV550" s="120"/>
      <c r="KCW550" s="120"/>
      <c r="KCX550" s="120"/>
      <c r="KCY550" s="120"/>
      <c r="KCZ550" s="120"/>
      <c r="KDA550" s="120"/>
      <c r="KDB550" s="120"/>
      <c r="KDC550" s="120"/>
      <c r="KDD550" s="120"/>
      <c r="KDE550" s="120"/>
      <c r="KDF550" s="120"/>
      <c r="KDG550" s="120"/>
      <c r="KDH550" s="120"/>
      <c r="KDI550" s="120"/>
      <c r="KDJ550" s="120"/>
      <c r="KDK550" s="120"/>
      <c r="KDL550" s="120"/>
      <c r="KDM550" s="120"/>
      <c r="KDN550" s="120"/>
      <c r="KDO550" s="120"/>
      <c r="KDP550" s="120"/>
      <c r="KDQ550" s="120"/>
      <c r="KDR550" s="120"/>
      <c r="KDS550" s="120"/>
      <c r="KDT550" s="120"/>
      <c r="KDU550" s="120"/>
      <c r="KDV550" s="120"/>
      <c r="KDW550" s="120"/>
      <c r="KDX550" s="120"/>
      <c r="KDY550" s="120"/>
      <c r="KDZ550" s="120"/>
      <c r="KEA550" s="120"/>
      <c r="KEB550" s="120"/>
      <c r="KEC550" s="120"/>
      <c r="KED550" s="120"/>
      <c r="KEE550" s="120"/>
      <c r="KEF550" s="120"/>
      <c r="KEG550" s="120"/>
      <c r="KEH550" s="120"/>
      <c r="KEI550" s="120"/>
      <c r="KEJ550" s="120"/>
      <c r="KEK550" s="120"/>
      <c r="KEL550" s="120"/>
      <c r="KEM550" s="120"/>
      <c r="KEN550" s="120"/>
      <c r="KEO550" s="120"/>
      <c r="KEP550" s="120"/>
      <c r="KEQ550" s="120"/>
      <c r="KER550" s="120"/>
      <c r="KES550" s="120"/>
      <c r="KET550" s="120"/>
      <c r="KEU550" s="120"/>
      <c r="KEV550" s="120"/>
      <c r="KEW550" s="120"/>
      <c r="KEX550" s="120"/>
      <c r="KEY550" s="120"/>
      <c r="KEZ550" s="120"/>
      <c r="KFA550" s="120"/>
      <c r="KFB550" s="120"/>
      <c r="KFC550" s="120"/>
      <c r="KFD550" s="120"/>
      <c r="KFE550" s="120"/>
      <c r="KFF550" s="120"/>
      <c r="KFG550" s="120"/>
      <c r="KFH550" s="120"/>
      <c r="KFI550" s="120"/>
      <c r="KFJ550" s="120"/>
      <c r="KFK550" s="120"/>
      <c r="KFL550" s="120"/>
      <c r="KFM550" s="120"/>
      <c r="KFN550" s="120"/>
      <c r="KFO550" s="120"/>
      <c r="KFP550" s="120"/>
      <c r="KFQ550" s="120"/>
      <c r="KFR550" s="120"/>
      <c r="KFS550" s="120"/>
      <c r="KFT550" s="120"/>
      <c r="KFU550" s="120"/>
      <c r="KFV550" s="120"/>
      <c r="KFW550" s="120"/>
      <c r="KFX550" s="120"/>
      <c r="KFY550" s="120"/>
      <c r="KFZ550" s="120"/>
      <c r="KGA550" s="120"/>
      <c r="KGB550" s="120"/>
      <c r="KGC550" s="120"/>
      <c r="KGD550" s="120"/>
      <c r="KGE550" s="120"/>
      <c r="KGF550" s="120"/>
      <c r="KGG550" s="120"/>
      <c r="KGH550" s="120"/>
      <c r="KGI550" s="120"/>
      <c r="KGJ550" s="120"/>
      <c r="KGK550" s="120"/>
      <c r="KGL550" s="120"/>
      <c r="KGM550" s="120"/>
      <c r="KGN550" s="120"/>
      <c r="KGO550" s="120"/>
      <c r="KGP550" s="120"/>
      <c r="KGQ550" s="120"/>
      <c r="KGR550" s="120"/>
      <c r="KGS550" s="120"/>
      <c r="KGT550" s="120"/>
      <c r="KGU550" s="120"/>
      <c r="KGV550" s="120"/>
      <c r="KGW550" s="120"/>
      <c r="KGX550" s="120"/>
      <c r="KGY550" s="120"/>
      <c r="KGZ550" s="120"/>
      <c r="KHA550" s="120"/>
      <c r="KHB550" s="120"/>
      <c r="KHC550" s="120"/>
      <c r="KHD550" s="120"/>
      <c r="KHE550" s="120"/>
      <c r="KHF550" s="120"/>
      <c r="KHG550" s="120"/>
      <c r="KHH550" s="120"/>
      <c r="KHI550" s="120"/>
      <c r="KHJ550" s="120"/>
      <c r="KHK550" s="120"/>
      <c r="KHL550" s="120"/>
      <c r="KHM550" s="120"/>
      <c r="KHN550" s="120"/>
      <c r="KHO550" s="120"/>
      <c r="KHP550" s="120"/>
      <c r="KHQ550" s="120"/>
      <c r="KHR550" s="120"/>
      <c r="KHS550" s="120"/>
      <c r="KHT550" s="120"/>
      <c r="KHU550" s="120"/>
      <c r="KHV550" s="120"/>
      <c r="KHW550" s="120"/>
      <c r="KHX550" s="120"/>
      <c r="KHY550" s="120"/>
      <c r="KHZ550" s="120"/>
      <c r="KIA550" s="120"/>
      <c r="KIB550" s="120"/>
      <c r="KIC550" s="120"/>
      <c r="KID550" s="120"/>
      <c r="KIE550" s="120"/>
      <c r="KIF550" s="120"/>
      <c r="KIG550" s="120"/>
      <c r="KIH550" s="120"/>
      <c r="KII550" s="120"/>
      <c r="KIJ550" s="120"/>
      <c r="KIK550" s="120"/>
      <c r="KIL550" s="120"/>
      <c r="KIM550" s="120"/>
      <c r="KIN550" s="120"/>
      <c r="KIO550" s="120"/>
      <c r="KIP550" s="120"/>
      <c r="KIQ550" s="120"/>
      <c r="KIR550" s="120"/>
      <c r="KIS550" s="120"/>
      <c r="KIT550" s="120"/>
      <c r="KIU550" s="120"/>
      <c r="KIV550" s="120"/>
      <c r="KIW550" s="120"/>
      <c r="KIX550" s="120"/>
      <c r="KIY550" s="120"/>
      <c r="KIZ550" s="120"/>
      <c r="KJA550" s="120"/>
      <c r="KJB550" s="120"/>
      <c r="KJC550" s="120"/>
      <c r="KJD550" s="120"/>
      <c r="KJE550" s="120"/>
      <c r="KJF550" s="120"/>
      <c r="KJG550" s="120"/>
      <c r="KJH550" s="120"/>
      <c r="KJI550" s="120"/>
      <c r="KJJ550" s="120"/>
      <c r="KJK550" s="120"/>
      <c r="KJL550" s="120"/>
      <c r="KJM550" s="120"/>
      <c r="KJN550" s="120"/>
      <c r="KJO550" s="120"/>
      <c r="KJP550" s="120"/>
      <c r="KJQ550" s="120"/>
      <c r="KJR550" s="120"/>
      <c r="KJS550" s="120"/>
      <c r="KJT550" s="120"/>
      <c r="KJU550" s="120"/>
      <c r="KJV550" s="120"/>
      <c r="KJW550" s="120"/>
      <c r="KJX550" s="120"/>
      <c r="KJY550" s="120"/>
      <c r="KJZ550" s="120"/>
      <c r="KKA550" s="120"/>
      <c r="KKB550" s="120"/>
      <c r="KKC550" s="120"/>
      <c r="KKD550" s="120"/>
      <c r="KKE550" s="120"/>
      <c r="KKF550" s="120"/>
      <c r="KKG550" s="120"/>
      <c r="KKH550" s="120"/>
      <c r="KKI550" s="120"/>
      <c r="KKJ550" s="120"/>
      <c r="KKK550" s="120"/>
      <c r="KKL550" s="120"/>
      <c r="KKM550" s="120"/>
      <c r="KKN550" s="120"/>
      <c r="KKO550" s="120"/>
      <c r="KKP550" s="120"/>
      <c r="KKQ550" s="120"/>
      <c r="KKR550" s="120"/>
      <c r="KKS550" s="120"/>
      <c r="KKT550" s="120"/>
      <c r="KKU550" s="120"/>
      <c r="KKV550" s="120"/>
      <c r="KKW550" s="120"/>
      <c r="KKX550" s="120"/>
      <c r="KKY550" s="120"/>
      <c r="KKZ550" s="120"/>
      <c r="KLA550" s="120"/>
      <c r="KLB550" s="120"/>
      <c r="KLC550" s="120"/>
      <c r="KLD550" s="120"/>
      <c r="KLE550" s="120"/>
      <c r="KLF550" s="120"/>
      <c r="KLG550" s="120"/>
      <c r="KLH550" s="120"/>
      <c r="KLI550" s="120"/>
      <c r="KLJ550" s="120"/>
      <c r="KLK550" s="120"/>
      <c r="KLL550" s="120"/>
      <c r="KLM550" s="120"/>
      <c r="KLN550" s="120"/>
      <c r="KLO550" s="120"/>
      <c r="KLP550" s="120"/>
      <c r="KLQ550" s="120"/>
      <c r="KLR550" s="120"/>
      <c r="KLS550" s="120"/>
      <c r="KLT550" s="120"/>
      <c r="KLU550" s="120"/>
      <c r="KLV550" s="120"/>
      <c r="KLW550" s="120"/>
      <c r="KLX550" s="120"/>
      <c r="KLY550" s="120"/>
      <c r="KLZ550" s="120"/>
      <c r="KMA550" s="120"/>
      <c r="KMB550" s="120"/>
      <c r="KMC550" s="120"/>
      <c r="KMD550" s="120"/>
      <c r="KME550" s="120"/>
      <c r="KMF550" s="120"/>
      <c r="KMG550" s="120"/>
      <c r="KMH550" s="120"/>
      <c r="KMI550" s="120"/>
      <c r="KMJ550" s="120"/>
      <c r="KMK550" s="120"/>
      <c r="KML550" s="120"/>
      <c r="KMM550" s="120"/>
      <c r="KMN550" s="120"/>
      <c r="KMO550" s="120"/>
      <c r="KMP550" s="120"/>
      <c r="KMQ550" s="120"/>
      <c r="KMR550" s="120"/>
      <c r="KMS550" s="120"/>
      <c r="KMT550" s="120"/>
      <c r="KMU550" s="120"/>
      <c r="KMV550" s="120"/>
      <c r="KMW550" s="120"/>
      <c r="KMX550" s="120"/>
      <c r="KMY550" s="120"/>
      <c r="KMZ550" s="120"/>
      <c r="KNA550" s="120"/>
      <c r="KNB550" s="120"/>
      <c r="KNC550" s="120"/>
      <c r="KND550" s="120"/>
      <c r="KNE550" s="120"/>
      <c r="KNF550" s="120"/>
      <c r="KNG550" s="120"/>
      <c r="KNH550" s="120"/>
      <c r="KNI550" s="120"/>
      <c r="KNJ550" s="120"/>
      <c r="KNK550" s="120"/>
      <c r="KNL550" s="120"/>
      <c r="KNM550" s="120"/>
      <c r="KNN550" s="120"/>
      <c r="KNO550" s="120"/>
      <c r="KNP550" s="120"/>
      <c r="KNQ550" s="120"/>
      <c r="KNR550" s="120"/>
      <c r="KNS550" s="120"/>
      <c r="KNT550" s="120"/>
      <c r="KNU550" s="120"/>
      <c r="KNV550" s="120"/>
      <c r="KNW550" s="120"/>
      <c r="KNX550" s="120"/>
      <c r="KNY550" s="120"/>
      <c r="KNZ550" s="120"/>
      <c r="KOA550" s="120"/>
      <c r="KOB550" s="120"/>
      <c r="KOC550" s="120"/>
      <c r="KOD550" s="120"/>
      <c r="KOE550" s="120"/>
      <c r="KOF550" s="120"/>
      <c r="KOG550" s="120"/>
      <c r="KOH550" s="120"/>
      <c r="KOI550" s="120"/>
      <c r="KOJ550" s="120"/>
      <c r="KOK550" s="120"/>
      <c r="KOL550" s="120"/>
      <c r="KOM550" s="120"/>
      <c r="KON550" s="120"/>
      <c r="KOO550" s="120"/>
      <c r="KOP550" s="120"/>
      <c r="KOQ550" s="120"/>
      <c r="KOR550" s="120"/>
      <c r="KOS550" s="120"/>
      <c r="KOT550" s="120"/>
      <c r="KOU550" s="120"/>
      <c r="KOV550" s="120"/>
      <c r="KOW550" s="120"/>
      <c r="KOX550" s="120"/>
      <c r="KOY550" s="120"/>
      <c r="KOZ550" s="120"/>
      <c r="KPA550" s="120"/>
      <c r="KPB550" s="120"/>
      <c r="KPC550" s="120"/>
      <c r="KPD550" s="120"/>
      <c r="KPE550" s="120"/>
      <c r="KPF550" s="120"/>
      <c r="KPG550" s="120"/>
      <c r="KPH550" s="120"/>
      <c r="KPI550" s="120"/>
      <c r="KPJ550" s="120"/>
      <c r="KPK550" s="120"/>
      <c r="KPL550" s="120"/>
      <c r="KPM550" s="120"/>
      <c r="KPN550" s="120"/>
      <c r="KPO550" s="120"/>
      <c r="KPP550" s="120"/>
      <c r="KPQ550" s="120"/>
      <c r="KPR550" s="120"/>
      <c r="KPS550" s="120"/>
      <c r="KPT550" s="120"/>
      <c r="KPU550" s="120"/>
      <c r="KPV550" s="120"/>
      <c r="KPW550" s="120"/>
      <c r="KPX550" s="120"/>
      <c r="KPY550" s="120"/>
      <c r="KPZ550" s="120"/>
      <c r="KQA550" s="120"/>
      <c r="KQB550" s="120"/>
      <c r="KQC550" s="120"/>
      <c r="KQD550" s="120"/>
      <c r="KQE550" s="120"/>
      <c r="KQF550" s="120"/>
      <c r="KQG550" s="120"/>
      <c r="KQH550" s="120"/>
      <c r="KQI550" s="120"/>
      <c r="KQJ550" s="120"/>
      <c r="KQK550" s="120"/>
      <c r="KQL550" s="120"/>
      <c r="KQM550" s="120"/>
      <c r="KQN550" s="120"/>
      <c r="KQO550" s="120"/>
      <c r="KQP550" s="120"/>
      <c r="KQQ550" s="120"/>
      <c r="KQR550" s="120"/>
      <c r="KQS550" s="120"/>
      <c r="KQT550" s="120"/>
      <c r="KQU550" s="120"/>
      <c r="KQV550" s="120"/>
      <c r="KQW550" s="120"/>
      <c r="KQX550" s="120"/>
      <c r="KQY550" s="120"/>
      <c r="KQZ550" s="120"/>
      <c r="KRA550" s="120"/>
      <c r="KRB550" s="120"/>
      <c r="KRC550" s="120"/>
      <c r="KRD550" s="120"/>
      <c r="KRE550" s="120"/>
      <c r="KRF550" s="120"/>
      <c r="KRG550" s="120"/>
      <c r="KRH550" s="120"/>
      <c r="KRI550" s="120"/>
      <c r="KRJ550" s="120"/>
      <c r="KRK550" s="120"/>
      <c r="KRL550" s="120"/>
      <c r="KRM550" s="120"/>
      <c r="KRN550" s="120"/>
      <c r="KRO550" s="120"/>
      <c r="KRP550" s="120"/>
      <c r="KRQ550" s="120"/>
      <c r="KRR550" s="120"/>
      <c r="KRS550" s="120"/>
      <c r="KRT550" s="120"/>
      <c r="KRU550" s="120"/>
      <c r="KRV550" s="120"/>
      <c r="KRW550" s="120"/>
      <c r="KRX550" s="120"/>
      <c r="KRY550" s="120"/>
      <c r="KRZ550" s="120"/>
      <c r="KSA550" s="120"/>
      <c r="KSB550" s="120"/>
      <c r="KSC550" s="120"/>
      <c r="KSD550" s="120"/>
      <c r="KSE550" s="120"/>
      <c r="KSF550" s="120"/>
      <c r="KSG550" s="120"/>
      <c r="KSH550" s="120"/>
      <c r="KSI550" s="120"/>
      <c r="KSJ550" s="120"/>
      <c r="KSK550" s="120"/>
      <c r="KSL550" s="120"/>
      <c r="KSM550" s="120"/>
      <c r="KSN550" s="120"/>
      <c r="KSO550" s="120"/>
      <c r="KSP550" s="120"/>
      <c r="KSQ550" s="120"/>
      <c r="KSR550" s="120"/>
      <c r="KSS550" s="120"/>
      <c r="KST550" s="120"/>
      <c r="KSU550" s="120"/>
      <c r="KSV550" s="120"/>
      <c r="KSW550" s="120"/>
      <c r="KSX550" s="120"/>
      <c r="KSY550" s="120"/>
      <c r="KSZ550" s="120"/>
      <c r="KTA550" s="120"/>
      <c r="KTB550" s="120"/>
      <c r="KTC550" s="120"/>
      <c r="KTD550" s="120"/>
      <c r="KTE550" s="120"/>
      <c r="KTF550" s="120"/>
      <c r="KTG550" s="120"/>
      <c r="KTH550" s="120"/>
      <c r="KTI550" s="120"/>
      <c r="KTJ550" s="120"/>
      <c r="KTK550" s="120"/>
      <c r="KTL550" s="120"/>
      <c r="KTM550" s="120"/>
      <c r="KTN550" s="120"/>
      <c r="KTO550" s="120"/>
      <c r="KTP550" s="120"/>
      <c r="KTQ550" s="120"/>
      <c r="KTR550" s="120"/>
      <c r="KTS550" s="120"/>
      <c r="KTT550" s="120"/>
      <c r="KTU550" s="120"/>
      <c r="KTV550" s="120"/>
      <c r="KTW550" s="120"/>
      <c r="KTX550" s="120"/>
      <c r="KTY550" s="120"/>
      <c r="KTZ550" s="120"/>
      <c r="KUA550" s="120"/>
      <c r="KUB550" s="120"/>
      <c r="KUC550" s="120"/>
      <c r="KUD550" s="120"/>
      <c r="KUE550" s="120"/>
      <c r="KUF550" s="120"/>
      <c r="KUG550" s="120"/>
      <c r="KUH550" s="120"/>
      <c r="KUI550" s="120"/>
      <c r="KUJ550" s="120"/>
      <c r="KUK550" s="120"/>
      <c r="KUL550" s="120"/>
      <c r="KUM550" s="120"/>
      <c r="KUN550" s="120"/>
      <c r="KUO550" s="120"/>
      <c r="KUP550" s="120"/>
      <c r="KUQ550" s="120"/>
      <c r="KUR550" s="120"/>
      <c r="KUS550" s="120"/>
      <c r="KUT550" s="120"/>
      <c r="KUU550" s="120"/>
      <c r="KUV550" s="120"/>
      <c r="KUW550" s="120"/>
      <c r="KUX550" s="120"/>
      <c r="KUY550" s="120"/>
      <c r="KUZ550" s="120"/>
      <c r="KVA550" s="120"/>
      <c r="KVB550" s="120"/>
      <c r="KVC550" s="120"/>
      <c r="KVD550" s="120"/>
      <c r="KVE550" s="120"/>
      <c r="KVF550" s="120"/>
      <c r="KVG550" s="120"/>
      <c r="KVH550" s="120"/>
      <c r="KVI550" s="120"/>
      <c r="KVJ550" s="120"/>
      <c r="KVK550" s="120"/>
      <c r="KVL550" s="120"/>
      <c r="KVM550" s="120"/>
      <c r="KVN550" s="120"/>
      <c r="KVO550" s="120"/>
      <c r="KVP550" s="120"/>
      <c r="KVQ550" s="120"/>
      <c r="KVR550" s="120"/>
      <c r="KVS550" s="120"/>
      <c r="KVT550" s="120"/>
      <c r="KVU550" s="120"/>
      <c r="KVV550" s="120"/>
      <c r="KVW550" s="120"/>
      <c r="KVX550" s="120"/>
      <c r="KVY550" s="120"/>
      <c r="KVZ550" s="120"/>
      <c r="KWA550" s="120"/>
      <c r="KWB550" s="120"/>
      <c r="KWC550" s="120"/>
      <c r="KWD550" s="120"/>
      <c r="KWE550" s="120"/>
      <c r="KWF550" s="120"/>
      <c r="KWG550" s="120"/>
      <c r="KWH550" s="120"/>
      <c r="KWI550" s="120"/>
      <c r="KWJ550" s="120"/>
      <c r="KWK550" s="120"/>
      <c r="KWL550" s="120"/>
      <c r="KWM550" s="120"/>
      <c r="KWN550" s="120"/>
      <c r="KWO550" s="120"/>
      <c r="KWP550" s="120"/>
      <c r="KWQ550" s="120"/>
      <c r="KWR550" s="120"/>
      <c r="KWS550" s="120"/>
      <c r="KWT550" s="120"/>
      <c r="KWU550" s="120"/>
      <c r="KWV550" s="120"/>
      <c r="KWW550" s="120"/>
      <c r="KWX550" s="120"/>
      <c r="KWY550" s="120"/>
      <c r="KWZ550" s="120"/>
      <c r="KXA550" s="120"/>
      <c r="KXB550" s="120"/>
      <c r="KXC550" s="120"/>
      <c r="KXD550" s="120"/>
      <c r="KXE550" s="120"/>
      <c r="KXF550" s="120"/>
      <c r="KXG550" s="120"/>
      <c r="KXH550" s="120"/>
      <c r="KXI550" s="120"/>
      <c r="KXJ550" s="120"/>
      <c r="KXK550" s="120"/>
      <c r="KXL550" s="120"/>
      <c r="KXM550" s="120"/>
      <c r="KXN550" s="120"/>
      <c r="KXO550" s="120"/>
      <c r="KXP550" s="120"/>
      <c r="KXQ550" s="120"/>
      <c r="KXR550" s="120"/>
      <c r="KXS550" s="120"/>
      <c r="KXT550" s="120"/>
      <c r="KXU550" s="120"/>
      <c r="KXV550" s="120"/>
      <c r="KXW550" s="120"/>
      <c r="KXX550" s="120"/>
      <c r="KXY550" s="120"/>
      <c r="KXZ550" s="120"/>
      <c r="KYA550" s="120"/>
      <c r="KYB550" s="120"/>
      <c r="KYC550" s="120"/>
      <c r="KYD550" s="120"/>
      <c r="KYE550" s="120"/>
      <c r="KYF550" s="120"/>
      <c r="KYG550" s="120"/>
      <c r="KYH550" s="120"/>
      <c r="KYI550" s="120"/>
      <c r="KYJ550" s="120"/>
      <c r="KYK550" s="120"/>
      <c r="KYL550" s="120"/>
      <c r="KYM550" s="120"/>
      <c r="KYN550" s="120"/>
      <c r="KYO550" s="120"/>
      <c r="KYP550" s="120"/>
      <c r="KYQ550" s="120"/>
      <c r="KYR550" s="120"/>
      <c r="KYS550" s="120"/>
      <c r="KYT550" s="120"/>
      <c r="KYU550" s="120"/>
      <c r="KYV550" s="120"/>
      <c r="KYW550" s="120"/>
      <c r="KYX550" s="120"/>
      <c r="KYY550" s="120"/>
      <c r="KYZ550" s="120"/>
      <c r="KZA550" s="120"/>
      <c r="KZB550" s="120"/>
      <c r="KZC550" s="120"/>
      <c r="KZD550" s="120"/>
      <c r="KZE550" s="120"/>
      <c r="KZF550" s="120"/>
      <c r="KZG550" s="120"/>
      <c r="KZH550" s="120"/>
      <c r="KZI550" s="120"/>
      <c r="KZJ550" s="120"/>
      <c r="KZK550" s="120"/>
      <c r="KZL550" s="120"/>
      <c r="KZM550" s="120"/>
      <c r="KZN550" s="120"/>
      <c r="KZO550" s="120"/>
      <c r="KZP550" s="120"/>
      <c r="KZQ550" s="120"/>
      <c r="KZR550" s="120"/>
      <c r="KZS550" s="120"/>
      <c r="KZT550" s="120"/>
      <c r="KZU550" s="120"/>
      <c r="KZV550" s="120"/>
      <c r="KZW550" s="120"/>
      <c r="KZX550" s="120"/>
      <c r="KZY550" s="120"/>
      <c r="KZZ550" s="120"/>
      <c r="LAA550" s="120"/>
      <c r="LAB550" s="120"/>
      <c r="LAC550" s="120"/>
      <c r="LAD550" s="120"/>
      <c r="LAE550" s="120"/>
      <c r="LAF550" s="120"/>
      <c r="LAG550" s="120"/>
      <c r="LAH550" s="120"/>
      <c r="LAI550" s="120"/>
      <c r="LAJ550" s="120"/>
      <c r="LAK550" s="120"/>
      <c r="LAL550" s="120"/>
      <c r="LAM550" s="120"/>
      <c r="LAN550" s="120"/>
      <c r="LAO550" s="120"/>
      <c r="LAP550" s="120"/>
      <c r="LAQ550" s="120"/>
      <c r="LAR550" s="120"/>
      <c r="LAS550" s="120"/>
      <c r="LAT550" s="120"/>
      <c r="LAU550" s="120"/>
      <c r="LAV550" s="120"/>
      <c r="LAW550" s="120"/>
      <c r="LAX550" s="120"/>
      <c r="LAY550" s="120"/>
      <c r="LAZ550" s="120"/>
      <c r="LBA550" s="120"/>
      <c r="LBB550" s="120"/>
      <c r="LBC550" s="120"/>
      <c r="LBD550" s="120"/>
      <c r="LBE550" s="120"/>
      <c r="LBF550" s="120"/>
      <c r="LBG550" s="120"/>
      <c r="LBH550" s="120"/>
      <c r="LBI550" s="120"/>
      <c r="LBJ550" s="120"/>
      <c r="LBK550" s="120"/>
      <c r="LBL550" s="120"/>
      <c r="LBM550" s="120"/>
      <c r="LBN550" s="120"/>
      <c r="LBO550" s="120"/>
      <c r="LBP550" s="120"/>
      <c r="LBQ550" s="120"/>
      <c r="LBR550" s="120"/>
      <c r="LBS550" s="120"/>
      <c r="LBT550" s="120"/>
      <c r="LBU550" s="120"/>
      <c r="LBV550" s="120"/>
      <c r="LBW550" s="120"/>
      <c r="LBX550" s="120"/>
      <c r="LBY550" s="120"/>
      <c r="LBZ550" s="120"/>
      <c r="LCA550" s="120"/>
      <c r="LCB550" s="120"/>
      <c r="LCC550" s="120"/>
      <c r="LCD550" s="120"/>
      <c r="LCE550" s="120"/>
      <c r="LCF550" s="120"/>
      <c r="LCG550" s="120"/>
      <c r="LCH550" s="120"/>
      <c r="LCI550" s="120"/>
      <c r="LCJ550" s="120"/>
      <c r="LCK550" s="120"/>
      <c r="LCL550" s="120"/>
      <c r="LCM550" s="120"/>
      <c r="LCN550" s="120"/>
      <c r="LCO550" s="120"/>
      <c r="LCP550" s="120"/>
      <c r="LCQ550" s="120"/>
      <c r="LCR550" s="120"/>
      <c r="LCS550" s="120"/>
      <c r="LCT550" s="120"/>
      <c r="LCU550" s="120"/>
      <c r="LCV550" s="120"/>
      <c r="LCW550" s="120"/>
      <c r="LCX550" s="120"/>
      <c r="LCY550" s="120"/>
      <c r="LCZ550" s="120"/>
      <c r="LDA550" s="120"/>
      <c r="LDB550" s="120"/>
      <c r="LDC550" s="120"/>
      <c r="LDD550" s="120"/>
      <c r="LDE550" s="120"/>
      <c r="LDF550" s="120"/>
      <c r="LDG550" s="120"/>
      <c r="LDH550" s="120"/>
      <c r="LDI550" s="120"/>
      <c r="LDJ550" s="120"/>
      <c r="LDK550" s="120"/>
      <c r="LDL550" s="120"/>
      <c r="LDM550" s="120"/>
      <c r="LDN550" s="120"/>
      <c r="LDO550" s="120"/>
      <c r="LDP550" s="120"/>
      <c r="LDQ550" s="120"/>
      <c r="LDR550" s="120"/>
      <c r="LDS550" s="120"/>
      <c r="LDT550" s="120"/>
      <c r="LDU550" s="120"/>
      <c r="LDV550" s="120"/>
      <c r="LDW550" s="120"/>
      <c r="LDX550" s="120"/>
      <c r="LDY550" s="120"/>
      <c r="LDZ550" s="120"/>
      <c r="LEA550" s="120"/>
      <c r="LEB550" s="120"/>
      <c r="LEC550" s="120"/>
      <c r="LED550" s="120"/>
      <c r="LEE550" s="120"/>
      <c r="LEF550" s="120"/>
      <c r="LEG550" s="120"/>
      <c r="LEH550" s="120"/>
      <c r="LEI550" s="120"/>
      <c r="LEJ550" s="120"/>
      <c r="LEK550" s="120"/>
      <c r="LEL550" s="120"/>
      <c r="LEM550" s="120"/>
      <c r="LEN550" s="120"/>
      <c r="LEO550" s="120"/>
      <c r="LEP550" s="120"/>
      <c r="LEQ550" s="120"/>
      <c r="LER550" s="120"/>
      <c r="LES550" s="120"/>
      <c r="LET550" s="120"/>
      <c r="LEU550" s="120"/>
      <c r="LEV550" s="120"/>
      <c r="LEW550" s="120"/>
      <c r="LEX550" s="120"/>
      <c r="LEY550" s="120"/>
      <c r="LEZ550" s="120"/>
      <c r="LFA550" s="120"/>
      <c r="LFB550" s="120"/>
      <c r="LFC550" s="120"/>
      <c r="LFD550" s="120"/>
      <c r="LFE550" s="120"/>
      <c r="LFF550" s="120"/>
      <c r="LFG550" s="120"/>
      <c r="LFH550" s="120"/>
      <c r="LFI550" s="120"/>
      <c r="LFJ550" s="120"/>
      <c r="LFK550" s="120"/>
      <c r="LFL550" s="120"/>
      <c r="LFM550" s="120"/>
      <c r="LFN550" s="120"/>
      <c r="LFO550" s="120"/>
      <c r="LFP550" s="120"/>
      <c r="LFQ550" s="120"/>
      <c r="LFR550" s="120"/>
      <c r="LFS550" s="120"/>
      <c r="LFT550" s="120"/>
      <c r="LFU550" s="120"/>
      <c r="LFV550" s="120"/>
      <c r="LFW550" s="120"/>
      <c r="LFX550" s="120"/>
      <c r="LFY550" s="120"/>
      <c r="LFZ550" s="120"/>
      <c r="LGA550" s="120"/>
      <c r="LGB550" s="120"/>
      <c r="LGC550" s="120"/>
      <c r="LGD550" s="120"/>
      <c r="LGE550" s="120"/>
      <c r="LGF550" s="120"/>
      <c r="LGG550" s="120"/>
      <c r="LGH550" s="120"/>
      <c r="LGI550" s="120"/>
      <c r="LGJ550" s="120"/>
      <c r="LGK550" s="120"/>
      <c r="LGL550" s="120"/>
      <c r="LGM550" s="120"/>
      <c r="LGN550" s="120"/>
      <c r="LGO550" s="120"/>
      <c r="LGP550" s="120"/>
      <c r="LGQ550" s="120"/>
      <c r="LGR550" s="120"/>
      <c r="LGS550" s="120"/>
      <c r="LGT550" s="120"/>
      <c r="LGU550" s="120"/>
      <c r="LGV550" s="120"/>
      <c r="LGW550" s="120"/>
      <c r="LGX550" s="120"/>
      <c r="LGY550" s="120"/>
      <c r="LGZ550" s="120"/>
      <c r="LHA550" s="120"/>
      <c r="LHB550" s="120"/>
      <c r="LHC550" s="120"/>
      <c r="LHD550" s="120"/>
      <c r="LHE550" s="120"/>
      <c r="LHF550" s="120"/>
      <c r="LHG550" s="120"/>
      <c r="LHH550" s="120"/>
      <c r="LHI550" s="120"/>
      <c r="LHJ550" s="120"/>
      <c r="LHK550" s="120"/>
      <c r="LHL550" s="120"/>
      <c r="LHM550" s="120"/>
      <c r="LHN550" s="120"/>
      <c r="LHO550" s="120"/>
      <c r="LHP550" s="120"/>
      <c r="LHQ550" s="120"/>
      <c r="LHR550" s="120"/>
      <c r="LHS550" s="120"/>
      <c r="LHT550" s="120"/>
      <c r="LHU550" s="120"/>
      <c r="LHV550" s="120"/>
      <c r="LHW550" s="120"/>
      <c r="LHX550" s="120"/>
      <c r="LHY550" s="120"/>
      <c r="LHZ550" s="120"/>
      <c r="LIA550" s="120"/>
      <c r="LIB550" s="120"/>
      <c r="LIC550" s="120"/>
      <c r="LID550" s="120"/>
      <c r="LIE550" s="120"/>
      <c r="LIF550" s="120"/>
      <c r="LIG550" s="120"/>
      <c r="LIH550" s="120"/>
      <c r="LII550" s="120"/>
      <c r="LIJ550" s="120"/>
      <c r="LIK550" s="120"/>
      <c r="LIL550" s="120"/>
      <c r="LIM550" s="120"/>
      <c r="LIN550" s="120"/>
      <c r="LIO550" s="120"/>
      <c r="LIP550" s="120"/>
      <c r="LIQ550" s="120"/>
      <c r="LIR550" s="120"/>
      <c r="LIS550" s="120"/>
      <c r="LIT550" s="120"/>
      <c r="LIU550" s="120"/>
      <c r="LIV550" s="120"/>
      <c r="LIW550" s="120"/>
      <c r="LIX550" s="120"/>
      <c r="LIY550" s="120"/>
      <c r="LIZ550" s="120"/>
      <c r="LJA550" s="120"/>
      <c r="LJB550" s="120"/>
      <c r="LJC550" s="120"/>
      <c r="LJD550" s="120"/>
      <c r="LJE550" s="120"/>
      <c r="LJF550" s="120"/>
      <c r="LJG550" s="120"/>
      <c r="LJH550" s="120"/>
      <c r="LJI550" s="120"/>
      <c r="LJJ550" s="120"/>
      <c r="LJK550" s="120"/>
      <c r="LJL550" s="120"/>
      <c r="LJM550" s="120"/>
      <c r="LJN550" s="120"/>
      <c r="LJO550" s="120"/>
      <c r="LJP550" s="120"/>
      <c r="LJQ550" s="120"/>
      <c r="LJR550" s="120"/>
      <c r="LJS550" s="120"/>
      <c r="LJT550" s="120"/>
      <c r="LJU550" s="120"/>
      <c r="LJV550" s="120"/>
      <c r="LJW550" s="120"/>
      <c r="LJX550" s="120"/>
      <c r="LJY550" s="120"/>
      <c r="LJZ550" s="120"/>
      <c r="LKA550" s="120"/>
      <c r="LKB550" s="120"/>
      <c r="LKC550" s="120"/>
      <c r="LKD550" s="120"/>
      <c r="LKE550" s="120"/>
      <c r="LKF550" s="120"/>
      <c r="LKG550" s="120"/>
      <c r="LKH550" s="120"/>
      <c r="LKI550" s="120"/>
      <c r="LKJ550" s="120"/>
      <c r="LKK550" s="120"/>
      <c r="LKL550" s="120"/>
      <c r="LKM550" s="120"/>
      <c r="LKN550" s="120"/>
      <c r="LKO550" s="120"/>
      <c r="LKP550" s="120"/>
      <c r="LKQ550" s="120"/>
      <c r="LKR550" s="120"/>
      <c r="LKS550" s="120"/>
      <c r="LKT550" s="120"/>
      <c r="LKU550" s="120"/>
      <c r="LKV550" s="120"/>
      <c r="LKW550" s="120"/>
      <c r="LKX550" s="120"/>
      <c r="LKY550" s="120"/>
      <c r="LKZ550" s="120"/>
      <c r="LLA550" s="120"/>
      <c r="LLB550" s="120"/>
      <c r="LLC550" s="120"/>
      <c r="LLD550" s="120"/>
      <c r="LLE550" s="120"/>
      <c r="LLF550" s="120"/>
      <c r="LLG550" s="120"/>
      <c r="LLH550" s="120"/>
      <c r="LLI550" s="120"/>
      <c r="LLJ550" s="120"/>
      <c r="LLK550" s="120"/>
      <c r="LLL550" s="120"/>
      <c r="LLM550" s="120"/>
      <c r="LLN550" s="120"/>
      <c r="LLO550" s="120"/>
      <c r="LLP550" s="120"/>
      <c r="LLQ550" s="120"/>
      <c r="LLR550" s="120"/>
      <c r="LLS550" s="120"/>
      <c r="LLT550" s="120"/>
      <c r="LLU550" s="120"/>
      <c r="LLV550" s="120"/>
      <c r="LLW550" s="120"/>
      <c r="LLX550" s="120"/>
      <c r="LLY550" s="120"/>
      <c r="LLZ550" s="120"/>
      <c r="LMA550" s="120"/>
      <c r="LMB550" s="120"/>
      <c r="LMC550" s="120"/>
      <c r="LMD550" s="120"/>
      <c r="LME550" s="120"/>
      <c r="LMF550" s="120"/>
      <c r="LMG550" s="120"/>
      <c r="LMH550" s="120"/>
      <c r="LMI550" s="120"/>
      <c r="LMJ550" s="120"/>
      <c r="LMK550" s="120"/>
      <c r="LML550" s="120"/>
      <c r="LMM550" s="120"/>
      <c r="LMN550" s="120"/>
      <c r="LMO550" s="120"/>
      <c r="LMP550" s="120"/>
      <c r="LMQ550" s="120"/>
      <c r="LMR550" s="120"/>
      <c r="LMS550" s="120"/>
      <c r="LMT550" s="120"/>
      <c r="LMU550" s="120"/>
      <c r="LMV550" s="120"/>
      <c r="LMW550" s="120"/>
      <c r="LMX550" s="120"/>
      <c r="LMY550" s="120"/>
      <c r="LMZ550" s="120"/>
      <c r="LNA550" s="120"/>
      <c r="LNB550" s="120"/>
      <c r="LNC550" s="120"/>
      <c r="LND550" s="120"/>
      <c r="LNE550" s="120"/>
      <c r="LNF550" s="120"/>
      <c r="LNG550" s="120"/>
      <c r="LNH550" s="120"/>
      <c r="LNI550" s="120"/>
      <c r="LNJ550" s="120"/>
      <c r="LNK550" s="120"/>
      <c r="LNL550" s="120"/>
      <c r="LNM550" s="120"/>
      <c r="LNN550" s="120"/>
      <c r="LNO550" s="120"/>
      <c r="LNP550" s="120"/>
      <c r="LNQ550" s="120"/>
      <c r="LNR550" s="120"/>
      <c r="LNS550" s="120"/>
      <c r="LNT550" s="120"/>
      <c r="LNU550" s="120"/>
      <c r="LNV550" s="120"/>
      <c r="LNW550" s="120"/>
      <c r="LNX550" s="120"/>
      <c r="LNY550" s="120"/>
      <c r="LNZ550" s="120"/>
      <c r="LOA550" s="120"/>
      <c r="LOB550" s="120"/>
      <c r="LOC550" s="120"/>
      <c r="LOD550" s="120"/>
      <c r="LOE550" s="120"/>
      <c r="LOF550" s="120"/>
      <c r="LOG550" s="120"/>
      <c r="LOH550" s="120"/>
      <c r="LOI550" s="120"/>
      <c r="LOJ550" s="120"/>
      <c r="LOK550" s="120"/>
      <c r="LOL550" s="120"/>
      <c r="LOM550" s="120"/>
      <c r="LON550" s="120"/>
      <c r="LOO550" s="120"/>
      <c r="LOP550" s="120"/>
      <c r="LOQ550" s="120"/>
      <c r="LOR550" s="120"/>
      <c r="LOS550" s="120"/>
      <c r="LOT550" s="120"/>
      <c r="LOU550" s="120"/>
      <c r="LOV550" s="120"/>
      <c r="LOW550" s="120"/>
      <c r="LOX550" s="120"/>
      <c r="LOY550" s="120"/>
      <c r="LOZ550" s="120"/>
      <c r="LPA550" s="120"/>
      <c r="LPB550" s="120"/>
      <c r="LPC550" s="120"/>
      <c r="LPD550" s="120"/>
      <c r="LPE550" s="120"/>
      <c r="LPF550" s="120"/>
      <c r="LPG550" s="120"/>
      <c r="LPH550" s="120"/>
      <c r="LPI550" s="120"/>
      <c r="LPJ550" s="120"/>
      <c r="LPK550" s="120"/>
      <c r="LPL550" s="120"/>
      <c r="LPM550" s="120"/>
      <c r="LPN550" s="120"/>
      <c r="LPO550" s="120"/>
      <c r="LPP550" s="120"/>
      <c r="LPQ550" s="120"/>
      <c r="LPR550" s="120"/>
      <c r="LPS550" s="120"/>
      <c r="LPT550" s="120"/>
      <c r="LPU550" s="120"/>
      <c r="LPV550" s="120"/>
      <c r="LPW550" s="120"/>
      <c r="LPX550" s="120"/>
      <c r="LPY550" s="120"/>
      <c r="LPZ550" s="120"/>
      <c r="LQA550" s="120"/>
      <c r="LQB550" s="120"/>
      <c r="LQC550" s="120"/>
      <c r="LQD550" s="120"/>
      <c r="LQE550" s="120"/>
      <c r="LQF550" s="120"/>
      <c r="LQG550" s="120"/>
      <c r="LQH550" s="120"/>
      <c r="LQI550" s="120"/>
      <c r="LQJ550" s="120"/>
      <c r="LQK550" s="120"/>
      <c r="LQL550" s="120"/>
      <c r="LQM550" s="120"/>
      <c r="LQN550" s="120"/>
      <c r="LQO550" s="120"/>
      <c r="LQP550" s="120"/>
      <c r="LQQ550" s="120"/>
      <c r="LQR550" s="120"/>
      <c r="LQS550" s="120"/>
      <c r="LQT550" s="120"/>
      <c r="LQU550" s="120"/>
      <c r="LQV550" s="120"/>
      <c r="LQW550" s="120"/>
      <c r="LQX550" s="120"/>
      <c r="LQY550" s="120"/>
      <c r="LQZ550" s="120"/>
      <c r="LRA550" s="120"/>
      <c r="LRB550" s="120"/>
      <c r="LRC550" s="120"/>
      <c r="LRD550" s="120"/>
      <c r="LRE550" s="120"/>
      <c r="LRF550" s="120"/>
      <c r="LRG550" s="120"/>
      <c r="LRH550" s="120"/>
      <c r="LRI550" s="120"/>
      <c r="LRJ550" s="120"/>
      <c r="LRK550" s="120"/>
      <c r="LRL550" s="120"/>
      <c r="LRM550" s="120"/>
      <c r="LRN550" s="120"/>
      <c r="LRO550" s="120"/>
      <c r="LRP550" s="120"/>
      <c r="LRQ550" s="120"/>
      <c r="LRR550" s="120"/>
      <c r="LRS550" s="120"/>
      <c r="LRT550" s="120"/>
      <c r="LRU550" s="120"/>
      <c r="LRV550" s="120"/>
      <c r="LRW550" s="120"/>
      <c r="LRX550" s="120"/>
      <c r="LRY550" s="120"/>
      <c r="LRZ550" s="120"/>
      <c r="LSA550" s="120"/>
      <c r="LSB550" s="120"/>
      <c r="LSC550" s="120"/>
      <c r="LSD550" s="120"/>
      <c r="LSE550" s="120"/>
      <c r="LSF550" s="120"/>
      <c r="LSG550" s="120"/>
      <c r="LSH550" s="120"/>
      <c r="LSI550" s="120"/>
      <c r="LSJ550" s="120"/>
      <c r="LSK550" s="120"/>
      <c r="LSL550" s="120"/>
      <c r="LSM550" s="120"/>
      <c r="LSN550" s="120"/>
      <c r="LSO550" s="120"/>
      <c r="LSP550" s="120"/>
      <c r="LSQ550" s="120"/>
      <c r="LSR550" s="120"/>
      <c r="LSS550" s="120"/>
      <c r="LST550" s="120"/>
      <c r="LSU550" s="120"/>
      <c r="LSV550" s="120"/>
      <c r="LSW550" s="120"/>
      <c r="LSX550" s="120"/>
      <c r="LSY550" s="120"/>
      <c r="LSZ550" s="120"/>
      <c r="LTA550" s="120"/>
      <c r="LTB550" s="120"/>
      <c r="LTC550" s="120"/>
      <c r="LTD550" s="120"/>
      <c r="LTE550" s="120"/>
      <c r="LTF550" s="120"/>
      <c r="LTG550" s="120"/>
      <c r="LTH550" s="120"/>
      <c r="LTI550" s="120"/>
      <c r="LTJ550" s="120"/>
      <c r="LTK550" s="120"/>
      <c r="LTL550" s="120"/>
      <c r="LTM550" s="120"/>
      <c r="LTN550" s="120"/>
      <c r="LTO550" s="120"/>
      <c r="LTP550" s="120"/>
      <c r="LTQ550" s="120"/>
      <c r="LTR550" s="120"/>
      <c r="LTS550" s="120"/>
      <c r="LTT550" s="120"/>
      <c r="LTU550" s="120"/>
      <c r="LTV550" s="120"/>
      <c r="LTW550" s="120"/>
      <c r="LTX550" s="120"/>
      <c r="LTY550" s="120"/>
      <c r="LTZ550" s="120"/>
      <c r="LUA550" s="120"/>
      <c r="LUB550" s="120"/>
      <c r="LUC550" s="120"/>
      <c r="LUD550" s="120"/>
      <c r="LUE550" s="120"/>
      <c r="LUF550" s="120"/>
      <c r="LUG550" s="120"/>
      <c r="LUH550" s="120"/>
      <c r="LUI550" s="120"/>
      <c r="LUJ550" s="120"/>
      <c r="LUK550" s="120"/>
      <c r="LUL550" s="120"/>
      <c r="LUM550" s="120"/>
      <c r="LUN550" s="120"/>
      <c r="LUO550" s="120"/>
      <c r="LUP550" s="120"/>
      <c r="LUQ550" s="120"/>
      <c r="LUR550" s="120"/>
      <c r="LUS550" s="120"/>
      <c r="LUT550" s="120"/>
      <c r="LUU550" s="120"/>
      <c r="LUV550" s="120"/>
      <c r="LUW550" s="120"/>
      <c r="LUX550" s="120"/>
      <c r="LUY550" s="120"/>
      <c r="LUZ550" s="120"/>
      <c r="LVA550" s="120"/>
      <c r="LVB550" s="120"/>
      <c r="LVC550" s="120"/>
      <c r="LVD550" s="120"/>
      <c r="LVE550" s="120"/>
      <c r="LVF550" s="120"/>
      <c r="LVG550" s="120"/>
      <c r="LVH550" s="120"/>
      <c r="LVI550" s="120"/>
      <c r="LVJ550" s="120"/>
      <c r="LVK550" s="120"/>
      <c r="LVL550" s="120"/>
      <c r="LVM550" s="120"/>
      <c r="LVN550" s="120"/>
      <c r="LVO550" s="120"/>
      <c r="LVP550" s="120"/>
      <c r="LVQ550" s="120"/>
      <c r="LVR550" s="120"/>
      <c r="LVS550" s="120"/>
      <c r="LVT550" s="120"/>
      <c r="LVU550" s="120"/>
      <c r="LVV550" s="120"/>
      <c r="LVW550" s="120"/>
      <c r="LVX550" s="120"/>
      <c r="LVY550" s="120"/>
      <c r="LVZ550" s="120"/>
      <c r="LWA550" s="120"/>
      <c r="LWB550" s="120"/>
      <c r="LWC550" s="120"/>
      <c r="LWD550" s="120"/>
      <c r="LWE550" s="120"/>
      <c r="LWF550" s="120"/>
      <c r="LWG550" s="120"/>
      <c r="LWH550" s="120"/>
      <c r="LWI550" s="120"/>
      <c r="LWJ550" s="120"/>
      <c r="LWK550" s="120"/>
      <c r="LWL550" s="120"/>
      <c r="LWM550" s="120"/>
      <c r="LWN550" s="120"/>
      <c r="LWO550" s="120"/>
      <c r="LWP550" s="120"/>
      <c r="LWQ550" s="120"/>
      <c r="LWR550" s="120"/>
      <c r="LWS550" s="120"/>
      <c r="LWT550" s="120"/>
      <c r="LWU550" s="120"/>
      <c r="LWV550" s="120"/>
      <c r="LWW550" s="120"/>
      <c r="LWX550" s="120"/>
      <c r="LWY550" s="120"/>
      <c r="LWZ550" s="120"/>
      <c r="LXA550" s="120"/>
      <c r="LXB550" s="120"/>
      <c r="LXC550" s="120"/>
      <c r="LXD550" s="120"/>
      <c r="LXE550" s="120"/>
      <c r="LXF550" s="120"/>
      <c r="LXG550" s="120"/>
      <c r="LXH550" s="120"/>
      <c r="LXI550" s="120"/>
      <c r="LXJ550" s="120"/>
      <c r="LXK550" s="120"/>
      <c r="LXL550" s="120"/>
      <c r="LXM550" s="120"/>
      <c r="LXN550" s="120"/>
      <c r="LXO550" s="120"/>
      <c r="LXP550" s="120"/>
      <c r="LXQ550" s="120"/>
      <c r="LXR550" s="120"/>
      <c r="LXS550" s="120"/>
      <c r="LXT550" s="120"/>
      <c r="LXU550" s="120"/>
      <c r="LXV550" s="120"/>
      <c r="LXW550" s="120"/>
      <c r="LXX550" s="120"/>
      <c r="LXY550" s="120"/>
      <c r="LXZ550" s="120"/>
      <c r="LYA550" s="120"/>
      <c r="LYB550" s="120"/>
      <c r="LYC550" s="120"/>
      <c r="LYD550" s="120"/>
      <c r="LYE550" s="120"/>
      <c r="LYF550" s="120"/>
      <c r="LYG550" s="120"/>
      <c r="LYH550" s="120"/>
      <c r="LYI550" s="120"/>
      <c r="LYJ550" s="120"/>
      <c r="LYK550" s="120"/>
      <c r="LYL550" s="120"/>
      <c r="LYM550" s="120"/>
      <c r="LYN550" s="120"/>
      <c r="LYO550" s="120"/>
      <c r="LYP550" s="120"/>
      <c r="LYQ550" s="120"/>
      <c r="LYR550" s="120"/>
      <c r="LYS550" s="120"/>
      <c r="LYT550" s="120"/>
      <c r="LYU550" s="120"/>
      <c r="LYV550" s="120"/>
      <c r="LYW550" s="120"/>
      <c r="LYX550" s="120"/>
      <c r="LYY550" s="120"/>
      <c r="LYZ550" s="120"/>
      <c r="LZA550" s="120"/>
      <c r="LZB550" s="120"/>
      <c r="LZC550" s="120"/>
      <c r="LZD550" s="120"/>
      <c r="LZE550" s="120"/>
      <c r="LZF550" s="120"/>
      <c r="LZG550" s="120"/>
      <c r="LZH550" s="120"/>
      <c r="LZI550" s="120"/>
      <c r="LZJ550" s="120"/>
      <c r="LZK550" s="120"/>
      <c r="LZL550" s="120"/>
      <c r="LZM550" s="120"/>
      <c r="LZN550" s="120"/>
      <c r="LZO550" s="120"/>
      <c r="LZP550" s="120"/>
      <c r="LZQ550" s="120"/>
      <c r="LZR550" s="120"/>
      <c r="LZS550" s="120"/>
      <c r="LZT550" s="120"/>
      <c r="LZU550" s="120"/>
      <c r="LZV550" s="120"/>
      <c r="LZW550" s="120"/>
      <c r="LZX550" s="120"/>
      <c r="LZY550" s="120"/>
      <c r="LZZ550" s="120"/>
      <c r="MAA550" s="120"/>
      <c r="MAB550" s="120"/>
      <c r="MAC550" s="120"/>
      <c r="MAD550" s="120"/>
      <c r="MAE550" s="120"/>
      <c r="MAF550" s="120"/>
      <c r="MAG550" s="120"/>
      <c r="MAH550" s="120"/>
      <c r="MAI550" s="120"/>
      <c r="MAJ550" s="120"/>
      <c r="MAK550" s="120"/>
      <c r="MAL550" s="120"/>
      <c r="MAM550" s="120"/>
      <c r="MAN550" s="120"/>
      <c r="MAO550" s="120"/>
      <c r="MAP550" s="120"/>
      <c r="MAQ550" s="120"/>
      <c r="MAR550" s="120"/>
      <c r="MAS550" s="120"/>
      <c r="MAT550" s="120"/>
      <c r="MAU550" s="120"/>
      <c r="MAV550" s="120"/>
      <c r="MAW550" s="120"/>
      <c r="MAX550" s="120"/>
      <c r="MAY550" s="120"/>
      <c r="MAZ550" s="120"/>
      <c r="MBA550" s="120"/>
      <c r="MBB550" s="120"/>
      <c r="MBC550" s="120"/>
      <c r="MBD550" s="120"/>
      <c r="MBE550" s="120"/>
      <c r="MBF550" s="120"/>
      <c r="MBG550" s="120"/>
      <c r="MBH550" s="120"/>
      <c r="MBI550" s="120"/>
      <c r="MBJ550" s="120"/>
      <c r="MBK550" s="120"/>
      <c r="MBL550" s="120"/>
      <c r="MBM550" s="120"/>
      <c r="MBN550" s="120"/>
      <c r="MBO550" s="120"/>
      <c r="MBP550" s="120"/>
      <c r="MBQ550" s="120"/>
      <c r="MBR550" s="120"/>
      <c r="MBS550" s="120"/>
      <c r="MBT550" s="120"/>
      <c r="MBU550" s="120"/>
      <c r="MBV550" s="120"/>
      <c r="MBW550" s="120"/>
      <c r="MBX550" s="120"/>
      <c r="MBY550" s="120"/>
      <c r="MBZ550" s="120"/>
      <c r="MCA550" s="120"/>
      <c r="MCB550" s="120"/>
      <c r="MCC550" s="120"/>
      <c r="MCD550" s="120"/>
      <c r="MCE550" s="120"/>
      <c r="MCF550" s="120"/>
      <c r="MCG550" s="120"/>
      <c r="MCH550" s="120"/>
      <c r="MCI550" s="120"/>
      <c r="MCJ550" s="120"/>
      <c r="MCK550" s="120"/>
      <c r="MCL550" s="120"/>
      <c r="MCM550" s="120"/>
      <c r="MCN550" s="120"/>
      <c r="MCO550" s="120"/>
      <c r="MCP550" s="120"/>
      <c r="MCQ550" s="120"/>
      <c r="MCR550" s="120"/>
      <c r="MCS550" s="120"/>
      <c r="MCT550" s="120"/>
      <c r="MCU550" s="120"/>
      <c r="MCV550" s="120"/>
      <c r="MCW550" s="120"/>
      <c r="MCX550" s="120"/>
      <c r="MCY550" s="120"/>
      <c r="MCZ550" s="120"/>
      <c r="MDA550" s="120"/>
      <c r="MDB550" s="120"/>
      <c r="MDC550" s="120"/>
      <c r="MDD550" s="120"/>
      <c r="MDE550" s="120"/>
      <c r="MDF550" s="120"/>
      <c r="MDG550" s="120"/>
      <c r="MDH550" s="120"/>
      <c r="MDI550" s="120"/>
      <c r="MDJ550" s="120"/>
      <c r="MDK550" s="120"/>
      <c r="MDL550" s="120"/>
      <c r="MDM550" s="120"/>
      <c r="MDN550" s="120"/>
      <c r="MDO550" s="120"/>
      <c r="MDP550" s="120"/>
      <c r="MDQ550" s="120"/>
      <c r="MDR550" s="120"/>
      <c r="MDS550" s="120"/>
      <c r="MDT550" s="120"/>
      <c r="MDU550" s="120"/>
      <c r="MDV550" s="120"/>
      <c r="MDW550" s="120"/>
      <c r="MDX550" s="120"/>
      <c r="MDY550" s="120"/>
      <c r="MDZ550" s="120"/>
      <c r="MEA550" s="120"/>
      <c r="MEB550" s="120"/>
      <c r="MEC550" s="120"/>
      <c r="MED550" s="120"/>
      <c r="MEE550" s="120"/>
      <c r="MEF550" s="120"/>
      <c r="MEG550" s="120"/>
      <c r="MEH550" s="120"/>
      <c r="MEI550" s="120"/>
      <c r="MEJ550" s="120"/>
      <c r="MEK550" s="120"/>
      <c r="MEL550" s="120"/>
      <c r="MEM550" s="120"/>
      <c r="MEN550" s="120"/>
      <c r="MEO550" s="120"/>
      <c r="MEP550" s="120"/>
      <c r="MEQ550" s="120"/>
      <c r="MER550" s="120"/>
      <c r="MES550" s="120"/>
      <c r="MET550" s="120"/>
      <c r="MEU550" s="120"/>
      <c r="MEV550" s="120"/>
      <c r="MEW550" s="120"/>
      <c r="MEX550" s="120"/>
      <c r="MEY550" s="120"/>
      <c r="MEZ550" s="120"/>
      <c r="MFA550" s="120"/>
      <c r="MFB550" s="120"/>
      <c r="MFC550" s="120"/>
      <c r="MFD550" s="120"/>
      <c r="MFE550" s="120"/>
      <c r="MFF550" s="120"/>
      <c r="MFG550" s="120"/>
      <c r="MFH550" s="120"/>
      <c r="MFI550" s="120"/>
      <c r="MFJ550" s="120"/>
      <c r="MFK550" s="120"/>
      <c r="MFL550" s="120"/>
      <c r="MFM550" s="120"/>
      <c r="MFN550" s="120"/>
      <c r="MFO550" s="120"/>
      <c r="MFP550" s="120"/>
      <c r="MFQ550" s="120"/>
      <c r="MFR550" s="120"/>
      <c r="MFS550" s="120"/>
      <c r="MFT550" s="120"/>
      <c r="MFU550" s="120"/>
      <c r="MFV550" s="120"/>
      <c r="MFW550" s="120"/>
      <c r="MFX550" s="120"/>
      <c r="MFY550" s="120"/>
      <c r="MFZ550" s="120"/>
      <c r="MGA550" s="120"/>
      <c r="MGB550" s="120"/>
      <c r="MGC550" s="120"/>
      <c r="MGD550" s="120"/>
      <c r="MGE550" s="120"/>
      <c r="MGF550" s="120"/>
      <c r="MGG550" s="120"/>
      <c r="MGH550" s="120"/>
      <c r="MGI550" s="120"/>
      <c r="MGJ550" s="120"/>
      <c r="MGK550" s="120"/>
      <c r="MGL550" s="120"/>
      <c r="MGM550" s="120"/>
      <c r="MGN550" s="120"/>
      <c r="MGO550" s="120"/>
      <c r="MGP550" s="120"/>
      <c r="MGQ550" s="120"/>
      <c r="MGR550" s="120"/>
      <c r="MGS550" s="120"/>
      <c r="MGT550" s="120"/>
      <c r="MGU550" s="120"/>
      <c r="MGV550" s="120"/>
      <c r="MGW550" s="120"/>
      <c r="MGX550" s="120"/>
      <c r="MGY550" s="120"/>
      <c r="MGZ550" s="120"/>
      <c r="MHA550" s="120"/>
      <c r="MHB550" s="120"/>
      <c r="MHC550" s="120"/>
      <c r="MHD550" s="120"/>
      <c r="MHE550" s="120"/>
      <c r="MHF550" s="120"/>
      <c r="MHG550" s="120"/>
      <c r="MHH550" s="120"/>
      <c r="MHI550" s="120"/>
      <c r="MHJ550" s="120"/>
      <c r="MHK550" s="120"/>
      <c r="MHL550" s="120"/>
      <c r="MHM550" s="120"/>
      <c r="MHN550" s="120"/>
      <c r="MHO550" s="120"/>
      <c r="MHP550" s="120"/>
      <c r="MHQ550" s="120"/>
      <c r="MHR550" s="120"/>
      <c r="MHS550" s="120"/>
      <c r="MHT550" s="120"/>
      <c r="MHU550" s="120"/>
      <c r="MHV550" s="120"/>
      <c r="MHW550" s="120"/>
      <c r="MHX550" s="120"/>
      <c r="MHY550" s="120"/>
      <c r="MHZ550" s="120"/>
      <c r="MIA550" s="120"/>
      <c r="MIB550" s="120"/>
      <c r="MIC550" s="120"/>
      <c r="MID550" s="120"/>
      <c r="MIE550" s="120"/>
      <c r="MIF550" s="120"/>
      <c r="MIG550" s="120"/>
      <c r="MIH550" s="120"/>
      <c r="MII550" s="120"/>
      <c r="MIJ550" s="120"/>
      <c r="MIK550" s="120"/>
      <c r="MIL550" s="120"/>
      <c r="MIM550" s="120"/>
      <c r="MIN550" s="120"/>
      <c r="MIO550" s="120"/>
      <c r="MIP550" s="120"/>
      <c r="MIQ550" s="120"/>
      <c r="MIR550" s="120"/>
      <c r="MIS550" s="120"/>
      <c r="MIT550" s="120"/>
      <c r="MIU550" s="120"/>
      <c r="MIV550" s="120"/>
      <c r="MIW550" s="120"/>
      <c r="MIX550" s="120"/>
      <c r="MIY550" s="120"/>
      <c r="MIZ550" s="120"/>
      <c r="MJA550" s="120"/>
      <c r="MJB550" s="120"/>
      <c r="MJC550" s="120"/>
      <c r="MJD550" s="120"/>
      <c r="MJE550" s="120"/>
      <c r="MJF550" s="120"/>
      <c r="MJG550" s="120"/>
      <c r="MJH550" s="120"/>
      <c r="MJI550" s="120"/>
      <c r="MJJ550" s="120"/>
      <c r="MJK550" s="120"/>
      <c r="MJL550" s="120"/>
      <c r="MJM550" s="120"/>
      <c r="MJN550" s="120"/>
      <c r="MJO550" s="120"/>
      <c r="MJP550" s="120"/>
      <c r="MJQ550" s="120"/>
      <c r="MJR550" s="120"/>
      <c r="MJS550" s="120"/>
      <c r="MJT550" s="120"/>
      <c r="MJU550" s="120"/>
      <c r="MJV550" s="120"/>
      <c r="MJW550" s="120"/>
      <c r="MJX550" s="120"/>
      <c r="MJY550" s="120"/>
      <c r="MJZ550" s="120"/>
      <c r="MKA550" s="120"/>
      <c r="MKB550" s="120"/>
      <c r="MKC550" s="120"/>
      <c r="MKD550" s="120"/>
      <c r="MKE550" s="120"/>
      <c r="MKF550" s="120"/>
      <c r="MKG550" s="120"/>
      <c r="MKH550" s="120"/>
      <c r="MKI550" s="120"/>
      <c r="MKJ550" s="120"/>
      <c r="MKK550" s="120"/>
      <c r="MKL550" s="120"/>
      <c r="MKM550" s="120"/>
      <c r="MKN550" s="120"/>
      <c r="MKO550" s="120"/>
      <c r="MKP550" s="120"/>
      <c r="MKQ550" s="120"/>
      <c r="MKR550" s="120"/>
      <c r="MKS550" s="120"/>
      <c r="MKT550" s="120"/>
      <c r="MKU550" s="120"/>
      <c r="MKV550" s="120"/>
      <c r="MKW550" s="120"/>
      <c r="MKX550" s="120"/>
      <c r="MKY550" s="120"/>
      <c r="MKZ550" s="120"/>
      <c r="MLA550" s="120"/>
      <c r="MLB550" s="120"/>
      <c r="MLC550" s="120"/>
      <c r="MLD550" s="120"/>
      <c r="MLE550" s="120"/>
      <c r="MLF550" s="120"/>
      <c r="MLG550" s="120"/>
      <c r="MLH550" s="120"/>
      <c r="MLI550" s="120"/>
      <c r="MLJ550" s="120"/>
      <c r="MLK550" s="120"/>
      <c r="MLL550" s="120"/>
      <c r="MLM550" s="120"/>
      <c r="MLN550" s="120"/>
      <c r="MLO550" s="120"/>
      <c r="MLP550" s="120"/>
      <c r="MLQ550" s="120"/>
      <c r="MLR550" s="120"/>
      <c r="MLS550" s="120"/>
      <c r="MLT550" s="120"/>
      <c r="MLU550" s="120"/>
      <c r="MLV550" s="120"/>
      <c r="MLW550" s="120"/>
      <c r="MLX550" s="120"/>
      <c r="MLY550" s="120"/>
      <c r="MLZ550" s="120"/>
      <c r="MMA550" s="120"/>
      <c r="MMB550" s="120"/>
      <c r="MMC550" s="120"/>
      <c r="MMD550" s="120"/>
      <c r="MME550" s="120"/>
      <c r="MMF550" s="120"/>
      <c r="MMG550" s="120"/>
      <c r="MMH550" s="120"/>
      <c r="MMI550" s="120"/>
      <c r="MMJ550" s="120"/>
      <c r="MMK550" s="120"/>
      <c r="MML550" s="120"/>
      <c r="MMM550" s="120"/>
      <c r="MMN550" s="120"/>
      <c r="MMO550" s="120"/>
      <c r="MMP550" s="120"/>
      <c r="MMQ550" s="120"/>
      <c r="MMR550" s="120"/>
      <c r="MMS550" s="120"/>
      <c r="MMT550" s="120"/>
      <c r="MMU550" s="120"/>
      <c r="MMV550" s="120"/>
      <c r="MMW550" s="120"/>
      <c r="MMX550" s="120"/>
      <c r="MMY550" s="120"/>
      <c r="MMZ550" s="120"/>
      <c r="MNA550" s="120"/>
      <c r="MNB550" s="120"/>
      <c r="MNC550" s="120"/>
      <c r="MND550" s="120"/>
      <c r="MNE550" s="120"/>
      <c r="MNF550" s="120"/>
      <c r="MNG550" s="120"/>
      <c r="MNH550" s="120"/>
      <c r="MNI550" s="120"/>
      <c r="MNJ550" s="120"/>
      <c r="MNK550" s="120"/>
      <c r="MNL550" s="120"/>
      <c r="MNM550" s="120"/>
      <c r="MNN550" s="120"/>
      <c r="MNO550" s="120"/>
      <c r="MNP550" s="120"/>
      <c r="MNQ550" s="120"/>
      <c r="MNR550" s="120"/>
      <c r="MNS550" s="120"/>
      <c r="MNT550" s="120"/>
      <c r="MNU550" s="120"/>
      <c r="MNV550" s="120"/>
      <c r="MNW550" s="120"/>
      <c r="MNX550" s="120"/>
      <c r="MNY550" s="120"/>
      <c r="MNZ550" s="120"/>
      <c r="MOA550" s="120"/>
      <c r="MOB550" s="120"/>
      <c r="MOC550" s="120"/>
      <c r="MOD550" s="120"/>
      <c r="MOE550" s="120"/>
      <c r="MOF550" s="120"/>
      <c r="MOG550" s="120"/>
      <c r="MOH550" s="120"/>
      <c r="MOI550" s="120"/>
      <c r="MOJ550" s="120"/>
      <c r="MOK550" s="120"/>
      <c r="MOL550" s="120"/>
      <c r="MOM550" s="120"/>
      <c r="MON550" s="120"/>
      <c r="MOO550" s="120"/>
      <c r="MOP550" s="120"/>
      <c r="MOQ550" s="120"/>
      <c r="MOR550" s="120"/>
      <c r="MOS550" s="120"/>
      <c r="MOT550" s="120"/>
      <c r="MOU550" s="120"/>
      <c r="MOV550" s="120"/>
      <c r="MOW550" s="120"/>
      <c r="MOX550" s="120"/>
      <c r="MOY550" s="120"/>
      <c r="MOZ550" s="120"/>
      <c r="MPA550" s="120"/>
      <c r="MPB550" s="120"/>
      <c r="MPC550" s="120"/>
      <c r="MPD550" s="120"/>
      <c r="MPE550" s="120"/>
      <c r="MPF550" s="120"/>
      <c r="MPG550" s="120"/>
      <c r="MPH550" s="120"/>
      <c r="MPI550" s="120"/>
      <c r="MPJ550" s="120"/>
      <c r="MPK550" s="120"/>
      <c r="MPL550" s="120"/>
      <c r="MPM550" s="120"/>
      <c r="MPN550" s="120"/>
      <c r="MPO550" s="120"/>
      <c r="MPP550" s="120"/>
      <c r="MPQ550" s="120"/>
      <c r="MPR550" s="120"/>
      <c r="MPS550" s="120"/>
      <c r="MPT550" s="120"/>
      <c r="MPU550" s="120"/>
      <c r="MPV550" s="120"/>
      <c r="MPW550" s="120"/>
      <c r="MPX550" s="120"/>
      <c r="MPY550" s="120"/>
      <c r="MPZ550" s="120"/>
      <c r="MQA550" s="120"/>
      <c r="MQB550" s="120"/>
      <c r="MQC550" s="120"/>
      <c r="MQD550" s="120"/>
      <c r="MQE550" s="120"/>
      <c r="MQF550" s="120"/>
      <c r="MQG550" s="120"/>
      <c r="MQH550" s="120"/>
      <c r="MQI550" s="120"/>
      <c r="MQJ550" s="120"/>
      <c r="MQK550" s="120"/>
      <c r="MQL550" s="120"/>
      <c r="MQM550" s="120"/>
      <c r="MQN550" s="120"/>
      <c r="MQO550" s="120"/>
      <c r="MQP550" s="120"/>
      <c r="MQQ550" s="120"/>
      <c r="MQR550" s="120"/>
      <c r="MQS550" s="120"/>
      <c r="MQT550" s="120"/>
      <c r="MQU550" s="120"/>
      <c r="MQV550" s="120"/>
      <c r="MQW550" s="120"/>
      <c r="MQX550" s="120"/>
      <c r="MQY550" s="120"/>
      <c r="MQZ550" s="120"/>
      <c r="MRA550" s="120"/>
      <c r="MRB550" s="120"/>
      <c r="MRC550" s="120"/>
      <c r="MRD550" s="120"/>
      <c r="MRE550" s="120"/>
      <c r="MRF550" s="120"/>
      <c r="MRG550" s="120"/>
      <c r="MRH550" s="120"/>
      <c r="MRI550" s="120"/>
      <c r="MRJ550" s="120"/>
      <c r="MRK550" s="120"/>
      <c r="MRL550" s="120"/>
      <c r="MRM550" s="120"/>
      <c r="MRN550" s="120"/>
      <c r="MRO550" s="120"/>
      <c r="MRP550" s="120"/>
      <c r="MRQ550" s="120"/>
      <c r="MRR550" s="120"/>
      <c r="MRS550" s="120"/>
      <c r="MRT550" s="120"/>
      <c r="MRU550" s="120"/>
      <c r="MRV550" s="120"/>
      <c r="MRW550" s="120"/>
      <c r="MRX550" s="120"/>
      <c r="MRY550" s="120"/>
      <c r="MRZ550" s="120"/>
      <c r="MSA550" s="120"/>
      <c r="MSB550" s="120"/>
      <c r="MSC550" s="120"/>
      <c r="MSD550" s="120"/>
      <c r="MSE550" s="120"/>
      <c r="MSF550" s="120"/>
      <c r="MSG550" s="120"/>
      <c r="MSH550" s="120"/>
      <c r="MSI550" s="120"/>
      <c r="MSJ550" s="120"/>
      <c r="MSK550" s="120"/>
      <c r="MSL550" s="120"/>
      <c r="MSM550" s="120"/>
      <c r="MSN550" s="120"/>
      <c r="MSO550" s="120"/>
      <c r="MSP550" s="120"/>
      <c r="MSQ550" s="120"/>
      <c r="MSR550" s="120"/>
      <c r="MSS550" s="120"/>
      <c r="MST550" s="120"/>
      <c r="MSU550" s="120"/>
      <c r="MSV550" s="120"/>
      <c r="MSW550" s="120"/>
      <c r="MSX550" s="120"/>
      <c r="MSY550" s="120"/>
      <c r="MSZ550" s="120"/>
      <c r="MTA550" s="120"/>
      <c r="MTB550" s="120"/>
      <c r="MTC550" s="120"/>
      <c r="MTD550" s="120"/>
      <c r="MTE550" s="120"/>
      <c r="MTF550" s="120"/>
      <c r="MTG550" s="120"/>
      <c r="MTH550" s="120"/>
      <c r="MTI550" s="120"/>
      <c r="MTJ550" s="120"/>
      <c r="MTK550" s="120"/>
      <c r="MTL550" s="120"/>
      <c r="MTM550" s="120"/>
      <c r="MTN550" s="120"/>
      <c r="MTO550" s="120"/>
      <c r="MTP550" s="120"/>
      <c r="MTQ550" s="120"/>
      <c r="MTR550" s="120"/>
      <c r="MTS550" s="120"/>
      <c r="MTT550" s="120"/>
      <c r="MTU550" s="120"/>
      <c r="MTV550" s="120"/>
      <c r="MTW550" s="120"/>
      <c r="MTX550" s="120"/>
      <c r="MTY550" s="120"/>
      <c r="MTZ550" s="120"/>
      <c r="MUA550" s="120"/>
      <c r="MUB550" s="120"/>
      <c r="MUC550" s="120"/>
      <c r="MUD550" s="120"/>
      <c r="MUE550" s="120"/>
      <c r="MUF550" s="120"/>
      <c r="MUG550" s="120"/>
      <c r="MUH550" s="120"/>
      <c r="MUI550" s="120"/>
      <c r="MUJ550" s="120"/>
      <c r="MUK550" s="120"/>
      <c r="MUL550" s="120"/>
      <c r="MUM550" s="120"/>
      <c r="MUN550" s="120"/>
      <c r="MUO550" s="120"/>
      <c r="MUP550" s="120"/>
      <c r="MUQ550" s="120"/>
      <c r="MUR550" s="120"/>
      <c r="MUS550" s="120"/>
      <c r="MUT550" s="120"/>
      <c r="MUU550" s="120"/>
      <c r="MUV550" s="120"/>
      <c r="MUW550" s="120"/>
      <c r="MUX550" s="120"/>
      <c r="MUY550" s="120"/>
      <c r="MUZ550" s="120"/>
      <c r="MVA550" s="120"/>
      <c r="MVB550" s="120"/>
      <c r="MVC550" s="120"/>
      <c r="MVD550" s="120"/>
      <c r="MVE550" s="120"/>
      <c r="MVF550" s="120"/>
      <c r="MVG550" s="120"/>
      <c r="MVH550" s="120"/>
      <c r="MVI550" s="120"/>
      <c r="MVJ550" s="120"/>
      <c r="MVK550" s="120"/>
      <c r="MVL550" s="120"/>
      <c r="MVM550" s="120"/>
      <c r="MVN550" s="120"/>
      <c r="MVO550" s="120"/>
      <c r="MVP550" s="120"/>
      <c r="MVQ550" s="120"/>
      <c r="MVR550" s="120"/>
      <c r="MVS550" s="120"/>
      <c r="MVT550" s="120"/>
      <c r="MVU550" s="120"/>
      <c r="MVV550" s="120"/>
      <c r="MVW550" s="120"/>
      <c r="MVX550" s="120"/>
      <c r="MVY550" s="120"/>
      <c r="MVZ550" s="120"/>
      <c r="MWA550" s="120"/>
      <c r="MWB550" s="120"/>
      <c r="MWC550" s="120"/>
      <c r="MWD550" s="120"/>
      <c r="MWE550" s="120"/>
      <c r="MWF550" s="120"/>
      <c r="MWG550" s="120"/>
      <c r="MWH550" s="120"/>
      <c r="MWI550" s="120"/>
      <c r="MWJ550" s="120"/>
      <c r="MWK550" s="120"/>
      <c r="MWL550" s="120"/>
      <c r="MWM550" s="120"/>
      <c r="MWN550" s="120"/>
      <c r="MWO550" s="120"/>
      <c r="MWP550" s="120"/>
      <c r="MWQ550" s="120"/>
      <c r="MWR550" s="120"/>
      <c r="MWS550" s="120"/>
      <c r="MWT550" s="120"/>
      <c r="MWU550" s="120"/>
      <c r="MWV550" s="120"/>
      <c r="MWW550" s="120"/>
      <c r="MWX550" s="120"/>
      <c r="MWY550" s="120"/>
      <c r="MWZ550" s="120"/>
      <c r="MXA550" s="120"/>
      <c r="MXB550" s="120"/>
      <c r="MXC550" s="120"/>
      <c r="MXD550" s="120"/>
      <c r="MXE550" s="120"/>
      <c r="MXF550" s="120"/>
      <c r="MXG550" s="120"/>
      <c r="MXH550" s="120"/>
      <c r="MXI550" s="120"/>
      <c r="MXJ550" s="120"/>
      <c r="MXK550" s="120"/>
      <c r="MXL550" s="120"/>
      <c r="MXM550" s="120"/>
      <c r="MXN550" s="120"/>
      <c r="MXO550" s="120"/>
      <c r="MXP550" s="120"/>
      <c r="MXQ550" s="120"/>
      <c r="MXR550" s="120"/>
      <c r="MXS550" s="120"/>
      <c r="MXT550" s="120"/>
      <c r="MXU550" s="120"/>
      <c r="MXV550" s="120"/>
      <c r="MXW550" s="120"/>
      <c r="MXX550" s="120"/>
      <c r="MXY550" s="120"/>
      <c r="MXZ550" s="120"/>
      <c r="MYA550" s="120"/>
      <c r="MYB550" s="120"/>
      <c r="MYC550" s="120"/>
      <c r="MYD550" s="120"/>
      <c r="MYE550" s="120"/>
      <c r="MYF550" s="120"/>
      <c r="MYG550" s="120"/>
      <c r="MYH550" s="120"/>
      <c r="MYI550" s="120"/>
      <c r="MYJ550" s="120"/>
      <c r="MYK550" s="120"/>
      <c r="MYL550" s="120"/>
      <c r="MYM550" s="120"/>
      <c r="MYN550" s="120"/>
      <c r="MYO550" s="120"/>
      <c r="MYP550" s="120"/>
      <c r="MYQ550" s="120"/>
      <c r="MYR550" s="120"/>
      <c r="MYS550" s="120"/>
      <c r="MYT550" s="120"/>
      <c r="MYU550" s="120"/>
      <c r="MYV550" s="120"/>
      <c r="MYW550" s="120"/>
      <c r="MYX550" s="120"/>
      <c r="MYY550" s="120"/>
      <c r="MYZ550" s="120"/>
      <c r="MZA550" s="120"/>
      <c r="MZB550" s="120"/>
      <c r="MZC550" s="120"/>
      <c r="MZD550" s="120"/>
      <c r="MZE550" s="120"/>
      <c r="MZF550" s="120"/>
      <c r="MZG550" s="120"/>
      <c r="MZH550" s="120"/>
      <c r="MZI550" s="120"/>
      <c r="MZJ550" s="120"/>
      <c r="MZK550" s="120"/>
      <c r="MZL550" s="120"/>
      <c r="MZM550" s="120"/>
      <c r="MZN550" s="120"/>
      <c r="MZO550" s="120"/>
      <c r="MZP550" s="120"/>
      <c r="MZQ550" s="120"/>
      <c r="MZR550" s="120"/>
      <c r="MZS550" s="120"/>
      <c r="MZT550" s="120"/>
      <c r="MZU550" s="120"/>
      <c r="MZV550" s="120"/>
      <c r="MZW550" s="120"/>
      <c r="MZX550" s="120"/>
      <c r="MZY550" s="120"/>
      <c r="MZZ550" s="120"/>
      <c r="NAA550" s="120"/>
      <c r="NAB550" s="120"/>
      <c r="NAC550" s="120"/>
      <c r="NAD550" s="120"/>
      <c r="NAE550" s="120"/>
      <c r="NAF550" s="120"/>
      <c r="NAG550" s="120"/>
      <c r="NAH550" s="120"/>
      <c r="NAI550" s="120"/>
      <c r="NAJ550" s="120"/>
      <c r="NAK550" s="120"/>
      <c r="NAL550" s="120"/>
      <c r="NAM550" s="120"/>
      <c r="NAN550" s="120"/>
      <c r="NAO550" s="120"/>
      <c r="NAP550" s="120"/>
      <c r="NAQ550" s="120"/>
      <c r="NAR550" s="120"/>
      <c r="NAS550" s="120"/>
      <c r="NAT550" s="120"/>
      <c r="NAU550" s="120"/>
      <c r="NAV550" s="120"/>
      <c r="NAW550" s="120"/>
      <c r="NAX550" s="120"/>
      <c r="NAY550" s="120"/>
      <c r="NAZ550" s="120"/>
      <c r="NBA550" s="120"/>
      <c r="NBB550" s="120"/>
      <c r="NBC550" s="120"/>
      <c r="NBD550" s="120"/>
      <c r="NBE550" s="120"/>
      <c r="NBF550" s="120"/>
      <c r="NBG550" s="120"/>
      <c r="NBH550" s="120"/>
      <c r="NBI550" s="120"/>
      <c r="NBJ550" s="120"/>
      <c r="NBK550" s="120"/>
      <c r="NBL550" s="120"/>
      <c r="NBM550" s="120"/>
      <c r="NBN550" s="120"/>
      <c r="NBO550" s="120"/>
      <c r="NBP550" s="120"/>
      <c r="NBQ550" s="120"/>
      <c r="NBR550" s="120"/>
      <c r="NBS550" s="120"/>
      <c r="NBT550" s="120"/>
      <c r="NBU550" s="120"/>
      <c r="NBV550" s="120"/>
      <c r="NBW550" s="120"/>
      <c r="NBX550" s="120"/>
      <c r="NBY550" s="120"/>
      <c r="NBZ550" s="120"/>
      <c r="NCA550" s="120"/>
      <c r="NCB550" s="120"/>
      <c r="NCC550" s="120"/>
      <c r="NCD550" s="120"/>
      <c r="NCE550" s="120"/>
      <c r="NCF550" s="120"/>
      <c r="NCG550" s="120"/>
      <c r="NCH550" s="120"/>
      <c r="NCI550" s="120"/>
      <c r="NCJ550" s="120"/>
      <c r="NCK550" s="120"/>
      <c r="NCL550" s="120"/>
      <c r="NCM550" s="120"/>
      <c r="NCN550" s="120"/>
      <c r="NCO550" s="120"/>
      <c r="NCP550" s="120"/>
      <c r="NCQ550" s="120"/>
      <c r="NCR550" s="120"/>
      <c r="NCS550" s="120"/>
      <c r="NCT550" s="120"/>
      <c r="NCU550" s="120"/>
      <c r="NCV550" s="120"/>
      <c r="NCW550" s="120"/>
      <c r="NCX550" s="120"/>
      <c r="NCY550" s="120"/>
      <c r="NCZ550" s="120"/>
      <c r="NDA550" s="120"/>
      <c r="NDB550" s="120"/>
      <c r="NDC550" s="120"/>
      <c r="NDD550" s="120"/>
      <c r="NDE550" s="120"/>
      <c r="NDF550" s="120"/>
      <c r="NDG550" s="120"/>
      <c r="NDH550" s="120"/>
      <c r="NDI550" s="120"/>
      <c r="NDJ550" s="120"/>
      <c r="NDK550" s="120"/>
      <c r="NDL550" s="120"/>
      <c r="NDM550" s="120"/>
      <c r="NDN550" s="120"/>
      <c r="NDO550" s="120"/>
      <c r="NDP550" s="120"/>
      <c r="NDQ550" s="120"/>
      <c r="NDR550" s="120"/>
      <c r="NDS550" s="120"/>
      <c r="NDT550" s="120"/>
      <c r="NDU550" s="120"/>
      <c r="NDV550" s="120"/>
      <c r="NDW550" s="120"/>
      <c r="NDX550" s="120"/>
      <c r="NDY550" s="120"/>
      <c r="NDZ550" s="120"/>
      <c r="NEA550" s="120"/>
      <c r="NEB550" s="120"/>
      <c r="NEC550" s="120"/>
      <c r="NED550" s="120"/>
      <c r="NEE550" s="120"/>
      <c r="NEF550" s="120"/>
      <c r="NEG550" s="120"/>
      <c r="NEH550" s="120"/>
      <c r="NEI550" s="120"/>
      <c r="NEJ550" s="120"/>
      <c r="NEK550" s="120"/>
      <c r="NEL550" s="120"/>
      <c r="NEM550" s="120"/>
      <c r="NEN550" s="120"/>
      <c r="NEO550" s="120"/>
      <c r="NEP550" s="120"/>
      <c r="NEQ550" s="120"/>
      <c r="NER550" s="120"/>
      <c r="NES550" s="120"/>
      <c r="NET550" s="120"/>
      <c r="NEU550" s="120"/>
      <c r="NEV550" s="120"/>
      <c r="NEW550" s="120"/>
      <c r="NEX550" s="120"/>
      <c r="NEY550" s="120"/>
      <c r="NEZ550" s="120"/>
      <c r="NFA550" s="120"/>
      <c r="NFB550" s="120"/>
      <c r="NFC550" s="120"/>
      <c r="NFD550" s="120"/>
      <c r="NFE550" s="120"/>
      <c r="NFF550" s="120"/>
      <c r="NFG550" s="120"/>
      <c r="NFH550" s="120"/>
      <c r="NFI550" s="120"/>
      <c r="NFJ550" s="120"/>
      <c r="NFK550" s="120"/>
      <c r="NFL550" s="120"/>
      <c r="NFM550" s="120"/>
      <c r="NFN550" s="120"/>
      <c r="NFO550" s="120"/>
      <c r="NFP550" s="120"/>
      <c r="NFQ550" s="120"/>
      <c r="NFR550" s="120"/>
      <c r="NFS550" s="120"/>
      <c r="NFT550" s="120"/>
      <c r="NFU550" s="120"/>
      <c r="NFV550" s="120"/>
      <c r="NFW550" s="120"/>
      <c r="NFX550" s="120"/>
      <c r="NFY550" s="120"/>
      <c r="NFZ550" s="120"/>
      <c r="NGA550" s="120"/>
      <c r="NGB550" s="120"/>
      <c r="NGC550" s="120"/>
      <c r="NGD550" s="120"/>
      <c r="NGE550" s="120"/>
      <c r="NGF550" s="120"/>
      <c r="NGG550" s="120"/>
      <c r="NGH550" s="120"/>
      <c r="NGI550" s="120"/>
      <c r="NGJ550" s="120"/>
      <c r="NGK550" s="120"/>
      <c r="NGL550" s="120"/>
      <c r="NGM550" s="120"/>
      <c r="NGN550" s="120"/>
      <c r="NGO550" s="120"/>
      <c r="NGP550" s="120"/>
      <c r="NGQ550" s="120"/>
      <c r="NGR550" s="120"/>
      <c r="NGS550" s="120"/>
      <c r="NGT550" s="120"/>
      <c r="NGU550" s="120"/>
      <c r="NGV550" s="120"/>
      <c r="NGW550" s="120"/>
      <c r="NGX550" s="120"/>
      <c r="NGY550" s="120"/>
      <c r="NGZ550" s="120"/>
      <c r="NHA550" s="120"/>
      <c r="NHB550" s="120"/>
      <c r="NHC550" s="120"/>
      <c r="NHD550" s="120"/>
      <c r="NHE550" s="120"/>
      <c r="NHF550" s="120"/>
      <c r="NHG550" s="120"/>
      <c r="NHH550" s="120"/>
      <c r="NHI550" s="120"/>
      <c r="NHJ550" s="120"/>
      <c r="NHK550" s="120"/>
      <c r="NHL550" s="120"/>
      <c r="NHM550" s="120"/>
      <c r="NHN550" s="120"/>
      <c r="NHO550" s="120"/>
      <c r="NHP550" s="120"/>
      <c r="NHQ550" s="120"/>
      <c r="NHR550" s="120"/>
      <c r="NHS550" s="120"/>
      <c r="NHT550" s="120"/>
      <c r="NHU550" s="120"/>
      <c r="NHV550" s="120"/>
      <c r="NHW550" s="120"/>
      <c r="NHX550" s="120"/>
      <c r="NHY550" s="120"/>
      <c r="NHZ550" s="120"/>
      <c r="NIA550" s="120"/>
      <c r="NIB550" s="120"/>
      <c r="NIC550" s="120"/>
      <c r="NID550" s="120"/>
      <c r="NIE550" s="120"/>
      <c r="NIF550" s="120"/>
      <c r="NIG550" s="120"/>
      <c r="NIH550" s="120"/>
      <c r="NII550" s="120"/>
      <c r="NIJ550" s="120"/>
      <c r="NIK550" s="120"/>
      <c r="NIL550" s="120"/>
      <c r="NIM550" s="120"/>
      <c r="NIN550" s="120"/>
      <c r="NIO550" s="120"/>
      <c r="NIP550" s="120"/>
      <c r="NIQ550" s="120"/>
      <c r="NIR550" s="120"/>
      <c r="NIS550" s="120"/>
      <c r="NIT550" s="120"/>
      <c r="NIU550" s="120"/>
      <c r="NIV550" s="120"/>
      <c r="NIW550" s="120"/>
      <c r="NIX550" s="120"/>
      <c r="NIY550" s="120"/>
      <c r="NIZ550" s="120"/>
      <c r="NJA550" s="120"/>
      <c r="NJB550" s="120"/>
      <c r="NJC550" s="120"/>
      <c r="NJD550" s="120"/>
      <c r="NJE550" s="120"/>
      <c r="NJF550" s="120"/>
      <c r="NJG550" s="120"/>
      <c r="NJH550" s="120"/>
      <c r="NJI550" s="120"/>
      <c r="NJJ550" s="120"/>
      <c r="NJK550" s="120"/>
      <c r="NJL550" s="120"/>
      <c r="NJM550" s="120"/>
      <c r="NJN550" s="120"/>
      <c r="NJO550" s="120"/>
      <c r="NJP550" s="120"/>
      <c r="NJQ550" s="120"/>
      <c r="NJR550" s="120"/>
      <c r="NJS550" s="120"/>
      <c r="NJT550" s="120"/>
      <c r="NJU550" s="120"/>
      <c r="NJV550" s="120"/>
      <c r="NJW550" s="120"/>
      <c r="NJX550" s="120"/>
      <c r="NJY550" s="120"/>
      <c r="NJZ550" s="120"/>
      <c r="NKA550" s="120"/>
      <c r="NKB550" s="120"/>
      <c r="NKC550" s="120"/>
      <c r="NKD550" s="120"/>
      <c r="NKE550" s="120"/>
      <c r="NKF550" s="120"/>
      <c r="NKG550" s="120"/>
      <c r="NKH550" s="120"/>
      <c r="NKI550" s="120"/>
      <c r="NKJ550" s="120"/>
      <c r="NKK550" s="120"/>
      <c r="NKL550" s="120"/>
      <c r="NKM550" s="120"/>
      <c r="NKN550" s="120"/>
      <c r="NKO550" s="120"/>
      <c r="NKP550" s="120"/>
      <c r="NKQ550" s="120"/>
      <c r="NKR550" s="120"/>
      <c r="NKS550" s="120"/>
      <c r="NKT550" s="120"/>
      <c r="NKU550" s="120"/>
      <c r="NKV550" s="120"/>
      <c r="NKW550" s="120"/>
      <c r="NKX550" s="120"/>
      <c r="NKY550" s="120"/>
      <c r="NKZ550" s="120"/>
      <c r="NLA550" s="120"/>
      <c r="NLB550" s="120"/>
      <c r="NLC550" s="120"/>
      <c r="NLD550" s="120"/>
      <c r="NLE550" s="120"/>
      <c r="NLF550" s="120"/>
      <c r="NLG550" s="120"/>
      <c r="NLH550" s="120"/>
      <c r="NLI550" s="120"/>
      <c r="NLJ550" s="120"/>
      <c r="NLK550" s="120"/>
      <c r="NLL550" s="120"/>
      <c r="NLM550" s="120"/>
      <c r="NLN550" s="120"/>
      <c r="NLO550" s="120"/>
      <c r="NLP550" s="120"/>
      <c r="NLQ550" s="120"/>
      <c r="NLR550" s="120"/>
      <c r="NLS550" s="120"/>
      <c r="NLT550" s="120"/>
      <c r="NLU550" s="120"/>
      <c r="NLV550" s="120"/>
      <c r="NLW550" s="120"/>
      <c r="NLX550" s="120"/>
      <c r="NLY550" s="120"/>
      <c r="NLZ550" s="120"/>
      <c r="NMA550" s="120"/>
      <c r="NMB550" s="120"/>
      <c r="NMC550" s="120"/>
      <c r="NMD550" s="120"/>
      <c r="NME550" s="120"/>
      <c r="NMF550" s="120"/>
      <c r="NMG550" s="120"/>
      <c r="NMH550" s="120"/>
      <c r="NMI550" s="120"/>
      <c r="NMJ550" s="120"/>
      <c r="NMK550" s="120"/>
      <c r="NML550" s="120"/>
      <c r="NMM550" s="120"/>
      <c r="NMN550" s="120"/>
      <c r="NMO550" s="120"/>
      <c r="NMP550" s="120"/>
      <c r="NMQ550" s="120"/>
      <c r="NMR550" s="120"/>
      <c r="NMS550" s="120"/>
      <c r="NMT550" s="120"/>
      <c r="NMU550" s="120"/>
      <c r="NMV550" s="120"/>
      <c r="NMW550" s="120"/>
      <c r="NMX550" s="120"/>
      <c r="NMY550" s="120"/>
      <c r="NMZ550" s="120"/>
      <c r="NNA550" s="120"/>
      <c r="NNB550" s="120"/>
      <c r="NNC550" s="120"/>
      <c r="NND550" s="120"/>
      <c r="NNE550" s="120"/>
      <c r="NNF550" s="120"/>
      <c r="NNG550" s="120"/>
      <c r="NNH550" s="120"/>
      <c r="NNI550" s="120"/>
      <c r="NNJ550" s="120"/>
      <c r="NNK550" s="120"/>
      <c r="NNL550" s="120"/>
      <c r="NNM550" s="120"/>
      <c r="NNN550" s="120"/>
      <c r="NNO550" s="120"/>
      <c r="NNP550" s="120"/>
      <c r="NNQ550" s="120"/>
      <c r="NNR550" s="120"/>
      <c r="NNS550" s="120"/>
      <c r="NNT550" s="120"/>
      <c r="NNU550" s="120"/>
      <c r="NNV550" s="120"/>
      <c r="NNW550" s="120"/>
      <c r="NNX550" s="120"/>
      <c r="NNY550" s="120"/>
      <c r="NNZ550" s="120"/>
      <c r="NOA550" s="120"/>
      <c r="NOB550" s="120"/>
      <c r="NOC550" s="120"/>
      <c r="NOD550" s="120"/>
      <c r="NOE550" s="120"/>
      <c r="NOF550" s="120"/>
      <c r="NOG550" s="120"/>
      <c r="NOH550" s="120"/>
      <c r="NOI550" s="120"/>
      <c r="NOJ550" s="120"/>
      <c r="NOK550" s="120"/>
      <c r="NOL550" s="120"/>
      <c r="NOM550" s="120"/>
      <c r="NON550" s="120"/>
      <c r="NOO550" s="120"/>
      <c r="NOP550" s="120"/>
      <c r="NOQ550" s="120"/>
      <c r="NOR550" s="120"/>
      <c r="NOS550" s="120"/>
      <c r="NOT550" s="120"/>
      <c r="NOU550" s="120"/>
      <c r="NOV550" s="120"/>
      <c r="NOW550" s="120"/>
      <c r="NOX550" s="120"/>
      <c r="NOY550" s="120"/>
      <c r="NOZ550" s="120"/>
      <c r="NPA550" s="120"/>
      <c r="NPB550" s="120"/>
      <c r="NPC550" s="120"/>
      <c r="NPD550" s="120"/>
      <c r="NPE550" s="120"/>
      <c r="NPF550" s="120"/>
      <c r="NPG550" s="120"/>
      <c r="NPH550" s="120"/>
      <c r="NPI550" s="120"/>
      <c r="NPJ550" s="120"/>
      <c r="NPK550" s="120"/>
      <c r="NPL550" s="120"/>
      <c r="NPM550" s="120"/>
      <c r="NPN550" s="120"/>
      <c r="NPO550" s="120"/>
      <c r="NPP550" s="120"/>
      <c r="NPQ550" s="120"/>
      <c r="NPR550" s="120"/>
      <c r="NPS550" s="120"/>
      <c r="NPT550" s="120"/>
      <c r="NPU550" s="120"/>
      <c r="NPV550" s="120"/>
      <c r="NPW550" s="120"/>
      <c r="NPX550" s="120"/>
      <c r="NPY550" s="120"/>
      <c r="NPZ550" s="120"/>
      <c r="NQA550" s="120"/>
      <c r="NQB550" s="120"/>
      <c r="NQC550" s="120"/>
      <c r="NQD550" s="120"/>
      <c r="NQE550" s="120"/>
      <c r="NQF550" s="120"/>
      <c r="NQG550" s="120"/>
      <c r="NQH550" s="120"/>
      <c r="NQI550" s="120"/>
      <c r="NQJ550" s="120"/>
      <c r="NQK550" s="120"/>
      <c r="NQL550" s="120"/>
      <c r="NQM550" s="120"/>
      <c r="NQN550" s="120"/>
      <c r="NQO550" s="120"/>
      <c r="NQP550" s="120"/>
      <c r="NQQ550" s="120"/>
      <c r="NQR550" s="120"/>
      <c r="NQS550" s="120"/>
      <c r="NQT550" s="120"/>
      <c r="NQU550" s="120"/>
      <c r="NQV550" s="120"/>
      <c r="NQW550" s="120"/>
      <c r="NQX550" s="120"/>
      <c r="NQY550" s="120"/>
      <c r="NQZ550" s="120"/>
      <c r="NRA550" s="120"/>
      <c r="NRB550" s="120"/>
      <c r="NRC550" s="120"/>
      <c r="NRD550" s="120"/>
      <c r="NRE550" s="120"/>
      <c r="NRF550" s="120"/>
      <c r="NRG550" s="120"/>
      <c r="NRH550" s="120"/>
      <c r="NRI550" s="120"/>
      <c r="NRJ550" s="120"/>
      <c r="NRK550" s="120"/>
      <c r="NRL550" s="120"/>
      <c r="NRM550" s="120"/>
      <c r="NRN550" s="120"/>
      <c r="NRO550" s="120"/>
      <c r="NRP550" s="120"/>
      <c r="NRQ550" s="120"/>
      <c r="NRR550" s="120"/>
      <c r="NRS550" s="120"/>
      <c r="NRT550" s="120"/>
      <c r="NRU550" s="120"/>
      <c r="NRV550" s="120"/>
      <c r="NRW550" s="120"/>
      <c r="NRX550" s="120"/>
      <c r="NRY550" s="120"/>
      <c r="NRZ550" s="120"/>
      <c r="NSA550" s="120"/>
      <c r="NSB550" s="120"/>
      <c r="NSC550" s="120"/>
      <c r="NSD550" s="120"/>
      <c r="NSE550" s="120"/>
      <c r="NSF550" s="120"/>
      <c r="NSG550" s="120"/>
      <c r="NSH550" s="120"/>
      <c r="NSI550" s="120"/>
      <c r="NSJ550" s="120"/>
      <c r="NSK550" s="120"/>
      <c r="NSL550" s="120"/>
      <c r="NSM550" s="120"/>
      <c r="NSN550" s="120"/>
      <c r="NSO550" s="120"/>
      <c r="NSP550" s="120"/>
      <c r="NSQ550" s="120"/>
      <c r="NSR550" s="120"/>
      <c r="NSS550" s="120"/>
      <c r="NST550" s="120"/>
      <c r="NSU550" s="120"/>
      <c r="NSV550" s="120"/>
      <c r="NSW550" s="120"/>
      <c r="NSX550" s="120"/>
      <c r="NSY550" s="120"/>
      <c r="NSZ550" s="120"/>
      <c r="NTA550" s="120"/>
      <c r="NTB550" s="120"/>
      <c r="NTC550" s="120"/>
      <c r="NTD550" s="120"/>
      <c r="NTE550" s="120"/>
      <c r="NTF550" s="120"/>
      <c r="NTG550" s="120"/>
      <c r="NTH550" s="120"/>
      <c r="NTI550" s="120"/>
      <c r="NTJ550" s="120"/>
      <c r="NTK550" s="120"/>
      <c r="NTL550" s="120"/>
      <c r="NTM550" s="120"/>
      <c r="NTN550" s="120"/>
      <c r="NTO550" s="120"/>
      <c r="NTP550" s="120"/>
      <c r="NTQ550" s="120"/>
      <c r="NTR550" s="120"/>
      <c r="NTS550" s="120"/>
      <c r="NTT550" s="120"/>
      <c r="NTU550" s="120"/>
      <c r="NTV550" s="120"/>
      <c r="NTW550" s="120"/>
      <c r="NTX550" s="120"/>
      <c r="NTY550" s="120"/>
      <c r="NTZ550" s="120"/>
      <c r="NUA550" s="120"/>
      <c r="NUB550" s="120"/>
      <c r="NUC550" s="120"/>
      <c r="NUD550" s="120"/>
      <c r="NUE550" s="120"/>
      <c r="NUF550" s="120"/>
      <c r="NUG550" s="120"/>
      <c r="NUH550" s="120"/>
      <c r="NUI550" s="120"/>
      <c r="NUJ550" s="120"/>
      <c r="NUK550" s="120"/>
      <c r="NUL550" s="120"/>
      <c r="NUM550" s="120"/>
      <c r="NUN550" s="120"/>
      <c r="NUO550" s="120"/>
      <c r="NUP550" s="120"/>
      <c r="NUQ550" s="120"/>
      <c r="NUR550" s="120"/>
      <c r="NUS550" s="120"/>
      <c r="NUT550" s="120"/>
      <c r="NUU550" s="120"/>
      <c r="NUV550" s="120"/>
      <c r="NUW550" s="120"/>
      <c r="NUX550" s="120"/>
      <c r="NUY550" s="120"/>
      <c r="NUZ550" s="120"/>
      <c r="NVA550" s="120"/>
      <c r="NVB550" s="120"/>
      <c r="NVC550" s="120"/>
      <c r="NVD550" s="120"/>
      <c r="NVE550" s="120"/>
      <c r="NVF550" s="120"/>
      <c r="NVG550" s="120"/>
      <c r="NVH550" s="120"/>
      <c r="NVI550" s="120"/>
      <c r="NVJ550" s="120"/>
      <c r="NVK550" s="120"/>
      <c r="NVL550" s="120"/>
      <c r="NVM550" s="120"/>
      <c r="NVN550" s="120"/>
      <c r="NVO550" s="120"/>
      <c r="NVP550" s="120"/>
      <c r="NVQ550" s="120"/>
      <c r="NVR550" s="120"/>
      <c r="NVS550" s="120"/>
      <c r="NVT550" s="120"/>
      <c r="NVU550" s="120"/>
      <c r="NVV550" s="120"/>
      <c r="NVW550" s="120"/>
      <c r="NVX550" s="120"/>
      <c r="NVY550" s="120"/>
      <c r="NVZ550" s="120"/>
      <c r="NWA550" s="120"/>
      <c r="NWB550" s="120"/>
      <c r="NWC550" s="120"/>
      <c r="NWD550" s="120"/>
      <c r="NWE550" s="120"/>
      <c r="NWF550" s="120"/>
      <c r="NWG550" s="120"/>
      <c r="NWH550" s="120"/>
      <c r="NWI550" s="120"/>
      <c r="NWJ550" s="120"/>
      <c r="NWK550" s="120"/>
      <c r="NWL550" s="120"/>
      <c r="NWM550" s="120"/>
      <c r="NWN550" s="120"/>
      <c r="NWO550" s="120"/>
      <c r="NWP550" s="120"/>
      <c r="NWQ550" s="120"/>
      <c r="NWR550" s="120"/>
      <c r="NWS550" s="120"/>
      <c r="NWT550" s="120"/>
      <c r="NWU550" s="120"/>
      <c r="NWV550" s="120"/>
      <c r="NWW550" s="120"/>
      <c r="NWX550" s="120"/>
      <c r="NWY550" s="120"/>
      <c r="NWZ550" s="120"/>
      <c r="NXA550" s="120"/>
      <c r="NXB550" s="120"/>
      <c r="NXC550" s="120"/>
      <c r="NXD550" s="120"/>
      <c r="NXE550" s="120"/>
      <c r="NXF550" s="120"/>
      <c r="NXG550" s="120"/>
      <c r="NXH550" s="120"/>
      <c r="NXI550" s="120"/>
      <c r="NXJ550" s="120"/>
      <c r="NXK550" s="120"/>
      <c r="NXL550" s="120"/>
      <c r="NXM550" s="120"/>
      <c r="NXN550" s="120"/>
      <c r="NXO550" s="120"/>
      <c r="NXP550" s="120"/>
      <c r="NXQ550" s="120"/>
      <c r="NXR550" s="120"/>
      <c r="NXS550" s="120"/>
      <c r="NXT550" s="120"/>
      <c r="NXU550" s="120"/>
      <c r="NXV550" s="120"/>
      <c r="NXW550" s="120"/>
      <c r="NXX550" s="120"/>
      <c r="NXY550" s="120"/>
      <c r="NXZ550" s="120"/>
      <c r="NYA550" s="120"/>
      <c r="NYB550" s="120"/>
      <c r="NYC550" s="120"/>
      <c r="NYD550" s="120"/>
      <c r="NYE550" s="120"/>
      <c r="NYF550" s="120"/>
      <c r="NYG550" s="120"/>
      <c r="NYH550" s="120"/>
      <c r="NYI550" s="120"/>
      <c r="NYJ550" s="120"/>
      <c r="NYK550" s="120"/>
      <c r="NYL550" s="120"/>
      <c r="NYM550" s="120"/>
      <c r="NYN550" s="120"/>
      <c r="NYO550" s="120"/>
      <c r="NYP550" s="120"/>
      <c r="NYQ550" s="120"/>
      <c r="NYR550" s="120"/>
      <c r="NYS550" s="120"/>
      <c r="NYT550" s="120"/>
      <c r="NYU550" s="120"/>
      <c r="NYV550" s="120"/>
      <c r="NYW550" s="120"/>
      <c r="NYX550" s="120"/>
      <c r="NYY550" s="120"/>
      <c r="NYZ550" s="120"/>
      <c r="NZA550" s="120"/>
      <c r="NZB550" s="120"/>
      <c r="NZC550" s="120"/>
      <c r="NZD550" s="120"/>
      <c r="NZE550" s="120"/>
      <c r="NZF550" s="120"/>
      <c r="NZG550" s="120"/>
      <c r="NZH550" s="120"/>
      <c r="NZI550" s="120"/>
      <c r="NZJ550" s="120"/>
      <c r="NZK550" s="120"/>
      <c r="NZL550" s="120"/>
      <c r="NZM550" s="120"/>
      <c r="NZN550" s="120"/>
      <c r="NZO550" s="120"/>
      <c r="NZP550" s="120"/>
      <c r="NZQ550" s="120"/>
      <c r="NZR550" s="120"/>
      <c r="NZS550" s="120"/>
      <c r="NZT550" s="120"/>
      <c r="NZU550" s="120"/>
      <c r="NZV550" s="120"/>
      <c r="NZW550" s="120"/>
      <c r="NZX550" s="120"/>
      <c r="NZY550" s="120"/>
      <c r="NZZ550" s="120"/>
      <c r="OAA550" s="120"/>
      <c r="OAB550" s="120"/>
      <c r="OAC550" s="120"/>
      <c r="OAD550" s="120"/>
      <c r="OAE550" s="120"/>
      <c r="OAF550" s="120"/>
      <c r="OAG550" s="120"/>
      <c r="OAH550" s="120"/>
      <c r="OAI550" s="120"/>
      <c r="OAJ550" s="120"/>
      <c r="OAK550" s="120"/>
      <c r="OAL550" s="120"/>
      <c r="OAM550" s="120"/>
      <c r="OAN550" s="120"/>
      <c r="OAO550" s="120"/>
      <c r="OAP550" s="120"/>
      <c r="OAQ550" s="120"/>
      <c r="OAR550" s="120"/>
      <c r="OAS550" s="120"/>
      <c r="OAT550" s="120"/>
      <c r="OAU550" s="120"/>
      <c r="OAV550" s="120"/>
      <c r="OAW550" s="120"/>
      <c r="OAX550" s="120"/>
      <c r="OAY550" s="120"/>
      <c r="OAZ550" s="120"/>
      <c r="OBA550" s="120"/>
      <c r="OBB550" s="120"/>
      <c r="OBC550" s="120"/>
      <c r="OBD550" s="120"/>
      <c r="OBE550" s="120"/>
      <c r="OBF550" s="120"/>
      <c r="OBG550" s="120"/>
      <c r="OBH550" s="120"/>
      <c r="OBI550" s="120"/>
      <c r="OBJ550" s="120"/>
      <c r="OBK550" s="120"/>
      <c r="OBL550" s="120"/>
      <c r="OBM550" s="120"/>
      <c r="OBN550" s="120"/>
      <c r="OBO550" s="120"/>
      <c r="OBP550" s="120"/>
      <c r="OBQ550" s="120"/>
      <c r="OBR550" s="120"/>
      <c r="OBS550" s="120"/>
      <c r="OBT550" s="120"/>
      <c r="OBU550" s="120"/>
      <c r="OBV550" s="120"/>
      <c r="OBW550" s="120"/>
      <c r="OBX550" s="120"/>
      <c r="OBY550" s="120"/>
      <c r="OBZ550" s="120"/>
      <c r="OCA550" s="120"/>
      <c r="OCB550" s="120"/>
      <c r="OCC550" s="120"/>
      <c r="OCD550" s="120"/>
      <c r="OCE550" s="120"/>
      <c r="OCF550" s="120"/>
      <c r="OCG550" s="120"/>
      <c r="OCH550" s="120"/>
      <c r="OCI550" s="120"/>
      <c r="OCJ550" s="120"/>
      <c r="OCK550" s="120"/>
      <c r="OCL550" s="120"/>
      <c r="OCM550" s="120"/>
      <c r="OCN550" s="120"/>
      <c r="OCO550" s="120"/>
      <c r="OCP550" s="120"/>
      <c r="OCQ550" s="120"/>
      <c r="OCR550" s="120"/>
      <c r="OCS550" s="120"/>
      <c r="OCT550" s="120"/>
      <c r="OCU550" s="120"/>
      <c r="OCV550" s="120"/>
      <c r="OCW550" s="120"/>
      <c r="OCX550" s="120"/>
      <c r="OCY550" s="120"/>
      <c r="OCZ550" s="120"/>
      <c r="ODA550" s="120"/>
      <c r="ODB550" s="120"/>
      <c r="ODC550" s="120"/>
      <c r="ODD550" s="120"/>
      <c r="ODE550" s="120"/>
      <c r="ODF550" s="120"/>
      <c r="ODG550" s="120"/>
      <c r="ODH550" s="120"/>
      <c r="ODI550" s="120"/>
      <c r="ODJ550" s="120"/>
      <c r="ODK550" s="120"/>
      <c r="ODL550" s="120"/>
      <c r="ODM550" s="120"/>
      <c r="ODN550" s="120"/>
      <c r="ODO550" s="120"/>
      <c r="ODP550" s="120"/>
      <c r="ODQ550" s="120"/>
      <c r="ODR550" s="120"/>
      <c r="ODS550" s="120"/>
      <c r="ODT550" s="120"/>
      <c r="ODU550" s="120"/>
      <c r="ODV550" s="120"/>
      <c r="ODW550" s="120"/>
      <c r="ODX550" s="120"/>
      <c r="ODY550" s="120"/>
      <c r="ODZ550" s="120"/>
      <c r="OEA550" s="120"/>
      <c r="OEB550" s="120"/>
      <c r="OEC550" s="120"/>
      <c r="OED550" s="120"/>
      <c r="OEE550" s="120"/>
      <c r="OEF550" s="120"/>
      <c r="OEG550" s="120"/>
      <c r="OEH550" s="120"/>
      <c r="OEI550" s="120"/>
      <c r="OEJ550" s="120"/>
      <c r="OEK550" s="120"/>
      <c r="OEL550" s="120"/>
      <c r="OEM550" s="120"/>
      <c r="OEN550" s="120"/>
      <c r="OEO550" s="120"/>
      <c r="OEP550" s="120"/>
      <c r="OEQ550" s="120"/>
      <c r="OER550" s="120"/>
      <c r="OES550" s="120"/>
      <c r="OET550" s="120"/>
      <c r="OEU550" s="120"/>
      <c r="OEV550" s="120"/>
      <c r="OEW550" s="120"/>
      <c r="OEX550" s="120"/>
      <c r="OEY550" s="120"/>
      <c r="OEZ550" s="120"/>
      <c r="OFA550" s="120"/>
      <c r="OFB550" s="120"/>
      <c r="OFC550" s="120"/>
      <c r="OFD550" s="120"/>
      <c r="OFE550" s="120"/>
      <c r="OFF550" s="120"/>
      <c r="OFG550" s="120"/>
      <c r="OFH550" s="120"/>
      <c r="OFI550" s="120"/>
      <c r="OFJ550" s="120"/>
      <c r="OFK550" s="120"/>
      <c r="OFL550" s="120"/>
      <c r="OFM550" s="120"/>
      <c r="OFN550" s="120"/>
      <c r="OFO550" s="120"/>
      <c r="OFP550" s="120"/>
      <c r="OFQ550" s="120"/>
      <c r="OFR550" s="120"/>
      <c r="OFS550" s="120"/>
      <c r="OFT550" s="120"/>
      <c r="OFU550" s="120"/>
      <c r="OFV550" s="120"/>
      <c r="OFW550" s="120"/>
      <c r="OFX550" s="120"/>
      <c r="OFY550" s="120"/>
      <c r="OFZ550" s="120"/>
      <c r="OGA550" s="120"/>
      <c r="OGB550" s="120"/>
      <c r="OGC550" s="120"/>
      <c r="OGD550" s="120"/>
      <c r="OGE550" s="120"/>
      <c r="OGF550" s="120"/>
      <c r="OGG550" s="120"/>
      <c r="OGH550" s="120"/>
      <c r="OGI550" s="120"/>
      <c r="OGJ550" s="120"/>
      <c r="OGK550" s="120"/>
      <c r="OGL550" s="120"/>
      <c r="OGM550" s="120"/>
      <c r="OGN550" s="120"/>
      <c r="OGO550" s="120"/>
      <c r="OGP550" s="120"/>
      <c r="OGQ550" s="120"/>
      <c r="OGR550" s="120"/>
      <c r="OGS550" s="120"/>
      <c r="OGT550" s="120"/>
      <c r="OGU550" s="120"/>
      <c r="OGV550" s="120"/>
      <c r="OGW550" s="120"/>
      <c r="OGX550" s="120"/>
      <c r="OGY550" s="120"/>
      <c r="OGZ550" s="120"/>
      <c r="OHA550" s="120"/>
      <c r="OHB550" s="120"/>
      <c r="OHC550" s="120"/>
      <c r="OHD550" s="120"/>
      <c r="OHE550" s="120"/>
      <c r="OHF550" s="120"/>
      <c r="OHG550" s="120"/>
      <c r="OHH550" s="120"/>
      <c r="OHI550" s="120"/>
      <c r="OHJ550" s="120"/>
      <c r="OHK550" s="120"/>
      <c r="OHL550" s="120"/>
      <c r="OHM550" s="120"/>
      <c r="OHN550" s="120"/>
      <c r="OHO550" s="120"/>
      <c r="OHP550" s="120"/>
      <c r="OHQ550" s="120"/>
      <c r="OHR550" s="120"/>
      <c r="OHS550" s="120"/>
      <c r="OHT550" s="120"/>
      <c r="OHU550" s="120"/>
      <c r="OHV550" s="120"/>
      <c r="OHW550" s="120"/>
      <c r="OHX550" s="120"/>
      <c r="OHY550" s="120"/>
      <c r="OHZ550" s="120"/>
      <c r="OIA550" s="120"/>
      <c r="OIB550" s="120"/>
      <c r="OIC550" s="120"/>
      <c r="OID550" s="120"/>
      <c r="OIE550" s="120"/>
      <c r="OIF550" s="120"/>
      <c r="OIG550" s="120"/>
      <c r="OIH550" s="120"/>
      <c r="OII550" s="120"/>
      <c r="OIJ550" s="120"/>
      <c r="OIK550" s="120"/>
      <c r="OIL550" s="120"/>
      <c r="OIM550" s="120"/>
      <c r="OIN550" s="120"/>
      <c r="OIO550" s="120"/>
      <c r="OIP550" s="120"/>
      <c r="OIQ550" s="120"/>
      <c r="OIR550" s="120"/>
      <c r="OIS550" s="120"/>
      <c r="OIT550" s="120"/>
      <c r="OIU550" s="120"/>
      <c r="OIV550" s="120"/>
      <c r="OIW550" s="120"/>
      <c r="OIX550" s="120"/>
      <c r="OIY550" s="120"/>
      <c r="OIZ550" s="120"/>
      <c r="OJA550" s="120"/>
      <c r="OJB550" s="120"/>
      <c r="OJC550" s="120"/>
      <c r="OJD550" s="120"/>
      <c r="OJE550" s="120"/>
      <c r="OJF550" s="120"/>
      <c r="OJG550" s="120"/>
      <c r="OJH550" s="120"/>
      <c r="OJI550" s="120"/>
      <c r="OJJ550" s="120"/>
      <c r="OJK550" s="120"/>
      <c r="OJL550" s="120"/>
      <c r="OJM550" s="120"/>
      <c r="OJN550" s="120"/>
      <c r="OJO550" s="120"/>
      <c r="OJP550" s="120"/>
      <c r="OJQ550" s="120"/>
      <c r="OJR550" s="120"/>
      <c r="OJS550" s="120"/>
      <c r="OJT550" s="120"/>
      <c r="OJU550" s="120"/>
      <c r="OJV550" s="120"/>
      <c r="OJW550" s="120"/>
      <c r="OJX550" s="120"/>
      <c r="OJY550" s="120"/>
      <c r="OJZ550" s="120"/>
      <c r="OKA550" s="120"/>
      <c r="OKB550" s="120"/>
      <c r="OKC550" s="120"/>
      <c r="OKD550" s="120"/>
      <c r="OKE550" s="120"/>
      <c r="OKF550" s="120"/>
      <c r="OKG550" s="120"/>
      <c r="OKH550" s="120"/>
      <c r="OKI550" s="120"/>
      <c r="OKJ550" s="120"/>
      <c r="OKK550" s="120"/>
      <c r="OKL550" s="120"/>
      <c r="OKM550" s="120"/>
      <c r="OKN550" s="120"/>
      <c r="OKO550" s="120"/>
      <c r="OKP550" s="120"/>
      <c r="OKQ550" s="120"/>
      <c r="OKR550" s="120"/>
      <c r="OKS550" s="120"/>
      <c r="OKT550" s="120"/>
      <c r="OKU550" s="120"/>
      <c r="OKV550" s="120"/>
      <c r="OKW550" s="120"/>
      <c r="OKX550" s="120"/>
      <c r="OKY550" s="120"/>
      <c r="OKZ550" s="120"/>
      <c r="OLA550" s="120"/>
      <c r="OLB550" s="120"/>
      <c r="OLC550" s="120"/>
      <c r="OLD550" s="120"/>
      <c r="OLE550" s="120"/>
      <c r="OLF550" s="120"/>
      <c r="OLG550" s="120"/>
      <c r="OLH550" s="120"/>
      <c r="OLI550" s="120"/>
      <c r="OLJ550" s="120"/>
      <c r="OLK550" s="120"/>
      <c r="OLL550" s="120"/>
      <c r="OLM550" s="120"/>
      <c r="OLN550" s="120"/>
      <c r="OLO550" s="120"/>
      <c r="OLP550" s="120"/>
      <c r="OLQ550" s="120"/>
      <c r="OLR550" s="120"/>
      <c r="OLS550" s="120"/>
      <c r="OLT550" s="120"/>
      <c r="OLU550" s="120"/>
      <c r="OLV550" s="120"/>
      <c r="OLW550" s="120"/>
      <c r="OLX550" s="120"/>
      <c r="OLY550" s="120"/>
      <c r="OLZ550" s="120"/>
      <c r="OMA550" s="120"/>
      <c r="OMB550" s="120"/>
      <c r="OMC550" s="120"/>
      <c r="OMD550" s="120"/>
      <c r="OME550" s="120"/>
      <c r="OMF550" s="120"/>
      <c r="OMG550" s="120"/>
      <c r="OMH550" s="120"/>
      <c r="OMI550" s="120"/>
      <c r="OMJ550" s="120"/>
      <c r="OMK550" s="120"/>
      <c r="OML550" s="120"/>
      <c r="OMM550" s="120"/>
      <c r="OMN550" s="120"/>
      <c r="OMO550" s="120"/>
      <c r="OMP550" s="120"/>
      <c r="OMQ550" s="120"/>
      <c r="OMR550" s="120"/>
      <c r="OMS550" s="120"/>
      <c r="OMT550" s="120"/>
      <c r="OMU550" s="120"/>
      <c r="OMV550" s="120"/>
      <c r="OMW550" s="120"/>
      <c r="OMX550" s="120"/>
      <c r="OMY550" s="120"/>
      <c r="OMZ550" s="120"/>
      <c r="ONA550" s="120"/>
      <c r="ONB550" s="120"/>
      <c r="ONC550" s="120"/>
      <c r="OND550" s="120"/>
      <c r="ONE550" s="120"/>
      <c r="ONF550" s="120"/>
      <c r="ONG550" s="120"/>
      <c r="ONH550" s="120"/>
      <c r="ONI550" s="120"/>
      <c r="ONJ550" s="120"/>
      <c r="ONK550" s="120"/>
      <c r="ONL550" s="120"/>
      <c r="ONM550" s="120"/>
      <c r="ONN550" s="120"/>
      <c r="ONO550" s="120"/>
      <c r="ONP550" s="120"/>
      <c r="ONQ550" s="120"/>
      <c r="ONR550" s="120"/>
      <c r="ONS550" s="120"/>
      <c r="ONT550" s="120"/>
      <c r="ONU550" s="120"/>
      <c r="ONV550" s="120"/>
      <c r="ONW550" s="120"/>
      <c r="ONX550" s="120"/>
      <c r="ONY550" s="120"/>
      <c r="ONZ550" s="120"/>
      <c r="OOA550" s="120"/>
      <c r="OOB550" s="120"/>
      <c r="OOC550" s="120"/>
      <c r="OOD550" s="120"/>
      <c r="OOE550" s="120"/>
      <c r="OOF550" s="120"/>
      <c r="OOG550" s="120"/>
      <c r="OOH550" s="120"/>
      <c r="OOI550" s="120"/>
      <c r="OOJ550" s="120"/>
      <c r="OOK550" s="120"/>
      <c r="OOL550" s="120"/>
      <c r="OOM550" s="120"/>
      <c r="OON550" s="120"/>
      <c r="OOO550" s="120"/>
      <c r="OOP550" s="120"/>
      <c r="OOQ550" s="120"/>
      <c r="OOR550" s="120"/>
      <c r="OOS550" s="120"/>
      <c r="OOT550" s="120"/>
      <c r="OOU550" s="120"/>
      <c r="OOV550" s="120"/>
      <c r="OOW550" s="120"/>
      <c r="OOX550" s="120"/>
      <c r="OOY550" s="120"/>
      <c r="OOZ550" s="120"/>
      <c r="OPA550" s="120"/>
      <c r="OPB550" s="120"/>
      <c r="OPC550" s="120"/>
      <c r="OPD550" s="120"/>
      <c r="OPE550" s="120"/>
      <c r="OPF550" s="120"/>
      <c r="OPG550" s="120"/>
      <c r="OPH550" s="120"/>
      <c r="OPI550" s="120"/>
      <c r="OPJ550" s="120"/>
      <c r="OPK550" s="120"/>
      <c r="OPL550" s="120"/>
      <c r="OPM550" s="120"/>
      <c r="OPN550" s="120"/>
      <c r="OPO550" s="120"/>
      <c r="OPP550" s="120"/>
      <c r="OPQ550" s="120"/>
      <c r="OPR550" s="120"/>
      <c r="OPS550" s="120"/>
      <c r="OPT550" s="120"/>
      <c r="OPU550" s="120"/>
      <c r="OPV550" s="120"/>
      <c r="OPW550" s="120"/>
      <c r="OPX550" s="120"/>
      <c r="OPY550" s="120"/>
      <c r="OPZ550" s="120"/>
      <c r="OQA550" s="120"/>
      <c r="OQB550" s="120"/>
      <c r="OQC550" s="120"/>
      <c r="OQD550" s="120"/>
      <c r="OQE550" s="120"/>
      <c r="OQF550" s="120"/>
      <c r="OQG550" s="120"/>
      <c r="OQH550" s="120"/>
      <c r="OQI550" s="120"/>
      <c r="OQJ550" s="120"/>
      <c r="OQK550" s="120"/>
      <c r="OQL550" s="120"/>
      <c r="OQM550" s="120"/>
      <c r="OQN550" s="120"/>
      <c r="OQO550" s="120"/>
      <c r="OQP550" s="120"/>
      <c r="OQQ550" s="120"/>
      <c r="OQR550" s="120"/>
      <c r="OQS550" s="120"/>
      <c r="OQT550" s="120"/>
      <c r="OQU550" s="120"/>
      <c r="OQV550" s="120"/>
      <c r="OQW550" s="120"/>
      <c r="OQX550" s="120"/>
      <c r="OQY550" s="120"/>
      <c r="OQZ550" s="120"/>
      <c r="ORA550" s="120"/>
      <c r="ORB550" s="120"/>
      <c r="ORC550" s="120"/>
      <c r="ORD550" s="120"/>
      <c r="ORE550" s="120"/>
      <c r="ORF550" s="120"/>
      <c r="ORG550" s="120"/>
      <c r="ORH550" s="120"/>
      <c r="ORI550" s="120"/>
      <c r="ORJ550" s="120"/>
      <c r="ORK550" s="120"/>
      <c r="ORL550" s="120"/>
      <c r="ORM550" s="120"/>
      <c r="ORN550" s="120"/>
      <c r="ORO550" s="120"/>
      <c r="ORP550" s="120"/>
      <c r="ORQ550" s="120"/>
      <c r="ORR550" s="120"/>
      <c r="ORS550" s="120"/>
      <c r="ORT550" s="120"/>
      <c r="ORU550" s="120"/>
      <c r="ORV550" s="120"/>
      <c r="ORW550" s="120"/>
      <c r="ORX550" s="120"/>
      <c r="ORY550" s="120"/>
      <c r="ORZ550" s="120"/>
      <c r="OSA550" s="120"/>
      <c r="OSB550" s="120"/>
      <c r="OSC550" s="120"/>
      <c r="OSD550" s="120"/>
      <c r="OSE550" s="120"/>
      <c r="OSF550" s="120"/>
      <c r="OSG550" s="120"/>
      <c r="OSH550" s="120"/>
      <c r="OSI550" s="120"/>
      <c r="OSJ550" s="120"/>
      <c r="OSK550" s="120"/>
      <c r="OSL550" s="120"/>
      <c r="OSM550" s="120"/>
      <c r="OSN550" s="120"/>
      <c r="OSO550" s="120"/>
      <c r="OSP550" s="120"/>
      <c r="OSQ550" s="120"/>
      <c r="OSR550" s="120"/>
      <c r="OSS550" s="120"/>
      <c r="OST550" s="120"/>
      <c r="OSU550" s="120"/>
      <c r="OSV550" s="120"/>
      <c r="OSW550" s="120"/>
      <c r="OSX550" s="120"/>
      <c r="OSY550" s="120"/>
      <c r="OSZ550" s="120"/>
      <c r="OTA550" s="120"/>
      <c r="OTB550" s="120"/>
      <c r="OTC550" s="120"/>
      <c r="OTD550" s="120"/>
      <c r="OTE550" s="120"/>
      <c r="OTF550" s="120"/>
      <c r="OTG550" s="120"/>
      <c r="OTH550" s="120"/>
      <c r="OTI550" s="120"/>
      <c r="OTJ550" s="120"/>
      <c r="OTK550" s="120"/>
      <c r="OTL550" s="120"/>
      <c r="OTM550" s="120"/>
      <c r="OTN550" s="120"/>
      <c r="OTO550" s="120"/>
      <c r="OTP550" s="120"/>
      <c r="OTQ550" s="120"/>
      <c r="OTR550" s="120"/>
      <c r="OTS550" s="120"/>
      <c r="OTT550" s="120"/>
      <c r="OTU550" s="120"/>
      <c r="OTV550" s="120"/>
      <c r="OTW550" s="120"/>
      <c r="OTX550" s="120"/>
      <c r="OTY550" s="120"/>
      <c r="OTZ550" s="120"/>
      <c r="OUA550" s="120"/>
      <c r="OUB550" s="120"/>
      <c r="OUC550" s="120"/>
      <c r="OUD550" s="120"/>
      <c r="OUE550" s="120"/>
      <c r="OUF550" s="120"/>
      <c r="OUG550" s="120"/>
      <c r="OUH550" s="120"/>
      <c r="OUI550" s="120"/>
      <c r="OUJ550" s="120"/>
      <c r="OUK550" s="120"/>
      <c r="OUL550" s="120"/>
      <c r="OUM550" s="120"/>
      <c r="OUN550" s="120"/>
      <c r="OUO550" s="120"/>
      <c r="OUP550" s="120"/>
      <c r="OUQ550" s="120"/>
      <c r="OUR550" s="120"/>
      <c r="OUS550" s="120"/>
      <c r="OUT550" s="120"/>
      <c r="OUU550" s="120"/>
      <c r="OUV550" s="120"/>
      <c r="OUW550" s="120"/>
      <c r="OUX550" s="120"/>
      <c r="OUY550" s="120"/>
      <c r="OUZ550" s="120"/>
      <c r="OVA550" s="120"/>
      <c r="OVB550" s="120"/>
      <c r="OVC550" s="120"/>
      <c r="OVD550" s="120"/>
      <c r="OVE550" s="120"/>
      <c r="OVF550" s="120"/>
      <c r="OVG550" s="120"/>
      <c r="OVH550" s="120"/>
      <c r="OVI550" s="120"/>
      <c r="OVJ550" s="120"/>
      <c r="OVK550" s="120"/>
      <c r="OVL550" s="120"/>
      <c r="OVM550" s="120"/>
      <c r="OVN550" s="120"/>
      <c r="OVO550" s="120"/>
      <c r="OVP550" s="120"/>
      <c r="OVQ550" s="120"/>
      <c r="OVR550" s="120"/>
      <c r="OVS550" s="120"/>
      <c r="OVT550" s="120"/>
      <c r="OVU550" s="120"/>
      <c r="OVV550" s="120"/>
      <c r="OVW550" s="120"/>
      <c r="OVX550" s="120"/>
      <c r="OVY550" s="120"/>
      <c r="OVZ550" s="120"/>
      <c r="OWA550" s="120"/>
      <c r="OWB550" s="120"/>
      <c r="OWC550" s="120"/>
      <c r="OWD550" s="120"/>
      <c r="OWE550" s="120"/>
      <c r="OWF550" s="120"/>
      <c r="OWG550" s="120"/>
      <c r="OWH550" s="120"/>
      <c r="OWI550" s="120"/>
      <c r="OWJ550" s="120"/>
      <c r="OWK550" s="120"/>
      <c r="OWL550" s="120"/>
      <c r="OWM550" s="120"/>
      <c r="OWN550" s="120"/>
      <c r="OWO550" s="120"/>
      <c r="OWP550" s="120"/>
      <c r="OWQ550" s="120"/>
      <c r="OWR550" s="120"/>
      <c r="OWS550" s="120"/>
      <c r="OWT550" s="120"/>
      <c r="OWU550" s="120"/>
      <c r="OWV550" s="120"/>
      <c r="OWW550" s="120"/>
      <c r="OWX550" s="120"/>
      <c r="OWY550" s="120"/>
      <c r="OWZ550" s="120"/>
      <c r="OXA550" s="120"/>
      <c r="OXB550" s="120"/>
      <c r="OXC550" s="120"/>
      <c r="OXD550" s="120"/>
      <c r="OXE550" s="120"/>
      <c r="OXF550" s="120"/>
      <c r="OXG550" s="120"/>
      <c r="OXH550" s="120"/>
      <c r="OXI550" s="120"/>
      <c r="OXJ550" s="120"/>
      <c r="OXK550" s="120"/>
      <c r="OXL550" s="120"/>
      <c r="OXM550" s="120"/>
      <c r="OXN550" s="120"/>
      <c r="OXO550" s="120"/>
      <c r="OXP550" s="120"/>
      <c r="OXQ550" s="120"/>
      <c r="OXR550" s="120"/>
      <c r="OXS550" s="120"/>
      <c r="OXT550" s="120"/>
      <c r="OXU550" s="120"/>
      <c r="OXV550" s="120"/>
      <c r="OXW550" s="120"/>
      <c r="OXX550" s="120"/>
      <c r="OXY550" s="120"/>
      <c r="OXZ550" s="120"/>
      <c r="OYA550" s="120"/>
      <c r="OYB550" s="120"/>
      <c r="OYC550" s="120"/>
      <c r="OYD550" s="120"/>
      <c r="OYE550" s="120"/>
      <c r="OYF550" s="120"/>
      <c r="OYG550" s="120"/>
      <c r="OYH550" s="120"/>
      <c r="OYI550" s="120"/>
      <c r="OYJ550" s="120"/>
      <c r="OYK550" s="120"/>
      <c r="OYL550" s="120"/>
      <c r="OYM550" s="120"/>
      <c r="OYN550" s="120"/>
      <c r="OYO550" s="120"/>
      <c r="OYP550" s="120"/>
      <c r="OYQ550" s="120"/>
      <c r="OYR550" s="120"/>
      <c r="OYS550" s="120"/>
      <c r="OYT550" s="120"/>
      <c r="OYU550" s="120"/>
      <c r="OYV550" s="120"/>
      <c r="OYW550" s="120"/>
      <c r="OYX550" s="120"/>
      <c r="OYY550" s="120"/>
      <c r="OYZ550" s="120"/>
      <c r="OZA550" s="120"/>
      <c r="OZB550" s="120"/>
      <c r="OZC550" s="120"/>
      <c r="OZD550" s="120"/>
      <c r="OZE550" s="120"/>
      <c r="OZF550" s="120"/>
      <c r="OZG550" s="120"/>
      <c r="OZH550" s="120"/>
      <c r="OZI550" s="120"/>
      <c r="OZJ550" s="120"/>
      <c r="OZK550" s="120"/>
      <c r="OZL550" s="120"/>
      <c r="OZM550" s="120"/>
      <c r="OZN550" s="120"/>
      <c r="OZO550" s="120"/>
      <c r="OZP550" s="120"/>
      <c r="OZQ550" s="120"/>
      <c r="OZR550" s="120"/>
      <c r="OZS550" s="120"/>
      <c r="OZT550" s="120"/>
      <c r="OZU550" s="120"/>
      <c r="OZV550" s="120"/>
      <c r="OZW550" s="120"/>
      <c r="OZX550" s="120"/>
      <c r="OZY550" s="120"/>
      <c r="OZZ550" s="120"/>
      <c r="PAA550" s="120"/>
      <c r="PAB550" s="120"/>
      <c r="PAC550" s="120"/>
      <c r="PAD550" s="120"/>
      <c r="PAE550" s="120"/>
      <c r="PAF550" s="120"/>
      <c r="PAG550" s="120"/>
      <c r="PAH550" s="120"/>
      <c r="PAI550" s="120"/>
      <c r="PAJ550" s="120"/>
      <c r="PAK550" s="120"/>
      <c r="PAL550" s="120"/>
      <c r="PAM550" s="120"/>
      <c r="PAN550" s="120"/>
      <c r="PAO550" s="120"/>
      <c r="PAP550" s="120"/>
      <c r="PAQ550" s="120"/>
      <c r="PAR550" s="120"/>
      <c r="PAS550" s="120"/>
      <c r="PAT550" s="120"/>
      <c r="PAU550" s="120"/>
      <c r="PAV550" s="120"/>
      <c r="PAW550" s="120"/>
      <c r="PAX550" s="120"/>
      <c r="PAY550" s="120"/>
      <c r="PAZ550" s="120"/>
      <c r="PBA550" s="120"/>
      <c r="PBB550" s="120"/>
      <c r="PBC550" s="120"/>
      <c r="PBD550" s="120"/>
      <c r="PBE550" s="120"/>
      <c r="PBF550" s="120"/>
      <c r="PBG550" s="120"/>
      <c r="PBH550" s="120"/>
      <c r="PBI550" s="120"/>
      <c r="PBJ550" s="120"/>
      <c r="PBK550" s="120"/>
      <c r="PBL550" s="120"/>
      <c r="PBM550" s="120"/>
      <c r="PBN550" s="120"/>
      <c r="PBO550" s="120"/>
      <c r="PBP550" s="120"/>
      <c r="PBQ550" s="120"/>
      <c r="PBR550" s="120"/>
      <c r="PBS550" s="120"/>
      <c r="PBT550" s="120"/>
      <c r="PBU550" s="120"/>
      <c r="PBV550" s="120"/>
      <c r="PBW550" s="120"/>
      <c r="PBX550" s="120"/>
      <c r="PBY550" s="120"/>
      <c r="PBZ550" s="120"/>
      <c r="PCA550" s="120"/>
      <c r="PCB550" s="120"/>
      <c r="PCC550" s="120"/>
      <c r="PCD550" s="120"/>
      <c r="PCE550" s="120"/>
      <c r="PCF550" s="120"/>
      <c r="PCG550" s="120"/>
      <c r="PCH550" s="120"/>
      <c r="PCI550" s="120"/>
      <c r="PCJ550" s="120"/>
      <c r="PCK550" s="120"/>
      <c r="PCL550" s="120"/>
      <c r="PCM550" s="120"/>
      <c r="PCN550" s="120"/>
      <c r="PCO550" s="120"/>
      <c r="PCP550" s="120"/>
      <c r="PCQ550" s="120"/>
      <c r="PCR550" s="120"/>
      <c r="PCS550" s="120"/>
      <c r="PCT550" s="120"/>
      <c r="PCU550" s="120"/>
      <c r="PCV550" s="120"/>
      <c r="PCW550" s="120"/>
      <c r="PCX550" s="120"/>
      <c r="PCY550" s="120"/>
      <c r="PCZ550" s="120"/>
      <c r="PDA550" s="120"/>
      <c r="PDB550" s="120"/>
      <c r="PDC550" s="120"/>
      <c r="PDD550" s="120"/>
      <c r="PDE550" s="120"/>
      <c r="PDF550" s="120"/>
      <c r="PDG550" s="120"/>
      <c r="PDH550" s="120"/>
      <c r="PDI550" s="120"/>
      <c r="PDJ550" s="120"/>
      <c r="PDK550" s="120"/>
      <c r="PDL550" s="120"/>
      <c r="PDM550" s="120"/>
      <c r="PDN550" s="120"/>
      <c r="PDO550" s="120"/>
      <c r="PDP550" s="120"/>
      <c r="PDQ550" s="120"/>
      <c r="PDR550" s="120"/>
      <c r="PDS550" s="120"/>
      <c r="PDT550" s="120"/>
      <c r="PDU550" s="120"/>
      <c r="PDV550" s="120"/>
      <c r="PDW550" s="120"/>
      <c r="PDX550" s="120"/>
      <c r="PDY550" s="120"/>
      <c r="PDZ550" s="120"/>
      <c r="PEA550" s="120"/>
      <c r="PEB550" s="120"/>
      <c r="PEC550" s="120"/>
      <c r="PED550" s="120"/>
      <c r="PEE550" s="120"/>
      <c r="PEF550" s="120"/>
      <c r="PEG550" s="120"/>
      <c r="PEH550" s="120"/>
      <c r="PEI550" s="120"/>
      <c r="PEJ550" s="120"/>
      <c r="PEK550" s="120"/>
      <c r="PEL550" s="120"/>
      <c r="PEM550" s="120"/>
      <c r="PEN550" s="120"/>
      <c r="PEO550" s="120"/>
      <c r="PEP550" s="120"/>
      <c r="PEQ550" s="120"/>
      <c r="PER550" s="120"/>
      <c r="PES550" s="120"/>
      <c r="PET550" s="120"/>
      <c r="PEU550" s="120"/>
      <c r="PEV550" s="120"/>
      <c r="PEW550" s="120"/>
      <c r="PEX550" s="120"/>
      <c r="PEY550" s="120"/>
      <c r="PEZ550" s="120"/>
      <c r="PFA550" s="120"/>
      <c r="PFB550" s="120"/>
      <c r="PFC550" s="120"/>
      <c r="PFD550" s="120"/>
      <c r="PFE550" s="120"/>
      <c r="PFF550" s="120"/>
      <c r="PFG550" s="120"/>
      <c r="PFH550" s="120"/>
      <c r="PFI550" s="120"/>
      <c r="PFJ550" s="120"/>
      <c r="PFK550" s="120"/>
      <c r="PFL550" s="120"/>
      <c r="PFM550" s="120"/>
      <c r="PFN550" s="120"/>
      <c r="PFO550" s="120"/>
      <c r="PFP550" s="120"/>
      <c r="PFQ550" s="120"/>
      <c r="PFR550" s="120"/>
      <c r="PFS550" s="120"/>
      <c r="PFT550" s="120"/>
      <c r="PFU550" s="120"/>
      <c r="PFV550" s="120"/>
      <c r="PFW550" s="120"/>
      <c r="PFX550" s="120"/>
      <c r="PFY550" s="120"/>
      <c r="PFZ550" s="120"/>
      <c r="PGA550" s="120"/>
      <c r="PGB550" s="120"/>
      <c r="PGC550" s="120"/>
      <c r="PGD550" s="120"/>
      <c r="PGE550" s="120"/>
      <c r="PGF550" s="120"/>
      <c r="PGG550" s="120"/>
      <c r="PGH550" s="120"/>
      <c r="PGI550" s="120"/>
      <c r="PGJ550" s="120"/>
      <c r="PGK550" s="120"/>
      <c r="PGL550" s="120"/>
      <c r="PGM550" s="120"/>
      <c r="PGN550" s="120"/>
      <c r="PGO550" s="120"/>
      <c r="PGP550" s="120"/>
      <c r="PGQ550" s="120"/>
      <c r="PGR550" s="120"/>
      <c r="PGS550" s="120"/>
      <c r="PGT550" s="120"/>
      <c r="PGU550" s="120"/>
      <c r="PGV550" s="120"/>
      <c r="PGW550" s="120"/>
      <c r="PGX550" s="120"/>
      <c r="PGY550" s="120"/>
      <c r="PGZ550" s="120"/>
      <c r="PHA550" s="120"/>
      <c r="PHB550" s="120"/>
      <c r="PHC550" s="120"/>
      <c r="PHD550" s="120"/>
      <c r="PHE550" s="120"/>
      <c r="PHF550" s="120"/>
      <c r="PHG550" s="120"/>
      <c r="PHH550" s="120"/>
      <c r="PHI550" s="120"/>
      <c r="PHJ550" s="120"/>
      <c r="PHK550" s="120"/>
      <c r="PHL550" s="120"/>
      <c r="PHM550" s="120"/>
      <c r="PHN550" s="120"/>
      <c r="PHO550" s="120"/>
      <c r="PHP550" s="120"/>
      <c r="PHQ550" s="120"/>
      <c r="PHR550" s="120"/>
      <c r="PHS550" s="120"/>
      <c r="PHT550" s="120"/>
      <c r="PHU550" s="120"/>
      <c r="PHV550" s="120"/>
      <c r="PHW550" s="120"/>
      <c r="PHX550" s="120"/>
      <c r="PHY550" s="120"/>
      <c r="PHZ550" s="120"/>
      <c r="PIA550" s="120"/>
      <c r="PIB550" s="120"/>
      <c r="PIC550" s="120"/>
      <c r="PID550" s="120"/>
      <c r="PIE550" s="120"/>
      <c r="PIF550" s="120"/>
      <c r="PIG550" s="120"/>
      <c r="PIH550" s="120"/>
      <c r="PII550" s="120"/>
      <c r="PIJ550" s="120"/>
      <c r="PIK550" s="120"/>
      <c r="PIL550" s="120"/>
      <c r="PIM550" s="120"/>
      <c r="PIN550" s="120"/>
      <c r="PIO550" s="120"/>
      <c r="PIP550" s="120"/>
      <c r="PIQ550" s="120"/>
      <c r="PIR550" s="120"/>
      <c r="PIS550" s="120"/>
      <c r="PIT550" s="120"/>
      <c r="PIU550" s="120"/>
      <c r="PIV550" s="120"/>
      <c r="PIW550" s="120"/>
      <c r="PIX550" s="120"/>
      <c r="PIY550" s="120"/>
      <c r="PIZ550" s="120"/>
      <c r="PJA550" s="120"/>
      <c r="PJB550" s="120"/>
      <c r="PJC550" s="120"/>
      <c r="PJD550" s="120"/>
      <c r="PJE550" s="120"/>
      <c r="PJF550" s="120"/>
      <c r="PJG550" s="120"/>
      <c r="PJH550" s="120"/>
      <c r="PJI550" s="120"/>
      <c r="PJJ550" s="120"/>
      <c r="PJK550" s="120"/>
      <c r="PJL550" s="120"/>
      <c r="PJM550" s="120"/>
      <c r="PJN550" s="120"/>
      <c r="PJO550" s="120"/>
      <c r="PJP550" s="120"/>
      <c r="PJQ550" s="120"/>
      <c r="PJR550" s="120"/>
      <c r="PJS550" s="120"/>
      <c r="PJT550" s="120"/>
      <c r="PJU550" s="120"/>
      <c r="PJV550" s="120"/>
      <c r="PJW550" s="120"/>
      <c r="PJX550" s="120"/>
      <c r="PJY550" s="120"/>
      <c r="PJZ550" s="120"/>
      <c r="PKA550" s="120"/>
      <c r="PKB550" s="120"/>
      <c r="PKC550" s="120"/>
      <c r="PKD550" s="120"/>
      <c r="PKE550" s="120"/>
      <c r="PKF550" s="120"/>
      <c r="PKG550" s="120"/>
      <c r="PKH550" s="120"/>
      <c r="PKI550" s="120"/>
      <c r="PKJ550" s="120"/>
      <c r="PKK550" s="120"/>
      <c r="PKL550" s="120"/>
      <c r="PKM550" s="120"/>
      <c r="PKN550" s="120"/>
      <c r="PKO550" s="120"/>
      <c r="PKP550" s="120"/>
      <c r="PKQ550" s="120"/>
      <c r="PKR550" s="120"/>
      <c r="PKS550" s="120"/>
      <c r="PKT550" s="120"/>
      <c r="PKU550" s="120"/>
      <c r="PKV550" s="120"/>
      <c r="PKW550" s="120"/>
      <c r="PKX550" s="120"/>
      <c r="PKY550" s="120"/>
      <c r="PKZ550" s="120"/>
      <c r="PLA550" s="120"/>
      <c r="PLB550" s="120"/>
      <c r="PLC550" s="120"/>
      <c r="PLD550" s="120"/>
      <c r="PLE550" s="120"/>
      <c r="PLF550" s="120"/>
      <c r="PLG550" s="120"/>
      <c r="PLH550" s="120"/>
      <c r="PLI550" s="120"/>
      <c r="PLJ550" s="120"/>
      <c r="PLK550" s="120"/>
      <c r="PLL550" s="120"/>
      <c r="PLM550" s="120"/>
      <c r="PLN550" s="120"/>
      <c r="PLO550" s="120"/>
      <c r="PLP550" s="120"/>
      <c r="PLQ550" s="120"/>
      <c r="PLR550" s="120"/>
      <c r="PLS550" s="120"/>
      <c r="PLT550" s="120"/>
      <c r="PLU550" s="120"/>
      <c r="PLV550" s="120"/>
      <c r="PLW550" s="120"/>
      <c r="PLX550" s="120"/>
      <c r="PLY550" s="120"/>
      <c r="PLZ550" s="120"/>
      <c r="PMA550" s="120"/>
      <c r="PMB550" s="120"/>
      <c r="PMC550" s="120"/>
      <c r="PMD550" s="120"/>
      <c r="PME550" s="120"/>
      <c r="PMF550" s="120"/>
      <c r="PMG550" s="120"/>
      <c r="PMH550" s="120"/>
      <c r="PMI550" s="120"/>
      <c r="PMJ550" s="120"/>
      <c r="PMK550" s="120"/>
      <c r="PML550" s="120"/>
      <c r="PMM550" s="120"/>
      <c r="PMN550" s="120"/>
      <c r="PMO550" s="120"/>
      <c r="PMP550" s="120"/>
      <c r="PMQ550" s="120"/>
      <c r="PMR550" s="120"/>
      <c r="PMS550" s="120"/>
      <c r="PMT550" s="120"/>
      <c r="PMU550" s="120"/>
      <c r="PMV550" s="120"/>
      <c r="PMW550" s="120"/>
      <c r="PMX550" s="120"/>
      <c r="PMY550" s="120"/>
      <c r="PMZ550" s="120"/>
      <c r="PNA550" s="120"/>
      <c r="PNB550" s="120"/>
      <c r="PNC550" s="120"/>
      <c r="PND550" s="120"/>
      <c r="PNE550" s="120"/>
      <c r="PNF550" s="120"/>
      <c r="PNG550" s="120"/>
      <c r="PNH550" s="120"/>
      <c r="PNI550" s="120"/>
      <c r="PNJ550" s="120"/>
      <c r="PNK550" s="120"/>
      <c r="PNL550" s="120"/>
      <c r="PNM550" s="120"/>
      <c r="PNN550" s="120"/>
      <c r="PNO550" s="120"/>
      <c r="PNP550" s="120"/>
      <c r="PNQ550" s="120"/>
      <c r="PNR550" s="120"/>
      <c r="PNS550" s="120"/>
      <c r="PNT550" s="120"/>
      <c r="PNU550" s="120"/>
      <c r="PNV550" s="120"/>
      <c r="PNW550" s="120"/>
      <c r="PNX550" s="120"/>
      <c r="PNY550" s="120"/>
      <c r="PNZ550" s="120"/>
      <c r="POA550" s="120"/>
      <c r="POB550" s="120"/>
      <c r="POC550" s="120"/>
      <c r="POD550" s="120"/>
      <c r="POE550" s="120"/>
      <c r="POF550" s="120"/>
      <c r="POG550" s="120"/>
      <c r="POH550" s="120"/>
      <c r="POI550" s="120"/>
      <c r="POJ550" s="120"/>
      <c r="POK550" s="120"/>
      <c r="POL550" s="120"/>
      <c r="POM550" s="120"/>
      <c r="PON550" s="120"/>
      <c r="POO550" s="120"/>
      <c r="POP550" s="120"/>
      <c r="POQ550" s="120"/>
      <c r="POR550" s="120"/>
      <c r="POS550" s="120"/>
      <c r="POT550" s="120"/>
      <c r="POU550" s="120"/>
      <c r="POV550" s="120"/>
      <c r="POW550" s="120"/>
      <c r="POX550" s="120"/>
      <c r="POY550" s="120"/>
      <c r="POZ550" s="120"/>
      <c r="PPA550" s="120"/>
      <c r="PPB550" s="120"/>
      <c r="PPC550" s="120"/>
      <c r="PPD550" s="120"/>
      <c r="PPE550" s="120"/>
      <c r="PPF550" s="120"/>
      <c r="PPG550" s="120"/>
      <c r="PPH550" s="120"/>
      <c r="PPI550" s="120"/>
      <c r="PPJ550" s="120"/>
      <c r="PPK550" s="120"/>
      <c r="PPL550" s="120"/>
      <c r="PPM550" s="120"/>
      <c r="PPN550" s="120"/>
      <c r="PPO550" s="120"/>
      <c r="PPP550" s="120"/>
      <c r="PPQ550" s="120"/>
      <c r="PPR550" s="120"/>
      <c r="PPS550" s="120"/>
      <c r="PPT550" s="120"/>
      <c r="PPU550" s="120"/>
      <c r="PPV550" s="120"/>
      <c r="PPW550" s="120"/>
      <c r="PPX550" s="120"/>
      <c r="PPY550" s="120"/>
      <c r="PPZ550" s="120"/>
      <c r="PQA550" s="120"/>
      <c r="PQB550" s="120"/>
      <c r="PQC550" s="120"/>
      <c r="PQD550" s="120"/>
      <c r="PQE550" s="120"/>
      <c r="PQF550" s="120"/>
      <c r="PQG550" s="120"/>
      <c r="PQH550" s="120"/>
      <c r="PQI550" s="120"/>
      <c r="PQJ550" s="120"/>
      <c r="PQK550" s="120"/>
      <c r="PQL550" s="120"/>
      <c r="PQM550" s="120"/>
      <c r="PQN550" s="120"/>
      <c r="PQO550" s="120"/>
      <c r="PQP550" s="120"/>
      <c r="PQQ550" s="120"/>
      <c r="PQR550" s="120"/>
      <c r="PQS550" s="120"/>
      <c r="PQT550" s="120"/>
      <c r="PQU550" s="120"/>
      <c r="PQV550" s="120"/>
      <c r="PQW550" s="120"/>
      <c r="PQX550" s="120"/>
      <c r="PQY550" s="120"/>
      <c r="PQZ550" s="120"/>
      <c r="PRA550" s="120"/>
      <c r="PRB550" s="120"/>
      <c r="PRC550" s="120"/>
      <c r="PRD550" s="120"/>
      <c r="PRE550" s="120"/>
      <c r="PRF550" s="120"/>
      <c r="PRG550" s="120"/>
      <c r="PRH550" s="120"/>
      <c r="PRI550" s="120"/>
      <c r="PRJ550" s="120"/>
      <c r="PRK550" s="120"/>
      <c r="PRL550" s="120"/>
      <c r="PRM550" s="120"/>
      <c r="PRN550" s="120"/>
      <c r="PRO550" s="120"/>
      <c r="PRP550" s="120"/>
      <c r="PRQ550" s="120"/>
      <c r="PRR550" s="120"/>
      <c r="PRS550" s="120"/>
      <c r="PRT550" s="120"/>
      <c r="PRU550" s="120"/>
      <c r="PRV550" s="120"/>
      <c r="PRW550" s="120"/>
      <c r="PRX550" s="120"/>
      <c r="PRY550" s="120"/>
      <c r="PRZ550" s="120"/>
      <c r="PSA550" s="120"/>
      <c r="PSB550" s="120"/>
      <c r="PSC550" s="120"/>
      <c r="PSD550" s="120"/>
      <c r="PSE550" s="120"/>
      <c r="PSF550" s="120"/>
      <c r="PSG550" s="120"/>
      <c r="PSH550" s="120"/>
      <c r="PSI550" s="120"/>
      <c r="PSJ550" s="120"/>
      <c r="PSK550" s="120"/>
      <c r="PSL550" s="120"/>
      <c r="PSM550" s="120"/>
      <c r="PSN550" s="120"/>
      <c r="PSO550" s="120"/>
      <c r="PSP550" s="120"/>
      <c r="PSQ550" s="120"/>
      <c r="PSR550" s="120"/>
      <c r="PSS550" s="120"/>
      <c r="PST550" s="120"/>
      <c r="PSU550" s="120"/>
      <c r="PSV550" s="120"/>
      <c r="PSW550" s="120"/>
      <c r="PSX550" s="120"/>
      <c r="PSY550" s="120"/>
      <c r="PSZ550" s="120"/>
      <c r="PTA550" s="120"/>
      <c r="PTB550" s="120"/>
      <c r="PTC550" s="120"/>
      <c r="PTD550" s="120"/>
      <c r="PTE550" s="120"/>
      <c r="PTF550" s="120"/>
      <c r="PTG550" s="120"/>
      <c r="PTH550" s="120"/>
      <c r="PTI550" s="120"/>
      <c r="PTJ550" s="120"/>
      <c r="PTK550" s="120"/>
      <c r="PTL550" s="120"/>
      <c r="PTM550" s="120"/>
      <c r="PTN550" s="120"/>
      <c r="PTO550" s="120"/>
      <c r="PTP550" s="120"/>
      <c r="PTQ550" s="120"/>
      <c r="PTR550" s="120"/>
      <c r="PTS550" s="120"/>
      <c r="PTT550" s="120"/>
      <c r="PTU550" s="120"/>
      <c r="PTV550" s="120"/>
      <c r="PTW550" s="120"/>
      <c r="PTX550" s="120"/>
      <c r="PTY550" s="120"/>
      <c r="PTZ550" s="120"/>
      <c r="PUA550" s="120"/>
      <c r="PUB550" s="120"/>
      <c r="PUC550" s="120"/>
      <c r="PUD550" s="120"/>
      <c r="PUE550" s="120"/>
      <c r="PUF550" s="120"/>
      <c r="PUG550" s="120"/>
      <c r="PUH550" s="120"/>
      <c r="PUI550" s="120"/>
      <c r="PUJ550" s="120"/>
      <c r="PUK550" s="120"/>
      <c r="PUL550" s="120"/>
      <c r="PUM550" s="120"/>
      <c r="PUN550" s="120"/>
      <c r="PUO550" s="120"/>
      <c r="PUP550" s="120"/>
      <c r="PUQ550" s="120"/>
      <c r="PUR550" s="120"/>
      <c r="PUS550" s="120"/>
      <c r="PUT550" s="120"/>
      <c r="PUU550" s="120"/>
      <c r="PUV550" s="120"/>
      <c r="PUW550" s="120"/>
      <c r="PUX550" s="120"/>
      <c r="PUY550" s="120"/>
      <c r="PUZ550" s="120"/>
      <c r="PVA550" s="120"/>
      <c r="PVB550" s="120"/>
      <c r="PVC550" s="120"/>
      <c r="PVD550" s="120"/>
      <c r="PVE550" s="120"/>
      <c r="PVF550" s="120"/>
      <c r="PVG550" s="120"/>
      <c r="PVH550" s="120"/>
      <c r="PVI550" s="120"/>
      <c r="PVJ550" s="120"/>
      <c r="PVK550" s="120"/>
      <c r="PVL550" s="120"/>
      <c r="PVM550" s="120"/>
      <c r="PVN550" s="120"/>
      <c r="PVO550" s="120"/>
      <c r="PVP550" s="120"/>
      <c r="PVQ550" s="120"/>
      <c r="PVR550" s="120"/>
      <c r="PVS550" s="120"/>
      <c r="PVT550" s="120"/>
      <c r="PVU550" s="120"/>
      <c r="PVV550" s="120"/>
      <c r="PVW550" s="120"/>
      <c r="PVX550" s="120"/>
      <c r="PVY550" s="120"/>
      <c r="PVZ550" s="120"/>
      <c r="PWA550" s="120"/>
      <c r="PWB550" s="120"/>
      <c r="PWC550" s="120"/>
      <c r="PWD550" s="120"/>
      <c r="PWE550" s="120"/>
      <c r="PWF550" s="120"/>
      <c r="PWG550" s="120"/>
      <c r="PWH550" s="120"/>
      <c r="PWI550" s="120"/>
      <c r="PWJ550" s="120"/>
      <c r="PWK550" s="120"/>
      <c r="PWL550" s="120"/>
      <c r="PWM550" s="120"/>
      <c r="PWN550" s="120"/>
      <c r="PWO550" s="120"/>
      <c r="PWP550" s="120"/>
      <c r="PWQ550" s="120"/>
      <c r="PWR550" s="120"/>
      <c r="PWS550" s="120"/>
      <c r="PWT550" s="120"/>
      <c r="PWU550" s="120"/>
      <c r="PWV550" s="120"/>
      <c r="PWW550" s="120"/>
      <c r="PWX550" s="120"/>
      <c r="PWY550" s="120"/>
      <c r="PWZ550" s="120"/>
      <c r="PXA550" s="120"/>
      <c r="PXB550" s="120"/>
      <c r="PXC550" s="120"/>
      <c r="PXD550" s="120"/>
      <c r="PXE550" s="120"/>
      <c r="PXF550" s="120"/>
      <c r="PXG550" s="120"/>
      <c r="PXH550" s="120"/>
      <c r="PXI550" s="120"/>
      <c r="PXJ550" s="120"/>
      <c r="PXK550" s="120"/>
      <c r="PXL550" s="120"/>
      <c r="PXM550" s="120"/>
      <c r="PXN550" s="120"/>
      <c r="PXO550" s="120"/>
      <c r="PXP550" s="120"/>
      <c r="PXQ550" s="120"/>
      <c r="PXR550" s="120"/>
      <c r="PXS550" s="120"/>
      <c r="PXT550" s="120"/>
      <c r="PXU550" s="120"/>
      <c r="PXV550" s="120"/>
      <c r="PXW550" s="120"/>
      <c r="PXX550" s="120"/>
      <c r="PXY550" s="120"/>
      <c r="PXZ550" s="120"/>
      <c r="PYA550" s="120"/>
      <c r="PYB550" s="120"/>
      <c r="PYC550" s="120"/>
      <c r="PYD550" s="120"/>
      <c r="PYE550" s="120"/>
      <c r="PYF550" s="120"/>
      <c r="PYG550" s="120"/>
      <c r="PYH550" s="120"/>
      <c r="PYI550" s="120"/>
      <c r="PYJ550" s="120"/>
      <c r="PYK550" s="120"/>
      <c r="PYL550" s="120"/>
      <c r="PYM550" s="120"/>
      <c r="PYN550" s="120"/>
      <c r="PYO550" s="120"/>
      <c r="PYP550" s="120"/>
      <c r="PYQ550" s="120"/>
      <c r="PYR550" s="120"/>
      <c r="PYS550" s="120"/>
      <c r="PYT550" s="120"/>
      <c r="PYU550" s="120"/>
      <c r="PYV550" s="120"/>
      <c r="PYW550" s="120"/>
      <c r="PYX550" s="120"/>
      <c r="PYY550" s="120"/>
      <c r="PYZ550" s="120"/>
      <c r="PZA550" s="120"/>
      <c r="PZB550" s="120"/>
      <c r="PZC550" s="120"/>
      <c r="PZD550" s="120"/>
      <c r="PZE550" s="120"/>
      <c r="PZF550" s="120"/>
      <c r="PZG550" s="120"/>
      <c r="PZH550" s="120"/>
      <c r="PZI550" s="120"/>
      <c r="PZJ550" s="120"/>
      <c r="PZK550" s="120"/>
      <c r="PZL550" s="120"/>
      <c r="PZM550" s="120"/>
      <c r="PZN550" s="120"/>
      <c r="PZO550" s="120"/>
      <c r="PZP550" s="120"/>
      <c r="PZQ550" s="120"/>
      <c r="PZR550" s="120"/>
      <c r="PZS550" s="120"/>
      <c r="PZT550" s="120"/>
      <c r="PZU550" s="120"/>
      <c r="PZV550" s="120"/>
      <c r="PZW550" s="120"/>
      <c r="PZX550" s="120"/>
      <c r="PZY550" s="120"/>
      <c r="PZZ550" s="120"/>
      <c r="QAA550" s="120"/>
      <c r="QAB550" s="120"/>
      <c r="QAC550" s="120"/>
      <c r="QAD550" s="120"/>
      <c r="QAE550" s="120"/>
      <c r="QAF550" s="120"/>
      <c r="QAG550" s="120"/>
      <c r="QAH550" s="120"/>
      <c r="QAI550" s="120"/>
      <c r="QAJ550" s="120"/>
      <c r="QAK550" s="120"/>
      <c r="QAL550" s="120"/>
      <c r="QAM550" s="120"/>
      <c r="QAN550" s="120"/>
      <c r="QAO550" s="120"/>
      <c r="QAP550" s="120"/>
      <c r="QAQ550" s="120"/>
      <c r="QAR550" s="120"/>
      <c r="QAS550" s="120"/>
      <c r="QAT550" s="120"/>
      <c r="QAU550" s="120"/>
      <c r="QAV550" s="120"/>
      <c r="QAW550" s="120"/>
      <c r="QAX550" s="120"/>
      <c r="QAY550" s="120"/>
      <c r="QAZ550" s="120"/>
      <c r="QBA550" s="120"/>
      <c r="QBB550" s="120"/>
      <c r="QBC550" s="120"/>
      <c r="QBD550" s="120"/>
      <c r="QBE550" s="120"/>
      <c r="QBF550" s="120"/>
      <c r="QBG550" s="120"/>
      <c r="QBH550" s="120"/>
      <c r="QBI550" s="120"/>
      <c r="QBJ550" s="120"/>
      <c r="QBK550" s="120"/>
      <c r="QBL550" s="120"/>
      <c r="QBM550" s="120"/>
      <c r="QBN550" s="120"/>
      <c r="QBO550" s="120"/>
      <c r="QBP550" s="120"/>
      <c r="QBQ550" s="120"/>
      <c r="QBR550" s="120"/>
      <c r="QBS550" s="120"/>
      <c r="QBT550" s="120"/>
      <c r="QBU550" s="120"/>
      <c r="QBV550" s="120"/>
      <c r="QBW550" s="120"/>
      <c r="QBX550" s="120"/>
      <c r="QBY550" s="120"/>
      <c r="QBZ550" s="120"/>
      <c r="QCA550" s="120"/>
      <c r="QCB550" s="120"/>
      <c r="QCC550" s="120"/>
      <c r="QCD550" s="120"/>
      <c r="QCE550" s="120"/>
      <c r="QCF550" s="120"/>
      <c r="QCG550" s="120"/>
      <c r="QCH550" s="120"/>
      <c r="QCI550" s="120"/>
      <c r="QCJ550" s="120"/>
      <c r="QCK550" s="120"/>
      <c r="QCL550" s="120"/>
      <c r="QCM550" s="120"/>
      <c r="QCN550" s="120"/>
      <c r="QCO550" s="120"/>
      <c r="QCP550" s="120"/>
      <c r="QCQ550" s="120"/>
      <c r="QCR550" s="120"/>
      <c r="QCS550" s="120"/>
      <c r="QCT550" s="120"/>
      <c r="QCU550" s="120"/>
      <c r="QCV550" s="120"/>
      <c r="QCW550" s="120"/>
      <c r="QCX550" s="120"/>
      <c r="QCY550" s="120"/>
      <c r="QCZ550" s="120"/>
      <c r="QDA550" s="120"/>
      <c r="QDB550" s="120"/>
      <c r="QDC550" s="120"/>
      <c r="QDD550" s="120"/>
      <c r="QDE550" s="120"/>
      <c r="QDF550" s="120"/>
      <c r="QDG550" s="120"/>
      <c r="QDH550" s="120"/>
      <c r="QDI550" s="120"/>
      <c r="QDJ550" s="120"/>
      <c r="QDK550" s="120"/>
      <c r="QDL550" s="120"/>
      <c r="QDM550" s="120"/>
      <c r="QDN550" s="120"/>
      <c r="QDO550" s="120"/>
      <c r="QDP550" s="120"/>
      <c r="QDQ550" s="120"/>
      <c r="QDR550" s="120"/>
      <c r="QDS550" s="120"/>
      <c r="QDT550" s="120"/>
      <c r="QDU550" s="120"/>
      <c r="QDV550" s="120"/>
      <c r="QDW550" s="120"/>
      <c r="QDX550" s="120"/>
      <c r="QDY550" s="120"/>
      <c r="QDZ550" s="120"/>
      <c r="QEA550" s="120"/>
      <c r="QEB550" s="120"/>
      <c r="QEC550" s="120"/>
      <c r="QED550" s="120"/>
      <c r="QEE550" s="120"/>
      <c r="QEF550" s="120"/>
      <c r="QEG550" s="120"/>
      <c r="QEH550" s="120"/>
      <c r="QEI550" s="120"/>
      <c r="QEJ550" s="120"/>
      <c r="QEK550" s="120"/>
      <c r="QEL550" s="120"/>
      <c r="QEM550" s="120"/>
      <c r="QEN550" s="120"/>
      <c r="QEO550" s="120"/>
      <c r="QEP550" s="120"/>
      <c r="QEQ550" s="120"/>
      <c r="QER550" s="120"/>
      <c r="QES550" s="120"/>
      <c r="QET550" s="120"/>
      <c r="QEU550" s="120"/>
      <c r="QEV550" s="120"/>
      <c r="QEW550" s="120"/>
      <c r="QEX550" s="120"/>
      <c r="QEY550" s="120"/>
      <c r="QEZ550" s="120"/>
      <c r="QFA550" s="120"/>
      <c r="QFB550" s="120"/>
      <c r="QFC550" s="120"/>
      <c r="QFD550" s="120"/>
      <c r="QFE550" s="120"/>
      <c r="QFF550" s="120"/>
      <c r="QFG550" s="120"/>
      <c r="QFH550" s="120"/>
      <c r="QFI550" s="120"/>
      <c r="QFJ550" s="120"/>
      <c r="QFK550" s="120"/>
      <c r="QFL550" s="120"/>
      <c r="QFM550" s="120"/>
      <c r="QFN550" s="120"/>
      <c r="QFO550" s="120"/>
      <c r="QFP550" s="120"/>
      <c r="QFQ550" s="120"/>
      <c r="QFR550" s="120"/>
      <c r="QFS550" s="120"/>
      <c r="QFT550" s="120"/>
      <c r="QFU550" s="120"/>
      <c r="QFV550" s="120"/>
      <c r="QFW550" s="120"/>
      <c r="QFX550" s="120"/>
      <c r="QFY550" s="120"/>
      <c r="QFZ550" s="120"/>
      <c r="QGA550" s="120"/>
      <c r="QGB550" s="120"/>
      <c r="QGC550" s="120"/>
      <c r="QGD550" s="120"/>
      <c r="QGE550" s="120"/>
      <c r="QGF550" s="120"/>
      <c r="QGG550" s="120"/>
      <c r="QGH550" s="120"/>
      <c r="QGI550" s="120"/>
      <c r="QGJ550" s="120"/>
      <c r="QGK550" s="120"/>
      <c r="QGL550" s="120"/>
      <c r="QGM550" s="120"/>
      <c r="QGN550" s="120"/>
      <c r="QGO550" s="120"/>
      <c r="QGP550" s="120"/>
      <c r="QGQ550" s="120"/>
      <c r="QGR550" s="120"/>
      <c r="QGS550" s="120"/>
      <c r="QGT550" s="120"/>
      <c r="QGU550" s="120"/>
      <c r="QGV550" s="120"/>
      <c r="QGW550" s="120"/>
      <c r="QGX550" s="120"/>
      <c r="QGY550" s="120"/>
      <c r="QGZ550" s="120"/>
      <c r="QHA550" s="120"/>
      <c r="QHB550" s="120"/>
      <c r="QHC550" s="120"/>
      <c r="QHD550" s="120"/>
      <c r="QHE550" s="120"/>
      <c r="QHF550" s="120"/>
      <c r="QHG550" s="120"/>
      <c r="QHH550" s="120"/>
      <c r="QHI550" s="120"/>
      <c r="QHJ550" s="120"/>
      <c r="QHK550" s="120"/>
      <c r="QHL550" s="120"/>
      <c r="QHM550" s="120"/>
      <c r="QHN550" s="120"/>
      <c r="QHO550" s="120"/>
      <c r="QHP550" s="120"/>
      <c r="QHQ550" s="120"/>
      <c r="QHR550" s="120"/>
      <c r="QHS550" s="120"/>
      <c r="QHT550" s="120"/>
      <c r="QHU550" s="120"/>
      <c r="QHV550" s="120"/>
      <c r="QHW550" s="120"/>
      <c r="QHX550" s="120"/>
      <c r="QHY550" s="120"/>
      <c r="QHZ550" s="120"/>
      <c r="QIA550" s="120"/>
      <c r="QIB550" s="120"/>
      <c r="QIC550" s="120"/>
      <c r="QID550" s="120"/>
      <c r="QIE550" s="120"/>
      <c r="QIF550" s="120"/>
      <c r="QIG550" s="120"/>
      <c r="QIH550" s="120"/>
      <c r="QII550" s="120"/>
      <c r="QIJ550" s="120"/>
      <c r="QIK550" s="120"/>
      <c r="QIL550" s="120"/>
      <c r="QIM550" s="120"/>
      <c r="QIN550" s="120"/>
      <c r="QIO550" s="120"/>
      <c r="QIP550" s="120"/>
      <c r="QIQ550" s="120"/>
      <c r="QIR550" s="120"/>
      <c r="QIS550" s="120"/>
      <c r="QIT550" s="120"/>
      <c r="QIU550" s="120"/>
      <c r="QIV550" s="120"/>
      <c r="QIW550" s="120"/>
      <c r="QIX550" s="120"/>
      <c r="QIY550" s="120"/>
      <c r="QIZ550" s="120"/>
      <c r="QJA550" s="120"/>
      <c r="QJB550" s="120"/>
      <c r="QJC550" s="120"/>
      <c r="QJD550" s="120"/>
      <c r="QJE550" s="120"/>
      <c r="QJF550" s="120"/>
      <c r="QJG550" s="120"/>
      <c r="QJH550" s="120"/>
      <c r="QJI550" s="120"/>
      <c r="QJJ550" s="120"/>
      <c r="QJK550" s="120"/>
      <c r="QJL550" s="120"/>
      <c r="QJM550" s="120"/>
      <c r="QJN550" s="120"/>
      <c r="QJO550" s="120"/>
      <c r="QJP550" s="120"/>
      <c r="QJQ550" s="120"/>
      <c r="QJR550" s="120"/>
      <c r="QJS550" s="120"/>
      <c r="QJT550" s="120"/>
      <c r="QJU550" s="120"/>
      <c r="QJV550" s="120"/>
      <c r="QJW550" s="120"/>
      <c r="QJX550" s="120"/>
      <c r="QJY550" s="120"/>
      <c r="QJZ550" s="120"/>
      <c r="QKA550" s="120"/>
      <c r="QKB550" s="120"/>
      <c r="QKC550" s="120"/>
      <c r="QKD550" s="120"/>
      <c r="QKE550" s="120"/>
      <c r="QKF550" s="120"/>
      <c r="QKG550" s="120"/>
      <c r="QKH550" s="120"/>
      <c r="QKI550" s="120"/>
      <c r="QKJ550" s="120"/>
      <c r="QKK550" s="120"/>
      <c r="QKL550" s="120"/>
      <c r="QKM550" s="120"/>
      <c r="QKN550" s="120"/>
      <c r="QKO550" s="120"/>
      <c r="QKP550" s="120"/>
      <c r="QKQ550" s="120"/>
      <c r="QKR550" s="120"/>
      <c r="QKS550" s="120"/>
      <c r="QKT550" s="120"/>
      <c r="QKU550" s="120"/>
      <c r="QKV550" s="120"/>
      <c r="QKW550" s="120"/>
      <c r="QKX550" s="120"/>
      <c r="QKY550" s="120"/>
      <c r="QKZ550" s="120"/>
      <c r="QLA550" s="120"/>
      <c r="QLB550" s="120"/>
      <c r="QLC550" s="120"/>
      <c r="QLD550" s="120"/>
      <c r="QLE550" s="120"/>
      <c r="QLF550" s="120"/>
      <c r="QLG550" s="120"/>
      <c r="QLH550" s="120"/>
      <c r="QLI550" s="120"/>
      <c r="QLJ550" s="120"/>
      <c r="QLK550" s="120"/>
      <c r="QLL550" s="120"/>
      <c r="QLM550" s="120"/>
      <c r="QLN550" s="120"/>
      <c r="QLO550" s="120"/>
      <c r="QLP550" s="120"/>
      <c r="QLQ550" s="120"/>
      <c r="QLR550" s="120"/>
      <c r="QLS550" s="120"/>
      <c r="QLT550" s="120"/>
      <c r="QLU550" s="120"/>
      <c r="QLV550" s="120"/>
      <c r="QLW550" s="120"/>
      <c r="QLX550" s="120"/>
      <c r="QLY550" s="120"/>
      <c r="QLZ550" s="120"/>
      <c r="QMA550" s="120"/>
      <c r="QMB550" s="120"/>
      <c r="QMC550" s="120"/>
      <c r="QMD550" s="120"/>
      <c r="QME550" s="120"/>
      <c r="QMF550" s="120"/>
      <c r="QMG550" s="120"/>
      <c r="QMH550" s="120"/>
      <c r="QMI550" s="120"/>
      <c r="QMJ550" s="120"/>
      <c r="QMK550" s="120"/>
      <c r="QML550" s="120"/>
      <c r="QMM550" s="120"/>
      <c r="QMN550" s="120"/>
      <c r="QMO550" s="120"/>
      <c r="QMP550" s="120"/>
      <c r="QMQ550" s="120"/>
      <c r="QMR550" s="120"/>
      <c r="QMS550" s="120"/>
      <c r="QMT550" s="120"/>
      <c r="QMU550" s="120"/>
      <c r="QMV550" s="120"/>
      <c r="QMW550" s="120"/>
      <c r="QMX550" s="120"/>
      <c r="QMY550" s="120"/>
      <c r="QMZ550" s="120"/>
      <c r="QNA550" s="120"/>
      <c r="QNB550" s="120"/>
      <c r="QNC550" s="120"/>
      <c r="QND550" s="120"/>
      <c r="QNE550" s="120"/>
      <c r="QNF550" s="120"/>
      <c r="QNG550" s="120"/>
      <c r="QNH550" s="120"/>
      <c r="QNI550" s="120"/>
      <c r="QNJ550" s="120"/>
      <c r="QNK550" s="120"/>
      <c r="QNL550" s="120"/>
      <c r="QNM550" s="120"/>
      <c r="QNN550" s="120"/>
      <c r="QNO550" s="120"/>
      <c r="QNP550" s="120"/>
      <c r="QNQ550" s="120"/>
      <c r="QNR550" s="120"/>
      <c r="QNS550" s="120"/>
      <c r="QNT550" s="120"/>
      <c r="QNU550" s="120"/>
      <c r="QNV550" s="120"/>
      <c r="QNW550" s="120"/>
      <c r="QNX550" s="120"/>
      <c r="QNY550" s="120"/>
      <c r="QNZ550" s="120"/>
      <c r="QOA550" s="120"/>
      <c r="QOB550" s="120"/>
      <c r="QOC550" s="120"/>
      <c r="QOD550" s="120"/>
      <c r="QOE550" s="120"/>
      <c r="QOF550" s="120"/>
      <c r="QOG550" s="120"/>
      <c r="QOH550" s="120"/>
      <c r="QOI550" s="120"/>
      <c r="QOJ550" s="120"/>
      <c r="QOK550" s="120"/>
      <c r="QOL550" s="120"/>
      <c r="QOM550" s="120"/>
      <c r="QON550" s="120"/>
      <c r="QOO550" s="120"/>
      <c r="QOP550" s="120"/>
      <c r="QOQ550" s="120"/>
      <c r="QOR550" s="120"/>
      <c r="QOS550" s="120"/>
      <c r="QOT550" s="120"/>
      <c r="QOU550" s="120"/>
      <c r="QOV550" s="120"/>
      <c r="QOW550" s="120"/>
      <c r="QOX550" s="120"/>
      <c r="QOY550" s="120"/>
      <c r="QOZ550" s="120"/>
      <c r="QPA550" s="120"/>
      <c r="QPB550" s="120"/>
      <c r="QPC550" s="120"/>
      <c r="QPD550" s="120"/>
      <c r="QPE550" s="120"/>
      <c r="QPF550" s="120"/>
      <c r="QPG550" s="120"/>
      <c r="QPH550" s="120"/>
      <c r="QPI550" s="120"/>
      <c r="QPJ550" s="120"/>
      <c r="QPK550" s="120"/>
      <c r="QPL550" s="120"/>
      <c r="QPM550" s="120"/>
      <c r="QPN550" s="120"/>
      <c r="QPO550" s="120"/>
      <c r="QPP550" s="120"/>
      <c r="QPQ550" s="120"/>
      <c r="QPR550" s="120"/>
      <c r="QPS550" s="120"/>
      <c r="QPT550" s="120"/>
      <c r="QPU550" s="120"/>
      <c r="QPV550" s="120"/>
      <c r="QPW550" s="120"/>
      <c r="QPX550" s="120"/>
      <c r="QPY550" s="120"/>
      <c r="QPZ550" s="120"/>
      <c r="QQA550" s="120"/>
      <c r="QQB550" s="120"/>
      <c r="QQC550" s="120"/>
      <c r="QQD550" s="120"/>
      <c r="QQE550" s="120"/>
      <c r="QQF550" s="120"/>
      <c r="QQG550" s="120"/>
      <c r="QQH550" s="120"/>
      <c r="QQI550" s="120"/>
      <c r="QQJ550" s="120"/>
      <c r="QQK550" s="120"/>
      <c r="QQL550" s="120"/>
      <c r="QQM550" s="120"/>
      <c r="QQN550" s="120"/>
      <c r="QQO550" s="120"/>
      <c r="QQP550" s="120"/>
      <c r="QQQ550" s="120"/>
      <c r="QQR550" s="120"/>
      <c r="QQS550" s="120"/>
      <c r="QQT550" s="120"/>
      <c r="QQU550" s="120"/>
      <c r="QQV550" s="120"/>
      <c r="QQW550" s="120"/>
      <c r="QQX550" s="120"/>
      <c r="QQY550" s="120"/>
      <c r="QQZ550" s="120"/>
      <c r="QRA550" s="120"/>
      <c r="QRB550" s="120"/>
      <c r="QRC550" s="120"/>
      <c r="QRD550" s="120"/>
      <c r="QRE550" s="120"/>
      <c r="QRF550" s="120"/>
      <c r="QRG550" s="120"/>
      <c r="QRH550" s="120"/>
      <c r="QRI550" s="120"/>
      <c r="QRJ550" s="120"/>
      <c r="QRK550" s="120"/>
      <c r="QRL550" s="120"/>
      <c r="QRM550" s="120"/>
      <c r="QRN550" s="120"/>
      <c r="QRO550" s="120"/>
      <c r="QRP550" s="120"/>
      <c r="QRQ550" s="120"/>
      <c r="QRR550" s="120"/>
      <c r="QRS550" s="120"/>
      <c r="QRT550" s="120"/>
      <c r="QRU550" s="120"/>
      <c r="QRV550" s="120"/>
      <c r="QRW550" s="120"/>
      <c r="QRX550" s="120"/>
      <c r="QRY550" s="120"/>
      <c r="QRZ550" s="120"/>
      <c r="QSA550" s="120"/>
      <c r="QSB550" s="120"/>
      <c r="QSC550" s="120"/>
      <c r="QSD550" s="120"/>
      <c r="QSE550" s="120"/>
      <c r="QSF550" s="120"/>
      <c r="QSG550" s="120"/>
      <c r="QSH550" s="120"/>
      <c r="QSI550" s="120"/>
      <c r="QSJ550" s="120"/>
      <c r="QSK550" s="120"/>
      <c r="QSL550" s="120"/>
      <c r="QSM550" s="120"/>
      <c r="QSN550" s="120"/>
      <c r="QSO550" s="120"/>
      <c r="QSP550" s="120"/>
      <c r="QSQ550" s="120"/>
      <c r="QSR550" s="120"/>
      <c r="QSS550" s="120"/>
      <c r="QST550" s="120"/>
      <c r="QSU550" s="120"/>
      <c r="QSV550" s="120"/>
      <c r="QSW550" s="120"/>
      <c r="QSX550" s="120"/>
      <c r="QSY550" s="120"/>
      <c r="QSZ550" s="120"/>
      <c r="QTA550" s="120"/>
      <c r="QTB550" s="120"/>
      <c r="QTC550" s="120"/>
      <c r="QTD550" s="120"/>
      <c r="QTE550" s="120"/>
      <c r="QTF550" s="120"/>
      <c r="QTG550" s="120"/>
      <c r="QTH550" s="120"/>
      <c r="QTI550" s="120"/>
      <c r="QTJ550" s="120"/>
      <c r="QTK550" s="120"/>
      <c r="QTL550" s="120"/>
      <c r="QTM550" s="120"/>
      <c r="QTN550" s="120"/>
      <c r="QTO550" s="120"/>
      <c r="QTP550" s="120"/>
      <c r="QTQ550" s="120"/>
      <c r="QTR550" s="120"/>
      <c r="QTS550" s="120"/>
      <c r="QTT550" s="120"/>
      <c r="QTU550" s="120"/>
      <c r="QTV550" s="120"/>
      <c r="QTW550" s="120"/>
      <c r="QTX550" s="120"/>
      <c r="QTY550" s="120"/>
      <c r="QTZ550" s="120"/>
      <c r="QUA550" s="120"/>
      <c r="QUB550" s="120"/>
      <c r="QUC550" s="120"/>
      <c r="QUD550" s="120"/>
      <c r="QUE550" s="120"/>
      <c r="QUF550" s="120"/>
      <c r="QUG550" s="120"/>
      <c r="QUH550" s="120"/>
      <c r="QUI550" s="120"/>
      <c r="QUJ550" s="120"/>
      <c r="QUK550" s="120"/>
      <c r="QUL550" s="120"/>
      <c r="QUM550" s="120"/>
      <c r="QUN550" s="120"/>
      <c r="QUO550" s="120"/>
      <c r="QUP550" s="120"/>
      <c r="QUQ550" s="120"/>
      <c r="QUR550" s="120"/>
      <c r="QUS550" s="120"/>
      <c r="QUT550" s="120"/>
      <c r="QUU550" s="120"/>
      <c r="QUV550" s="120"/>
      <c r="QUW550" s="120"/>
      <c r="QUX550" s="120"/>
      <c r="QUY550" s="120"/>
      <c r="QUZ550" s="120"/>
      <c r="QVA550" s="120"/>
      <c r="QVB550" s="120"/>
      <c r="QVC550" s="120"/>
      <c r="QVD550" s="120"/>
      <c r="QVE550" s="120"/>
      <c r="QVF550" s="120"/>
      <c r="QVG550" s="120"/>
      <c r="QVH550" s="120"/>
      <c r="QVI550" s="120"/>
      <c r="QVJ550" s="120"/>
      <c r="QVK550" s="120"/>
      <c r="QVL550" s="120"/>
      <c r="QVM550" s="120"/>
      <c r="QVN550" s="120"/>
      <c r="QVO550" s="120"/>
      <c r="QVP550" s="120"/>
      <c r="QVQ550" s="120"/>
      <c r="QVR550" s="120"/>
      <c r="QVS550" s="120"/>
      <c r="QVT550" s="120"/>
      <c r="QVU550" s="120"/>
      <c r="QVV550" s="120"/>
      <c r="QVW550" s="120"/>
      <c r="QVX550" s="120"/>
      <c r="QVY550" s="120"/>
      <c r="QVZ550" s="120"/>
      <c r="QWA550" s="120"/>
      <c r="QWB550" s="120"/>
      <c r="QWC550" s="120"/>
      <c r="QWD550" s="120"/>
      <c r="QWE550" s="120"/>
      <c r="QWF550" s="120"/>
      <c r="QWG550" s="120"/>
      <c r="QWH550" s="120"/>
      <c r="QWI550" s="120"/>
      <c r="QWJ550" s="120"/>
      <c r="QWK550" s="120"/>
      <c r="QWL550" s="120"/>
      <c r="QWM550" s="120"/>
      <c r="QWN550" s="120"/>
      <c r="QWO550" s="120"/>
      <c r="QWP550" s="120"/>
      <c r="QWQ550" s="120"/>
      <c r="QWR550" s="120"/>
      <c r="QWS550" s="120"/>
      <c r="QWT550" s="120"/>
      <c r="QWU550" s="120"/>
      <c r="QWV550" s="120"/>
      <c r="QWW550" s="120"/>
      <c r="QWX550" s="120"/>
      <c r="QWY550" s="120"/>
      <c r="QWZ550" s="120"/>
      <c r="QXA550" s="120"/>
      <c r="QXB550" s="120"/>
      <c r="QXC550" s="120"/>
      <c r="QXD550" s="120"/>
      <c r="QXE550" s="120"/>
      <c r="QXF550" s="120"/>
      <c r="QXG550" s="120"/>
      <c r="QXH550" s="120"/>
      <c r="QXI550" s="120"/>
      <c r="QXJ550" s="120"/>
      <c r="QXK550" s="120"/>
      <c r="QXL550" s="120"/>
      <c r="QXM550" s="120"/>
      <c r="QXN550" s="120"/>
      <c r="QXO550" s="120"/>
      <c r="QXP550" s="120"/>
      <c r="QXQ550" s="120"/>
      <c r="QXR550" s="120"/>
      <c r="QXS550" s="120"/>
      <c r="QXT550" s="120"/>
      <c r="QXU550" s="120"/>
      <c r="QXV550" s="120"/>
      <c r="QXW550" s="120"/>
      <c r="QXX550" s="120"/>
      <c r="QXY550" s="120"/>
      <c r="QXZ550" s="120"/>
      <c r="QYA550" s="120"/>
      <c r="QYB550" s="120"/>
      <c r="QYC550" s="120"/>
      <c r="QYD550" s="120"/>
      <c r="QYE550" s="120"/>
      <c r="QYF550" s="120"/>
      <c r="QYG550" s="120"/>
      <c r="QYH550" s="120"/>
      <c r="QYI550" s="120"/>
      <c r="QYJ550" s="120"/>
      <c r="QYK550" s="120"/>
      <c r="QYL550" s="120"/>
      <c r="QYM550" s="120"/>
      <c r="QYN550" s="120"/>
      <c r="QYO550" s="120"/>
      <c r="QYP550" s="120"/>
      <c r="QYQ550" s="120"/>
      <c r="QYR550" s="120"/>
      <c r="QYS550" s="120"/>
      <c r="QYT550" s="120"/>
      <c r="QYU550" s="120"/>
      <c r="QYV550" s="120"/>
      <c r="QYW550" s="120"/>
      <c r="QYX550" s="120"/>
      <c r="QYY550" s="120"/>
      <c r="QYZ550" s="120"/>
      <c r="QZA550" s="120"/>
      <c r="QZB550" s="120"/>
      <c r="QZC550" s="120"/>
      <c r="QZD550" s="120"/>
      <c r="QZE550" s="120"/>
      <c r="QZF550" s="120"/>
      <c r="QZG550" s="120"/>
      <c r="QZH550" s="120"/>
      <c r="QZI550" s="120"/>
      <c r="QZJ550" s="120"/>
      <c r="QZK550" s="120"/>
      <c r="QZL550" s="120"/>
      <c r="QZM550" s="120"/>
      <c r="QZN550" s="120"/>
      <c r="QZO550" s="120"/>
      <c r="QZP550" s="120"/>
      <c r="QZQ550" s="120"/>
      <c r="QZR550" s="120"/>
      <c r="QZS550" s="120"/>
      <c r="QZT550" s="120"/>
      <c r="QZU550" s="120"/>
      <c r="QZV550" s="120"/>
      <c r="QZW550" s="120"/>
      <c r="QZX550" s="120"/>
      <c r="QZY550" s="120"/>
      <c r="QZZ550" s="120"/>
      <c r="RAA550" s="120"/>
      <c r="RAB550" s="120"/>
      <c r="RAC550" s="120"/>
      <c r="RAD550" s="120"/>
      <c r="RAE550" s="120"/>
      <c r="RAF550" s="120"/>
      <c r="RAG550" s="120"/>
      <c r="RAH550" s="120"/>
      <c r="RAI550" s="120"/>
      <c r="RAJ550" s="120"/>
      <c r="RAK550" s="120"/>
      <c r="RAL550" s="120"/>
      <c r="RAM550" s="120"/>
      <c r="RAN550" s="120"/>
      <c r="RAO550" s="120"/>
      <c r="RAP550" s="120"/>
      <c r="RAQ550" s="120"/>
      <c r="RAR550" s="120"/>
      <c r="RAS550" s="120"/>
      <c r="RAT550" s="120"/>
      <c r="RAU550" s="120"/>
      <c r="RAV550" s="120"/>
      <c r="RAW550" s="120"/>
      <c r="RAX550" s="120"/>
      <c r="RAY550" s="120"/>
      <c r="RAZ550" s="120"/>
      <c r="RBA550" s="120"/>
      <c r="RBB550" s="120"/>
      <c r="RBC550" s="120"/>
      <c r="RBD550" s="120"/>
      <c r="RBE550" s="120"/>
      <c r="RBF550" s="120"/>
      <c r="RBG550" s="120"/>
      <c r="RBH550" s="120"/>
      <c r="RBI550" s="120"/>
      <c r="RBJ550" s="120"/>
      <c r="RBK550" s="120"/>
      <c r="RBL550" s="120"/>
      <c r="RBM550" s="120"/>
      <c r="RBN550" s="120"/>
      <c r="RBO550" s="120"/>
      <c r="RBP550" s="120"/>
      <c r="RBQ550" s="120"/>
      <c r="RBR550" s="120"/>
      <c r="RBS550" s="120"/>
      <c r="RBT550" s="120"/>
      <c r="RBU550" s="120"/>
      <c r="RBV550" s="120"/>
      <c r="RBW550" s="120"/>
      <c r="RBX550" s="120"/>
      <c r="RBY550" s="120"/>
      <c r="RBZ550" s="120"/>
      <c r="RCA550" s="120"/>
      <c r="RCB550" s="120"/>
      <c r="RCC550" s="120"/>
      <c r="RCD550" s="120"/>
      <c r="RCE550" s="120"/>
      <c r="RCF550" s="120"/>
      <c r="RCG550" s="120"/>
      <c r="RCH550" s="120"/>
      <c r="RCI550" s="120"/>
      <c r="RCJ550" s="120"/>
      <c r="RCK550" s="120"/>
      <c r="RCL550" s="120"/>
      <c r="RCM550" s="120"/>
      <c r="RCN550" s="120"/>
      <c r="RCO550" s="120"/>
      <c r="RCP550" s="120"/>
      <c r="RCQ550" s="120"/>
      <c r="RCR550" s="120"/>
      <c r="RCS550" s="120"/>
      <c r="RCT550" s="120"/>
      <c r="RCU550" s="120"/>
      <c r="RCV550" s="120"/>
      <c r="RCW550" s="120"/>
      <c r="RCX550" s="120"/>
      <c r="RCY550" s="120"/>
      <c r="RCZ550" s="120"/>
      <c r="RDA550" s="120"/>
      <c r="RDB550" s="120"/>
      <c r="RDC550" s="120"/>
      <c r="RDD550" s="120"/>
      <c r="RDE550" s="120"/>
      <c r="RDF550" s="120"/>
      <c r="RDG550" s="120"/>
      <c r="RDH550" s="120"/>
      <c r="RDI550" s="120"/>
      <c r="RDJ550" s="120"/>
      <c r="RDK550" s="120"/>
      <c r="RDL550" s="120"/>
      <c r="RDM550" s="120"/>
      <c r="RDN550" s="120"/>
      <c r="RDO550" s="120"/>
      <c r="RDP550" s="120"/>
      <c r="RDQ550" s="120"/>
      <c r="RDR550" s="120"/>
      <c r="RDS550" s="120"/>
      <c r="RDT550" s="120"/>
      <c r="RDU550" s="120"/>
      <c r="RDV550" s="120"/>
      <c r="RDW550" s="120"/>
      <c r="RDX550" s="120"/>
      <c r="RDY550" s="120"/>
      <c r="RDZ550" s="120"/>
      <c r="REA550" s="120"/>
      <c r="REB550" s="120"/>
      <c r="REC550" s="120"/>
      <c r="RED550" s="120"/>
      <c r="REE550" s="120"/>
      <c r="REF550" s="120"/>
      <c r="REG550" s="120"/>
      <c r="REH550" s="120"/>
      <c r="REI550" s="120"/>
      <c r="REJ550" s="120"/>
      <c r="REK550" s="120"/>
      <c r="REL550" s="120"/>
      <c r="REM550" s="120"/>
      <c r="REN550" s="120"/>
      <c r="REO550" s="120"/>
      <c r="REP550" s="120"/>
      <c r="REQ550" s="120"/>
      <c r="RER550" s="120"/>
      <c r="RES550" s="120"/>
      <c r="RET550" s="120"/>
      <c r="REU550" s="120"/>
      <c r="REV550" s="120"/>
      <c r="REW550" s="120"/>
      <c r="REX550" s="120"/>
      <c r="REY550" s="120"/>
      <c r="REZ550" s="120"/>
      <c r="RFA550" s="120"/>
      <c r="RFB550" s="120"/>
      <c r="RFC550" s="120"/>
      <c r="RFD550" s="120"/>
      <c r="RFE550" s="120"/>
      <c r="RFF550" s="120"/>
      <c r="RFG550" s="120"/>
      <c r="RFH550" s="120"/>
      <c r="RFI550" s="120"/>
      <c r="RFJ550" s="120"/>
      <c r="RFK550" s="120"/>
      <c r="RFL550" s="120"/>
      <c r="RFM550" s="120"/>
      <c r="RFN550" s="120"/>
      <c r="RFO550" s="120"/>
      <c r="RFP550" s="120"/>
      <c r="RFQ550" s="120"/>
      <c r="RFR550" s="120"/>
      <c r="RFS550" s="120"/>
      <c r="RFT550" s="120"/>
      <c r="RFU550" s="120"/>
      <c r="RFV550" s="120"/>
      <c r="RFW550" s="120"/>
      <c r="RFX550" s="120"/>
      <c r="RFY550" s="120"/>
      <c r="RFZ550" s="120"/>
      <c r="RGA550" s="120"/>
      <c r="RGB550" s="120"/>
      <c r="RGC550" s="120"/>
      <c r="RGD550" s="120"/>
      <c r="RGE550" s="120"/>
      <c r="RGF550" s="120"/>
      <c r="RGG550" s="120"/>
      <c r="RGH550" s="120"/>
      <c r="RGI550" s="120"/>
      <c r="RGJ550" s="120"/>
      <c r="RGK550" s="120"/>
      <c r="RGL550" s="120"/>
      <c r="RGM550" s="120"/>
      <c r="RGN550" s="120"/>
      <c r="RGO550" s="120"/>
      <c r="RGP550" s="120"/>
      <c r="RGQ550" s="120"/>
      <c r="RGR550" s="120"/>
      <c r="RGS550" s="120"/>
      <c r="RGT550" s="120"/>
      <c r="RGU550" s="120"/>
      <c r="RGV550" s="120"/>
      <c r="RGW550" s="120"/>
      <c r="RGX550" s="120"/>
      <c r="RGY550" s="120"/>
      <c r="RGZ550" s="120"/>
      <c r="RHA550" s="120"/>
      <c r="RHB550" s="120"/>
      <c r="RHC550" s="120"/>
      <c r="RHD550" s="120"/>
      <c r="RHE550" s="120"/>
      <c r="RHF550" s="120"/>
      <c r="RHG550" s="120"/>
      <c r="RHH550" s="120"/>
      <c r="RHI550" s="120"/>
      <c r="RHJ550" s="120"/>
      <c r="RHK550" s="120"/>
      <c r="RHL550" s="120"/>
      <c r="RHM550" s="120"/>
      <c r="RHN550" s="120"/>
      <c r="RHO550" s="120"/>
      <c r="RHP550" s="120"/>
      <c r="RHQ550" s="120"/>
      <c r="RHR550" s="120"/>
      <c r="RHS550" s="120"/>
      <c r="RHT550" s="120"/>
      <c r="RHU550" s="120"/>
      <c r="RHV550" s="120"/>
      <c r="RHW550" s="120"/>
      <c r="RHX550" s="120"/>
      <c r="RHY550" s="120"/>
      <c r="RHZ550" s="120"/>
      <c r="RIA550" s="120"/>
      <c r="RIB550" s="120"/>
      <c r="RIC550" s="120"/>
      <c r="RID550" s="120"/>
      <c r="RIE550" s="120"/>
      <c r="RIF550" s="120"/>
      <c r="RIG550" s="120"/>
      <c r="RIH550" s="120"/>
      <c r="RII550" s="120"/>
      <c r="RIJ550" s="120"/>
      <c r="RIK550" s="120"/>
      <c r="RIL550" s="120"/>
      <c r="RIM550" s="120"/>
      <c r="RIN550" s="120"/>
      <c r="RIO550" s="120"/>
      <c r="RIP550" s="120"/>
      <c r="RIQ550" s="120"/>
      <c r="RIR550" s="120"/>
      <c r="RIS550" s="120"/>
      <c r="RIT550" s="120"/>
      <c r="RIU550" s="120"/>
      <c r="RIV550" s="120"/>
      <c r="RIW550" s="120"/>
      <c r="RIX550" s="120"/>
      <c r="RIY550" s="120"/>
      <c r="RIZ550" s="120"/>
      <c r="RJA550" s="120"/>
      <c r="RJB550" s="120"/>
      <c r="RJC550" s="120"/>
      <c r="RJD550" s="120"/>
      <c r="RJE550" s="120"/>
      <c r="RJF550" s="120"/>
      <c r="RJG550" s="120"/>
      <c r="RJH550" s="120"/>
      <c r="RJI550" s="120"/>
      <c r="RJJ550" s="120"/>
      <c r="RJK550" s="120"/>
      <c r="RJL550" s="120"/>
      <c r="RJM550" s="120"/>
      <c r="RJN550" s="120"/>
      <c r="RJO550" s="120"/>
      <c r="RJP550" s="120"/>
      <c r="RJQ550" s="120"/>
      <c r="RJR550" s="120"/>
      <c r="RJS550" s="120"/>
      <c r="RJT550" s="120"/>
      <c r="RJU550" s="120"/>
      <c r="RJV550" s="120"/>
      <c r="RJW550" s="120"/>
      <c r="RJX550" s="120"/>
      <c r="RJY550" s="120"/>
      <c r="RJZ550" s="120"/>
      <c r="RKA550" s="120"/>
      <c r="RKB550" s="120"/>
      <c r="RKC550" s="120"/>
      <c r="RKD550" s="120"/>
      <c r="RKE550" s="120"/>
      <c r="RKF550" s="120"/>
      <c r="RKG550" s="120"/>
      <c r="RKH550" s="120"/>
      <c r="RKI550" s="120"/>
      <c r="RKJ550" s="120"/>
      <c r="RKK550" s="120"/>
      <c r="RKL550" s="120"/>
      <c r="RKM550" s="120"/>
      <c r="RKN550" s="120"/>
      <c r="RKO550" s="120"/>
      <c r="RKP550" s="120"/>
      <c r="RKQ550" s="120"/>
      <c r="RKR550" s="120"/>
      <c r="RKS550" s="120"/>
      <c r="RKT550" s="120"/>
      <c r="RKU550" s="120"/>
      <c r="RKV550" s="120"/>
      <c r="RKW550" s="120"/>
      <c r="RKX550" s="120"/>
      <c r="RKY550" s="120"/>
      <c r="RKZ550" s="120"/>
      <c r="RLA550" s="120"/>
      <c r="RLB550" s="120"/>
      <c r="RLC550" s="120"/>
      <c r="RLD550" s="120"/>
      <c r="RLE550" s="120"/>
      <c r="RLF550" s="120"/>
      <c r="RLG550" s="120"/>
      <c r="RLH550" s="120"/>
      <c r="RLI550" s="120"/>
      <c r="RLJ550" s="120"/>
      <c r="RLK550" s="120"/>
      <c r="RLL550" s="120"/>
      <c r="RLM550" s="120"/>
      <c r="RLN550" s="120"/>
      <c r="RLO550" s="120"/>
      <c r="RLP550" s="120"/>
      <c r="RLQ550" s="120"/>
      <c r="RLR550" s="120"/>
      <c r="RLS550" s="120"/>
      <c r="RLT550" s="120"/>
      <c r="RLU550" s="120"/>
      <c r="RLV550" s="120"/>
      <c r="RLW550" s="120"/>
      <c r="RLX550" s="120"/>
      <c r="RLY550" s="120"/>
      <c r="RLZ550" s="120"/>
      <c r="RMA550" s="120"/>
      <c r="RMB550" s="120"/>
      <c r="RMC550" s="120"/>
      <c r="RMD550" s="120"/>
      <c r="RME550" s="120"/>
      <c r="RMF550" s="120"/>
      <c r="RMG550" s="120"/>
      <c r="RMH550" s="120"/>
      <c r="RMI550" s="120"/>
      <c r="RMJ550" s="120"/>
      <c r="RMK550" s="120"/>
      <c r="RML550" s="120"/>
      <c r="RMM550" s="120"/>
      <c r="RMN550" s="120"/>
      <c r="RMO550" s="120"/>
      <c r="RMP550" s="120"/>
      <c r="RMQ550" s="120"/>
      <c r="RMR550" s="120"/>
      <c r="RMS550" s="120"/>
      <c r="RMT550" s="120"/>
      <c r="RMU550" s="120"/>
      <c r="RMV550" s="120"/>
      <c r="RMW550" s="120"/>
      <c r="RMX550" s="120"/>
      <c r="RMY550" s="120"/>
      <c r="RMZ550" s="120"/>
      <c r="RNA550" s="120"/>
      <c r="RNB550" s="120"/>
      <c r="RNC550" s="120"/>
      <c r="RND550" s="120"/>
      <c r="RNE550" s="120"/>
      <c r="RNF550" s="120"/>
      <c r="RNG550" s="120"/>
      <c r="RNH550" s="120"/>
      <c r="RNI550" s="120"/>
      <c r="RNJ550" s="120"/>
      <c r="RNK550" s="120"/>
      <c r="RNL550" s="120"/>
      <c r="RNM550" s="120"/>
      <c r="RNN550" s="120"/>
      <c r="RNO550" s="120"/>
      <c r="RNP550" s="120"/>
      <c r="RNQ550" s="120"/>
      <c r="RNR550" s="120"/>
      <c r="RNS550" s="120"/>
      <c r="RNT550" s="120"/>
      <c r="RNU550" s="120"/>
      <c r="RNV550" s="120"/>
      <c r="RNW550" s="120"/>
      <c r="RNX550" s="120"/>
      <c r="RNY550" s="120"/>
      <c r="RNZ550" s="120"/>
      <c r="ROA550" s="120"/>
      <c r="ROB550" s="120"/>
      <c r="ROC550" s="120"/>
      <c r="ROD550" s="120"/>
      <c r="ROE550" s="120"/>
      <c r="ROF550" s="120"/>
      <c r="ROG550" s="120"/>
      <c r="ROH550" s="120"/>
      <c r="ROI550" s="120"/>
      <c r="ROJ550" s="120"/>
      <c r="ROK550" s="120"/>
      <c r="ROL550" s="120"/>
      <c r="ROM550" s="120"/>
      <c r="RON550" s="120"/>
      <c r="ROO550" s="120"/>
      <c r="ROP550" s="120"/>
      <c r="ROQ550" s="120"/>
      <c r="ROR550" s="120"/>
      <c r="ROS550" s="120"/>
      <c r="ROT550" s="120"/>
      <c r="ROU550" s="120"/>
      <c r="ROV550" s="120"/>
      <c r="ROW550" s="120"/>
      <c r="ROX550" s="120"/>
      <c r="ROY550" s="120"/>
      <c r="ROZ550" s="120"/>
      <c r="RPA550" s="120"/>
      <c r="RPB550" s="120"/>
      <c r="RPC550" s="120"/>
      <c r="RPD550" s="120"/>
      <c r="RPE550" s="120"/>
      <c r="RPF550" s="120"/>
      <c r="RPG550" s="120"/>
      <c r="RPH550" s="120"/>
      <c r="RPI550" s="120"/>
      <c r="RPJ550" s="120"/>
      <c r="RPK550" s="120"/>
      <c r="RPL550" s="120"/>
      <c r="RPM550" s="120"/>
      <c r="RPN550" s="120"/>
      <c r="RPO550" s="120"/>
      <c r="RPP550" s="120"/>
      <c r="RPQ550" s="120"/>
      <c r="RPR550" s="120"/>
      <c r="RPS550" s="120"/>
      <c r="RPT550" s="120"/>
      <c r="RPU550" s="120"/>
      <c r="RPV550" s="120"/>
      <c r="RPW550" s="120"/>
      <c r="RPX550" s="120"/>
      <c r="RPY550" s="120"/>
      <c r="RPZ550" s="120"/>
      <c r="RQA550" s="120"/>
      <c r="RQB550" s="120"/>
      <c r="RQC550" s="120"/>
      <c r="RQD550" s="120"/>
      <c r="RQE550" s="120"/>
      <c r="RQF550" s="120"/>
      <c r="RQG550" s="120"/>
      <c r="RQH550" s="120"/>
      <c r="RQI550" s="120"/>
      <c r="RQJ550" s="120"/>
      <c r="RQK550" s="120"/>
      <c r="RQL550" s="120"/>
      <c r="RQM550" s="120"/>
      <c r="RQN550" s="120"/>
      <c r="RQO550" s="120"/>
      <c r="RQP550" s="120"/>
      <c r="RQQ550" s="120"/>
      <c r="RQR550" s="120"/>
      <c r="RQS550" s="120"/>
      <c r="RQT550" s="120"/>
      <c r="RQU550" s="120"/>
      <c r="RQV550" s="120"/>
      <c r="RQW550" s="120"/>
      <c r="RQX550" s="120"/>
      <c r="RQY550" s="120"/>
      <c r="RQZ550" s="120"/>
      <c r="RRA550" s="120"/>
      <c r="RRB550" s="120"/>
      <c r="RRC550" s="120"/>
      <c r="RRD550" s="120"/>
      <c r="RRE550" s="120"/>
      <c r="RRF550" s="120"/>
      <c r="RRG550" s="120"/>
      <c r="RRH550" s="120"/>
      <c r="RRI550" s="120"/>
      <c r="RRJ550" s="120"/>
      <c r="RRK550" s="120"/>
      <c r="RRL550" s="120"/>
      <c r="RRM550" s="120"/>
      <c r="RRN550" s="120"/>
      <c r="RRO550" s="120"/>
      <c r="RRP550" s="120"/>
      <c r="RRQ550" s="120"/>
      <c r="RRR550" s="120"/>
      <c r="RRS550" s="120"/>
      <c r="RRT550" s="120"/>
      <c r="RRU550" s="120"/>
      <c r="RRV550" s="120"/>
      <c r="RRW550" s="120"/>
      <c r="RRX550" s="120"/>
      <c r="RRY550" s="120"/>
      <c r="RRZ550" s="120"/>
      <c r="RSA550" s="120"/>
      <c r="RSB550" s="120"/>
      <c r="RSC550" s="120"/>
      <c r="RSD550" s="120"/>
      <c r="RSE550" s="120"/>
      <c r="RSF550" s="120"/>
      <c r="RSG550" s="120"/>
      <c r="RSH550" s="120"/>
      <c r="RSI550" s="120"/>
      <c r="RSJ550" s="120"/>
      <c r="RSK550" s="120"/>
      <c r="RSL550" s="120"/>
      <c r="RSM550" s="120"/>
      <c r="RSN550" s="120"/>
      <c r="RSO550" s="120"/>
      <c r="RSP550" s="120"/>
      <c r="RSQ550" s="120"/>
      <c r="RSR550" s="120"/>
      <c r="RSS550" s="120"/>
      <c r="RST550" s="120"/>
      <c r="RSU550" s="120"/>
      <c r="RSV550" s="120"/>
      <c r="RSW550" s="120"/>
      <c r="RSX550" s="120"/>
      <c r="RSY550" s="120"/>
      <c r="RSZ550" s="120"/>
      <c r="RTA550" s="120"/>
      <c r="RTB550" s="120"/>
      <c r="RTC550" s="120"/>
      <c r="RTD550" s="120"/>
      <c r="RTE550" s="120"/>
      <c r="RTF550" s="120"/>
      <c r="RTG550" s="120"/>
      <c r="RTH550" s="120"/>
      <c r="RTI550" s="120"/>
      <c r="RTJ550" s="120"/>
      <c r="RTK550" s="120"/>
      <c r="RTL550" s="120"/>
      <c r="RTM550" s="120"/>
      <c r="RTN550" s="120"/>
      <c r="RTO550" s="120"/>
      <c r="RTP550" s="120"/>
      <c r="RTQ550" s="120"/>
      <c r="RTR550" s="120"/>
      <c r="RTS550" s="120"/>
      <c r="RTT550" s="120"/>
      <c r="RTU550" s="120"/>
      <c r="RTV550" s="120"/>
      <c r="RTW550" s="120"/>
      <c r="RTX550" s="120"/>
      <c r="RTY550" s="120"/>
      <c r="RTZ550" s="120"/>
      <c r="RUA550" s="120"/>
      <c r="RUB550" s="120"/>
      <c r="RUC550" s="120"/>
      <c r="RUD550" s="120"/>
      <c r="RUE550" s="120"/>
      <c r="RUF550" s="120"/>
      <c r="RUG550" s="120"/>
      <c r="RUH550" s="120"/>
      <c r="RUI550" s="120"/>
      <c r="RUJ550" s="120"/>
      <c r="RUK550" s="120"/>
      <c r="RUL550" s="120"/>
      <c r="RUM550" s="120"/>
      <c r="RUN550" s="120"/>
      <c r="RUO550" s="120"/>
      <c r="RUP550" s="120"/>
      <c r="RUQ550" s="120"/>
      <c r="RUR550" s="120"/>
      <c r="RUS550" s="120"/>
      <c r="RUT550" s="120"/>
      <c r="RUU550" s="120"/>
      <c r="RUV550" s="120"/>
      <c r="RUW550" s="120"/>
      <c r="RUX550" s="120"/>
      <c r="RUY550" s="120"/>
      <c r="RUZ550" s="120"/>
      <c r="RVA550" s="120"/>
      <c r="RVB550" s="120"/>
      <c r="RVC550" s="120"/>
      <c r="RVD550" s="120"/>
      <c r="RVE550" s="120"/>
      <c r="RVF550" s="120"/>
      <c r="RVG550" s="120"/>
      <c r="RVH550" s="120"/>
      <c r="RVI550" s="120"/>
      <c r="RVJ550" s="120"/>
      <c r="RVK550" s="120"/>
      <c r="RVL550" s="120"/>
      <c r="RVM550" s="120"/>
      <c r="RVN550" s="120"/>
      <c r="RVO550" s="120"/>
      <c r="RVP550" s="120"/>
      <c r="RVQ550" s="120"/>
      <c r="RVR550" s="120"/>
      <c r="RVS550" s="120"/>
      <c r="RVT550" s="120"/>
      <c r="RVU550" s="120"/>
      <c r="RVV550" s="120"/>
      <c r="RVW550" s="120"/>
      <c r="RVX550" s="120"/>
      <c r="RVY550" s="120"/>
      <c r="RVZ550" s="120"/>
      <c r="RWA550" s="120"/>
      <c r="RWB550" s="120"/>
      <c r="RWC550" s="120"/>
      <c r="RWD550" s="120"/>
      <c r="RWE550" s="120"/>
      <c r="RWF550" s="120"/>
      <c r="RWG550" s="120"/>
      <c r="RWH550" s="120"/>
      <c r="RWI550" s="120"/>
      <c r="RWJ550" s="120"/>
      <c r="RWK550" s="120"/>
      <c r="RWL550" s="120"/>
      <c r="RWM550" s="120"/>
      <c r="RWN550" s="120"/>
      <c r="RWO550" s="120"/>
      <c r="RWP550" s="120"/>
      <c r="RWQ550" s="120"/>
      <c r="RWR550" s="120"/>
      <c r="RWS550" s="120"/>
      <c r="RWT550" s="120"/>
      <c r="RWU550" s="120"/>
      <c r="RWV550" s="120"/>
      <c r="RWW550" s="120"/>
      <c r="RWX550" s="120"/>
      <c r="RWY550" s="120"/>
      <c r="RWZ550" s="120"/>
      <c r="RXA550" s="120"/>
      <c r="RXB550" s="120"/>
      <c r="RXC550" s="120"/>
      <c r="RXD550" s="120"/>
      <c r="RXE550" s="120"/>
      <c r="RXF550" s="120"/>
      <c r="RXG550" s="120"/>
      <c r="RXH550" s="120"/>
      <c r="RXI550" s="120"/>
      <c r="RXJ550" s="120"/>
      <c r="RXK550" s="120"/>
      <c r="RXL550" s="120"/>
      <c r="RXM550" s="120"/>
      <c r="RXN550" s="120"/>
      <c r="RXO550" s="120"/>
      <c r="RXP550" s="120"/>
      <c r="RXQ550" s="120"/>
      <c r="RXR550" s="120"/>
      <c r="RXS550" s="120"/>
      <c r="RXT550" s="120"/>
      <c r="RXU550" s="120"/>
      <c r="RXV550" s="120"/>
      <c r="RXW550" s="120"/>
      <c r="RXX550" s="120"/>
      <c r="RXY550" s="120"/>
      <c r="RXZ550" s="120"/>
      <c r="RYA550" s="120"/>
      <c r="RYB550" s="120"/>
      <c r="RYC550" s="120"/>
      <c r="RYD550" s="120"/>
      <c r="RYE550" s="120"/>
      <c r="RYF550" s="120"/>
      <c r="RYG550" s="120"/>
      <c r="RYH550" s="120"/>
      <c r="RYI550" s="120"/>
      <c r="RYJ550" s="120"/>
      <c r="RYK550" s="120"/>
      <c r="RYL550" s="120"/>
      <c r="RYM550" s="120"/>
      <c r="RYN550" s="120"/>
      <c r="RYO550" s="120"/>
      <c r="RYP550" s="120"/>
      <c r="RYQ550" s="120"/>
      <c r="RYR550" s="120"/>
      <c r="RYS550" s="120"/>
      <c r="RYT550" s="120"/>
      <c r="RYU550" s="120"/>
      <c r="RYV550" s="120"/>
      <c r="RYW550" s="120"/>
      <c r="RYX550" s="120"/>
      <c r="RYY550" s="120"/>
      <c r="RYZ550" s="120"/>
      <c r="RZA550" s="120"/>
      <c r="RZB550" s="120"/>
      <c r="RZC550" s="120"/>
      <c r="RZD550" s="120"/>
      <c r="RZE550" s="120"/>
      <c r="RZF550" s="120"/>
      <c r="RZG550" s="120"/>
      <c r="RZH550" s="120"/>
      <c r="RZI550" s="120"/>
      <c r="RZJ550" s="120"/>
      <c r="RZK550" s="120"/>
      <c r="RZL550" s="120"/>
      <c r="RZM550" s="120"/>
      <c r="RZN550" s="120"/>
      <c r="RZO550" s="120"/>
      <c r="RZP550" s="120"/>
      <c r="RZQ550" s="120"/>
      <c r="RZR550" s="120"/>
      <c r="RZS550" s="120"/>
      <c r="RZT550" s="120"/>
      <c r="RZU550" s="120"/>
      <c r="RZV550" s="120"/>
      <c r="RZW550" s="120"/>
      <c r="RZX550" s="120"/>
      <c r="RZY550" s="120"/>
      <c r="RZZ550" s="120"/>
      <c r="SAA550" s="120"/>
      <c r="SAB550" s="120"/>
      <c r="SAC550" s="120"/>
      <c r="SAD550" s="120"/>
      <c r="SAE550" s="120"/>
      <c r="SAF550" s="120"/>
      <c r="SAG550" s="120"/>
      <c r="SAH550" s="120"/>
      <c r="SAI550" s="120"/>
      <c r="SAJ550" s="120"/>
      <c r="SAK550" s="120"/>
      <c r="SAL550" s="120"/>
      <c r="SAM550" s="120"/>
      <c r="SAN550" s="120"/>
      <c r="SAO550" s="120"/>
      <c r="SAP550" s="120"/>
      <c r="SAQ550" s="120"/>
      <c r="SAR550" s="120"/>
      <c r="SAS550" s="120"/>
      <c r="SAT550" s="120"/>
      <c r="SAU550" s="120"/>
      <c r="SAV550" s="120"/>
      <c r="SAW550" s="120"/>
      <c r="SAX550" s="120"/>
      <c r="SAY550" s="120"/>
      <c r="SAZ550" s="120"/>
      <c r="SBA550" s="120"/>
      <c r="SBB550" s="120"/>
      <c r="SBC550" s="120"/>
      <c r="SBD550" s="120"/>
      <c r="SBE550" s="120"/>
      <c r="SBF550" s="120"/>
      <c r="SBG550" s="120"/>
      <c r="SBH550" s="120"/>
      <c r="SBI550" s="120"/>
      <c r="SBJ550" s="120"/>
      <c r="SBK550" s="120"/>
      <c r="SBL550" s="120"/>
      <c r="SBM550" s="120"/>
      <c r="SBN550" s="120"/>
      <c r="SBO550" s="120"/>
      <c r="SBP550" s="120"/>
      <c r="SBQ550" s="120"/>
      <c r="SBR550" s="120"/>
      <c r="SBS550" s="120"/>
      <c r="SBT550" s="120"/>
      <c r="SBU550" s="120"/>
      <c r="SBV550" s="120"/>
      <c r="SBW550" s="120"/>
      <c r="SBX550" s="120"/>
      <c r="SBY550" s="120"/>
      <c r="SBZ550" s="120"/>
      <c r="SCA550" s="120"/>
      <c r="SCB550" s="120"/>
      <c r="SCC550" s="120"/>
      <c r="SCD550" s="120"/>
      <c r="SCE550" s="120"/>
      <c r="SCF550" s="120"/>
      <c r="SCG550" s="120"/>
      <c r="SCH550" s="120"/>
      <c r="SCI550" s="120"/>
      <c r="SCJ550" s="120"/>
      <c r="SCK550" s="120"/>
      <c r="SCL550" s="120"/>
      <c r="SCM550" s="120"/>
      <c r="SCN550" s="120"/>
      <c r="SCO550" s="120"/>
      <c r="SCP550" s="120"/>
      <c r="SCQ550" s="120"/>
      <c r="SCR550" s="120"/>
      <c r="SCS550" s="120"/>
      <c r="SCT550" s="120"/>
      <c r="SCU550" s="120"/>
      <c r="SCV550" s="120"/>
      <c r="SCW550" s="120"/>
      <c r="SCX550" s="120"/>
      <c r="SCY550" s="120"/>
      <c r="SCZ550" s="120"/>
      <c r="SDA550" s="120"/>
      <c r="SDB550" s="120"/>
      <c r="SDC550" s="120"/>
      <c r="SDD550" s="120"/>
      <c r="SDE550" s="120"/>
      <c r="SDF550" s="120"/>
      <c r="SDG550" s="120"/>
      <c r="SDH550" s="120"/>
      <c r="SDI550" s="120"/>
      <c r="SDJ550" s="120"/>
      <c r="SDK550" s="120"/>
      <c r="SDL550" s="120"/>
      <c r="SDM550" s="120"/>
      <c r="SDN550" s="120"/>
      <c r="SDO550" s="120"/>
      <c r="SDP550" s="120"/>
      <c r="SDQ550" s="120"/>
      <c r="SDR550" s="120"/>
      <c r="SDS550" s="120"/>
      <c r="SDT550" s="120"/>
      <c r="SDU550" s="120"/>
      <c r="SDV550" s="120"/>
      <c r="SDW550" s="120"/>
      <c r="SDX550" s="120"/>
      <c r="SDY550" s="120"/>
      <c r="SDZ550" s="120"/>
      <c r="SEA550" s="120"/>
      <c r="SEB550" s="120"/>
      <c r="SEC550" s="120"/>
      <c r="SED550" s="120"/>
      <c r="SEE550" s="120"/>
      <c r="SEF550" s="120"/>
      <c r="SEG550" s="120"/>
      <c r="SEH550" s="120"/>
      <c r="SEI550" s="120"/>
      <c r="SEJ550" s="120"/>
      <c r="SEK550" s="120"/>
      <c r="SEL550" s="120"/>
      <c r="SEM550" s="120"/>
      <c r="SEN550" s="120"/>
      <c r="SEO550" s="120"/>
      <c r="SEP550" s="120"/>
      <c r="SEQ550" s="120"/>
      <c r="SER550" s="120"/>
      <c r="SES550" s="120"/>
      <c r="SET550" s="120"/>
      <c r="SEU550" s="120"/>
      <c r="SEV550" s="120"/>
      <c r="SEW550" s="120"/>
      <c r="SEX550" s="120"/>
      <c r="SEY550" s="120"/>
      <c r="SEZ550" s="120"/>
      <c r="SFA550" s="120"/>
      <c r="SFB550" s="120"/>
      <c r="SFC550" s="120"/>
      <c r="SFD550" s="120"/>
      <c r="SFE550" s="120"/>
      <c r="SFF550" s="120"/>
      <c r="SFG550" s="120"/>
      <c r="SFH550" s="120"/>
      <c r="SFI550" s="120"/>
      <c r="SFJ550" s="120"/>
      <c r="SFK550" s="120"/>
      <c r="SFL550" s="120"/>
      <c r="SFM550" s="120"/>
      <c r="SFN550" s="120"/>
      <c r="SFO550" s="120"/>
      <c r="SFP550" s="120"/>
      <c r="SFQ550" s="120"/>
      <c r="SFR550" s="120"/>
      <c r="SFS550" s="120"/>
      <c r="SFT550" s="120"/>
      <c r="SFU550" s="120"/>
      <c r="SFV550" s="120"/>
      <c r="SFW550" s="120"/>
      <c r="SFX550" s="120"/>
      <c r="SFY550" s="120"/>
      <c r="SFZ550" s="120"/>
      <c r="SGA550" s="120"/>
      <c r="SGB550" s="120"/>
      <c r="SGC550" s="120"/>
      <c r="SGD550" s="120"/>
      <c r="SGE550" s="120"/>
      <c r="SGF550" s="120"/>
      <c r="SGG550" s="120"/>
      <c r="SGH550" s="120"/>
      <c r="SGI550" s="120"/>
      <c r="SGJ550" s="120"/>
      <c r="SGK550" s="120"/>
      <c r="SGL550" s="120"/>
      <c r="SGM550" s="120"/>
      <c r="SGN550" s="120"/>
      <c r="SGO550" s="120"/>
      <c r="SGP550" s="120"/>
      <c r="SGQ550" s="120"/>
      <c r="SGR550" s="120"/>
      <c r="SGS550" s="120"/>
      <c r="SGT550" s="120"/>
      <c r="SGU550" s="120"/>
      <c r="SGV550" s="120"/>
      <c r="SGW550" s="120"/>
      <c r="SGX550" s="120"/>
      <c r="SGY550" s="120"/>
      <c r="SGZ550" s="120"/>
      <c r="SHA550" s="120"/>
      <c r="SHB550" s="120"/>
      <c r="SHC550" s="120"/>
      <c r="SHD550" s="120"/>
      <c r="SHE550" s="120"/>
      <c r="SHF550" s="120"/>
      <c r="SHG550" s="120"/>
      <c r="SHH550" s="120"/>
      <c r="SHI550" s="120"/>
      <c r="SHJ550" s="120"/>
      <c r="SHK550" s="120"/>
      <c r="SHL550" s="120"/>
      <c r="SHM550" s="120"/>
      <c r="SHN550" s="120"/>
      <c r="SHO550" s="120"/>
      <c r="SHP550" s="120"/>
      <c r="SHQ550" s="120"/>
      <c r="SHR550" s="120"/>
      <c r="SHS550" s="120"/>
      <c r="SHT550" s="120"/>
      <c r="SHU550" s="120"/>
      <c r="SHV550" s="120"/>
      <c r="SHW550" s="120"/>
      <c r="SHX550" s="120"/>
      <c r="SHY550" s="120"/>
      <c r="SHZ550" s="120"/>
      <c r="SIA550" s="120"/>
      <c r="SIB550" s="120"/>
      <c r="SIC550" s="120"/>
      <c r="SID550" s="120"/>
      <c r="SIE550" s="120"/>
      <c r="SIF550" s="120"/>
      <c r="SIG550" s="120"/>
      <c r="SIH550" s="120"/>
      <c r="SII550" s="120"/>
      <c r="SIJ550" s="120"/>
      <c r="SIK550" s="120"/>
      <c r="SIL550" s="120"/>
      <c r="SIM550" s="120"/>
      <c r="SIN550" s="120"/>
      <c r="SIO550" s="120"/>
      <c r="SIP550" s="120"/>
      <c r="SIQ550" s="120"/>
      <c r="SIR550" s="120"/>
      <c r="SIS550" s="120"/>
      <c r="SIT550" s="120"/>
      <c r="SIU550" s="120"/>
      <c r="SIV550" s="120"/>
      <c r="SIW550" s="120"/>
      <c r="SIX550" s="120"/>
      <c r="SIY550" s="120"/>
      <c r="SIZ550" s="120"/>
      <c r="SJA550" s="120"/>
      <c r="SJB550" s="120"/>
      <c r="SJC550" s="120"/>
      <c r="SJD550" s="120"/>
      <c r="SJE550" s="120"/>
      <c r="SJF550" s="120"/>
      <c r="SJG550" s="120"/>
      <c r="SJH550" s="120"/>
      <c r="SJI550" s="120"/>
      <c r="SJJ550" s="120"/>
      <c r="SJK550" s="120"/>
      <c r="SJL550" s="120"/>
      <c r="SJM550" s="120"/>
      <c r="SJN550" s="120"/>
      <c r="SJO550" s="120"/>
      <c r="SJP550" s="120"/>
      <c r="SJQ550" s="120"/>
      <c r="SJR550" s="120"/>
      <c r="SJS550" s="120"/>
      <c r="SJT550" s="120"/>
      <c r="SJU550" s="120"/>
      <c r="SJV550" s="120"/>
      <c r="SJW550" s="120"/>
      <c r="SJX550" s="120"/>
      <c r="SJY550" s="120"/>
      <c r="SJZ550" s="120"/>
      <c r="SKA550" s="120"/>
      <c r="SKB550" s="120"/>
      <c r="SKC550" s="120"/>
      <c r="SKD550" s="120"/>
      <c r="SKE550" s="120"/>
      <c r="SKF550" s="120"/>
      <c r="SKG550" s="120"/>
      <c r="SKH550" s="120"/>
      <c r="SKI550" s="120"/>
      <c r="SKJ550" s="120"/>
      <c r="SKK550" s="120"/>
      <c r="SKL550" s="120"/>
      <c r="SKM550" s="120"/>
      <c r="SKN550" s="120"/>
      <c r="SKO550" s="120"/>
      <c r="SKP550" s="120"/>
      <c r="SKQ550" s="120"/>
      <c r="SKR550" s="120"/>
      <c r="SKS550" s="120"/>
      <c r="SKT550" s="120"/>
      <c r="SKU550" s="120"/>
      <c r="SKV550" s="120"/>
      <c r="SKW550" s="120"/>
      <c r="SKX550" s="120"/>
      <c r="SKY550" s="120"/>
      <c r="SKZ550" s="120"/>
      <c r="SLA550" s="120"/>
      <c r="SLB550" s="120"/>
      <c r="SLC550" s="120"/>
      <c r="SLD550" s="120"/>
      <c r="SLE550" s="120"/>
      <c r="SLF550" s="120"/>
      <c r="SLG550" s="120"/>
      <c r="SLH550" s="120"/>
      <c r="SLI550" s="120"/>
      <c r="SLJ550" s="120"/>
      <c r="SLK550" s="120"/>
      <c r="SLL550" s="120"/>
      <c r="SLM550" s="120"/>
      <c r="SLN550" s="120"/>
      <c r="SLO550" s="120"/>
      <c r="SLP550" s="120"/>
      <c r="SLQ550" s="120"/>
      <c r="SLR550" s="120"/>
      <c r="SLS550" s="120"/>
      <c r="SLT550" s="120"/>
      <c r="SLU550" s="120"/>
      <c r="SLV550" s="120"/>
      <c r="SLW550" s="120"/>
      <c r="SLX550" s="120"/>
      <c r="SLY550" s="120"/>
      <c r="SLZ550" s="120"/>
      <c r="SMA550" s="120"/>
      <c r="SMB550" s="120"/>
      <c r="SMC550" s="120"/>
      <c r="SMD550" s="120"/>
      <c r="SME550" s="120"/>
      <c r="SMF550" s="120"/>
      <c r="SMG550" s="120"/>
      <c r="SMH550" s="120"/>
      <c r="SMI550" s="120"/>
      <c r="SMJ550" s="120"/>
      <c r="SMK550" s="120"/>
      <c r="SML550" s="120"/>
      <c r="SMM550" s="120"/>
      <c r="SMN550" s="120"/>
      <c r="SMO550" s="120"/>
      <c r="SMP550" s="120"/>
      <c r="SMQ550" s="120"/>
      <c r="SMR550" s="120"/>
      <c r="SMS550" s="120"/>
      <c r="SMT550" s="120"/>
      <c r="SMU550" s="120"/>
      <c r="SMV550" s="120"/>
      <c r="SMW550" s="120"/>
      <c r="SMX550" s="120"/>
      <c r="SMY550" s="120"/>
      <c r="SMZ550" s="120"/>
      <c r="SNA550" s="120"/>
      <c r="SNB550" s="120"/>
      <c r="SNC550" s="120"/>
      <c r="SND550" s="120"/>
      <c r="SNE550" s="120"/>
      <c r="SNF550" s="120"/>
      <c r="SNG550" s="120"/>
      <c r="SNH550" s="120"/>
      <c r="SNI550" s="120"/>
      <c r="SNJ550" s="120"/>
      <c r="SNK550" s="120"/>
      <c r="SNL550" s="120"/>
      <c r="SNM550" s="120"/>
      <c r="SNN550" s="120"/>
      <c r="SNO550" s="120"/>
      <c r="SNP550" s="120"/>
      <c r="SNQ550" s="120"/>
      <c r="SNR550" s="120"/>
      <c r="SNS550" s="120"/>
      <c r="SNT550" s="120"/>
      <c r="SNU550" s="120"/>
      <c r="SNV550" s="120"/>
      <c r="SNW550" s="120"/>
      <c r="SNX550" s="120"/>
      <c r="SNY550" s="120"/>
      <c r="SNZ550" s="120"/>
      <c r="SOA550" s="120"/>
      <c r="SOB550" s="120"/>
      <c r="SOC550" s="120"/>
      <c r="SOD550" s="120"/>
      <c r="SOE550" s="120"/>
      <c r="SOF550" s="120"/>
      <c r="SOG550" s="120"/>
      <c r="SOH550" s="120"/>
      <c r="SOI550" s="120"/>
      <c r="SOJ550" s="120"/>
      <c r="SOK550" s="120"/>
      <c r="SOL550" s="120"/>
      <c r="SOM550" s="120"/>
      <c r="SON550" s="120"/>
      <c r="SOO550" s="120"/>
      <c r="SOP550" s="120"/>
      <c r="SOQ550" s="120"/>
      <c r="SOR550" s="120"/>
      <c r="SOS550" s="120"/>
      <c r="SOT550" s="120"/>
      <c r="SOU550" s="120"/>
      <c r="SOV550" s="120"/>
      <c r="SOW550" s="120"/>
      <c r="SOX550" s="120"/>
      <c r="SOY550" s="120"/>
      <c r="SOZ550" s="120"/>
      <c r="SPA550" s="120"/>
      <c r="SPB550" s="120"/>
      <c r="SPC550" s="120"/>
      <c r="SPD550" s="120"/>
      <c r="SPE550" s="120"/>
      <c r="SPF550" s="120"/>
      <c r="SPG550" s="120"/>
      <c r="SPH550" s="120"/>
      <c r="SPI550" s="120"/>
      <c r="SPJ550" s="120"/>
      <c r="SPK550" s="120"/>
      <c r="SPL550" s="120"/>
      <c r="SPM550" s="120"/>
      <c r="SPN550" s="120"/>
      <c r="SPO550" s="120"/>
      <c r="SPP550" s="120"/>
      <c r="SPQ550" s="120"/>
      <c r="SPR550" s="120"/>
      <c r="SPS550" s="120"/>
      <c r="SPT550" s="120"/>
      <c r="SPU550" s="120"/>
      <c r="SPV550" s="120"/>
      <c r="SPW550" s="120"/>
      <c r="SPX550" s="120"/>
      <c r="SPY550" s="120"/>
      <c r="SPZ550" s="120"/>
      <c r="SQA550" s="120"/>
      <c r="SQB550" s="120"/>
      <c r="SQC550" s="120"/>
      <c r="SQD550" s="120"/>
      <c r="SQE550" s="120"/>
      <c r="SQF550" s="120"/>
      <c r="SQG550" s="120"/>
      <c r="SQH550" s="120"/>
      <c r="SQI550" s="120"/>
      <c r="SQJ550" s="120"/>
      <c r="SQK550" s="120"/>
      <c r="SQL550" s="120"/>
      <c r="SQM550" s="120"/>
      <c r="SQN550" s="120"/>
      <c r="SQO550" s="120"/>
      <c r="SQP550" s="120"/>
      <c r="SQQ550" s="120"/>
      <c r="SQR550" s="120"/>
      <c r="SQS550" s="120"/>
      <c r="SQT550" s="120"/>
      <c r="SQU550" s="120"/>
      <c r="SQV550" s="120"/>
      <c r="SQW550" s="120"/>
      <c r="SQX550" s="120"/>
      <c r="SQY550" s="120"/>
      <c r="SQZ550" s="120"/>
      <c r="SRA550" s="120"/>
      <c r="SRB550" s="120"/>
      <c r="SRC550" s="120"/>
      <c r="SRD550" s="120"/>
      <c r="SRE550" s="120"/>
      <c r="SRF550" s="120"/>
      <c r="SRG550" s="120"/>
      <c r="SRH550" s="120"/>
      <c r="SRI550" s="120"/>
      <c r="SRJ550" s="120"/>
      <c r="SRK550" s="120"/>
      <c r="SRL550" s="120"/>
      <c r="SRM550" s="120"/>
      <c r="SRN550" s="120"/>
      <c r="SRO550" s="120"/>
      <c r="SRP550" s="120"/>
      <c r="SRQ550" s="120"/>
      <c r="SRR550" s="120"/>
      <c r="SRS550" s="120"/>
      <c r="SRT550" s="120"/>
      <c r="SRU550" s="120"/>
      <c r="SRV550" s="120"/>
      <c r="SRW550" s="120"/>
      <c r="SRX550" s="120"/>
      <c r="SRY550" s="120"/>
      <c r="SRZ550" s="120"/>
      <c r="SSA550" s="120"/>
      <c r="SSB550" s="120"/>
      <c r="SSC550" s="120"/>
      <c r="SSD550" s="120"/>
      <c r="SSE550" s="120"/>
      <c r="SSF550" s="120"/>
      <c r="SSG550" s="120"/>
      <c r="SSH550" s="120"/>
      <c r="SSI550" s="120"/>
      <c r="SSJ550" s="120"/>
      <c r="SSK550" s="120"/>
      <c r="SSL550" s="120"/>
      <c r="SSM550" s="120"/>
      <c r="SSN550" s="120"/>
      <c r="SSO550" s="120"/>
      <c r="SSP550" s="120"/>
      <c r="SSQ550" s="120"/>
      <c r="SSR550" s="120"/>
      <c r="SSS550" s="120"/>
      <c r="SST550" s="120"/>
      <c r="SSU550" s="120"/>
      <c r="SSV550" s="120"/>
      <c r="SSW550" s="120"/>
      <c r="SSX550" s="120"/>
      <c r="SSY550" s="120"/>
      <c r="SSZ550" s="120"/>
      <c r="STA550" s="120"/>
      <c r="STB550" s="120"/>
      <c r="STC550" s="120"/>
      <c r="STD550" s="120"/>
      <c r="STE550" s="120"/>
      <c r="STF550" s="120"/>
      <c r="STG550" s="120"/>
      <c r="STH550" s="120"/>
      <c r="STI550" s="120"/>
      <c r="STJ550" s="120"/>
      <c r="STK550" s="120"/>
      <c r="STL550" s="120"/>
      <c r="STM550" s="120"/>
      <c r="STN550" s="120"/>
      <c r="STO550" s="120"/>
      <c r="STP550" s="120"/>
      <c r="STQ550" s="120"/>
      <c r="STR550" s="120"/>
      <c r="STS550" s="120"/>
      <c r="STT550" s="120"/>
      <c r="STU550" s="120"/>
      <c r="STV550" s="120"/>
      <c r="STW550" s="120"/>
      <c r="STX550" s="120"/>
      <c r="STY550" s="120"/>
      <c r="STZ550" s="120"/>
      <c r="SUA550" s="120"/>
      <c r="SUB550" s="120"/>
      <c r="SUC550" s="120"/>
      <c r="SUD550" s="120"/>
      <c r="SUE550" s="120"/>
      <c r="SUF550" s="120"/>
      <c r="SUG550" s="120"/>
      <c r="SUH550" s="120"/>
      <c r="SUI550" s="120"/>
      <c r="SUJ550" s="120"/>
      <c r="SUK550" s="120"/>
      <c r="SUL550" s="120"/>
      <c r="SUM550" s="120"/>
      <c r="SUN550" s="120"/>
      <c r="SUO550" s="120"/>
      <c r="SUP550" s="120"/>
      <c r="SUQ550" s="120"/>
      <c r="SUR550" s="120"/>
      <c r="SUS550" s="120"/>
      <c r="SUT550" s="120"/>
      <c r="SUU550" s="120"/>
      <c r="SUV550" s="120"/>
      <c r="SUW550" s="120"/>
      <c r="SUX550" s="120"/>
      <c r="SUY550" s="120"/>
      <c r="SUZ550" s="120"/>
      <c r="SVA550" s="120"/>
      <c r="SVB550" s="120"/>
      <c r="SVC550" s="120"/>
      <c r="SVD550" s="120"/>
      <c r="SVE550" s="120"/>
      <c r="SVF550" s="120"/>
      <c r="SVG550" s="120"/>
      <c r="SVH550" s="120"/>
      <c r="SVI550" s="120"/>
      <c r="SVJ550" s="120"/>
      <c r="SVK550" s="120"/>
      <c r="SVL550" s="120"/>
      <c r="SVM550" s="120"/>
      <c r="SVN550" s="120"/>
      <c r="SVO550" s="120"/>
      <c r="SVP550" s="120"/>
      <c r="SVQ550" s="120"/>
      <c r="SVR550" s="120"/>
      <c r="SVS550" s="120"/>
      <c r="SVT550" s="120"/>
      <c r="SVU550" s="120"/>
      <c r="SVV550" s="120"/>
      <c r="SVW550" s="120"/>
      <c r="SVX550" s="120"/>
      <c r="SVY550" s="120"/>
      <c r="SVZ550" s="120"/>
      <c r="SWA550" s="120"/>
      <c r="SWB550" s="120"/>
      <c r="SWC550" s="120"/>
      <c r="SWD550" s="120"/>
      <c r="SWE550" s="120"/>
      <c r="SWF550" s="120"/>
      <c r="SWG550" s="120"/>
      <c r="SWH550" s="120"/>
      <c r="SWI550" s="120"/>
      <c r="SWJ550" s="120"/>
      <c r="SWK550" s="120"/>
      <c r="SWL550" s="120"/>
      <c r="SWM550" s="120"/>
      <c r="SWN550" s="120"/>
      <c r="SWO550" s="120"/>
      <c r="SWP550" s="120"/>
      <c r="SWQ550" s="120"/>
      <c r="SWR550" s="120"/>
      <c r="SWS550" s="120"/>
      <c r="SWT550" s="120"/>
      <c r="SWU550" s="120"/>
      <c r="SWV550" s="120"/>
      <c r="SWW550" s="120"/>
      <c r="SWX550" s="120"/>
      <c r="SWY550" s="120"/>
      <c r="SWZ550" s="120"/>
      <c r="SXA550" s="120"/>
      <c r="SXB550" s="120"/>
      <c r="SXC550" s="120"/>
      <c r="SXD550" s="120"/>
      <c r="SXE550" s="120"/>
      <c r="SXF550" s="120"/>
      <c r="SXG550" s="120"/>
      <c r="SXH550" s="120"/>
      <c r="SXI550" s="120"/>
      <c r="SXJ550" s="120"/>
      <c r="SXK550" s="120"/>
      <c r="SXL550" s="120"/>
      <c r="SXM550" s="120"/>
      <c r="SXN550" s="120"/>
      <c r="SXO550" s="120"/>
      <c r="SXP550" s="120"/>
      <c r="SXQ550" s="120"/>
      <c r="SXR550" s="120"/>
      <c r="SXS550" s="120"/>
      <c r="SXT550" s="120"/>
      <c r="SXU550" s="120"/>
      <c r="SXV550" s="120"/>
      <c r="SXW550" s="120"/>
      <c r="SXX550" s="120"/>
      <c r="SXY550" s="120"/>
      <c r="SXZ550" s="120"/>
      <c r="SYA550" s="120"/>
      <c r="SYB550" s="120"/>
      <c r="SYC550" s="120"/>
      <c r="SYD550" s="120"/>
      <c r="SYE550" s="120"/>
      <c r="SYF550" s="120"/>
      <c r="SYG550" s="120"/>
      <c r="SYH550" s="120"/>
      <c r="SYI550" s="120"/>
      <c r="SYJ550" s="120"/>
      <c r="SYK550" s="120"/>
      <c r="SYL550" s="120"/>
      <c r="SYM550" s="120"/>
      <c r="SYN550" s="120"/>
      <c r="SYO550" s="120"/>
      <c r="SYP550" s="120"/>
      <c r="SYQ550" s="120"/>
      <c r="SYR550" s="120"/>
      <c r="SYS550" s="120"/>
      <c r="SYT550" s="120"/>
      <c r="SYU550" s="120"/>
      <c r="SYV550" s="120"/>
      <c r="SYW550" s="120"/>
      <c r="SYX550" s="120"/>
      <c r="SYY550" s="120"/>
      <c r="SYZ550" s="120"/>
      <c r="SZA550" s="120"/>
      <c r="SZB550" s="120"/>
      <c r="SZC550" s="120"/>
      <c r="SZD550" s="120"/>
      <c r="SZE550" s="120"/>
      <c r="SZF550" s="120"/>
      <c r="SZG550" s="120"/>
      <c r="SZH550" s="120"/>
      <c r="SZI550" s="120"/>
      <c r="SZJ550" s="120"/>
      <c r="SZK550" s="120"/>
      <c r="SZL550" s="120"/>
      <c r="SZM550" s="120"/>
      <c r="SZN550" s="120"/>
      <c r="SZO550" s="120"/>
      <c r="SZP550" s="120"/>
      <c r="SZQ550" s="120"/>
      <c r="SZR550" s="120"/>
      <c r="SZS550" s="120"/>
      <c r="SZT550" s="120"/>
      <c r="SZU550" s="120"/>
      <c r="SZV550" s="120"/>
      <c r="SZW550" s="120"/>
      <c r="SZX550" s="120"/>
      <c r="SZY550" s="120"/>
      <c r="SZZ550" s="120"/>
      <c r="TAA550" s="120"/>
      <c r="TAB550" s="120"/>
      <c r="TAC550" s="120"/>
      <c r="TAD550" s="120"/>
      <c r="TAE550" s="120"/>
      <c r="TAF550" s="120"/>
      <c r="TAG550" s="120"/>
      <c r="TAH550" s="120"/>
      <c r="TAI550" s="120"/>
      <c r="TAJ550" s="120"/>
      <c r="TAK550" s="120"/>
      <c r="TAL550" s="120"/>
      <c r="TAM550" s="120"/>
      <c r="TAN550" s="120"/>
      <c r="TAO550" s="120"/>
      <c r="TAP550" s="120"/>
      <c r="TAQ550" s="120"/>
      <c r="TAR550" s="120"/>
      <c r="TAS550" s="120"/>
      <c r="TAT550" s="120"/>
      <c r="TAU550" s="120"/>
      <c r="TAV550" s="120"/>
      <c r="TAW550" s="120"/>
      <c r="TAX550" s="120"/>
      <c r="TAY550" s="120"/>
      <c r="TAZ550" s="120"/>
      <c r="TBA550" s="120"/>
      <c r="TBB550" s="120"/>
      <c r="TBC550" s="120"/>
      <c r="TBD550" s="120"/>
      <c r="TBE550" s="120"/>
      <c r="TBF550" s="120"/>
      <c r="TBG550" s="120"/>
      <c r="TBH550" s="120"/>
      <c r="TBI550" s="120"/>
      <c r="TBJ550" s="120"/>
      <c r="TBK550" s="120"/>
      <c r="TBL550" s="120"/>
      <c r="TBM550" s="120"/>
      <c r="TBN550" s="120"/>
      <c r="TBO550" s="120"/>
      <c r="TBP550" s="120"/>
      <c r="TBQ550" s="120"/>
      <c r="TBR550" s="120"/>
      <c r="TBS550" s="120"/>
      <c r="TBT550" s="120"/>
      <c r="TBU550" s="120"/>
      <c r="TBV550" s="120"/>
      <c r="TBW550" s="120"/>
      <c r="TBX550" s="120"/>
      <c r="TBY550" s="120"/>
      <c r="TBZ550" s="120"/>
      <c r="TCA550" s="120"/>
      <c r="TCB550" s="120"/>
      <c r="TCC550" s="120"/>
      <c r="TCD550" s="120"/>
      <c r="TCE550" s="120"/>
      <c r="TCF550" s="120"/>
      <c r="TCG550" s="120"/>
      <c r="TCH550" s="120"/>
      <c r="TCI550" s="120"/>
      <c r="TCJ550" s="120"/>
      <c r="TCK550" s="120"/>
      <c r="TCL550" s="120"/>
      <c r="TCM550" s="120"/>
      <c r="TCN550" s="120"/>
      <c r="TCO550" s="120"/>
      <c r="TCP550" s="120"/>
      <c r="TCQ550" s="120"/>
      <c r="TCR550" s="120"/>
      <c r="TCS550" s="120"/>
      <c r="TCT550" s="120"/>
      <c r="TCU550" s="120"/>
      <c r="TCV550" s="120"/>
      <c r="TCW550" s="120"/>
      <c r="TCX550" s="120"/>
      <c r="TCY550" s="120"/>
      <c r="TCZ550" s="120"/>
      <c r="TDA550" s="120"/>
      <c r="TDB550" s="120"/>
      <c r="TDC550" s="120"/>
      <c r="TDD550" s="120"/>
      <c r="TDE550" s="120"/>
      <c r="TDF550" s="120"/>
      <c r="TDG550" s="120"/>
      <c r="TDH550" s="120"/>
      <c r="TDI550" s="120"/>
      <c r="TDJ550" s="120"/>
      <c r="TDK550" s="120"/>
      <c r="TDL550" s="120"/>
      <c r="TDM550" s="120"/>
      <c r="TDN550" s="120"/>
      <c r="TDO550" s="120"/>
      <c r="TDP550" s="120"/>
      <c r="TDQ550" s="120"/>
      <c r="TDR550" s="120"/>
      <c r="TDS550" s="120"/>
      <c r="TDT550" s="120"/>
      <c r="TDU550" s="120"/>
      <c r="TDV550" s="120"/>
      <c r="TDW550" s="120"/>
      <c r="TDX550" s="120"/>
      <c r="TDY550" s="120"/>
      <c r="TDZ550" s="120"/>
      <c r="TEA550" s="120"/>
      <c r="TEB550" s="120"/>
      <c r="TEC550" s="120"/>
      <c r="TED550" s="120"/>
      <c r="TEE550" s="120"/>
      <c r="TEF550" s="120"/>
      <c r="TEG550" s="120"/>
      <c r="TEH550" s="120"/>
      <c r="TEI550" s="120"/>
      <c r="TEJ550" s="120"/>
      <c r="TEK550" s="120"/>
      <c r="TEL550" s="120"/>
      <c r="TEM550" s="120"/>
      <c r="TEN550" s="120"/>
      <c r="TEO550" s="120"/>
      <c r="TEP550" s="120"/>
      <c r="TEQ550" s="120"/>
      <c r="TER550" s="120"/>
      <c r="TES550" s="120"/>
      <c r="TET550" s="120"/>
      <c r="TEU550" s="120"/>
      <c r="TEV550" s="120"/>
      <c r="TEW550" s="120"/>
      <c r="TEX550" s="120"/>
      <c r="TEY550" s="120"/>
      <c r="TEZ550" s="120"/>
      <c r="TFA550" s="120"/>
      <c r="TFB550" s="120"/>
      <c r="TFC550" s="120"/>
      <c r="TFD550" s="120"/>
      <c r="TFE550" s="120"/>
      <c r="TFF550" s="120"/>
      <c r="TFG550" s="120"/>
      <c r="TFH550" s="120"/>
      <c r="TFI550" s="120"/>
      <c r="TFJ550" s="120"/>
      <c r="TFK550" s="120"/>
      <c r="TFL550" s="120"/>
      <c r="TFM550" s="120"/>
      <c r="TFN550" s="120"/>
      <c r="TFO550" s="120"/>
      <c r="TFP550" s="120"/>
      <c r="TFQ550" s="120"/>
      <c r="TFR550" s="120"/>
      <c r="TFS550" s="120"/>
      <c r="TFT550" s="120"/>
      <c r="TFU550" s="120"/>
      <c r="TFV550" s="120"/>
      <c r="TFW550" s="120"/>
      <c r="TFX550" s="120"/>
      <c r="TFY550" s="120"/>
      <c r="TFZ550" s="120"/>
      <c r="TGA550" s="120"/>
      <c r="TGB550" s="120"/>
      <c r="TGC550" s="120"/>
      <c r="TGD550" s="120"/>
      <c r="TGE550" s="120"/>
      <c r="TGF550" s="120"/>
      <c r="TGG550" s="120"/>
      <c r="TGH550" s="120"/>
      <c r="TGI550" s="120"/>
      <c r="TGJ550" s="120"/>
      <c r="TGK550" s="120"/>
      <c r="TGL550" s="120"/>
      <c r="TGM550" s="120"/>
      <c r="TGN550" s="120"/>
      <c r="TGO550" s="120"/>
      <c r="TGP550" s="120"/>
      <c r="TGQ550" s="120"/>
      <c r="TGR550" s="120"/>
      <c r="TGS550" s="120"/>
      <c r="TGT550" s="120"/>
      <c r="TGU550" s="120"/>
      <c r="TGV550" s="120"/>
      <c r="TGW550" s="120"/>
      <c r="TGX550" s="120"/>
      <c r="TGY550" s="120"/>
      <c r="TGZ550" s="120"/>
      <c r="THA550" s="120"/>
      <c r="THB550" s="120"/>
      <c r="THC550" s="120"/>
      <c r="THD550" s="120"/>
      <c r="THE550" s="120"/>
      <c r="THF550" s="120"/>
      <c r="THG550" s="120"/>
      <c r="THH550" s="120"/>
      <c r="THI550" s="120"/>
      <c r="THJ550" s="120"/>
      <c r="THK550" s="120"/>
      <c r="THL550" s="120"/>
      <c r="THM550" s="120"/>
      <c r="THN550" s="120"/>
      <c r="THO550" s="120"/>
      <c r="THP550" s="120"/>
      <c r="THQ550" s="120"/>
      <c r="THR550" s="120"/>
      <c r="THS550" s="120"/>
      <c r="THT550" s="120"/>
      <c r="THU550" s="120"/>
      <c r="THV550" s="120"/>
      <c r="THW550" s="120"/>
      <c r="THX550" s="120"/>
      <c r="THY550" s="120"/>
      <c r="THZ550" s="120"/>
      <c r="TIA550" s="120"/>
      <c r="TIB550" s="120"/>
      <c r="TIC550" s="120"/>
      <c r="TID550" s="120"/>
      <c r="TIE550" s="120"/>
      <c r="TIF550" s="120"/>
      <c r="TIG550" s="120"/>
      <c r="TIH550" s="120"/>
      <c r="TII550" s="120"/>
      <c r="TIJ550" s="120"/>
      <c r="TIK550" s="120"/>
      <c r="TIL550" s="120"/>
      <c r="TIM550" s="120"/>
      <c r="TIN550" s="120"/>
      <c r="TIO550" s="120"/>
      <c r="TIP550" s="120"/>
      <c r="TIQ550" s="120"/>
      <c r="TIR550" s="120"/>
      <c r="TIS550" s="120"/>
      <c r="TIT550" s="120"/>
      <c r="TIU550" s="120"/>
      <c r="TIV550" s="120"/>
      <c r="TIW550" s="120"/>
      <c r="TIX550" s="120"/>
      <c r="TIY550" s="120"/>
      <c r="TIZ550" s="120"/>
      <c r="TJA550" s="120"/>
      <c r="TJB550" s="120"/>
      <c r="TJC550" s="120"/>
      <c r="TJD550" s="120"/>
      <c r="TJE550" s="120"/>
      <c r="TJF550" s="120"/>
      <c r="TJG550" s="120"/>
      <c r="TJH550" s="120"/>
      <c r="TJI550" s="120"/>
      <c r="TJJ550" s="120"/>
      <c r="TJK550" s="120"/>
      <c r="TJL550" s="120"/>
      <c r="TJM550" s="120"/>
      <c r="TJN550" s="120"/>
      <c r="TJO550" s="120"/>
      <c r="TJP550" s="120"/>
      <c r="TJQ550" s="120"/>
      <c r="TJR550" s="120"/>
      <c r="TJS550" s="120"/>
      <c r="TJT550" s="120"/>
      <c r="TJU550" s="120"/>
      <c r="TJV550" s="120"/>
      <c r="TJW550" s="120"/>
      <c r="TJX550" s="120"/>
      <c r="TJY550" s="120"/>
      <c r="TJZ550" s="120"/>
      <c r="TKA550" s="120"/>
      <c r="TKB550" s="120"/>
      <c r="TKC550" s="120"/>
      <c r="TKD550" s="120"/>
      <c r="TKE550" s="120"/>
      <c r="TKF550" s="120"/>
      <c r="TKG550" s="120"/>
      <c r="TKH550" s="120"/>
      <c r="TKI550" s="120"/>
      <c r="TKJ550" s="120"/>
      <c r="TKK550" s="120"/>
      <c r="TKL550" s="120"/>
      <c r="TKM550" s="120"/>
      <c r="TKN550" s="120"/>
      <c r="TKO550" s="120"/>
      <c r="TKP550" s="120"/>
      <c r="TKQ550" s="120"/>
      <c r="TKR550" s="120"/>
      <c r="TKS550" s="120"/>
      <c r="TKT550" s="120"/>
      <c r="TKU550" s="120"/>
      <c r="TKV550" s="120"/>
      <c r="TKW550" s="120"/>
      <c r="TKX550" s="120"/>
      <c r="TKY550" s="120"/>
      <c r="TKZ550" s="120"/>
      <c r="TLA550" s="120"/>
      <c r="TLB550" s="120"/>
      <c r="TLC550" s="120"/>
      <c r="TLD550" s="120"/>
      <c r="TLE550" s="120"/>
      <c r="TLF550" s="120"/>
      <c r="TLG550" s="120"/>
      <c r="TLH550" s="120"/>
      <c r="TLI550" s="120"/>
      <c r="TLJ550" s="120"/>
      <c r="TLK550" s="120"/>
      <c r="TLL550" s="120"/>
      <c r="TLM550" s="120"/>
      <c r="TLN550" s="120"/>
      <c r="TLO550" s="120"/>
      <c r="TLP550" s="120"/>
      <c r="TLQ550" s="120"/>
      <c r="TLR550" s="120"/>
      <c r="TLS550" s="120"/>
      <c r="TLT550" s="120"/>
      <c r="TLU550" s="120"/>
      <c r="TLV550" s="120"/>
      <c r="TLW550" s="120"/>
      <c r="TLX550" s="120"/>
      <c r="TLY550" s="120"/>
      <c r="TLZ550" s="120"/>
      <c r="TMA550" s="120"/>
      <c r="TMB550" s="120"/>
      <c r="TMC550" s="120"/>
      <c r="TMD550" s="120"/>
      <c r="TME550" s="120"/>
      <c r="TMF550" s="120"/>
      <c r="TMG550" s="120"/>
      <c r="TMH550" s="120"/>
      <c r="TMI550" s="120"/>
      <c r="TMJ550" s="120"/>
      <c r="TMK550" s="120"/>
      <c r="TML550" s="120"/>
      <c r="TMM550" s="120"/>
      <c r="TMN550" s="120"/>
      <c r="TMO550" s="120"/>
      <c r="TMP550" s="120"/>
      <c r="TMQ550" s="120"/>
      <c r="TMR550" s="120"/>
      <c r="TMS550" s="120"/>
      <c r="TMT550" s="120"/>
      <c r="TMU550" s="120"/>
      <c r="TMV550" s="120"/>
      <c r="TMW550" s="120"/>
      <c r="TMX550" s="120"/>
      <c r="TMY550" s="120"/>
      <c r="TMZ550" s="120"/>
      <c r="TNA550" s="120"/>
      <c r="TNB550" s="120"/>
      <c r="TNC550" s="120"/>
      <c r="TND550" s="120"/>
      <c r="TNE550" s="120"/>
      <c r="TNF550" s="120"/>
      <c r="TNG550" s="120"/>
      <c r="TNH550" s="120"/>
      <c r="TNI550" s="120"/>
      <c r="TNJ550" s="120"/>
      <c r="TNK550" s="120"/>
      <c r="TNL550" s="120"/>
      <c r="TNM550" s="120"/>
      <c r="TNN550" s="120"/>
      <c r="TNO550" s="120"/>
      <c r="TNP550" s="120"/>
      <c r="TNQ550" s="120"/>
      <c r="TNR550" s="120"/>
      <c r="TNS550" s="120"/>
      <c r="TNT550" s="120"/>
      <c r="TNU550" s="120"/>
      <c r="TNV550" s="120"/>
      <c r="TNW550" s="120"/>
      <c r="TNX550" s="120"/>
      <c r="TNY550" s="120"/>
      <c r="TNZ550" s="120"/>
      <c r="TOA550" s="120"/>
      <c r="TOB550" s="120"/>
      <c r="TOC550" s="120"/>
      <c r="TOD550" s="120"/>
      <c r="TOE550" s="120"/>
      <c r="TOF550" s="120"/>
      <c r="TOG550" s="120"/>
      <c r="TOH550" s="120"/>
      <c r="TOI550" s="120"/>
      <c r="TOJ550" s="120"/>
      <c r="TOK550" s="120"/>
      <c r="TOL550" s="120"/>
      <c r="TOM550" s="120"/>
      <c r="TON550" s="120"/>
      <c r="TOO550" s="120"/>
      <c r="TOP550" s="120"/>
      <c r="TOQ550" s="120"/>
      <c r="TOR550" s="120"/>
      <c r="TOS550" s="120"/>
      <c r="TOT550" s="120"/>
      <c r="TOU550" s="120"/>
      <c r="TOV550" s="120"/>
      <c r="TOW550" s="120"/>
      <c r="TOX550" s="120"/>
      <c r="TOY550" s="120"/>
      <c r="TOZ550" s="120"/>
      <c r="TPA550" s="120"/>
      <c r="TPB550" s="120"/>
      <c r="TPC550" s="120"/>
      <c r="TPD550" s="120"/>
      <c r="TPE550" s="120"/>
      <c r="TPF550" s="120"/>
      <c r="TPG550" s="120"/>
      <c r="TPH550" s="120"/>
      <c r="TPI550" s="120"/>
      <c r="TPJ550" s="120"/>
      <c r="TPK550" s="120"/>
      <c r="TPL550" s="120"/>
      <c r="TPM550" s="120"/>
      <c r="TPN550" s="120"/>
      <c r="TPO550" s="120"/>
      <c r="TPP550" s="120"/>
      <c r="TPQ550" s="120"/>
      <c r="TPR550" s="120"/>
      <c r="TPS550" s="120"/>
      <c r="TPT550" s="120"/>
      <c r="TPU550" s="120"/>
      <c r="TPV550" s="120"/>
      <c r="TPW550" s="120"/>
      <c r="TPX550" s="120"/>
      <c r="TPY550" s="120"/>
      <c r="TPZ550" s="120"/>
      <c r="TQA550" s="120"/>
      <c r="TQB550" s="120"/>
      <c r="TQC550" s="120"/>
      <c r="TQD550" s="120"/>
      <c r="TQE550" s="120"/>
      <c r="TQF550" s="120"/>
      <c r="TQG550" s="120"/>
      <c r="TQH550" s="120"/>
      <c r="TQI550" s="120"/>
      <c r="TQJ550" s="120"/>
      <c r="TQK550" s="120"/>
      <c r="TQL550" s="120"/>
      <c r="TQM550" s="120"/>
      <c r="TQN550" s="120"/>
      <c r="TQO550" s="120"/>
      <c r="TQP550" s="120"/>
      <c r="TQQ550" s="120"/>
      <c r="TQR550" s="120"/>
      <c r="TQS550" s="120"/>
      <c r="TQT550" s="120"/>
      <c r="TQU550" s="120"/>
      <c r="TQV550" s="120"/>
      <c r="TQW550" s="120"/>
      <c r="TQX550" s="120"/>
      <c r="TQY550" s="120"/>
      <c r="TQZ550" s="120"/>
      <c r="TRA550" s="120"/>
      <c r="TRB550" s="120"/>
      <c r="TRC550" s="120"/>
      <c r="TRD550" s="120"/>
      <c r="TRE550" s="120"/>
      <c r="TRF550" s="120"/>
      <c r="TRG550" s="120"/>
      <c r="TRH550" s="120"/>
      <c r="TRI550" s="120"/>
      <c r="TRJ550" s="120"/>
      <c r="TRK550" s="120"/>
      <c r="TRL550" s="120"/>
      <c r="TRM550" s="120"/>
      <c r="TRN550" s="120"/>
      <c r="TRO550" s="120"/>
      <c r="TRP550" s="120"/>
      <c r="TRQ550" s="120"/>
      <c r="TRR550" s="120"/>
      <c r="TRS550" s="120"/>
      <c r="TRT550" s="120"/>
      <c r="TRU550" s="120"/>
      <c r="TRV550" s="120"/>
      <c r="TRW550" s="120"/>
      <c r="TRX550" s="120"/>
      <c r="TRY550" s="120"/>
      <c r="TRZ550" s="120"/>
      <c r="TSA550" s="120"/>
      <c r="TSB550" s="120"/>
      <c r="TSC550" s="120"/>
      <c r="TSD550" s="120"/>
      <c r="TSE550" s="120"/>
      <c r="TSF550" s="120"/>
      <c r="TSG550" s="120"/>
      <c r="TSH550" s="120"/>
      <c r="TSI550" s="120"/>
      <c r="TSJ550" s="120"/>
      <c r="TSK550" s="120"/>
      <c r="TSL550" s="120"/>
      <c r="TSM550" s="120"/>
      <c r="TSN550" s="120"/>
      <c r="TSO550" s="120"/>
      <c r="TSP550" s="120"/>
      <c r="TSQ550" s="120"/>
      <c r="TSR550" s="120"/>
      <c r="TSS550" s="120"/>
      <c r="TST550" s="120"/>
      <c r="TSU550" s="120"/>
      <c r="TSV550" s="120"/>
      <c r="TSW550" s="120"/>
      <c r="TSX550" s="120"/>
      <c r="TSY550" s="120"/>
      <c r="TSZ550" s="120"/>
      <c r="TTA550" s="120"/>
      <c r="TTB550" s="120"/>
      <c r="TTC550" s="120"/>
      <c r="TTD550" s="120"/>
      <c r="TTE550" s="120"/>
      <c r="TTF550" s="120"/>
      <c r="TTG550" s="120"/>
      <c r="TTH550" s="120"/>
      <c r="TTI550" s="120"/>
      <c r="TTJ550" s="120"/>
      <c r="TTK550" s="120"/>
      <c r="TTL550" s="120"/>
      <c r="TTM550" s="120"/>
      <c r="TTN550" s="120"/>
      <c r="TTO550" s="120"/>
      <c r="TTP550" s="120"/>
      <c r="TTQ550" s="120"/>
      <c r="TTR550" s="120"/>
      <c r="TTS550" s="120"/>
      <c r="TTT550" s="120"/>
      <c r="TTU550" s="120"/>
      <c r="TTV550" s="120"/>
      <c r="TTW550" s="120"/>
      <c r="TTX550" s="120"/>
      <c r="TTY550" s="120"/>
      <c r="TTZ550" s="120"/>
      <c r="TUA550" s="120"/>
      <c r="TUB550" s="120"/>
      <c r="TUC550" s="120"/>
      <c r="TUD550" s="120"/>
      <c r="TUE550" s="120"/>
      <c r="TUF550" s="120"/>
      <c r="TUG550" s="120"/>
      <c r="TUH550" s="120"/>
      <c r="TUI550" s="120"/>
      <c r="TUJ550" s="120"/>
      <c r="TUK550" s="120"/>
      <c r="TUL550" s="120"/>
      <c r="TUM550" s="120"/>
      <c r="TUN550" s="120"/>
      <c r="TUO550" s="120"/>
      <c r="TUP550" s="120"/>
      <c r="TUQ550" s="120"/>
      <c r="TUR550" s="120"/>
      <c r="TUS550" s="120"/>
      <c r="TUT550" s="120"/>
      <c r="TUU550" s="120"/>
      <c r="TUV550" s="120"/>
      <c r="TUW550" s="120"/>
      <c r="TUX550" s="120"/>
      <c r="TUY550" s="120"/>
      <c r="TUZ550" s="120"/>
      <c r="TVA550" s="120"/>
      <c r="TVB550" s="120"/>
      <c r="TVC550" s="120"/>
      <c r="TVD550" s="120"/>
      <c r="TVE550" s="120"/>
      <c r="TVF550" s="120"/>
      <c r="TVG550" s="120"/>
      <c r="TVH550" s="120"/>
      <c r="TVI550" s="120"/>
      <c r="TVJ550" s="120"/>
      <c r="TVK550" s="120"/>
      <c r="TVL550" s="120"/>
      <c r="TVM550" s="120"/>
      <c r="TVN550" s="120"/>
      <c r="TVO550" s="120"/>
      <c r="TVP550" s="120"/>
      <c r="TVQ550" s="120"/>
      <c r="TVR550" s="120"/>
      <c r="TVS550" s="120"/>
      <c r="TVT550" s="120"/>
      <c r="TVU550" s="120"/>
      <c r="TVV550" s="120"/>
      <c r="TVW550" s="120"/>
      <c r="TVX550" s="120"/>
      <c r="TVY550" s="120"/>
      <c r="TVZ550" s="120"/>
      <c r="TWA550" s="120"/>
      <c r="TWB550" s="120"/>
      <c r="TWC550" s="120"/>
      <c r="TWD550" s="120"/>
      <c r="TWE550" s="120"/>
      <c r="TWF550" s="120"/>
      <c r="TWG550" s="120"/>
      <c r="TWH550" s="120"/>
      <c r="TWI550" s="120"/>
      <c r="TWJ550" s="120"/>
      <c r="TWK550" s="120"/>
      <c r="TWL550" s="120"/>
      <c r="TWM550" s="120"/>
      <c r="TWN550" s="120"/>
      <c r="TWO550" s="120"/>
      <c r="TWP550" s="120"/>
      <c r="TWQ550" s="120"/>
      <c r="TWR550" s="120"/>
      <c r="TWS550" s="120"/>
      <c r="TWT550" s="120"/>
      <c r="TWU550" s="120"/>
      <c r="TWV550" s="120"/>
      <c r="TWW550" s="120"/>
      <c r="TWX550" s="120"/>
      <c r="TWY550" s="120"/>
      <c r="TWZ550" s="120"/>
      <c r="TXA550" s="120"/>
      <c r="TXB550" s="120"/>
      <c r="TXC550" s="120"/>
      <c r="TXD550" s="120"/>
      <c r="TXE550" s="120"/>
      <c r="TXF550" s="120"/>
      <c r="TXG550" s="120"/>
      <c r="TXH550" s="120"/>
      <c r="TXI550" s="120"/>
      <c r="TXJ550" s="120"/>
      <c r="TXK550" s="120"/>
      <c r="TXL550" s="120"/>
      <c r="TXM550" s="120"/>
      <c r="TXN550" s="120"/>
      <c r="TXO550" s="120"/>
      <c r="TXP550" s="120"/>
      <c r="TXQ550" s="120"/>
      <c r="TXR550" s="120"/>
      <c r="TXS550" s="120"/>
      <c r="TXT550" s="120"/>
      <c r="TXU550" s="120"/>
      <c r="TXV550" s="120"/>
      <c r="TXW550" s="120"/>
      <c r="TXX550" s="120"/>
      <c r="TXY550" s="120"/>
      <c r="TXZ550" s="120"/>
      <c r="TYA550" s="120"/>
      <c r="TYB550" s="120"/>
      <c r="TYC550" s="120"/>
      <c r="TYD550" s="120"/>
      <c r="TYE550" s="120"/>
      <c r="TYF550" s="120"/>
      <c r="TYG550" s="120"/>
      <c r="TYH550" s="120"/>
      <c r="TYI550" s="120"/>
      <c r="TYJ550" s="120"/>
      <c r="TYK550" s="120"/>
      <c r="TYL550" s="120"/>
      <c r="TYM550" s="120"/>
      <c r="TYN550" s="120"/>
      <c r="TYO550" s="120"/>
      <c r="TYP550" s="120"/>
      <c r="TYQ550" s="120"/>
      <c r="TYR550" s="120"/>
      <c r="TYS550" s="120"/>
      <c r="TYT550" s="120"/>
      <c r="TYU550" s="120"/>
      <c r="TYV550" s="120"/>
      <c r="TYW550" s="120"/>
      <c r="TYX550" s="120"/>
      <c r="TYY550" s="120"/>
      <c r="TYZ550" s="120"/>
      <c r="TZA550" s="120"/>
      <c r="TZB550" s="120"/>
      <c r="TZC550" s="120"/>
      <c r="TZD550" s="120"/>
      <c r="TZE550" s="120"/>
      <c r="TZF550" s="120"/>
      <c r="TZG550" s="120"/>
      <c r="TZH550" s="120"/>
      <c r="TZI550" s="120"/>
      <c r="TZJ550" s="120"/>
      <c r="TZK550" s="120"/>
      <c r="TZL550" s="120"/>
      <c r="TZM550" s="120"/>
      <c r="TZN550" s="120"/>
      <c r="TZO550" s="120"/>
      <c r="TZP550" s="120"/>
      <c r="TZQ550" s="120"/>
      <c r="TZR550" s="120"/>
      <c r="TZS550" s="120"/>
      <c r="TZT550" s="120"/>
      <c r="TZU550" s="120"/>
      <c r="TZV550" s="120"/>
      <c r="TZW550" s="120"/>
      <c r="TZX550" s="120"/>
      <c r="TZY550" s="120"/>
      <c r="TZZ550" s="120"/>
      <c r="UAA550" s="120"/>
      <c r="UAB550" s="120"/>
      <c r="UAC550" s="120"/>
      <c r="UAD550" s="120"/>
      <c r="UAE550" s="120"/>
      <c r="UAF550" s="120"/>
      <c r="UAG550" s="120"/>
      <c r="UAH550" s="120"/>
      <c r="UAI550" s="120"/>
      <c r="UAJ550" s="120"/>
      <c r="UAK550" s="120"/>
      <c r="UAL550" s="120"/>
      <c r="UAM550" s="120"/>
      <c r="UAN550" s="120"/>
      <c r="UAO550" s="120"/>
      <c r="UAP550" s="120"/>
      <c r="UAQ550" s="120"/>
      <c r="UAR550" s="120"/>
      <c r="UAS550" s="120"/>
      <c r="UAT550" s="120"/>
      <c r="UAU550" s="120"/>
      <c r="UAV550" s="120"/>
      <c r="UAW550" s="120"/>
      <c r="UAX550" s="120"/>
      <c r="UAY550" s="120"/>
      <c r="UAZ550" s="120"/>
      <c r="UBA550" s="120"/>
      <c r="UBB550" s="120"/>
      <c r="UBC550" s="120"/>
      <c r="UBD550" s="120"/>
      <c r="UBE550" s="120"/>
      <c r="UBF550" s="120"/>
      <c r="UBG550" s="120"/>
      <c r="UBH550" s="120"/>
      <c r="UBI550" s="120"/>
      <c r="UBJ550" s="120"/>
      <c r="UBK550" s="120"/>
      <c r="UBL550" s="120"/>
      <c r="UBM550" s="120"/>
      <c r="UBN550" s="120"/>
      <c r="UBO550" s="120"/>
      <c r="UBP550" s="120"/>
      <c r="UBQ550" s="120"/>
      <c r="UBR550" s="120"/>
      <c r="UBS550" s="120"/>
      <c r="UBT550" s="120"/>
      <c r="UBU550" s="120"/>
      <c r="UBV550" s="120"/>
      <c r="UBW550" s="120"/>
      <c r="UBX550" s="120"/>
      <c r="UBY550" s="120"/>
      <c r="UBZ550" s="120"/>
      <c r="UCA550" s="120"/>
      <c r="UCB550" s="120"/>
      <c r="UCC550" s="120"/>
      <c r="UCD550" s="120"/>
      <c r="UCE550" s="120"/>
      <c r="UCF550" s="120"/>
      <c r="UCG550" s="120"/>
      <c r="UCH550" s="120"/>
      <c r="UCI550" s="120"/>
      <c r="UCJ550" s="120"/>
      <c r="UCK550" s="120"/>
      <c r="UCL550" s="120"/>
      <c r="UCM550" s="120"/>
      <c r="UCN550" s="120"/>
      <c r="UCO550" s="120"/>
      <c r="UCP550" s="120"/>
      <c r="UCQ550" s="120"/>
      <c r="UCR550" s="120"/>
      <c r="UCS550" s="120"/>
      <c r="UCT550" s="120"/>
      <c r="UCU550" s="120"/>
      <c r="UCV550" s="120"/>
      <c r="UCW550" s="120"/>
      <c r="UCX550" s="120"/>
      <c r="UCY550" s="120"/>
      <c r="UCZ550" s="120"/>
      <c r="UDA550" s="120"/>
      <c r="UDB550" s="120"/>
      <c r="UDC550" s="120"/>
      <c r="UDD550" s="120"/>
      <c r="UDE550" s="120"/>
      <c r="UDF550" s="120"/>
      <c r="UDG550" s="120"/>
      <c r="UDH550" s="120"/>
      <c r="UDI550" s="120"/>
      <c r="UDJ550" s="120"/>
      <c r="UDK550" s="120"/>
      <c r="UDL550" s="120"/>
      <c r="UDM550" s="120"/>
      <c r="UDN550" s="120"/>
      <c r="UDO550" s="120"/>
      <c r="UDP550" s="120"/>
      <c r="UDQ550" s="120"/>
      <c r="UDR550" s="120"/>
      <c r="UDS550" s="120"/>
      <c r="UDT550" s="120"/>
      <c r="UDU550" s="120"/>
      <c r="UDV550" s="120"/>
      <c r="UDW550" s="120"/>
      <c r="UDX550" s="120"/>
      <c r="UDY550" s="120"/>
      <c r="UDZ550" s="120"/>
      <c r="UEA550" s="120"/>
      <c r="UEB550" s="120"/>
      <c r="UEC550" s="120"/>
      <c r="UED550" s="120"/>
      <c r="UEE550" s="120"/>
      <c r="UEF550" s="120"/>
      <c r="UEG550" s="120"/>
      <c r="UEH550" s="120"/>
      <c r="UEI550" s="120"/>
      <c r="UEJ550" s="120"/>
      <c r="UEK550" s="120"/>
      <c r="UEL550" s="120"/>
      <c r="UEM550" s="120"/>
      <c r="UEN550" s="120"/>
      <c r="UEO550" s="120"/>
      <c r="UEP550" s="120"/>
      <c r="UEQ550" s="120"/>
      <c r="UER550" s="120"/>
      <c r="UES550" s="120"/>
      <c r="UET550" s="120"/>
      <c r="UEU550" s="120"/>
      <c r="UEV550" s="120"/>
      <c r="UEW550" s="120"/>
      <c r="UEX550" s="120"/>
      <c r="UEY550" s="120"/>
      <c r="UEZ550" s="120"/>
      <c r="UFA550" s="120"/>
      <c r="UFB550" s="120"/>
      <c r="UFC550" s="120"/>
      <c r="UFD550" s="120"/>
      <c r="UFE550" s="120"/>
      <c r="UFF550" s="120"/>
      <c r="UFG550" s="120"/>
      <c r="UFH550" s="120"/>
      <c r="UFI550" s="120"/>
      <c r="UFJ550" s="120"/>
      <c r="UFK550" s="120"/>
      <c r="UFL550" s="120"/>
      <c r="UFM550" s="120"/>
      <c r="UFN550" s="120"/>
      <c r="UFO550" s="120"/>
      <c r="UFP550" s="120"/>
      <c r="UFQ550" s="120"/>
      <c r="UFR550" s="120"/>
      <c r="UFS550" s="120"/>
      <c r="UFT550" s="120"/>
      <c r="UFU550" s="120"/>
      <c r="UFV550" s="120"/>
      <c r="UFW550" s="120"/>
      <c r="UFX550" s="120"/>
      <c r="UFY550" s="120"/>
      <c r="UFZ550" s="120"/>
      <c r="UGA550" s="120"/>
      <c r="UGB550" s="120"/>
      <c r="UGC550" s="120"/>
      <c r="UGD550" s="120"/>
      <c r="UGE550" s="120"/>
      <c r="UGF550" s="120"/>
      <c r="UGG550" s="120"/>
      <c r="UGH550" s="120"/>
      <c r="UGI550" s="120"/>
      <c r="UGJ550" s="120"/>
      <c r="UGK550" s="120"/>
      <c r="UGL550" s="120"/>
      <c r="UGM550" s="120"/>
      <c r="UGN550" s="120"/>
      <c r="UGO550" s="120"/>
      <c r="UGP550" s="120"/>
      <c r="UGQ550" s="120"/>
      <c r="UGR550" s="120"/>
      <c r="UGS550" s="120"/>
      <c r="UGT550" s="120"/>
      <c r="UGU550" s="120"/>
      <c r="UGV550" s="120"/>
      <c r="UGW550" s="120"/>
      <c r="UGX550" s="120"/>
      <c r="UGY550" s="120"/>
      <c r="UGZ550" s="120"/>
      <c r="UHA550" s="120"/>
      <c r="UHB550" s="120"/>
      <c r="UHC550" s="120"/>
      <c r="UHD550" s="120"/>
      <c r="UHE550" s="120"/>
      <c r="UHF550" s="120"/>
      <c r="UHG550" s="120"/>
      <c r="UHH550" s="120"/>
      <c r="UHI550" s="120"/>
      <c r="UHJ550" s="120"/>
      <c r="UHK550" s="120"/>
      <c r="UHL550" s="120"/>
      <c r="UHM550" s="120"/>
      <c r="UHN550" s="120"/>
      <c r="UHO550" s="120"/>
      <c r="UHP550" s="120"/>
      <c r="UHQ550" s="120"/>
      <c r="UHR550" s="120"/>
      <c r="UHS550" s="120"/>
      <c r="UHT550" s="120"/>
      <c r="UHU550" s="120"/>
      <c r="UHV550" s="120"/>
      <c r="UHW550" s="120"/>
      <c r="UHX550" s="120"/>
      <c r="UHY550" s="120"/>
      <c r="UHZ550" s="120"/>
      <c r="UIA550" s="120"/>
      <c r="UIB550" s="120"/>
      <c r="UIC550" s="120"/>
      <c r="UID550" s="120"/>
      <c r="UIE550" s="120"/>
      <c r="UIF550" s="120"/>
      <c r="UIG550" s="120"/>
      <c r="UIH550" s="120"/>
      <c r="UII550" s="120"/>
      <c r="UIJ550" s="120"/>
      <c r="UIK550" s="120"/>
      <c r="UIL550" s="120"/>
      <c r="UIM550" s="120"/>
      <c r="UIN550" s="120"/>
      <c r="UIO550" s="120"/>
      <c r="UIP550" s="120"/>
      <c r="UIQ550" s="120"/>
      <c r="UIR550" s="120"/>
      <c r="UIS550" s="120"/>
      <c r="UIT550" s="120"/>
      <c r="UIU550" s="120"/>
      <c r="UIV550" s="120"/>
      <c r="UIW550" s="120"/>
      <c r="UIX550" s="120"/>
      <c r="UIY550" s="120"/>
      <c r="UIZ550" s="120"/>
      <c r="UJA550" s="120"/>
      <c r="UJB550" s="120"/>
      <c r="UJC550" s="120"/>
      <c r="UJD550" s="120"/>
      <c r="UJE550" s="120"/>
      <c r="UJF550" s="120"/>
      <c r="UJG550" s="120"/>
      <c r="UJH550" s="120"/>
      <c r="UJI550" s="120"/>
      <c r="UJJ550" s="120"/>
      <c r="UJK550" s="120"/>
      <c r="UJL550" s="120"/>
      <c r="UJM550" s="120"/>
      <c r="UJN550" s="120"/>
      <c r="UJO550" s="120"/>
      <c r="UJP550" s="120"/>
      <c r="UJQ550" s="120"/>
      <c r="UJR550" s="120"/>
      <c r="UJS550" s="120"/>
      <c r="UJT550" s="120"/>
      <c r="UJU550" s="120"/>
      <c r="UJV550" s="120"/>
      <c r="UJW550" s="120"/>
      <c r="UJX550" s="120"/>
      <c r="UJY550" s="120"/>
      <c r="UJZ550" s="120"/>
      <c r="UKA550" s="120"/>
      <c r="UKB550" s="120"/>
      <c r="UKC550" s="120"/>
      <c r="UKD550" s="120"/>
      <c r="UKE550" s="120"/>
      <c r="UKF550" s="120"/>
      <c r="UKG550" s="120"/>
      <c r="UKH550" s="120"/>
      <c r="UKI550" s="120"/>
      <c r="UKJ550" s="120"/>
      <c r="UKK550" s="120"/>
      <c r="UKL550" s="120"/>
      <c r="UKM550" s="120"/>
      <c r="UKN550" s="120"/>
      <c r="UKO550" s="120"/>
      <c r="UKP550" s="120"/>
      <c r="UKQ550" s="120"/>
      <c r="UKR550" s="120"/>
      <c r="UKS550" s="120"/>
      <c r="UKT550" s="120"/>
      <c r="UKU550" s="120"/>
      <c r="UKV550" s="120"/>
      <c r="UKW550" s="120"/>
      <c r="UKX550" s="120"/>
      <c r="UKY550" s="120"/>
      <c r="UKZ550" s="120"/>
      <c r="ULA550" s="120"/>
      <c r="ULB550" s="120"/>
      <c r="ULC550" s="120"/>
      <c r="ULD550" s="120"/>
      <c r="ULE550" s="120"/>
      <c r="ULF550" s="120"/>
      <c r="ULG550" s="120"/>
      <c r="ULH550" s="120"/>
      <c r="ULI550" s="120"/>
      <c r="ULJ550" s="120"/>
      <c r="ULK550" s="120"/>
      <c r="ULL550" s="120"/>
      <c r="ULM550" s="120"/>
      <c r="ULN550" s="120"/>
      <c r="ULO550" s="120"/>
      <c r="ULP550" s="120"/>
      <c r="ULQ550" s="120"/>
      <c r="ULR550" s="120"/>
      <c r="ULS550" s="120"/>
      <c r="ULT550" s="120"/>
      <c r="ULU550" s="120"/>
      <c r="ULV550" s="120"/>
      <c r="ULW550" s="120"/>
      <c r="ULX550" s="120"/>
      <c r="ULY550" s="120"/>
      <c r="ULZ550" s="120"/>
      <c r="UMA550" s="120"/>
      <c r="UMB550" s="120"/>
      <c r="UMC550" s="120"/>
      <c r="UMD550" s="120"/>
      <c r="UME550" s="120"/>
      <c r="UMF550" s="120"/>
      <c r="UMG550" s="120"/>
      <c r="UMH550" s="120"/>
      <c r="UMI550" s="120"/>
      <c r="UMJ550" s="120"/>
      <c r="UMK550" s="120"/>
      <c r="UML550" s="120"/>
      <c r="UMM550" s="120"/>
      <c r="UMN550" s="120"/>
      <c r="UMO550" s="120"/>
      <c r="UMP550" s="120"/>
      <c r="UMQ550" s="120"/>
      <c r="UMR550" s="120"/>
      <c r="UMS550" s="120"/>
      <c r="UMT550" s="120"/>
      <c r="UMU550" s="120"/>
      <c r="UMV550" s="120"/>
      <c r="UMW550" s="120"/>
      <c r="UMX550" s="120"/>
      <c r="UMY550" s="120"/>
      <c r="UMZ550" s="120"/>
      <c r="UNA550" s="120"/>
      <c r="UNB550" s="120"/>
      <c r="UNC550" s="120"/>
      <c r="UND550" s="120"/>
      <c r="UNE550" s="120"/>
      <c r="UNF550" s="120"/>
      <c r="UNG550" s="120"/>
      <c r="UNH550" s="120"/>
      <c r="UNI550" s="120"/>
      <c r="UNJ550" s="120"/>
      <c r="UNK550" s="120"/>
      <c r="UNL550" s="120"/>
      <c r="UNM550" s="120"/>
      <c r="UNN550" s="120"/>
      <c r="UNO550" s="120"/>
      <c r="UNP550" s="120"/>
      <c r="UNQ550" s="120"/>
      <c r="UNR550" s="120"/>
      <c r="UNS550" s="120"/>
      <c r="UNT550" s="120"/>
      <c r="UNU550" s="120"/>
      <c r="UNV550" s="120"/>
      <c r="UNW550" s="120"/>
      <c r="UNX550" s="120"/>
      <c r="UNY550" s="120"/>
      <c r="UNZ550" s="120"/>
      <c r="UOA550" s="120"/>
      <c r="UOB550" s="120"/>
      <c r="UOC550" s="120"/>
      <c r="UOD550" s="120"/>
      <c r="UOE550" s="120"/>
      <c r="UOF550" s="120"/>
      <c r="UOG550" s="120"/>
      <c r="UOH550" s="120"/>
      <c r="UOI550" s="120"/>
      <c r="UOJ550" s="120"/>
      <c r="UOK550" s="120"/>
      <c r="UOL550" s="120"/>
      <c r="UOM550" s="120"/>
      <c r="UON550" s="120"/>
      <c r="UOO550" s="120"/>
      <c r="UOP550" s="120"/>
      <c r="UOQ550" s="120"/>
      <c r="UOR550" s="120"/>
      <c r="UOS550" s="120"/>
      <c r="UOT550" s="120"/>
      <c r="UOU550" s="120"/>
      <c r="UOV550" s="120"/>
      <c r="UOW550" s="120"/>
      <c r="UOX550" s="120"/>
      <c r="UOY550" s="120"/>
      <c r="UOZ550" s="120"/>
      <c r="UPA550" s="120"/>
      <c r="UPB550" s="120"/>
      <c r="UPC550" s="120"/>
      <c r="UPD550" s="120"/>
      <c r="UPE550" s="120"/>
      <c r="UPF550" s="120"/>
      <c r="UPG550" s="120"/>
      <c r="UPH550" s="120"/>
      <c r="UPI550" s="120"/>
      <c r="UPJ550" s="120"/>
      <c r="UPK550" s="120"/>
      <c r="UPL550" s="120"/>
      <c r="UPM550" s="120"/>
      <c r="UPN550" s="120"/>
      <c r="UPO550" s="120"/>
      <c r="UPP550" s="120"/>
      <c r="UPQ550" s="120"/>
      <c r="UPR550" s="120"/>
      <c r="UPS550" s="120"/>
      <c r="UPT550" s="120"/>
      <c r="UPU550" s="120"/>
      <c r="UPV550" s="120"/>
      <c r="UPW550" s="120"/>
      <c r="UPX550" s="120"/>
      <c r="UPY550" s="120"/>
      <c r="UPZ550" s="120"/>
      <c r="UQA550" s="120"/>
      <c r="UQB550" s="120"/>
      <c r="UQC550" s="120"/>
      <c r="UQD550" s="120"/>
      <c r="UQE550" s="120"/>
      <c r="UQF550" s="120"/>
      <c r="UQG550" s="120"/>
      <c r="UQH550" s="120"/>
      <c r="UQI550" s="120"/>
      <c r="UQJ550" s="120"/>
      <c r="UQK550" s="120"/>
      <c r="UQL550" s="120"/>
      <c r="UQM550" s="120"/>
      <c r="UQN550" s="120"/>
      <c r="UQO550" s="120"/>
      <c r="UQP550" s="120"/>
      <c r="UQQ550" s="120"/>
      <c r="UQR550" s="120"/>
      <c r="UQS550" s="120"/>
      <c r="UQT550" s="120"/>
      <c r="UQU550" s="120"/>
      <c r="UQV550" s="120"/>
      <c r="UQW550" s="120"/>
      <c r="UQX550" s="120"/>
      <c r="UQY550" s="120"/>
      <c r="UQZ550" s="120"/>
      <c r="URA550" s="120"/>
      <c r="URB550" s="120"/>
      <c r="URC550" s="120"/>
      <c r="URD550" s="120"/>
      <c r="URE550" s="120"/>
      <c r="URF550" s="120"/>
      <c r="URG550" s="120"/>
      <c r="URH550" s="120"/>
      <c r="URI550" s="120"/>
      <c r="URJ550" s="120"/>
      <c r="URK550" s="120"/>
      <c r="URL550" s="120"/>
      <c r="URM550" s="120"/>
      <c r="URN550" s="120"/>
      <c r="URO550" s="120"/>
      <c r="URP550" s="120"/>
      <c r="URQ550" s="120"/>
      <c r="URR550" s="120"/>
      <c r="URS550" s="120"/>
      <c r="URT550" s="120"/>
      <c r="URU550" s="120"/>
      <c r="URV550" s="120"/>
      <c r="URW550" s="120"/>
      <c r="URX550" s="120"/>
      <c r="URY550" s="120"/>
      <c r="URZ550" s="120"/>
      <c r="USA550" s="120"/>
      <c r="USB550" s="120"/>
      <c r="USC550" s="120"/>
      <c r="USD550" s="120"/>
      <c r="USE550" s="120"/>
      <c r="USF550" s="120"/>
      <c r="USG550" s="120"/>
      <c r="USH550" s="120"/>
      <c r="USI550" s="120"/>
      <c r="USJ550" s="120"/>
      <c r="USK550" s="120"/>
      <c r="USL550" s="120"/>
      <c r="USM550" s="120"/>
      <c r="USN550" s="120"/>
      <c r="USO550" s="120"/>
      <c r="USP550" s="120"/>
      <c r="USQ550" s="120"/>
      <c r="USR550" s="120"/>
      <c r="USS550" s="120"/>
      <c r="UST550" s="120"/>
      <c r="USU550" s="120"/>
      <c r="USV550" s="120"/>
      <c r="USW550" s="120"/>
      <c r="USX550" s="120"/>
      <c r="USY550" s="120"/>
      <c r="USZ550" s="120"/>
      <c r="UTA550" s="120"/>
      <c r="UTB550" s="120"/>
      <c r="UTC550" s="120"/>
      <c r="UTD550" s="120"/>
      <c r="UTE550" s="120"/>
      <c r="UTF550" s="120"/>
      <c r="UTG550" s="120"/>
      <c r="UTH550" s="120"/>
      <c r="UTI550" s="120"/>
      <c r="UTJ550" s="120"/>
      <c r="UTK550" s="120"/>
      <c r="UTL550" s="120"/>
      <c r="UTM550" s="120"/>
      <c r="UTN550" s="120"/>
      <c r="UTO550" s="120"/>
      <c r="UTP550" s="120"/>
      <c r="UTQ550" s="120"/>
      <c r="UTR550" s="120"/>
      <c r="UTS550" s="120"/>
      <c r="UTT550" s="120"/>
      <c r="UTU550" s="120"/>
      <c r="UTV550" s="120"/>
      <c r="UTW550" s="120"/>
      <c r="UTX550" s="120"/>
      <c r="UTY550" s="120"/>
      <c r="UTZ550" s="120"/>
      <c r="UUA550" s="120"/>
      <c r="UUB550" s="120"/>
      <c r="UUC550" s="120"/>
      <c r="UUD550" s="120"/>
      <c r="UUE550" s="120"/>
      <c r="UUF550" s="120"/>
      <c r="UUG550" s="120"/>
      <c r="UUH550" s="120"/>
      <c r="UUI550" s="120"/>
      <c r="UUJ550" s="120"/>
      <c r="UUK550" s="120"/>
      <c r="UUL550" s="120"/>
      <c r="UUM550" s="120"/>
      <c r="UUN550" s="120"/>
      <c r="UUO550" s="120"/>
      <c r="UUP550" s="120"/>
      <c r="UUQ550" s="120"/>
      <c r="UUR550" s="120"/>
      <c r="UUS550" s="120"/>
      <c r="UUT550" s="120"/>
      <c r="UUU550" s="120"/>
      <c r="UUV550" s="120"/>
      <c r="UUW550" s="120"/>
      <c r="UUX550" s="120"/>
      <c r="UUY550" s="120"/>
      <c r="UUZ550" s="120"/>
      <c r="UVA550" s="120"/>
      <c r="UVB550" s="120"/>
      <c r="UVC550" s="120"/>
      <c r="UVD550" s="120"/>
      <c r="UVE550" s="120"/>
      <c r="UVF550" s="120"/>
      <c r="UVG550" s="120"/>
      <c r="UVH550" s="120"/>
      <c r="UVI550" s="120"/>
      <c r="UVJ550" s="120"/>
      <c r="UVK550" s="120"/>
      <c r="UVL550" s="120"/>
      <c r="UVM550" s="120"/>
      <c r="UVN550" s="120"/>
      <c r="UVO550" s="120"/>
      <c r="UVP550" s="120"/>
      <c r="UVQ550" s="120"/>
      <c r="UVR550" s="120"/>
      <c r="UVS550" s="120"/>
      <c r="UVT550" s="120"/>
      <c r="UVU550" s="120"/>
      <c r="UVV550" s="120"/>
      <c r="UVW550" s="120"/>
      <c r="UVX550" s="120"/>
      <c r="UVY550" s="120"/>
      <c r="UVZ550" s="120"/>
      <c r="UWA550" s="120"/>
      <c r="UWB550" s="120"/>
      <c r="UWC550" s="120"/>
      <c r="UWD550" s="120"/>
      <c r="UWE550" s="120"/>
      <c r="UWF550" s="120"/>
      <c r="UWG550" s="120"/>
      <c r="UWH550" s="120"/>
      <c r="UWI550" s="120"/>
      <c r="UWJ550" s="120"/>
      <c r="UWK550" s="120"/>
      <c r="UWL550" s="120"/>
      <c r="UWM550" s="120"/>
      <c r="UWN550" s="120"/>
      <c r="UWO550" s="120"/>
      <c r="UWP550" s="120"/>
      <c r="UWQ550" s="120"/>
      <c r="UWR550" s="120"/>
      <c r="UWS550" s="120"/>
      <c r="UWT550" s="120"/>
      <c r="UWU550" s="120"/>
      <c r="UWV550" s="120"/>
      <c r="UWW550" s="120"/>
      <c r="UWX550" s="120"/>
      <c r="UWY550" s="120"/>
      <c r="UWZ550" s="120"/>
      <c r="UXA550" s="120"/>
      <c r="UXB550" s="120"/>
      <c r="UXC550" s="120"/>
      <c r="UXD550" s="120"/>
      <c r="UXE550" s="120"/>
      <c r="UXF550" s="120"/>
      <c r="UXG550" s="120"/>
      <c r="UXH550" s="120"/>
      <c r="UXI550" s="120"/>
      <c r="UXJ550" s="120"/>
      <c r="UXK550" s="120"/>
      <c r="UXL550" s="120"/>
      <c r="UXM550" s="120"/>
      <c r="UXN550" s="120"/>
      <c r="UXO550" s="120"/>
      <c r="UXP550" s="120"/>
      <c r="UXQ550" s="120"/>
      <c r="UXR550" s="120"/>
      <c r="UXS550" s="120"/>
      <c r="UXT550" s="120"/>
      <c r="UXU550" s="120"/>
      <c r="UXV550" s="120"/>
      <c r="UXW550" s="120"/>
      <c r="UXX550" s="120"/>
      <c r="UXY550" s="120"/>
      <c r="UXZ550" s="120"/>
      <c r="UYA550" s="120"/>
      <c r="UYB550" s="120"/>
      <c r="UYC550" s="120"/>
      <c r="UYD550" s="120"/>
      <c r="UYE550" s="120"/>
      <c r="UYF550" s="120"/>
      <c r="UYG550" s="120"/>
      <c r="UYH550" s="120"/>
      <c r="UYI550" s="120"/>
      <c r="UYJ550" s="120"/>
      <c r="UYK550" s="120"/>
      <c r="UYL550" s="120"/>
      <c r="UYM550" s="120"/>
      <c r="UYN550" s="120"/>
      <c r="UYO550" s="120"/>
      <c r="UYP550" s="120"/>
      <c r="UYQ550" s="120"/>
      <c r="UYR550" s="120"/>
      <c r="UYS550" s="120"/>
      <c r="UYT550" s="120"/>
      <c r="UYU550" s="120"/>
      <c r="UYV550" s="120"/>
      <c r="UYW550" s="120"/>
      <c r="UYX550" s="120"/>
      <c r="UYY550" s="120"/>
      <c r="UYZ550" s="120"/>
      <c r="UZA550" s="120"/>
      <c r="UZB550" s="120"/>
      <c r="UZC550" s="120"/>
      <c r="UZD550" s="120"/>
      <c r="UZE550" s="120"/>
      <c r="UZF550" s="120"/>
      <c r="UZG550" s="120"/>
      <c r="UZH550" s="120"/>
      <c r="UZI550" s="120"/>
      <c r="UZJ550" s="120"/>
      <c r="UZK550" s="120"/>
      <c r="UZL550" s="120"/>
      <c r="UZM550" s="120"/>
      <c r="UZN550" s="120"/>
      <c r="UZO550" s="120"/>
      <c r="UZP550" s="120"/>
      <c r="UZQ550" s="120"/>
      <c r="UZR550" s="120"/>
      <c r="UZS550" s="120"/>
      <c r="UZT550" s="120"/>
      <c r="UZU550" s="120"/>
      <c r="UZV550" s="120"/>
      <c r="UZW550" s="120"/>
      <c r="UZX550" s="120"/>
      <c r="UZY550" s="120"/>
      <c r="UZZ550" s="120"/>
      <c r="VAA550" s="120"/>
      <c r="VAB550" s="120"/>
      <c r="VAC550" s="120"/>
      <c r="VAD550" s="120"/>
      <c r="VAE550" s="120"/>
      <c r="VAF550" s="120"/>
      <c r="VAG550" s="120"/>
      <c r="VAH550" s="120"/>
      <c r="VAI550" s="120"/>
      <c r="VAJ550" s="120"/>
      <c r="VAK550" s="120"/>
      <c r="VAL550" s="120"/>
      <c r="VAM550" s="120"/>
      <c r="VAN550" s="120"/>
      <c r="VAO550" s="120"/>
      <c r="VAP550" s="120"/>
      <c r="VAQ550" s="120"/>
      <c r="VAR550" s="120"/>
      <c r="VAS550" s="120"/>
      <c r="VAT550" s="120"/>
      <c r="VAU550" s="120"/>
      <c r="VAV550" s="120"/>
      <c r="VAW550" s="120"/>
      <c r="VAX550" s="120"/>
      <c r="VAY550" s="120"/>
      <c r="VAZ550" s="120"/>
      <c r="VBA550" s="120"/>
      <c r="VBB550" s="120"/>
      <c r="VBC550" s="120"/>
      <c r="VBD550" s="120"/>
      <c r="VBE550" s="120"/>
      <c r="VBF550" s="120"/>
      <c r="VBG550" s="120"/>
      <c r="VBH550" s="120"/>
      <c r="VBI550" s="120"/>
      <c r="VBJ550" s="120"/>
      <c r="VBK550" s="120"/>
      <c r="VBL550" s="120"/>
      <c r="VBM550" s="120"/>
      <c r="VBN550" s="120"/>
      <c r="VBO550" s="120"/>
      <c r="VBP550" s="120"/>
      <c r="VBQ550" s="120"/>
      <c r="VBR550" s="120"/>
      <c r="VBS550" s="120"/>
      <c r="VBT550" s="120"/>
      <c r="VBU550" s="120"/>
      <c r="VBV550" s="120"/>
      <c r="VBW550" s="120"/>
      <c r="VBX550" s="120"/>
      <c r="VBY550" s="120"/>
      <c r="VBZ550" s="120"/>
      <c r="VCA550" s="120"/>
      <c r="VCB550" s="120"/>
      <c r="VCC550" s="120"/>
      <c r="VCD550" s="120"/>
      <c r="VCE550" s="120"/>
      <c r="VCF550" s="120"/>
      <c r="VCG550" s="120"/>
      <c r="VCH550" s="120"/>
      <c r="VCI550" s="120"/>
      <c r="VCJ550" s="120"/>
      <c r="VCK550" s="120"/>
      <c r="VCL550" s="120"/>
      <c r="VCM550" s="120"/>
      <c r="VCN550" s="120"/>
      <c r="VCO550" s="120"/>
      <c r="VCP550" s="120"/>
      <c r="VCQ550" s="120"/>
      <c r="VCR550" s="120"/>
      <c r="VCS550" s="120"/>
      <c r="VCT550" s="120"/>
      <c r="VCU550" s="120"/>
      <c r="VCV550" s="120"/>
      <c r="VCW550" s="120"/>
      <c r="VCX550" s="120"/>
      <c r="VCY550" s="120"/>
      <c r="VCZ550" s="120"/>
      <c r="VDA550" s="120"/>
      <c r="VDB550" s="120"/>
      <c r="VDC550" s="120"/>
      <c r="VDD550" s="120"/>
      <c r="VDE550" s="120"/>
      <c r="VDF550" s="120"/>
      <c r="VDG550" s="120"/>
      <c r="VDH550" s="120"/>
      <c r="VDI550" s="120"/>
      <c r="VDJ550" s="120"/>
      <c r="VDK550" s="120"/>
      <c r="VDL550" s="120"/>
      <c r="VDM550" s="120"/>
      <c r="VDN550" s="120"/>
      <c r="VDO550" s="120"/>
      <c r="VDP550" s="120"/>
      <c r="VDQ550" s="120"/>
      <c r="VDR550" s="120"/>
      <c r="VDS550" s="120"/>
      <c r="VDT550" s="120"/>
      <c r="VDU550" s="120"/>
      <c r="VDV550" s="120"/>
      <c r="VDW550" s="120"/>
      <c r="VDX550" s="120"/>
      <c r="VDY550" s="120"/>
      <c r="VDZ550" s="120"/>
      <c r="VEA550" s="120"/>
      <c r="VEB550" s="120"/>
      <c r="VEC550" s="120"/>
      <c r="VED550" s="120"/>
      <c r="VEE550" s="120"/>
      <c r="VEF550" s="120"/>
      <c r="VEG550" s="120"/>
      <c r="VEH550" s="120"/>
      <c r="VEI550" s="120"/>
      <c r="VEJ550" s="120"/>
      <c r="VEK550" s="120"/>
      <c r="VEL550" s="120"/>
      <c r="VEM550" s="120"/>
      <c r="VEN550" s="120"/>
      <c r="VEO550" s="120"/>
      <c r="VEP550" s="120"/>
      <c r="VEQ550" s="120"/>
      <c r="VER550" s="120"/>
      <c r="VES550" s="120"/>
      <c r="VET550" s="120"/>
      <c r="VEU550" s="120"/>
      <c r="VEV550" s="120"/>
      <c r="VEW550" s="120"/>
      <c r="VEX550" s="120"/>
      <c r="VEY550" s="120"/>
      <c r="VEZ550" s="120"/>
      <c r="VFA550" s="120"/>
      <c r="VFB550" s="120"/>
      <c r="VFC550" s="120"/>
      <c r="VFD550" s="120"/>
      <c r="VFE550" s="120"/>
      <c r="VFF550" s="120"/>
      <c r="VFG550" s="120"/>
      <c r="VFH550" s="120"/>
      <c r="VFI550" s="120"/>
      <c r="VFJ550" s="120"/>
      <c r="VFK550" s="120"/>
      <c r="VFL550" s="120"/>
      <c r="VFM550" s="120"/>
      <c r="VFN550" s="120"/>
      <c r="VFO550" s="120"/>
      <c r="VFP550" s="120"/>
      <c r="VFQ550" s="120"/>
      <c r="VFR550" s="120"/>
      <c r="VFS550" s="120"/>
      <c r="VFT550" s="120"/>
      <c r="VFU550" s="120"/>
      <c r="VFV550" s="120"/>
      <c r="VFW550" s="120"/>
      <c r="VFX550" s="120"/>
      <c r="VFY550" s="120"/>
      <c r="VFZ550" s="120"/>
      <c r="VGA550" s="120"/>
      <c r="VGB550" s="120"/>
      <c r="VGC550" s="120"/>
      <c r="VGD550" s="120"/>
      <c r="VGE550" s="120"/>
      <c r="VGF550" s="120"/>
      <c r="VGG550" s="120"/>
      <c r="VGH550" s="120"/>
      <c r="VGI550" s="120"/>
      <c r="VGJ550" s="120"/>
      <c r="VGK550" s="120"/>
      <c r="VGL550" s="120"/>
      <c r="VGM550" s="120"/>
      <c r="VGN550" s="120"/>
      <c r="VGO550" s="120"/>
      <c r="VGP550" s="120"/>
      <c r="VGQ550" s="120"/>
      <c r="VGR550" s="120"/>
      <c r="VGS550" s="120"/>
      <c r="VGT550" s="120"/>
      <c r="VGU550" s="120"/>
      <c r="VGV550" s="120"/>
      <c r="VGW550" s="120"/>
      <c r="VGX550" s="120"/>
      <c r="VGY550" s="120"/>
      <c r="VGZ550" s="120"/>
      <c r="VHA550" s="120"/>
      <c r="VHB550" s="120"/>
      <c r="VHC550" s="120"/>
      <c r="VHD550" s="120"/>
      <c r="VHE550" s="120"/>
      <c r="VHF550" s="120"/>
      <c r="VHG550" s="120"/>
      <c r="VHH550" s="120"/>
      <c r="VHI550" s="120"/>
      <c r="VHJ550" s="120"/>
      <c r="VHK550" s="120"/>
      <c r="VHL550" s="120"/>
      <c r="VHM550" s="120"/>
      <c r="VHN550" s="120"/>
      <c r="VHO550" s="120"/>
      <c r="VHP550" s="120"/>
      <c r="VHQ550" s="120"/>
      <c r="VHR550" s="120"/>
      <c r="VHS550" s="120"/>
      <c r="VHT550" s="120"/>
      <c r="VHU550" s="120"/>
      <c r="VHV550" s="120"/>
      <c r="VHW550" s="120"/>
      <c r="VHX550" s="120"/>
      <c r="VHY550" s="120"/>
      <c r="VHZ550" s="120"/>
      <c r="VIA550" s="120"/>
      <c r="VIB550" s="120"/>
      <c r="VIC550" s="120"/>
      <c r="VID550" s="120"/>
      <c r="VIE550" s="120"/>
      <c r="VIF550" s="120"/>
      <c r="VIG550" s="120"/>
      <c r="VIH550" s="120"/>
      <c r="VII550" s="120"/>
      <c r="VIJ550" s="120"/>
      <c r="VIK550" s="120"/>
      <c r="VIL550" s="120"/>
      <c r="VIM550" s="120"/>
      <c r="VIN550" s="120"/>
      <c r="VIO550" s="120"/>
      <c r="VIP550" s="120"/>
      <c r="VIQ550" s="120"/>
      <c r="VIR550" s="120"/>
      <c r="VIS550" s="120"/>
      <c r="VIT550" s="120"/>
      <c r="VIU550" s="120"/>
      <c r="VIV550" s="120"/>
      <c r="VIW550" s="120"/>
      <c r="VIX550" s="120"/>
      <c r="VIY550" s="120"/>
      <c r="VIZ550" s="120"/>
      <c r="VJA550" s="120"/>
      <c r="VJB550" s="120"/>
      <c r="VJC550" s="120"/>
      <c r="VJD550" s="120"/>
      <c r="VJE550" s="120"/>
      <c r="VJF550" s="120"/>
      <c r="VJG550" s="120"/>
      <c r="VJH550" s="120"/>
      <c r="VJI550" s="120"/>
      <c r="VJJ550" s="120"/>
      <c r="VJK550" s="120"/>
      <c r="VJL550" s="120"/>
      <c r="VJM550" s="120"/>
      <c r="VJN550" s="120"/>
      <c r="VJO550" s="120"/>
      <c r="VJP550" s="120"/>
      <c r="VJQ550" s="120"/>
      <c r="VJR550" s="120"/>
      <c r="VJS550" s="120"/>
      <c r="VJT550" s="120"/>
      <c r="VJU550" s="120"/>
      <c r="VJV550" s="120"/>
      <c r="VJW550" s="120"/>
      <c r="VJX550" s="120"/>
      <c r="VJY550" s="120"/>
      <c r="VJZ550" s="120"/>
      <c r="VKA550" s="120"/>
      <c r="VKB550" s="120"/>
      <c r="VKC550" s="120"/>
      <c r="VKD550" s="120"/>
      <c r="VKE550" s="120"/>
      <c r="VKF550" s="120"/>
      <c r="VKG550" s="120"/>
      <c r="VKH550" s="120"/>
      <c r="VKI550" s="120"/>
      <c r="VKJ550" s="120"/>
      <c r="VKK550" s="120"/>
      <c r="VKL550" s="120"/>
      <c r="VKM550" s="120"/>
      <c r="VKN550" s="120"/>
      <c r="VKO550" s="120"/>
      <c r="VKP550" s="120"/>
      <c r="VKQ550" s="120"/>
      <c r="VKR550" s="120"/>
      <c r="VKS550" s="120"/>
      <c r="VKT550" s="120"/>
      <c r="VKU550" s="120"/>
      <c r="VKV550" s="120"/>
      <c r="VKW550" s="120"/>
      <c r="VKX550" s="120"/>
      <c r="VKY550" s="120"/>
      <c r="VKZ550" s="120"/>
      <c r="VLA550" s="120"/>
      <c r="VLB550" s="120"/>
      <c r="VLC550" s="120"/>
      <c r="VLD550" s="120"/>
      <c r="VLE550" s="120"/>
      <c r="VLF550" s="120"/>
      <c r="VLG550" s="120"/>
      <c r="VLH550" s="120"/>
      <c r="VLI550" s="120"/>
      <c r="VLJ550" s="120"/>
      <c r="VLK550" s="120"/>
      <c r="VLL550" s="120"/>
      <c r="VLM550" s="120"/>
      <c r="VLN550" s="120"/>
      <c r="VLO550" s="120"/>
      <c r="VLP550" s="120"/>
      <c r="VLQ550" s="120"/>
      <c r="VLR550" s="120"/>
      <c r="VLS550" s="120"/>
      <c r="VLT550" s="120"/>
      <c r="VLU550" s="120"/>
      <c r="VLV550" s="120"/>
      <c r="VLW550" s="120"/>
      <c r="VLX550" s="120"/>
      <c r="VLY550" s="120"/>
      <c r="VLZ550" s="120"/>
      <c r="VMA550" s="120"/>
      <c r="VMB550" s="120"/>
      <c r="VMC550" s="120"/>
      <c r="VMD550" s="120"/>
      <c r="VME550" s="120"/>
      <c r="VMF550" s="120"/>
      <c r="VMG550" s="120"/>
      <c r="VMH550" s="120"/>
      <c r="VMI550" s="120"/>
      <c r="VMJ550" s="120"/>
      <c r="VMK550" s="120"/>
      <c r="VML550" s="120"/>
      <c r="VMM550" s="120"/>
      <c r="VMN550" s="120"/>
      <c r="VMO550" s="120"/>
      <c r="VMP550" s="120"/>
      <c r="VMQ550" s="120"/>
      <c r="VMR550" s="120"/>
      <c r="VMS550" s="120"/>
      <c r="VMT550" s="120"/>
      <c r="VMU550" s="120"/>
      <c r="VMV550" s="120"/>
      <c r="VMW550" s="120"/>
      <c r="VMX550" s="120"/>
      <c r="VMY550" s="120"/>
      <c r="VMZ550" s="120"/>
      <c r="VNA550" s="120"/>
      <c r="VNB550" s="120"/>
      <c r="VNC550" s="120"/>
      <c r="VND550" s="120"/>
      <c r="VNE550" s="120"/>
      <c r="VNF550" s="120"/>
      <c r="VNG550" s="120"/>
      <c r="VNH550" s="120"/>
      <c r="VNI550" s="120"/>
      <c r="VNJ550" s="120"/>
      <c r="VNK550" s="120"/>
      <c r="VNL550" s="120"/>
      <c r="VNM550" s="120"/>
      <c r="VNN550" s="120"/>
      <c r="VNO550" s="120"/>
      <c r="VNP550" s="120"/>
      <c r="VNQ550" s="120"/>
      <c r="VNR550" s="120"/>
      <c r="VNS550" s="120"/>
      <c r="VNT550" s="120"/>
      <c r="VNU550" s="120"/>
      <c r="VNV550" s="120"/>
      <c r="VNW550" s="120"/>
      <c r="VNX550" s="120"/>
      <c r="VNY550" s="120"/>
      <c r="VNZ550" s="120"/>
      <c r="VOA550" s="120"/>
      <c r="VOB550" s="120"/>
      <c r="VOC550" s="120"/>
      <c r="VOD550" s="120"/>
      <c r="VOE550" s="120"/>
      <c r="VOF550" s="120"/>
      <c r="VOG550" s="120"/>
      <c r="VOH550" s="120"/>
      <c r="VOI550" s="120"/>
      <c r="VOJ550" s="120"/>
      <c r="VOK550" s="120"/>
      <c r="VOL550" s="120"/>
      <c r="VOM550" s="120"/>
      <c r="VON550" s="120"/>
      <c r="VOO550" s="120"/>
      <c r="VOP550" s="120"/>
      <c r="VOQ550" s="120"/>
      <c r="VOR550" s="120"/>
      <c r="VOS550" s="120"/>
      <c r="VOT550" s="120"/>
      <c r="VOU550" s="120"/>
      <c r="VOV550" s="120"/>
      <c r="VOW550" s="120"/>
      <c r="VOX550" s="120"/>
      <c r="VOY550" s="120"/>
      <c r="VOZ550" s="120"/>
      <c r="VPA550" s="120"/>
      <c r="VPB550" s="120"/>
      <c r="VPC550" s="120"/>
      <c r="VPD550" s="120"/>
      <c r="VPE550" s="120"/>
      <c r="VPF550" s="120"/>
      <c r="VPG550" s="120"/>
      <c r="VPH550" s="120"/>
      <c r="VPI550" s="120"/>
      <c r="VPJ550" s="120"/>
      <c r="VPK550" s="120"/>
      <c r="VPL550" s="120"/>
      <c r="VPM550" s="120"/>
      <c r="VPN550" s="120"/>
      <c r="VPO550" s="120"/>
      <c r="VPP550" s="120"/>
      <c r="VPQ550" s="120"/>
      <c r="VPR550" s="120"/>
      <c r="VPS550" s="120"/>
      <c r="VPT550" s="120"/>
      <c r="VPU550" s="120"/>
      <c r="VPV550" s="120"/>
      <c r="VPW550" s="120"/>
      <c r="VPX550" s="120"/>
      <c r="VPY550" s="120"/>
      <c r="VPZ550" s="120"/>
      <c r="VQA550" s="120"/>
      <c r="VQB550" s="120"/>
      <c r="VQC550" s="120"/>
      <c r="VQD550" s="120"/>
      <c r="VQE550" s="120"/>
      <c r="VQF550" s="120"/>
      <c r="VQG550" s="120"/>
      <c r="VQH550" s="120"/>
      <c r="VQI550" s="120"/>
      <c r="VQJ550" s="120"/>
      <c r="VQK550" s="120"/>
      <c r="VQL550" s="120"/>
      <c r="VQM550" s="120"/>
      <c r="VQN550" s="120"/>
      <c r="VQO550" s="120"/>
      <c r="VQP550" s="120"/>
      <c r="VQQ550" s="120"/>
      <c r="VQR550" s="120"/>
      <c r="VQS550" s="120"/>
      <c r="VQT550" s="120"/>
      <c r="VQU550" s="120"/>
      <c r="VQV550" s="120"/>
      <c r="VQW550" s="120"/>
      <c r="VQX550" s="120"/>
      <c r="VQY550" s="120"/>
      <c r="VQZ550" s="120"/>
      <c r="VRA550" s="120"/>
      <c r="VRB550" s="120"/>
      <c r="VRC550" s="120"/>
      <c r="VRD550" s="120"/>
      <c r="VRE550" s="120"/>
      <c r="VRF550" s="120"/>
      <c r="VRG550" s="120"/>
      <c r="VRH550" s="120"/>
      <c r="VRI550" s="120"/>
      <c r="VRJ550" s="120"/>
      <c r="VRK550" s="120"/>
      <c r="VRL550" s="120"/>
      <c r="VRM550" s="120"/>
      <c r="VRN550" s="120"/>
      <c r="VRO550" s="120"/>
      <c r="VRP550" s="120"/>
      <c r="VRQ550" s="120"/>
      <c r="VRR550" s="120"/>
      <c r="VRS550" s="120"/>
      <c r="VRT550" s="120"/>
      <c r="VRU550" s="120"/>
      <c r="VRV550" s="120"/>
      <c r="VRW550" s="120"/>
      <c r="VRX550" s="120"/>
      <c r="VRY550" s="120"/>
      <c r="VRZ550" s="120"/>
      <c r="VSA550" s="120"/>
      <c r="VSB550" s="120"/>
      <c r="VSC550" s="120"/>
      <c r="VSD550" s="120"/>
      <c r="VSE550" s="120"/>
      <c r="VSF550" s="120"/>
      <c r="VSG550" s="120"/>
      <c r="VSH550" s="120"/>
      <c r="VSI550" s="120"/>
      <c r="VSJ550" s="120"/>
      <c r="VSK550" s="120"/>
      <c r="VSL550" s="120"/>
      <c r="VSM550" s="120"/>
      <c r="VSN550" s="120"/>
      <c r="VSO550" s="120"/>
      <c r="VSP550" s="120"/>
      <c r="VSQ550" s="120"/>
      <c r="VSR550" s="120"/>
      <c r="VSS550" s="120"/>
      <c r="VST550" s="120"/>
      <c r="VSU550" s="120"/>
      <c r="VSV550" s="120"/>
      <c r="VSW550" s="120"/>
      <c r="VSX550" s="120"/>
      <c r="VSY550" s="120"/>
      <c r="VSZ550" s="120"/>
      <c r="VTA550" s="120"/>
      <c r="VTB550" s="120"/>
      <c r="VTC550" s="120"/>
      <c r="VTD550" s="120"/>
      <c r="VTE550" s="120"/>
      <c r="VTF550" s="120"/>
      <c r="VTG550" s="120"/>
      <c r="VTH550" s="120"/>
      <c r="VTI550" s="120"/>
      <c r="VTJ550" s="120"/>
      <c r="VTK550" s="120"/>
      <c r="VTL550" s="120"/>
      <c r="VTM550" s="120"/>
      <c r="VTN550" s="120"/>
      <c r="VTO550" s="120"/>
      <c r="VTP550" s="120"/>
      <c r="VTQ550" s="120"/>
      <c r="VTR550" s="120"/>
      <c r="VTS550" s="120"/>
      <c r="VTT550" s="120"/>
      <c r="VTU550" s="120"/>
      <c r="VTV550" s="120"/>
      <c r="VTW550" s="120"/>
      <c r="VTX550" s="120"/>
      <c r="VTY550" s="120"/>
      <c r="VTZ550" s="120"/>
      <c r="VUA550" s="120"/>
      <c r="VUB550" s="120"/>
      <c r="VUC550" s="120"/>
      <c r="VUD550" s="120"/>
      <c r="VUE550" s="120"/>
      <c r="VUF550" s="120"/>
      <c r="VUG550" s="120"/>
      <c r="VUH550" s="120"/>
      <c r="VUI550" s="120"/>
      <c r="VUJ550" s="120"/>
      <c r="VUK550" s="120"/>
      <c r="VUL550" s="120"/>
      <c r="VUM550" s="120"/>
      <c r="VUN550" s="120"/>
      <c r="VUO550" s="120"/>
      <c r="VUP550" s="120"/>
      <c r="VUQ550" s="120"/>
      <c r="VUR550" s="120"/>
      <c r="VUS550" s="120"/>
      <c r="VUT550" s="120"/>
      <c r="VUU550" s="120"/>
      <c r="VUV550" s="120"/>
      <c r="VUW550" s="120"/>
      <c r="VUX550" s="120"/>
      <c r="VUY550" s="120"/>
      <c r="VUZ550" s="120"/>
      <c r="VVA550" s="120"/>
      <c r="VVB550" s="120"/>
      <c r="VVC550" s="120"/>
      <c r="VVD550" s="120"/>
      <c r="VVE550" s="120"/>
      <c r="VVF550" s="120"/>
      <c r="VVG550" s="120"/>
      <c r="VVH550" s="120"/>
      <c r="VVI550" s="120"/>
      <c r="VVJ550" s="120"/>
      <c r="VVK550" s="120"/>
      <c r="VVL550" s="120"/>
      <c r="VVM550" s="120"/>
      <c r="VVN550" s="120"/>
      <c r="VVO550" s="120"/>
      <c r="VVP550" s="120"/>
      <c r="VVQ550" s="120"/>
      <c r="VVR550" s="120"/>
      <c r="VVS550" s="120"/>
      <c r="VVT550" s="120"/>
      <c r="VVU550" s="120"/>
      <c r="VVV550" s="120"/>
      <c r="VVW550" s="120"/>
      <c r="VVX550" s="120"/>
      <c r="VVY550" s="120"/>
      <c r="VVZ550" s="120"/>
      <c r="VWA550" s="120"/>
      <c r="VWB550" s="120"/>
      <c r="VWC550" s="120"/>
      <c r="VWD550" s="120"/>
      <c r="VWE550" s="120"/>
      <c r="VWF550" s="120"/>
      <c r="VWG550" s="120"/>
      <c r="VWH550" s="120"/>
      <c r="VWI550" s="120"/>
      <c r="VWJ550" s="120"/>
      <c r="VWK550" s="120"/>
      <c r="VWL550" s="120"/>
      <c r="VWM550" s="120"/>
      <c r="VWN550" s="120"/>
      <c r="VWO550" s="120"/>
      <c r="VWP550" s="120"/>
      <c r="VWQ550" s="120"/>
      <c r="VWR550" s="120"/>
      <c r="VWS550" s="120"/>
      <c r="VWT550" s="120"/>
      <c r="VWU550" s="120"/>
      <c r="VWV550" s="120"/>
      <c r="VWW550" s="120"/>
      <c r="VWX550" s="120"/>
      <c r="VWY550" s="120"/>
      <c r="VWZ550" s="120"/>
      <c r="VXA550" s="120"/>
      <c r="VXB550" s="120"/>
      <c r="VXC550" s="120"/>
      <c r="VXD550" s="120"/>
      <c r="VXE550" s="120"/>
      <c r="VXF550" s="120"/>
      <c r="VXG550" s="120"/>
      <c r="VXH550" s="120"/>
      <c r="VXI550" s="120"/>
      <c r="VXJ550" s="120"/>
      <c r="VXK550" s="120"/>
      <c r="VXL550" s="120"/>
      <c r="VXM550" s="120"/>
      <c r="VXN550" s="120"/>
      <c r="VXO550" s="120"/>
      <c r="VXP550" s="120"/>
      <c r="VXQ550" s="120"/>
      <c r="VXR550" s="120"/>
      <c r="VXS550" s="120"/>
      <c r="VXT550" s="120"/>
      <c r="VXU550" s="120"/>
      <c r="VXV550" s="120"/>
      <c r="VXW550" s="120"/>
      <c r="VXX550" s="120"/>
      <c r="VXY550" s="120"/>
      <c r="VXZ550" s="120"/>
      <c r="VYA550" s="120"/>
      <c r="VYB550" s="120"/>
      <c r="VYC550" s="120"/>
      <c r="VYD550" s="120"/>
      <c r="VYE550" s="120"/>
      <c r="VYF550" s="120"/>
      <c r="VYG550" s="120"/>
      <c r="VYH550" s="120"/>
      <c r="VYI550" s="120"/>
      <c r="VYJ550" s="120"/>
      <c r="VYK550" s="120"/>
      <c r="VYL550" s="120"/>
      <c r="VYM550" s="120"/>
      <c r="VYN550" s="120"/>
      <c r="VYO550" s="120"/>
      <c r="VYP550" s="120"/>
      <c r="VYQ550" s="120"/>
      <c r="VYR550" s="120"/>
      <c r="VYS550" s="120"/>
      <c r="VYT550" s="120"/>
      <c r="VYU550" s="120"/>
      <c r="VYV550" s="120"/>
      <c r="VYW550" s="120"/>
      <c r="VYX550" s="120"/>
      <c r="VYY550" s="120"/>
      <c r="VYZ550" s="120"/>
      <c r="VZA550" s="120"/>
      <c r="VZB550" s="120"/>
      <c r="VZC550" s="120"/>
      <c r="VZD550" s="120"/>
      <c r="VZE550" s="120"/>
      <c r="VZF550" s="120"/>
      <c r="VZG550" s="120"/>
      <c r="VZH550" s="120"/>
      <c r="VZI550" s="120"/>
      <c r="VZJ550" s="120"/>
      <c r="VZK550" s="120"/>
      <c r="VZL550" s="120"/>
      <c r="VZM550" s="120"/>
      <c r="VZN550" s="120"/>
      <c r="VZO550" s="120"/>
      <c r="VZP550" s="120"/>
      <c r="VZQ550" s="120"/>
      <c r="VZR550" s="120"/>
      <c r="VZS550" s="120"/>
      <c r="VZT550" s="120"/>
      <c r="VZU550" s="120"/>
      <c r="VZV550" s="120"/>
      <c r="VZW550" s="120"/>
      <c r="VZX550" s="120"/>
      <c r="VZY550" s="120"/>
      <c r="VZZ550" s="120"/>
      <c r="WAA550" s="120"/>
      <c r="WAB550" s="120"/>
      <c r="WAC550" s="120"/>
      <c r="WAD550" s="120"/>
      <c r="WAE550" s="120"/>
      <c r="WAF550" s="120"/>
      <c r="WAG550" s="120"/>
      <c r="WAH550" s="120"/>
      <c r="WAI550" s="120"/>
      <c r="WAJ550" s="120"/>
      <c r="WAK550" s="120"/>
      <c r="WAL550" s="120"/>
      <c r="WAM550" s="120"/>
      <c r="WAN550" s="120"/>
      <c r="WAO550" s="120"/>
      <c r="WAP550" s="120"/>
      <c r="WAQ550" s="120"/>
      <c r="WAR550" s="120"/>
      <c r="WAS550" s="120"/>
      <c r="WAT550" s="120"/>
      <c r="WAU550" s="120"/>
      <c r="WAV550" s="120"/>
      <c r="WAW550" s="120"/>
      <c r="WAX550" s="120"/>
      <c r="WAY550" s="120"/>
      <c r="WAZ550" s="120"/>
      <c r="WBA550" s="120"/>
      <c r="WBB550" s="120"/>
      <c r="WBC550" s="120"/>
      <c r="WBD550" s="120"/>
      <c r="WBE550" s="120"/>
      <c r="WBF550" s="120"/>
      <c r="WBG550" s="120"/>
      <c r="WBH550" s="120"/>
      <c r="WBI550" s="120"/>
      <c r="WBJ550" s="120"/>
      <c r="WBK550" s="120"/>
      <c r="WBL550" s="120"/>
      <c r="WBM550" s="120"/>
      <c r="WBN550" s="120"/>
      <c r="WBO550" s="120"/>
      <c r="WBP550" s="120"/>
      <c r="WBQ550" s="120"/>
      <c r="WBR550" s="120"/>
      <c r="WBS550" s="120"/>
      <c r="WBT550" s="120"/>
      <c r="WBU550" s="120"/>
      <c r="WBV550" s="120"/>
      <c r="WBW550" s="120"/>
      <c r="WBX550" s="120"/>
      <c r="WBY550" s="120"/>
      <c r="WBZ550" s="120"/>
      <c r="WCA550" s="120"/>
      <c r="WCB550" s="120"/>
      <c r="WCC550" s="120"/>
      <c r="WCD550" s="120"/>
      <c r="WCE550" s="120"/>
      <c r="WCF550" s="120"/>
      <c r="WCG550" s="120"/>
      <c r="WCH550" s="120"/>
      <c r="WCI550" s="120"/>
      <c r="WCJ550" s="120"/>
      <c r="WCK550" s="120"/>
      <c r="WCL550" s="120"/>
      <c r="WCM550" s="120"/>
      <c r="WCN550" s="120"/>
      <c r="WCO550" s="120"/>
      <c r="WCP550" s="120"/>
      <c r="WCQ550" s="120"/>
      <c r="WCR550" s="120"/>
      <c r="WCS550" s="120"/>
      <c r="WCT550" s="120"/>
      <c r="WCU550" s="120"/>
      <c r="WCV550" s="120"/>
      <c r="WCW550" s="120"/>
      <c r="WCX550" s="120"/>
      <c r="WCY550" s="120"/>
      <c r="WCZ550" s="120"/>
      <c r="WDA550" s="120"/>
      <c r="WDB550" s="120"/>
      <c r="WDC550" s="120"/>
      <c r="WDD550" s="120"/>
      <c r="WDE550" s="120"/>
      <c r="WDF550" s="120"/>
      <c r="WDG550" s="120"/>
      <c r="WDH550" s="120"/>
      <c r="WDI550" s="120"/>
      <c r="WDJ550" s="120"/>
      <c r="WDK550" s="120"/>
      <c r="WDL550" s="120"/>
      <c r="WDM550" s="120"/>
      <c r="WDN550" s="120"/>
      <c r="WDO550" s="120"/>
      <c r="WDP550" s="120"/>
      <c r="WDQ550" s="120"/>
      <c r="WDR550" s="120"/>
      <c r="WDS550" s="120"/>
      <c r="WDT550" s="120"/>
      <c r="WDU550" s="120"/>
      <c r="WDV550" s="120"/>
      <c r="WDW550" s="120"/>
      <c r="WDX550" s="120"/>
      <c r="WDY550" s="120"/>
      <c r="WDZ550" s="120"/>
      <c r="WEA550" s="120"/>
      <c r="WEB550" s="120"/>
      <c r="WEC550" s="120"/>
      <c r="WED550" s="120"/>
      <c r="WEE550" s="120"/>
      <c r="WEF550" s="120"/>
      <c r="WEG550" s="120"/>
      <c r="WEH550" s="120"/>
      <c r="WEI550" s="120"/>
      <c r="WEJ550" s="120"/>
      <c r="WEK550" s="120"/>
      <c r="WEL550" s="120"/>
      <c r="WEM550" s="120"/>
      <c r="WEN550" s="120"/>
      <c r="WEO550" s="120"/>
      <c r="WEP550" s="120"/>
      <c r="WEQ550" s="120"/>
      <c r="WER550" s="120"/>
      <c r="WES550" s="120"/>
      <c r="WET550" s="120"/>
      <c r="WEU550" s="120"/>
      <c r="WEV550" s="120"/>
      <c r="WEW550" s="120"/>
      <c r="WEX550" s="120"/>
      <c r="WEY550" s="120"/>
      <c r="WEZ550" s="120"/>
      <c r="WFA550" s="120"/>
      <c r="WFB550" s="120"/>
      <c r="WFC550" s="120"/>
      <c r="WFD550" s="120"/>
      <c r="WFE550" s="120"/>
      <c r="WFF550" s="120"/>
      <c r="WFG550" s="120"/>
      <c r="WFH550" s="120"/>
      <c r="WFI550" s="120"/>
      <c r="WFJ550" s="120"/>
      <c r="WFK550" s="120"/>
      <c r="WFL550" s="120"/>
      <c r="WFM550" s="120"/>
      <c r="WFN550" s="120"/>
      <c r="WFO550" s="120"/>
      <c r="WFP550" s="120"/>
      <c r="WFQ550" s="120"/>
      <c r="WFR550" s="120"/>
      <c r="WFS550" s="120"/>
      <c r="WFT550" s="120"/>
      <c r="WFU550" s="120"/>
      <c r="WFV550" s="120"/>
      <c r="WFW550" s="120"/>
      <c r="WFX550" s="120"/>
      <c r="WFY550" s="120"/>
      <c r="WFZ550" s="120"/>
      <c r="WGA550" s="120"/>
      <c r="WGB550" s="120"/>
      <c r="WGC550" s="120"/>
      <c r="WGD550" s="120"/>
      <c r="WGE550" s="120"/>
      <c r="WGF550" s="120"/>
      <c r="WGG550" s="120"/>
      <c r="WGH550" s="120"/>
      <c r="WGI550" s="120"/>
      <c r="WGJ550" s="120"/>
      <c r="WGK550" s="120"/>
      <c r="WGL550" s="120"/>
      <c r="WGM550" s="120"/>
      <c r="WGN550" s="120"/>
      <c r="WGO550" s="120"/>
      <c r="WGP550" s="120"/>
      <c r="WGQ550" s="120"/>
      <c r="WGR550" s="120"/>
      <c r="WGS550" s="120"/>
      <c r="WGT550" s="120"/>
      <c r="WGU550" s="120"/>
      <c r="WGV550" s="120"/>
      <c r="WGW550" s="120"/>
      <c r="WGX550" s="120"/>
      <c r="WGY550" s="120"/>
      <c r="WGZ550" s="120"/>
      <c r="WHA550" s="120"/>
      <c r="WHB550" s="120"/>
      <c r="WHC550" s="120"/>
      <c r="WHD550" s="120"/>
      <c r="WHE550" s="120"/>
      <c r="WHF550" s="120"/>
      <c r="WHG550" s="120"/>
      <c r="WHH550" s="120"/>
      <c r="WHI550" s="120"/>
      <c r="WHJ550" s="120"/>
      <c r="WHK550" s="120"/>
      <c r="WHL550" s="120"/>
      <c r="WHM550" s="120"/>
      <c r="WHN550" s="120"/>
      <c r="WHO550" s="120"/>
      <c r="WHP550" s="120"/>
      <c r="WHQ550" s="120"/>
      <c r="WHR550" s="120"/>
      <c r="WHS550" s="120"/>
      <c r="WHT550" s="120"/>
      <c r="WHU550" s="120"/>
      <c r="WHV550" s="120"/>
      <c r="WHW550" s="120"/>
      <c r="WHX550" s="120"/>
      <c r="WHY550" s="120"/>
      <c r="WHZ550" s="120"/>
      <c r="WIA550" s="120"/>
      <c r="WIB550" s="120"/>
      <c r="WIC550" s="120"/>
      <c r="WID550" s="120"/>
      <c r="WIE550" s="120"/>
      <c r="WIF550" s="120"/>
      <c r="WIG550" s="120"/>
      <c r="WIH550" s="120"/>
      <c r="WII550" s="120"/>
      <c r="WIJ550" s="120"/>
      <c r="WIK550" s="120"/>
      <c r="WIL550" s="120"/>
      <c r="WIM550" s="120"/>
      <c r="WIN550" s="120"/>
      <c r="WIO550" s="120"/>
      <c r="WIP550" s="120"/>
      <c r="WIQ550" s="120"/>
      <c r="WIR550" s="120"/>
      <c r="WIS550" s="120"/>
      <c r="WIT550" s="120"/>
      <c r="WIU550" s="120"/>
      <c r="WIV550" s="120"/>
      <c r="WIW550" s="120"/>
      <c r="WIX550" s="120"/>
      <c r="WIY550" s="120"/>
      <c r="WIZ550" s="120"/>
      <c r="WJA550" s="120"/>
      <c r="WJB550" s="120"/>
      <c r="WJC550" s="120"/>
      <c r="WJD550" s="120"/>
      <c r="WJE550" s="120"/>
      <c r="WJF550" s="120"/>
      <c r="WJG550" s="120"/>
      <c r="WJH550" s="120"/>
      <c r="WJI550" s="120"/>
      <c r="WJJ550" s="120"/>
      <c r="WJK550" s="120"/>
      <c r="WJL550" s="120"/>
      <c r="WJM550" s="120"/>
      <c r="WJN550" s="120"/>
      <c r="WJO550" s="120"/>
      <c r="WJP550" s="120"/>
      <c r="WJQ550" s="120"/>
      <c r="WJR550" s="120"/>
      <c r="WJS550" s="120"/>
      <c r="WJT550" s="120"/>
      <c r="WJU550" s="120"/>
      <c r="WJV550" s="120"/>
      <c r="WJW550" s="120"/>
      <c r="WJX550" s="120"/>
      <c r="WJY550" s="120"/>
      <c r="WJZ550" s="120"/>
      <c r="WKA550" s="120"/>
      <c r="WKB550" s="120"/>
      <c r="WKC550" s="120"/>
      <c r="WKD550" s="120"/>
      <c r="WKE550" s="120"/>
      <c r="WKF550" s="120"/>
      <c r="WKG550" s="120"/>
      <c r="WKH550" s="120"/>
      <c r="WKI550" s="120"/>
      <c r="WKJ550" s="120"/>
      <c r="WKK550" s="120"/>
      <c r="WKL550" s="120"/>
      <c r="WKM550" s="120"/>
      <c r="WKN550" s="120"/>
      <c r="WKO550" s="120"/>
      <c r="WKP550" s="120"/>
      <c r="WKQ550" s="120"/>
      <c r="WKR550" s="120"/>
      <c r="WKS550" s="120"/>
      <c r="WKT550" s="120"/>
      <c r="WKU550" s="120"/>
      <c r="WKV550" s="120"/>
      <c r="WKW550" s="120"/>
      <c r="WKX550" s="120"/>
      <c r="WKY550" s="120"/>
      <c r="WKZ550" s="120"/>
      <c r="WLA550" s="120"/>
      <c r="WLB550" s="120"/>
      <c r="WLC550" s="120"/>
      <c r="WLD550" s="120"/>
      <c r="WLE550" s="120"/>
      <c r="WLF550" s="120"/>
      <c r="WLG550" s="120"/>
      <c r="WLH550" s="120"/>
      <c r="WLI550" s="120"/>
      <c r="WLJ550" s="120"/>
      <c r="WLK550" s="120"/>
      <c r="WLL550" s="120"/>
      <c r="WLM550" s="120"/>
      <c r="WLN550" s="120"/>
      <c r="WLO550" s="120"/>
      <c r="WLP550" s="120"/>
      <c r="WLQ550" s="120"/>
      <c r="WLR550" s="120"/>
      <c r="WLS550" s="120"/>
      <c r="WLT550" s="120"/>
      <c r="WLU550" s="120"/>
      <c r="WLV550" s="120"/>
      <c r="WLW550" s="120"/>
      <c r="WLX550" s="120"/>
      <c r="WLY550" s="120"/>
      <c r="WLZ550" s="120"/>
      <c r="WMA550" s="120"/>
      <c r="WMB550" s="120"/>
      <c r="WMC550" s="120"/>
      <c r="WMD550" s="120"/>
      <c r="WME550" s="120"/>
      <c r="WMF550" s="120"/>
      <c r="WMG550" s="120"/>
      <c r="WMH550" s="120"/>
      <c r="WMI550" s="120"/>
      <c r="WMJ550" s="120"/>
      <c r="WMK550" s="120"/>
      <c r="WML550" s="120"/>
      <c r="WMM550" s="120"/>
      <c r="WMN550" s="120"/>
      <c r="WMO550" s="120"/>
      <c r="WMP550" s="120"/>
      <c r="WMQ550" s="120"/>
      <c r="WMR550" s="120"/>
      <c r="WMS550" s="120"/>
      <c r="WMT550" s="120"/>
      <c r="WMU550" s="120"/>
      <c r="WMV550" s="120"/>
      <c r="WMW550" s="120"/>
      <c r="WMX550" s="120"/>
      <c r="WMY550" s="120"/>
      <c r="WMZ550" s="120"/>
      <c r="WNA550" s="120"/>
      <c r="WNB550" s="120"/>
      <c r="WNC550" s="120"/>
      <c r="WND550" s="120"/>
      <c r="WNE550" s="120"/>
      <c r="WNF550" s="120"/>
      <c r="WNG550" s="120"/>
      <c r="WNH550" s="120"/>
      <c r="WNI550" s="120"/>
      <c r="WNJ550" s="120"/>
      <c r="WNK550" s="120"/>
      <c r="WNL550" s="120"/>
      <c r="WNM550" s="120"/>
      <c r="WNN550" s="120"/>
      <c r="WNO550" s="120"/>
      <c r="WNP550" s="120"/>
      <c r="WNQ550" s="120"/>
      <c r="WNR550" s="120"/>
      <c r="WNS550" s="120"/>
      <c r="WNT550" s="120"/>
      <c r="WNU550" s="120"/>
      <c r="WNV550" s="120"/>
      <c r="WNW550" s="120"/>
      <c r="WNX550" s="120"/>
      <c r="WNY550" s="120"/>
      <c r="WNZ550" s="120"/>
      <c r="WOA550" s="120"/>
      <c r="WOB550" s="120"/>
      <c r="WOC550" s="120"/>
      <c r="WOD550" s="120"/>
      <c r="WOE550" s="120"/>
      <c r="WOF550" s="120"/>
      <c r="WOG550" s="120"/>
      <c r="WOH550" s="120"/>
      <c r="WOI550" s="120"/>
      <c r="WOJ550" s="120"/>
      <c r="WOK550" s="120"/>
      <c r="WOL550" s="120"/>
      <c r="WOM550" s="120"/>
      <c r="WON550" s="120"/>
      <c r="WOO550" s="120"/>
      <c r="WOP550" s="120"/>
      <c r="WOQ550" s="120"/>
      <c r="WOR550" s="120"/>
      <c r="WOS550" s="120"/>
      <c r="WOT550" s="120"/>
      <c r="WOU550" s="120"/>
      <c r="WOV550" s="120"/>
      <c r="WOW550" s="120"/>
      <c r="WOX550" s="120"/>
      <c r="WOY550" s="120"/>
      <c r="WOZ550" s="120"/>
      <c r="WPA550" s="120"/>
      <c r="WPB550" s="120"/>
      <c r="WPC550" s="120"/>
      <c r="WPD550" s="120"/>
      <c r="WPE550" s="120"/>
      <c r="WPF550" s="120"/>
      <c r="WPG550" s="120"/>
      <c r="WPH550" s="120"/>
      <c r="WPI550" s="120"/>
      <c r="WPJ550" s="120"/>
      <c r="WPK550" s="120"/>
      <c r="WPL550" s="120"/>
      <c r="WPM550" s="120"/>
      <c r="WPN550" s="120"/>
      <c r="WPO550" s="120"/>
      <c r="WPP550" s="120"/>
      <c r="WPQ550" s="120"/>
      <c r="WPR550" s="120"/>
      <c r="WPS550" s="120"/>
      <c r="WPT550" s="120"/>
      <c r="WPU550" s="120"/>
      <c r="WPV550" s="120"/>
      <c r="WPW550" s="120"/>
      <c r="WPX550" s="120"/>
      <c r="WPY550" s="120"/>
      <c r="WPZ550" s="120"/>
      <c r="WQA550" s="120"/>
      <c r="WQB550" s="120"/>
      <c r="WQC550" s="120"/>
      <c r="WQD550" s="120"/>
      <c r="WQE550" s="120"/>
      <c r="WQF550" s="120"/>
      <c r="WQG550" s="120"/>
      <c r="WQH550" s="120"/>
      <c r="WQI550" s="120"/>
      <c r="WQJ550" s="120"/>
      <c r="WQK550" s="120"/>
      <c r="WQL550" s="120"/>
      <c r="WQM550" s="120"/>
      <c r="WQN550" s="120"/>
      <c r="WQO550" s="120"/>
      <c r="WQP550" s="120"/>
      <c r="WQQ550" s="120"/>
      <c r="WQR550" s="120"/>
      <c r="WQS550" s="120"/>
      <c r="WQT550" s="120"/>
      <c r="WQU550" s="120"/>
      <c r="WQV550" s="120"/>
      <c r="WQW550" s="120"/>
      <c r="WQX550" s="120"/>
      <c r="WQY550" s="120"/>
      <c r="WQZ550" s="120"/>
      <c r="WRA550" s="120"/>
      <c r="WRB550" s="120"/>
      <c r="WRC550" s="120"/>
      <c r="WRD550" s="120"/>
      <c r="WRE550" s="120"/>
      <c r="WRF550" s="120"/>
      <c r="WRG550" s="120"/>
      <c r="WRH550" s="120"/>
      <c r="WRI550" s="120"/>
      <c r="WRJ550" s="120"/>
      <c r="WRK550" s="120"/>
      <c r="WRL550" s="120"/>
      <c r="WRM550" s="120"/>
      <c r="WRN550" s="120"/>
      <c r="WRO550" s="120"/>
      <c r="WRP550" s="120"/>
      <c r="WRQ550" s="120"/>
      <c r="WRR550" s="120"/>
      <c r="WRS550" s="120"/>
      <c r="WRT550" s="120"/>
      <c r="WRU550" s="120"/>
      <c r="WRV550" s="120"/>
      <c r="WRW550" s="120"/>
      <c r="WRX550" s="120"/>
      <c r="WRY550" s="120"/>
      <c r="WRZ550" s="120"/>
      <c r="WSA550" s="120"/>
      <c r="WSB550" s="120"/>
      <c r="WSC550" s="120"/>
      <c r="WSD550" s="120"/>
      <c r="WSE550" s="120"/>
      <c r="WSF550" s="120"/>
      <c r="WSG550" s="120"/>
      <c r="WSH550" s="120"/>
      <c r="WSI550" s="120"/>
      <c r="WSJ550" s="120"/>
      <c r="WSK550" s="120"/>
      <c r="WSL550" s="120"/>
      <c r="WSM550" s="120"/>
      <c r="WSN550" s="120"/>
      <c r="WSO550" s="120"/>
      <c r="WSP550" s="120"/>
      <c r="WSQ550" s="120"/>
      <c r="WSR550" s="120"/>
      <c r="WSS550" s="120"/>
      <c r="WST550" s="120"/>
      <c r="WSU550" s="120"/>
      <c r="WSV550" s="120"/>
      <c r="WSW550" s="120"/>
      <c r="WSX550" s="120"/>
      <c r="WSY550" s="120"/>
      <c r="WSZ550" s="120"/>
      <c r="WTA550" s="120"/>
      <c r="WTB550" s="120"/>
      <c r="WTC550" s="120"/>
      <c r="WTD550" s="120"/>
      <c r="WTE550" s="120"/>
      <c r="WTF550" s="120"/>
      <c r="WTG550" s="120"/>
      <c r="WTH550" s="120"/>
      <c r="WTI550" s="120"/>
      <c r="WTJ550" s="120"/>
      <c r="WTK550" s="120"/>
      <c r="WTL550" s="120"/>
      <c r="WTM550" s="120"/>
      <c r="WTN550" s="120"/>
      <c r="WTO550" s="120"/>
      <c r="WTP550" s="120"/>
      <c r="WTQ550" s="120"/>
      <c r="WTR550" s="120"/>
      <c r="WTS550" s="120"/>
      <c r="WTT550" s="120"/>
      <c r="WTU550" s="120"/>
      <c r="WTV550" s="120"/>
      <c r="WTW550" s="120"/>
      <c r="WTX550" s="120"/>
      <c r="WTY550" s="120"/>
      <c r="WTZ550" s="120"/>
      <c r="WUA550" s="120"/>
      <c r="WUB550" s="120"/>
      <c r="WUC550" s="120"/>
      <c r="WUD550" s="120"/>
      <c r="WUE550" s="120"/>
      <c r="WUF550" s="120"/>
      <c r="WUG550" s="120"/>
      <c r="WUH550" s="120"/>
      <c r="WUI550" s="120"/>
      <c r="WUJ550" s="120"/>
      <c r="WUK550" s="120"/>
      <c r="WUL550" s="120"/>
      <c r="WUM550" s="120"/>
      <c r="WUN550" s="120"/>
      <c r="WUO550" s="120"/>
      <c r="WUP550" s="120"/>
      <c r="WUQ550" s="120"/>
      <c r="WUR550" s="120"/>
      <c r="WUS550" s="120"/>
      <c r="WUT550" s="120"/>
      <c r="WUU550" s="120"/>
      <c r="WUV550" s="120"/>
      <c r="WUW550" s="120"/>
      <c r="WUX550" s="120"/>
      <c r="WUY550" s="120"/>
      <c r="WUZ550" s="120"/>
      <c r="WVA550" s="120"/>
      <c r="WVB550" s="120"/>
      <c r="WVC550" s="120"/>
      <c r="WVD550" s="120"/>
      <c r="WVE550" s="120"/>
      <c r="WVF550" s="120"/>
      <c r="WVG550" s="120"/>
      <c r="WVH550" s="120"/>
      <c r="WVI550" s="120"/>
      <c r="WVJ550" s="120"/>
      <c r="WVK550" s="120"/>
      <c r="WVL550" s="120"/>
      <c r="WVM550" s="120"/>
      <c r="WVN550" s="120"/>
      <c r="WVO550" s="120"/>
      <c r="WVP550" s="120"/>
      <c r="WVQ550" s="120"/>
      <c r="WVR550" s="120"/>
      <c r="WVS550" s="120"/>
      <c r="WVT550" s="120"/>
      <c r="WVU550" s="120"/>
      <c r="WVV550" s="120"/>
      <c r="WVW550" s="120"/>
      <c r="WVX550" s="120"/>
      <c r="WVY550" s="120"/>
      <c r="WVZ550" s="120"/>
      <c r="WWA550" s="120"/>
      <c r="WWB550" s="120"/>
      <c r="WWC550" s="120"/>
      <c r="WWD550" s="120"/>
      <c r="WWE550" s="120"/>
      <c r="WWF550" s="120"/>
      <c r="WWG550" s="120"/>
      <c r="WWH550" s="120"/>
      <c r="WWI550" s="120"/>
      <c r="WWJ550" s="120"/>
      <c r="WWK550" s="120"/>
      <c r="WWL550" s="120"/>
      <c r="WWM550" s="120"/>
      <c r="WWN550" s="120"/>
      <c r="WWO550" s="120"/>
      <c r="WWP550" s="120"/>
      <c r="WWQ550" s="120"/>
      <c r="WWR550" s="120"/>
      <c r="WWS550" s="120"/>
      <c r="WWT550" s="120"/>
      <c r="WWU550" s="120"/>
      <c r="WWV550" s="120"/>
      <c r="WWW550" s="120"/>
      <c r="WWX550" s="120"/>
      <c r="WWY550" s="120"/>
      <c r="WWZ550" s="120"/>
      <c r="WXA550" s="120"/>
      <c r="WXB550" s="120"/>
      <c r="WXC550" s="120"/>
      <c r="WXD550" s="120"/>
      <c r="WXE550" s="120"/>
      <c r="WXF550" s="120"/>
      <c r="WXG550" s="120"/>
      <c r="WXH550" s="120"/>
      <c r="WXI550" s="120"/>
      <c r="WXJ550" s="120"/>
      <c r="WXK550" s="120"/>
      <c r="WXL550" s="120"/>
      <c r="WXM550" s="120"/>
      <c r="WXN550" s="120"/>
      <c r="WXO550" s="120"/>
      <c r="WXP550" s="120"/>
      <c r="WXQ550" s="120"/>
      <c r="WXR550" s="120"/>
      <c r="WXS550" s="120"/>
      <c r="WXT550" s="120"/>
      <c r="WXU550" s="120"/>
      <c r="WXV550" s="120"/>
      <c r="WXW550" s="120"/>
      <c r="WXX550" s="120"/>
      <c r="WXY550" s="120"/>
      <c r="WXZ550" s="120"/>
      <c r="WYA550" s="120"/>
      <c r="WYB550" s="120"/>
      <c r="WYC550" s="120"/>
      <c r="WYD550" s="120"/>
      <c r="WYE550" s="120"/>
      <c r="WYF550" s="120"/>
      <c r="WYG550" s="120"/>
      <c r="WYH550" s="120"/>
      <c r="WYI550" s="120"/>
      <c r="WYJ550" s="120"/>
      <c r="WYK550" s="120"/>
      <c r="WYL550" s="120"/>
      <c r="WYM550" s="120"/>
      <c r="WYN550" s="120"/>
      <c r="WYO550" s="120"/>
      <c r="WYP550" s="120"/>
      <c r="WYQ550" s="120"/>
      <c r="WYR550" s="120"/>
      <c r="WYS550" s="120"/>
      <c r="WYT550" s="120"/>
      <c r="WYU550" s="120"/>
      <c r="WYV550" s="120"/>
      <c r="WYW550" s="120"/>
      <c r="WYX550" s="120"/>
      <c r="WYY550" s="120"/>
      <c r="WYZ550" s="120"/>
      <c r="WZA550" s="120"/>
      <c r="WZB550" s="120"/>
      <c r="WZC550" s="120"/>
      <c r="WZD550" s="120"/>
      <c r="WZE550" s="120"/>
      <c r="WZF550" s="120"/>
      <c r="WZG550" s="120"/>
      <c r="WZH550" s="120"/>
      <c r="WZI550" s="120"/>
      <c r="WZJ550" s="120"/>
      <c r="WZK550" s="120"/>
      <c r="WZL550" s="120"/>
      <c r="WZM550" s="120"/>
      <c r="WZN550" s="120"/>
      <c r="WZO550" s="120"/>
      <c r="WZP550" s="120"/>
      <c r="WZQ550" s="120"/>
      <c r="WZR550" s="120"/>
      <c r="WZS550" s="120"/>
      <c r="WZT550" s="120"/>
      <c r="WZU550" s="120"/>
      <c r="WZV550" s="120"/>
      <c r="WZW550" s="120"/>
      <c r="WZX550" s="120"/>
      <c r="WZY550" s="120"/>
      <c r="WZZ550" s="120"/>
      <c r="XAA550" s="120"/>
      <c r="XAB550" s="120"/>
      <c r="XAC550" s="120"/>
      <c r="XAD550" s="120"/>
      <c r="XAE550" s="120"/>
      <c r="XAF550" s="120"/>
      <c r="XAG550" s="120"/>
      <c r="XAH550" s="120"/>
      <c r="XAI550" s="120"/>
      <c r="XAJ550" s="120"/>
      <c r="XAK550" s="120"/>
      <c r="XAL550" s="120"/>
      <c r="XAM550" s="120"/>
      <c r="XAN550" s="120"/>
      <c r="XAO550" s="120"/>
      <c r="XAP550" s="120"/>
      <c r="XAQ550" s="120"/>
      <c r="XAR550" s="120"/>
      <c r="XAS550" s="120"/>
      <c r="XAT550" s="120"/>
      <c r="XAU550" s="120"/>
      <c r="XAV550" s="120"/>
      <c r="XAW550" s="120"/>
      <c r="XAX550" s="120"/>
      <c r="XAY550" s="120"/>
      <c r="XAZ550" s="120"/>
      <c r="XBA550" s="120"/>
      <c r="XBB550" s="120"/>
      <c r="XBC550" s="120"/>
      <c r="XBD550" s="120"/>
      <c r="XBE550" s="120"/>
      <c r="XBF550" s="120"/>
      <c r="XBG550" s="120"/>
      <c r="XBH550" s="120"/>
      <c r="XBI550" s="120"/>
      <c r="XBJ550" s="120"/>
      <c r="XBK550" s="120"/>
      <c r="XBL550" s="120"/>
      <c r="XBM550" s="120"/>
      <c r="XBN550" s="120"/>
      <c r="XBO550" s="120"/>
      <c r="XBP550" s="120"/>
      <c r="XBQ550" s="120"/>
      <c r="XBR550" s="120"/>
      <c r="XBS550" s="120"/>
      <c r="XBT550" s="120"/>
      <c r="XBU550" s="120"/>
      <c r="XBV550" s="120"/>
      <c r="XBW550" s="120"/>
      <c r="XBX550" s="120"/>
      <c r="XBY550" s="120"/>
      <c r="XBZ550" s="120"/>
      <c r="XCA550" s="120"/>
      <c r="XCB550" s="120"/>
      <c r="XCC550" s="120"/>
      <c r="XCD550" s="120"/>
      <c r="XCE550" s="120"/>
      <c r="XCF550" s="120"/>
      <c r="XCG550" s="120"/>
      <c r="XCH550" s="120"/>
      <c r="XCI550" s="120"/>
      <c r="XCJ550" s="120"/>
      <c r="XCK550" s="120"/>
      <c r="XCL550" s="120"/>
      <c r="XCM550" s="120"/>
      <c r="XCN550" s="120"/>
      <c r="XCO550" s="120"/>
      <c r="XCP550" s="120"/>
      <c r="XCQ550" s="120"/>
      <c r="XCR550" s="120"/>
      <c r="XCS550" s="120"/>
      <c r="XCT550" s="120"/>
      <c r="XCU550" s="120"/>
      <c r="XCV550" s="120"/>
      <c r="XCW550" s="120"/>
      <c r="XCX550" s="120"/>
      <c r="XCY550" s="120"/>
      <c r="XCZ550" s="120"/>
      <c r="XDA550" s="120"/>
      <c r="XDB550" s="120"/>
      <c r="XDC550" s="120"/>
      <c r="XDD550" s="120"/>
      <c r="XDE550" s="120"/>
      <c r="XDF550" s="120"/>
      <c r="XDG550" s="120"/>
      <c r="XDH550" s="120"/>
      <c r="XDI550" s="120"/>
      <c r="XDJ550" s="120"/>
      <c r="XDK550" s="120"/>
      <c r="XDL550" s="120"/>
      <c r="XDM550" s="120"/>
      <c r="XDN550" s="120"/>
      <c r="XDO550" s="120"/>
      <c r="XDP550" s="120"/>
      <c r="XDQ550" s="120"/>
      <c r="XDR550" s="120"/>
      <c r="XDS550" s="120"/>
      <c r="XDT550" s="120"/>
      <c r="XDU550" s="120"/>
      <c r="XDV550" s="120"/>
      <c r="XDW550" s="120"/>
      <c r="XDX550" s="120"/>
      <c r="XDY550" s="120"/>
      <c r="XDZ550" s="120"/>
      <c r="XEA550" s="120"/>
      <c r="XEB550" s="120"/>
      <c r="XEC550" s="120"/>
      <c r="XED550" s="120"/>
      <c r="XEE550" s="120"/>
      <c r="XEF550" s="120"/>
      <c r="XEG550" s="120"/>
      <c r="XEH550" s="120"/>
      <c r="XEI550" s="120"/>
      <c r="XEJ550" s="120"/>
      <c r="XEK550" s="120"/>
      <c r="XEL550" s="120"/>
      <c r="XEM550" s="120"/>
      <c r="XEN550" s="120"/>
      <c r="XEO550" s="120"/>
      <c r="XEP550" s="120"/>
      <c r="XEQ550" s="120"/>
      <c r="XER550" s="120"/>
      <c r="XES550" s="120"/>
      <c r="XET550" s="120"/>
      <c r="XEU550" s="120"/>
      <c r="XEV550" s="120"/>
      <c r="XEW550" s="120"/>
      <c r="XEX550" s="120"/>
      <c r="XEY550" s="120"/>
      <c r="XEZ550" s="120"/>
      <c r="XFA550" s="120"/>
      <c r="XFB550" s="120"/>
      <c r="XFC550" s="120"/>
    </row>
    <row r="551" spans="1:1638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row>
    <row r="552" spans="1:16383">
      <c r="A552" s="3"/>
      <c r="B552" s="2" t="s">
        <v>218</v>
      </c>
      <c r="C552" s="2"/>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row>
    <row r="553" spans="1:16383">
      <c r="A553" s="3"/>
      <c r="B553" s="3" t="s">
        <v>223</v>
      </c>
      <c r="C553" s="3"/>
      <c r="D553" s="121"/>
      <c r="E553" s="122">
        <f t="shared" ref="E553:AJ553" si="0">1+E13</f>
        <v>1.0908300738809213</v>
      </c>
      <c r="F553" s="122">
        <f t="shared" si="0"/>
        <v>1.0362549800796814</v>
      </c>
      <c r="G553" s="122">
        <f t="shared" si="0"/>
        <v>1.0353710111495578</v>
      </c>
      <c r="H553" s="122">
        <f t="shared" si="0"/>
        <v>1.0631266245822504</v>
      </c>
      <c r="I553" s="122">
        <f t="shared" si="0"/>
        <v>1.0911631156129933</v>
      </c>
      <c r="J553" s="122">
        <f t="shared" si="0"/>
        <v>1.0963508322663253</v>
      </c>
      <c r="K553" s="122">
        <f t="shared" si="0"/>
        <v>1</v>
      </c>
      <c r="L553" s="122">
        <f t="shared" si="0"/>
        <v>1</v>
      </c>
      <c r="M553" s="122">
        <f t="shared" si="0"/>
        <v>1.04</v>
      </c>
      <c r="N553" s="122">
        <f t="shared" si="0"/>
        <v>1.0190903986524424</v>
      </c>
      <c r="O553" s="122">
        <f t="shared" si="0"/>
        <v>1.0190082644628098</v>
      </c>
      <c r="P553" s="122">
        <f t="shared" si="0"/>
        <v>1.064882400648824</v>
      </c>
      <c r="Q553" s="122">
        <f t="shared" si="0"/>
        <v>1.0172632647880173</v>
      </c>
      <c r="R553" s="122">
        <f t="shared" si="0"/>
        <v>1.0084851509857751</v>
      </c>
      <c r="S553" s="122">
        <f t="shared" si="0"/>
        <v>1.0254887404107893</v>
      </c>
      <c r="T553" s="122">
        <f t="shared" si="0"/>
        <v>1.0166505791505793</v>
      </c>
      <c r="U553" s="122">
        <f t="shared" si="0"/>
        <v>1.0192262046047946</v>
      </c>
      <c r="V553" s="122">
        <f t="shared" si="0"/>
        <v>1.0381928272007452</v>
      </c>
      <c r="W553" s="122">
        <f t="shared" si="0"/>
        <v>1.0189999999999999</v>
      </c>
      <c r="X553" s="122">
        <f t="shared" si="0"/>
        <v>1.0840000000000001</v>
      </c>
      <c r="Y553" s="122">
        <f t="shared" si="0"/>
        <v>1.0429999999999999</v>
      </c>
      <c r="Z553" s="122">
        <f t="shared" si="0"/>
        <v>1.0580000000000001</v>
      </c>
      <c r="AA553" s="122">
        <f t="shared" si="0"/>
        <v>1.0389999999999999</v>
      </c>
      <c r="AB553" s="122">
        <f t="shared" si="0"/>
        <v>1.0329999999999999</v>
      </c>
      <c r="AC553" s="122">
        <f t="shared" si="0"/>
        <v>1.069</v>
      </c>
      <c r="AD553" s="122">
        <f t="shared" si="0"/>
        <v>1.054</v>
      </c>
      <c r="AE553" s="122">
        <f t="shared" si="0"/>
        <v>1.0760000000000001</v>
      </c>
      <c r="AF553" s="122">
        <f t="shared" si="0"/>
        <v>1.0740000000000001</v>
      </c>
      <c r="AG553" s="122">
        <f t="shared" si="0"/>
        <v>1.081</v>
      </c>
      <c r="AH553" s="122">
        <f t="shared" si="0"/>
        <v>1.0980000000000001</v>
      </c>
      <c r="AI553" s="122">
        <f t="shared" si="0"/>
        <v>1.107</v>
      </c>
      <c r="AJ553" s="122">
        <f t="shared" si="0"/>
        <v>1.083</v>
      </c>
      <c r="AK553" s="122">
        <f t="shared" ref="AK553:BP553" si="1">1+AK13</f>
        <v>1.0680000000000001</v>
      </c>
      <c r="AL553" s="122">
        <f t="shared" si="1"/>
        <v>1.042</v>
      </c>
      <c r="AM553" s="122">
        <f t="shared" si="1"/>
        <v>1.038</v>
      </c>
      <c r="AN553" s="122">
        <f t="shared" si="1"/>
        <v>1.071</v>
      </c>
      <c r="AO553" s="122">
        <f t="shared" si="1"/>
        <v>1.0640000000000001</v>
      </c>
      <c r="AP553" s="122">
        <f t="shared" si="1"/>
        <v>1.0589999999999999</v>
      </c>
      <c r="AQ553" s="122">
        <f t="shared" si="1"/>
        <v>1.026</v>
      </c>
      <c r="AR553" s="122">
        <f t="shared" si="1"/>
        <v>1.028</v>
      </c>
      <c r="AS553" s="122">
        <f t="shared" si="1"/>
        <v>1.0229999999999999</v>
      </c>
      <c r="AT553" s="122">
        <f t="shared" si="1"/>
        <v>0.995</v>
      </c>
      <c r="AU553" s="122">
        <f t="shared" si="1"/>
        <v>1.002</v>
      </c>
      <c r="AV553" s="122">
        <f t="shared" si="1"/>
        <v>1.0089999999999999</v>
      </c>
      <c r="AW553" s="122">
        <f t="shared" si="1"/>
        <v>1.0109999999999999</v>
      </c>
      <c r="AX553" s="122">
        <f t="shared" si="1"/>
        <v>1.024</v>
      </c>
      <c r="AY553" s="122">
        <f t="shared" si="1"/>
        <v>1.046</v>
      </c>
      <c r="AZ553" s="122">
        <f t="shared" si="1"/>
        <v>1.0349999999999999</v>
      </c>
      <c r="BA553" s="122">
        <f t="shared" si="1"/>
        <v>1.02</v>
      </c>
      <c r="BB553" s="122">
        <f t="shared" si="1"/>
        <v>1.026</v>
      </c>
      <c r="BC553" s="122">
        <f t="shared" si="1"/>
        <v>1.0149999999999999</v>
      </c>
      <c r="BD553" s="122">
        <f t="shared" si="1"/>
        <v>1.0189999999999999</v>
      </c>
      <c r="BE553" s="122">
        <f t="shared" si="1"/>
        <v>1.026</v>
      </c>
      <c r="BF553" s="122">
        <f t="shared" si="1"/>
        <v>1.0169999999999999</v>
      </c>
      <c r="BG553" s="122">
        <f t="shared" si="1"/>
        <v>1.026</v>
      </c>
      <c r="BH553" s="122">
        <f t="shared" si="1"/>
        <v>1.0249999999999999</v>
      </c>
      <c r="BI553" s="122">
        <f t="shared" si="1"/>
        <v>1.0469999999999999</v>
      </c>
      <c r="BJ553" s="122">
        <f t="shared" si="1"/>
        <v>1.0329999999999999</v>
      </c>
      <c r="BK553" s="122">
        <f t="shared" si="1"/>
        <v>1.0209999999999999</v>
      </c>
      <c r="BL553" s="122">
        <f t="shared" si="1"/>
        <v>1.0109999999999999</v>
      </c>
      <c r="BM553" s="122">
        <f t="shared" si="1"/>
        <v>1.018</v>
      </c>
      <c r="BN553" s="122">
        <f t="shared" si="1"/>
        <v>1.014</v>
      </c>
      <c r="BO553" s="122">
        <f t="shared" si="1"/>
        <v>1.0109999999999999</v>
      </c>
      <c r="BP553" s="122">
        <f t="shared" si="1"/>
        <v>1.032</v>
      </c>
      <c r="BQ553" s="122">
        <f t="shared" ref="BQ553:CG553" si="2">1+BQ13</f>
        <v>1.0029999999999999</v>
      </c>
      <c r="BR553" s="122">
        <f t="shared" si="2"/>
        <v>1.0149999999999999</v>
      </c>
      <c r="BS553" s="122">
        <f t="shared" si="2"/>
        <v>1.026</v>
      </c>
      <c r="BT553" s="122">
        <f t="shared" si="2"/>
        <v>1.0229999999999999</v>
      </c>
      <c r="BU553" s="122">
        <f t="shared" si="2"/>
        <v>1.028</v>
      </c>
      <c r="BV553" s="122">
        <f t="shared" si="2"/>
        <v>1.01</v>
      </c>
      <c r="BW553" s="122">
        <f t="shared" si="2"/>
        <v>1.008</v>
      </c>
      <c r="BX553" s="122">
        <f t="shared" si="2"/>
        <v>1.002</v>
      </c>
      <c r="BY553" s="122">
        <f t="shared" si="2"/>
        <v>1.014</v>
      </c>
      <c r="BZ553" s="122">
        <f t="shared" si="2"/>
        <v>1.012</v>
      </c>
      <c r="CA553" s="122">
        <f t="shared" si="2"/>
        <v>1.026</v>
      </c>
      <c r="CB553" s="122">
        <f t="shared" si="2"/>
        <v>1.016</v>
      </c>
      <c r="CC553" s="122">
        <f t="shared" si="2"/>
        <v>1.018</v>
      </c>
      <c r="CD553" s="122">
        <f t="shared" si="2"/>
        <v>1.0620000000000001</v>
      </c>
      <c r="CE553" s="122">
        <f t="shared" si="2"/>
        <v>1.08</v>
      </c>
      <c r="CF553" s="122">
        <f t="shared" si="2"/>
        <v>1.028</v>
      </c>
      <c r="CG553" s="122">
        <f t="shared" si="2"/>
        <v>1.0169999999999999</v>
      </c>
    </row>
    <row r="554" spans="1:1638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row>
    <row r="555" spans="1:16383">
      <c r="A555" s="3"/>
      <c r="B555" s="2" t="s">
        <v>921</v>
      </c>
      <c r="C555" s="2"/>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row>
    <row r="556" spans="1:16383">
      <c r="A556" s="3"/>
      <c r="B556" s="123">
        <v>1946</v>
      </c>
      <c r="C556" s="123"/>
      <c r="D556" s="3"/>
      <c r="E556" s="124">
        <v>1</v>
      </c>
      <c r="F556" s="125">
        <f>E556*F$553</f>
        <v>1.0362549800796814</v>
      </c>
      <c r="G556" s="125">
        <f>F556*G$553</f>
        <v>1.0729083665338646</v>
      </c>
      <c r="H556" s="125">
        <f t="shared" ref="H556:W571" si="3">G556*H$553</f>
        <v>1.1406374501992034</v>
      </c>
      <c r="I556" s="125">
        <f t="shared" si="3"/>
        <v>1.2446215139442232</v>
      </c>
      <c r="J556" s="125">
        <f t="shared" si="3"/>
        <v>1.3645418326693228</v>
      </c>
      <c r="K556" s="125">
        <f t="shared" si="3"/>
        <v>1.3645418326693228</v>
      </c>
      <c r="L556" s="125">
        <f t="shared" si="3"/>
        <v>1.3645418326693228</v>
      </c>
      <c r="M556" s="125">
        <f t="shared" si="3"/>
        <v>1.4191235059760958</v>
      </c>
      <c r="N556" s="125">
        <f t="shared" si="3"/>
        <v>1.4462151394422313</v>
      </c>
      <c r="O556" s="125">
        <f t="shared" si="3"/>
        <v>1.4737051792828686</v>
      </c>
      <c r="P556" s="125">
        <f t="shared" si="3"/>
        <v>1.5693227091633466</v>
      </c>
      <c r="Q556" s="125">
        <f t="shared" si="3"/>
        <v>1.5964143426294821</v>
      </c>
      <c r="R556" s="125">
        <f t="shared" si="3"/>
        <v>1.6099601593625501</v>
      </c>
      <c r="S556" s="125">
        <f t="shared" si="3"/>
        <v>1.6509960159362551</v>
      </c>
      <c r="T556" s="125">
        <f t="shared" si="3"/>
        <v>1.6784860557768928</v>
      </c>
      <c r="U556" s="125">
        <f t="shared" si="3"/>
        <v>1.7107569721115541</v>
      </c>
      <c r="V556" s="125">
        <f t="shared" si="3"/>
        <v>1.7760956175298808</v>
      </c>
      <c r="W556" s="125">
        <f t="shared" si="3"/>
        <v>1.8098414342629483</v>
      </c>
      <c r="X556" s="125">
        <f t="shared" ref="X556:AM571" si="4">W556*X$553</f>
        <v>1.9618681147410362</v>
      </c>
      <c r="Y556" s="125">
        <f t="shared" si="4"/>
        <v>2.0462284436749005</v>
      </c>
      <c r="Z556" s="125">
        <f t="shared" si="4"/>
        <v>2.164909693408045</v>
      </c>
      <c r="AA556" s="125">
        <f t="shared" si="4"/>
        <v>2.2493411714509586</v>
      </c>
      <c r="AB556" s="125">
        <f t="shared" si="4"/>
        <v>2.3235694301088401</v>
      </c>
      <c r="AC556" s="125">
        <f t="shared" si="4"/>
        <v>2.4838957207863501</v>
      </c>
      <c r="AD556" s="125">
        <f t="shared" si="4"/>
        <v>2.6180260897088132</v>
      </c>
      <c r="AE556" s="125">
        <f t="shared" si="4"/>
        <v>2.8169960725266834</v>
      </c>
      <c r="AF556" s="125">
        <f>AE556*AF$553</f>
        <v>3.025453781893658</v>
      </c>
      <c r="AG556" s="125">
        <f t="shared" si="4"/>
        <v>3.2705155382270443</v>
      </c>
      <c r="AH556" s="125">
        <f t="shared" si="4"/>
        <v>3.5910260609732951</v>
      </c>
      <c r="AI556" s="125">
        <f t="shared" si="4"/>
        <v>3.9752658494974376</v>
      </c>
      <c r="AJ556" s="125">
        <f t="shared" si="4"/>
        <v>4.3052129150057246</v>
      </c>
      <c r="AK556" s="125">
        <f t="shared" si="4"/>
        <v>4.5979673932261145</v>
      </c>
      <c r="AL556" s="125">
        <f t="shared" si="4"/>
        <v>4.7910820237416116</v>
      </c>
      <c r="AM556" s="125">
        <f t="shared" si="4"/>
        <v>4.9731431406437929</v>
      </c>
      <c r="AN556" s="125">
        <f t="shared" ref="AN556:BC571" si="5">AM556*AN$553</f>
        <v>5.3262363036295017</v>
      </c>
      <c r="AO556" s="125">
        <f t="shared" si="5"/>
        <v>5.6671154270617903</v>
      </c>
      <c r="AP556" s="125">
        <f t="shared" si="5"/>
        <v>6.0014752372584352</v>
      </c>
      <c r="AQ556" s="125">
        <f t="shared" si="5"/>
        <v>6.1575135934271543</v>
      </c>
      <c r="AR556" s="125">
        <f t="shared" si="5"/>
        <v>6.3299239740431146</v>
      </c>
      <c r="AS556" s="125">
        <f t="shared" si="5"/>
        <v>6.4755122254461055</v>
      </c>
      <c r="AT556" s="125">
        <f t="shared" si="5"/>
        <v>6.4431346643188752</v>
      </c>
      <c r="AU556" s="125">
        <f t="shared" si="5"/>
        <v>6.4560209336475127</v>
      </c>
      <c r="AV556" s="125">
        <f t="shared" si="5"/>
        <v>6.5141251220503396</v>
      </c>
      <c r="AW556" s="125">
        <f t="shared" si="5"/>
        <v>6.5857804983928929</v>
      </c>
      <c r="AX556" s="125">
        <f t="shared" si="5"/>
        <v>6.7438392303543226</v>
      </c>
      <c r="AY556" s="125">
        <f t="shared" si="5"/>
        <v>7.0540558349506215</v>
      </c>
      <c r="AZ556" s="125">
        <f t="shared" si="5"/>
        <v>7.3009477891738923</v>
      </c>
      <c r="BA556" s="125">
        <f t="shared" si="5"/>
        <v>7.4469667449573702</v>
      </c>
      <c r="BB556" s="125">
        <f t="shared" si="5"/>
        <v>7.6405878803262617</v>
      </c>
      <c r="BC556" s="125">
        <f t="shared" si="5"/>
        <v>7.7551966985311545</v>
      </c>
      <c r="BD556" s="125">
        <f t="shared" ref="BD556:BS571" si="6">BC556*BD$553</f>
        <v>7.9025454358032459</v>
      </c>
      <c r="BE556" s="125">
        <f t="shared" si="6"/>
        <v>8.1080116171341299</v>
      </c>
      <c r="BF556" s="125">
        <f t="shared" si="6"/>
        <v>8.2458478146254102</v>
      </c>
      <c r="BG556" s="125">
        <f t="shared" si="6"/>
        <v>8.4602398578056714</v>
      </c>
      <c r="BH556" s="125">
        <f t="shared" si="6"/>
        <v>8.6717458542508119</v>
      </c>
      <c r="BI556" s="125">
        <f t="shared" si="6"/>
        <v>9.0793179094005989</v>
      </c>
      <c r="BJ556" s="125">
        <f t="shared" si="6"/>
        <v>9.3789354004108176</v>
      </c>
      <c r="BK556" s="125">
        <f t="shared" si="6"/>
        <v>9.5758930438194447</v>
      </c>
      <c r="BL556" s="125">
        <f t="shared" si="6"/>
        <v>9.6812278673014571</v>
      </c>
      <c r="BM556" s="125">
        <f t="shared" si="6"/>
        <v>9.8554899689128828</v>
      </c>
      <c r="BN556" s="125">
        <f t="shared" si="6"/>
        <v>9.9934668284776631</v>
      </c>
      <c r="BO556" s="125">
        <f t="shared" si="6"/>
        <v>10.103394963590917</v>
      </c>
      <c r="BP556" s="125">
        <f t="shared" si="6"/>
        <v>10.426703602425826</v>
      </c>
      <c r="BQ556" s="125">
        <f t="shared" si="6"/>
        <v>10.457983713233103</v>
      </c>
      <c r="BR556" s="125">
        <f t="shared" si="6"/>
        <v>10.614853468931599</v>
      </c>
      <c r="BS556" s="125">
        <f t="shared" si="6"/>
        <v>10.890839659123822</v>
      </c>
      <c r="BT556" s="125">
        <f t="shared" ref="BT556:CG571" si="7">BS556*BT$553</f>
        <v>11.141328971283668</v>
      </c>
      <c r="BU556" s="125">
        <f t="shared" si="7"/>
        <v>11.45328618247961</v>
      </c>
      <c r="BV556" s="125">
        <f t="shared" si="7"/>
        <v>11.567819044304407</v>
      </c>
      <c r="BW556" s="125">
        <f t="shared" si="7"/>
        <v>11.660361596658843</v>
      </c>
      <c r="BX556" s="125">
        <f t="shared" si="7"/>
        <v>11.683682319852162</v>
      </c>
      <c r="BY556" s="125">
        <f t="shared" si="7"/>
        <v>11.847253872330093</v>
      </c>
      <c r="BZ556" s="125">
        <f t="shared" si="7"/>
        <v>11.989420918798054</v>
      </c>
      <c r="CA556" s="125">
        <f t="shared" si="7"/>
        <v>12.301145862686804</v>
      </c>
      <c r="CB556" s="125">
        <f t="shared" si="7"/>
        <v>12.497964196489793</v>
      </c>
      <c r="CC556" s="125">
        <f t="shared" si="7"/>
        <v>12.72292755202661</v>
      </c>
      <c r="CD556" s="125">
        <f t="shared" si="7"/>
        <v>13.51174906025226</v>
      </c>
      <c r="CE556" s="125">
        <f t="shared" si="7"/>
        <v>14.592688985072442</v>
      </c>
      <c r="CF556" s="125">
        <f t="shared" si="7"/>
        <v>15.00128427665447</v>
      </c>
      <c r="CG556" s="125">
        <f t="shared" si="7"/>
        <v>15.256306109357595</v>
      </c>
    </row>
    <row r="557" spans="1:16383">
      <c r="A557" s="3"/>
      <c r="B557" s="123">
        <v>1947</v>
      </c>
      <c r="C557" s="123"/>
      <c r="D557" s="3"/>
      <c r="E557" s="126"/>
      <c r="F557" s="124">
        <v>1</v>
      </c>
      <c r="G557" s="125">
        <f>F557*G$553</f>
        <v>1.0353710111495578</v>
      </c>
      <c r="H557" s="125">
        <f t="shared" si="3"/>
        <v>1.1007304882737408</v>
      </c>
      <c r="I557" s="125">
        <f t="shared" si="3"/>
        <v>1.2010765090349864</v>
      </c>
      <c r="J557" s="125">
        <f t="shared" si="3"/>
        <v>1.3168012302960399</v>
      </c>
      <c r="K557" s="125">
        <f t="shared" si="3"/>
        <v>1.3168012302960399</v>
      </c>
      <c r="L557" s="125">
        <f t="shared" si="3"/>
        <v>1.3168012302960399</v>
      </c>
      <c r="M557" s="125">
        <f t="shared" si="3"/>
        <v>1.3694732795078814</v>
      </c>
      <c r="N557" s="125">
        <f t="shared" si="3"/>
        <v>1.3956170703575546</v>
      </c>
      <c r="O557" s="125">
        <f t="shared" si="3"/>
        <v>1.4221453287197228</v>
      </c>
      <c r="P557" s="125">
        <f t="shared" si="3"/>
        <v>1.5144175317185693</v>
      </c>
      <c r="Q557" s="125">
        <f t="shared" si="3"/>
        <v>1.5405613225682426</v>
      </c>
      <c r="R557" s="125">
        <f t="shared" si="3"/>
        <v>1.5536332179930794</v>
      </c>
      <c r="S557" s="125">
        <f t="shared" si="3"/>
        <v>1.5932333717800842</v>
      </c>
      <c r="T557" s="125">
        <f t="shared" si="3"/>
        <v>1.6197616301422528</v>
      </c>
      <c r="U557" s="125">
        <f t="shared" si="3"/>
        <v>1.6509034986543634</v>
      </c>
      <c r="V557" s="125">
        <f t="shared" si="3"/>
        <v>1.7139561707035753</v>
      </c>
      <c r="W557" s="125">
        <f t="shared" si="3"/>
        <v>1.7465213379469431</v>
      </c>
      <c r="X557" s="125">
        <f t="shared" si="4"/>
        <v>1.8932291303344864</v>
      </c>
      <c r="Y557" s="125">
        <f t="shared" si="4"/>
        <v>1.9746379829388692</v>
      </c>
      <c r="Z557" s="125">
        <f t="shared" si="4"/>
        <v>2.0891669859493236</v>
      </c>
      <c r="AA557" s="125">
        <f t="shared" si="4"/>
        <v>2.1706444984013471</v>
      </c>
      <c r="AB557" s="125">
        <f t="shared" si="4"/>
        <v>2.2422757668485915</v>
      </c>
      <c r="AC557" s="125">
        <f t="shared" si="4"/>
        <v>2.396992794761144</v>
      </c>
      <c r="AD557" s="125">
        <f t="shared" si="4"/>
        <v>2.5264304056782461</v>
      </c>
      <c r="AE557" s="125">
        <f t="shared" si="4"/>
        <v>2.718439116509793</v>
      </c>
      <c r="AF557" s="125">
        <f t="shared" si="4"/>
        <v>2.9196036111315178</v>
      </c>
      <c r="AG557" s="125">
        <f t="shared" si="4"/>
        <v>3.1560915036331707</v>
      </c>
      <c r="AH557" s="125">
        <f t="shared" si="4"/>
        <v>3.4653884709892218</v>
      </c>
      <c r="AI557" s="125">
        <f t="shared" si="4"/>
        <v>3.8361850373850683</v>
      </c>
      <c r="AJ557" s="125">
        <f t="shared" si="4"/>
        <v>4.1545883954880285</v>
      </c>
      <c r="AK557" s="125">
        <f t="shared" si="4"/>
        <v>4.4371004063812149</v>
      </c>
      <c r="AL557" s="125">
        <f t="shared" si="4"/>
        <v>4.6234586234492259</v>
      </c>
      <c r="AM557" s="125">
        <f t="shared" si="4"/>
        <v>4.7991500511402965</v>
      </c>
      <c r="AN557" s="125">
        <f t="shared" si="5"/>
        <v>5.1398897047712575</v>
      </c>
      <c r="AO557" s="125">
        <f t="shared" si="5"/>
        <v>5.4688426458766184</v>
      </c>
      <c r="AP557" s="125">
        <f t="shared" si="5"/>
        <v>5.7915043619833382</v>
      </c>
      <c r="AQ557" s="125">
        <f t="shared" si="5"/>
        <v>5.942083475394905</v>
      </c>
      <c r="AR557" s="125">
        <f t="shared" si="5"/>
        <v>6.1084618127059622</v>
      </c>
      <c r="AS557" s="125">
        <f t="shared" si="5"/>
        <v>6.2489564343981989</v>
      </c>
      <c r="AT557" s="125">
        <f t="shared" si="5"/>
        <v>6.2177116522262077</v>
      </c>
      <c r="AU557" s="125">
        <f t="shared" si="5"/>
        <v>6.2301470755306605</v>
      </c>
      <c r="AV557" s="125">
        <f t="shared" si="5"/>
        <v>6.2862183992104361</v>
      </c>
      <c r="AW557" s="125">
        <f t="shared" si="5"/>
        <v>6.3553668016017504</v>
      </c>
      <c r="AX557" s="125">
        <f t="shared" si="5"/>
        <v>6.5078956048401926</v>
      </c>
      <c r="AY557" s="125">
        <f t="shared" si="5"/>
        <v>6.807258802662842</v>
      </c>
      <c r="AZ557" s="125">
        <f t="shared" si="5"/>
        <v>7.0455128607560411</v>
      </c>
      <c r="BA557" s="125">
        <f t="shared" si="5"/>
        <v>7.1864231179711622</v>
      </c>
      <c r="BB557" s="125">
        <f t="shared" si="5"/>
        <v>7.3732701190384127</v>
      </c>
      <c r="BC557" s="125">
        <f t="shared" si="5"/>
        <v>7.4838691708239882</v>
      </c>
      <c r="BD557" s="125">
        <f t="shared" si="6"/>
        <v>7.6260626850696429</v>
      </c>
      <c r="BE557" s="125">
        <f t="shared" si="6"/>
        <v>7.8243403148814537</v>
      </c>
      <c r="BF557" s="125">
        <f t="shared" si="6"/>
        <v>7.9573541002344372</v>
      </c>
      <c r="BG557" s="125">
        <f t="shared" si="6"/>
        <v>8.1642453068405327</v>
      </c>
      <c r="BH557" s="125">
        <f t="shared" si="6"/>
        <v>8.3683514395115459</v>
      </c>
      <c r="BI557" s="125">
        <f t="shared" si="6"/>
        <v>8.7616639571685884</v>
      </c>
      <c r="BJ557" s="125">
        <f t="shared" si="6"/>
        <v>9.0507988677551516</v>
      </c>
      <c r="BK557" s="125">
        <f t="shared" si="6"/>
        <v>9.2408656439780081</v>
      </c>
      <c r="BL557" s="125">
        <f t="shared" si="6"/>
        <v>9.3425151660617658</v>
      </c>
      <c r="BM557" s="125">
        <f t="shared" si="6"/>
        <v>9.5106804390508781</v>
      </c>
      <c r="BN557" s="125">
        <f t="shared" si="6"/>
        <v>9.6438299651975914</v>
      </c>
      <c r="BO557" s="125">
        <f t="shared" si="6"/>
        <v>9.7499120948147642</v>
      </c>
      <c r="BP557" s="125">
        <f t="shared" si="6"/>
        <v>10.061909281848838</v>
      </c>
      <c r="BQ557" s="125">
        <f t="shared" si="6"/>
        <v>10.092095009694383</v>
      </c>
      <c r="BR557" s="125">
        <f t="shared" si="6"/>
        <v>10.243476434839797</v>
      </c>
      <c r="BS557" s="125">
        <f t="shared" si="6"/>
        <v>10.509806822145633</v>
      </c>
      <c r="BT557" s="125">
        <f t="shared" si="7"/>
        <v>10.75153237905498</v>
      </c>
      <c r="BU557" s="125">
        <f t="shared" si="7"/>
        <v>11.052575285668521</v>
      </c>
      <c r="BV557" s="125">
        <f t="shared" si="7"/>
        <v>11.163101038525205</v>
      </c>
      <c r="BW557" s="125">
        <f t="shared" si="7"/>
        <v>11.252405846833406</v>
      </c>
      <c r="BX557" s="125">
        <f t="shared" si="7"/>
        <v>11.274910658527073</v>
      </c>
      <c r="BY557" s="125">
        <f t="shared" si="7"/>
        <v>11.432759407746452</v>
      </c>
      <c r="BZ557" s="125">
        <f t="shared" si="7"/>
        <v>11.56995252063941</v>
      </c>
      <c r="CA557" s="125">
        <f t="shared" si="7"/>
        <v>11.870771286176035</v>
      </c>
      <c r="CB557" s="125">
        <f t="shared" si="7"/>
        <v>12.060703626754853</v>
      </c>
      <c r="CC557" s="125">
        <f t="shared" si="7"/>
        <v>12.27779629203644</v>
      </c>
      <c r="CD557" s="125">
        <f t="shared" si="7"/>
        <v>13.039019662142699</v>
      </c>
      <c r="CE557" s="125">
        <f t="shared" si="7"/>
        <v>14.082141235114117</v>
      </c>
      <c r="CF557" s="125">
        <f t="shared" si="7"/>
        <v>14.476441189697312</v>
      </c>
      <c r="CG557" s="125">
        <f t="shared" si="7"/>
        <v>14.722540689922164</v>
      </c>
    </row>
    <row r="558" spans="1:16383">
      <c r="A558" s="3"/>
      <c r="B558" s="123">
        <v>1948</v>
      </c>
      <c r="C558" s="123"/>
      <c r="D558" s="3"/>
      <c r="E558" s="126"/>
      <c r="F558" s="126"/>
      <c r="G558" s="124">
        <v>1</v>
      </c>
      <c r="H558" s="125">
        <f t="shared" si="3"/>
        <v>1.0631266245822504</v>
      </c>
      <c r="I558" s="125">
        <f t="shared" si="3"/>
        <v>1.1600445599702933</v>
      </c>
      <c r="J558" s="125">
        <f t="shared" si="3"/>
        <v>1.2718158187894542</v>
      </c>
      <c r="K558" s="125">
        <f t="shared" si="3"/>
        <v>1.2718158187894542</v>
      </c>
      <c r="L558" s="125">
        <f t="shared" si="3"/>
        <v>1.2718158187894542</v>
      </c>
      <c r="M558" s="125">
        <f t="shared" si="3"/>
        <v>1.3226884515410324</v>
      </c>
      <c r="N558" s="125">
        <f t="shared" si="3"/>
        <v>1.3479391013739326</v>
      </c>
      <c r="O558" s="125">
        <f t="shared" si="3"/>
        <v>1.3735610842926105</v>
      </c>
      <c r="P558" s="125">
        <f t="shared" si="3"/>
        <v>1.4626810248793167</v>
      </c>
      <c r="Q558" s="125">
        <f t="shared" si="3"/>
        <v>1.4879316747122169</v>
      </c>
      <c r="R558" s="125">
        <f t="shared" si="3"/>
        <v>1.5005569996286672</v>
      </c>
      <c r="S558" s="125">
        <f t="shared" si="3"/>
        <v>1.5388043074637952</v>
      </c>
      <c r="T558" s="125">
        <f t="shared" si="3"/>
        <v>1.5644262903824735</v>
      </c>
      <c r="U558" s="125">
        <f t="shared" si="3"/>
        <v>1.5945042703304868</v>
      </c>
      <c r="V558" s="125">
        <f t="shared" si="3"/>
        <v>1.6554028963980694</v>
      </c>
      <c r="W558" s="125">
        <f t="shared" si="3"/>
        <v>1.6868555514296326</v>
      </c>
      <c r="X558" s="125">
        <f t="shared" si="4"/>
        <v>1.828551417749722</v>
      </c>
      <c r="Y558" s="125">
        <f t="shared" si="4"/>
        <v>1.9071791287129598</v>
      </c>
      <c r="Z558" s="125">
        <f t="shared" si="4"/>
        <v>2.0177955181783114</v>
      </c>
      <c r="AA558" s="125">
        <f t="shared" si="4"/>
        <v>2.0964895433872655</v>
      </c>
      <c r="AB558" s="125">
        <f t="shared" si="4"/>
        <v>2.1656736983190452</v>
      </c>
      <c r="AC558" s="125">
        <f t="shared" si="4"/>
        <v>2.3151051835030594</v>
      </c>
      <c r="AD558" s="125">
        <f t="shared" si="4"/>
        <v>2.4401208634122247</v>
      </c>
      <c r="AE558" s="125">
        <f t="shared" si="4"/>
        <v>2.6255700490315541</v>
      </c>
      <c r="AF558" s="125">
        <f t="shared" si="4"/>
        <v>2.8198622326598892</v>
      </c>
      <c r="AG558" s="125">
        <f t="shared" si="4"/>
        <v>3.0482710735053402</v>
      </c>
      <c r="AH558" s="125">
        <f t="shared" si="4"/>
        <v>3.3470016387088637</v>
      </c>
      <c r="AI558" s="125">
        <f t="shared" si="4"/>
        <v>3.7051308140507122</v>
      </c>
      <c r="AJ558" s="125">
        <f t="shared" si="4"/>
        <v>4.012656671616921</v>
      </c>
      <c r="AK558" s="125">
        <f t="shared" si="4"/>
        <v>4.2855173252868717</v>
      </c>
      <c r="AL558" s="125">
        <f t="shared" si="4"/>
        <v>4.4655090529489208</v>
      </c>
      <c r="AM558" s="125">
        <f t="shared" si="4"/>
        <v>4.6351983969609796</v>
      </c>
      <c r="AN558" s="125">
        <f t="shared" si="5"/>
        <v>4.9642974831452085</v>
      </c>
      <c r="AO558" s="125">
        <f t="shared" si="5"/>
        <v>5.282012522066502</v>
      </c>
      <c r="AP558" s="125">
        <f t="shared" si="5"/>
        <v>5.593651260868425</v>
      </c>
      <c r="AQ558" s="125">
        <f t="shared" si="5"/>
        <v>5.739086193651004</v>
      </c>
      <c r="AR558" s="125">
        <f t="shared" si="5"/>
        <v>5.8997806070732324</v>
      </c>
      <c r="AS558" s="125">
        <f t="shared" si="5"/>
        <v>6.0354755610359163</v>
      </c>
      <c r="AT558" s="125">
        <f t="shared" si="5"/>
        <v>6.0052981832307371</v>
      </c>
      <c r="AU558" s="125">
        <f t="shared" si="5"/>
        <v>6.0173087795971982</v>
      </c>
      <c r="AV558" s="125">
        <f t="shared" si="5"/>
        <v>6.071464558613572</v>
      </c>
      <c r="AW558" s="125">
        <f t="shared" si="5"/>
        <v>6.1382506687583209</v>
      </c>
      <c r="AX558" s="125">
        <f t="shared" si="5"/>
        <v>6.2855686848085206</v>
      </c>
      <c r="AY558" s="125">
        <f t="shared" si="5"/>
        <v>6.5747048443097125</v>
      </c>
      <c r="AZ558" s="125">
        <f t="shared" si="5"/>
        <v>6.8048195138605516</v>
      </c>
      <c r="BA558" s="125">
        <f t="shared" si="5"/>
        <v>6.9409159041377624</v>
      </c>
      <c r="BB558" s="125">
        <f t="shared" si="5"/>
        <v>7.1213797176453442</v>
      </c>
      <c r="BC558" s="125">
        <f t="shared" si="5"/>
        <v>7.2282004134100237</v>
      </c>
      <c r="BD558" s="125">
        <f t="shared" si="6"/>
        <v>7.3655362212648132</v>
      </c>
      <c r="BE558" s="125">
        <f t="shared" si="6"/>
        <v>7.5570401630176987</v>
      </c>
      <c r="BF558" s="125">
        <f t="shared" si="6"/>
        <v>7.6855098457889985</v>
      </c>
      <c r="BG558" s="125">
        <f t="shared" si="6"/>
        <v>7.885333101779513</v>
      </c>
      <c r="BH558" s="125">
        <f t="shared" si="6"/>
        <v>8.0824664293240005</v>
      </c>
      <c r="BI558" s="125">
        <f t="shared" si="6"/>
        <v>8.4623423515022278</v>
      </c>
      <c r="BJ558" s="125">
        <f t="shared" si="6"/>
        <v>8.7415996491018007</v>
      </c>
      <c r="BK558" s="125">
        <f t="shared" si="6"/>
        <v>8.9251732417329368</v>
      </c>
      <c r="BL558" s="125">
        <f t="shared" si="6"/>
        <v>9.0233501473919979</v>
      </c>
      <c r="BM558" s="125">
        <f t="shared" si="6"/>
        <v>9.1857704500450534</v>
      </c>
      <c r="BN558" s="125">
        <f t="shared" si="6"/>
        <v>9.3143712363456839</v>
      </c>
      <c r="BO558" s="125">
        <f t="shared" si="6"/>
        <v>9.4168293199454851</v>
      </c>
      <c r="BP558" s="125">
        <f t="shared" si="6"/>
        <v>9.7181678581837403</v>
      </c>
      <c r="BQ558" s="125">
        <f t="shared" si="6"/>
        <v>9.7473223617582896</v>
      </c>
      <c r="BR558" s="125">
        <f t="shared" si="6"/>
        <v>9.8935321971846637</v>
      </c>
      <c r="BS558" s="125">
        <f t="shared" si="6"/>
        <v>10.150764034311464</v>
      </c>
      <c r="BT558" s="125">
        <f t="shared" si="7"/>
        <v>10.384231607100627</v>
      </c>
      <c r="BU558" s="125">
        <f t="shared" si="7"/>
        <v>10.674990092099446</v>
      </c>
      <c r="BV558" s="125">
        <f t="shared" si="7"/>
        <v>10.781739993020441</v>
      </c>
      <c r="BW558" s="125">
        <f t="shared" si="7"/>
        <v>10.867993912964604</v>
      </c>
      <c r="BX558" s="125">
        <f t="shared" si="7"/>
        <v>10.889729900790533</v>
      </c>
      <c r="BY558" s="125">
        <f t="shared" si="7"/>
        <v>11.042186119401601</v>
      </c>
      <c r="BZ558" s="125">
        <f t="shared" si="7"/>
        <v>11.17469235283442</v>
      </c>
      <c r="CA558" s="125">
        <f t="shared" si="7"/>
        <v>11.465234354008114</v>
      </c>
      <c r="CB558" s="125">
        <f t="shared" si="7"/>
        <v>11.648678103672244</v>
      </c>
      <c r="CC558" s="125">
        <f t="shared" si="7"/>
        <v>11.858354309538345</v>
      </c>
      <c r="CD558" s="125">
        <f t="shared" si="7"/>
        <v>12.593572276729724</v>
      </c>
      <c r="CE558" s="125">
        <f t="shared" si="7"/>
        <v>13.601058058868102</v>
      </c>
      <c r="CF558" s="125">
        <f t="shared" si="7"/>
        <v>13.981887684516408</v>
      </c>
      <c r="CG558" s="125">
        <f t="shared" si="7"/>
        <v>14.219579775153186</v>
      </c>
    </row>
    <row r="559" spans="1:16383">
      <c r="A559" s="3"/>
      <c r="B559" s="123">
        <v>1949</v>
      </c>
      <c r="C559" s="123"/>
      <c r="D559" s="3"/>
      <c r="E559" s="126"/>
      <c r="F559" s="126"/>
      <c r="G559" s="126"/>
      <c r="H559" s="124">
        <v>1</v>
      </c>
      <c r="I559" s="125">
        <f t="shared" si="3"/>
        <v>1.0911631156129933</v>
      </c>
      <c r="J559" s="125">
        <f t="shared" si="3"/>
        <v>1.1962975899406219</v>
      </c>
      <c r="K559" s="125">
        <f t="shared" si="3"/>
        <v>1.1962975899406219</v>
      </c>
      <c r="L559" s="125">
        <f t="shared" si="3"/>
        <v>1.1962975899406219</v>
      </c>
      <c r="M559" s="125">
        <f t="shared" si="3"/>
        <v>1.2441494935382467</v>
      </c>
      <c r="N559" s="125">
        <f t="shared" si="3"/>
        <v>1.267900803353126</v>
      </c>
      <c r="O559" s="125">
        <f t="shared" si="3"/>
        <v>1.2920013971358713</v>
      </c>
      <c r="P559" s="125">
        <f t="shared" si="3"/>
        <v>1.3758295494236812</v>
      </c>
      <c r="Q559" s="125">
        <f t="shared" si="3"/>
        <v>1.3995808592385608</v>
      </c>
      <c r="R559" s="125">
        <f t="shared" si="3"/>
        <v>1.4114565141460007</v>
      </c>
      <c r="S559" s="125">
        <f t="shared" si="3"/>
        <v>1.4474327628361856</v>
      </c>
      <c r="T559" s="125">
        <f t="shared" si="3"/>
        <v>1.4715333566189313</v>
      </c>
      <c r="U559" s="125">
        <f t="shared" si="3"/>
        <v>1.499825358016067</v>
      </c>
      <c r="V559" s="125">
        <f t="shared" si="3"/>
        <v>1.5571079287460705</v>
      </c>
      <c r="W559" s="125">
        <f t="shared" si="3"/>
        <v>1.5866929793922457</v>
      </c>
      <c r="X559" s="125">
        <f t="shared" si="4"/>
        <v>1.7199751896611946</v>
      </c>
      <c r="Y559" s="125">
        <f t="shared" si="4"/>
        <v>1.7939341228166259</v>
      </c>
      <c r="Z559" s="125">
        <f t="shared" si="4"/>
        <v>1.8979823019399904</v>
      </c>
      <c r="AA559" s="125">
        <f t="shared" si="4"/>
        <v>1.9720036117156499</v>
      </c>
      <c r="AB559" s="125">
        <f t="shared" si="4"/>
        <v>2.0370797309022661</v>
      </c>
      <c r="AC559" s="125">
        <f t="shared" si="4"/>
        <v>2.1776382323345223</v>
      </c>
      <c r="AD559" s="125">
        <f t="shared" si="4"/>
        <v>2.2952306968805867</v>
      </c>
      <c r="AE559" s="125">
        <f t="shared" si="4"/>
        <v>2.4696682298435113</v>
      </c>
      <c r="AF559" s="125">
        <f t="shared" si="4"/>
        <v>2.6524236788519313</v>
      </c>
      <c r="AG559" s="125">
        <f t="shared" si="4"/>
        <v>2.8672699968389375</v>
      </c>
      <c r="AH559" s="125">
        <f t="shared" si="4"/>
        <v>3.1482624565291535</v>
      </c>
      <c r="AI559" s="125">
        <f t="shared" si="4"/>
        <v>3.4851265393777728</v>
      </c>
      <c r="AJ559" s="125">
        <f t="shared" si="4"/>
        <v>3.7743920421461277</v>
      </c>
      <c r="AK559" s="125">
        <f t="shared" si="4"/>
        <v>4.0310507010120649</v>
      </c>
      <c r="AL559" s="125">
        <f t="shared" si="4"/>
        <v>4.2003548304545717</v>
      </c>
      <c r="AM559" s="125">
        <f t="shared" si="4"/>
        <v>4.3599683140118453</v>
      </c>
      <c r="AN559" s="125">
        <f t="shared" si="5"/>
        <v>4.6695260643066865</v>
      </c>
      <c r="AO559" s="125">
        <f t="shared" si="5"/>
        <v>4.9683757324223148</v>
      </c>
      <c r="AP559" s="125">
        <f t="shared" si="5"/>
        <v>5.2615099006352315</v>
      </c>
      <c r="AQ559" s="125">
        <f t="shared" si="5"/>
        <v>5.3983091580517479</v>
      </c>
      <c r="AR559" s="125">
        <f t="shared" si="5"/>
        <v>5.5494618144771968</v>
      </c>
      <c r="AS559" s="125">
        <f t="shared" si="5"/>
        <v>5.6770994362101721</v>
      </c>
      <c r="AT559" s="125">
        <f t="shared" si="5"/>
        <v>5.648713939029121</v>
      </c>
      <c r="AU559" s="125">
        <f t="shared" si="5"/>
        <v>5.6600113669071792</v>
      </c>
      <c r="AV559" s="125">
        <f t="shared" si="5"/>
        <v>5.710951469209343</v>
      </c>
      <c r="AW559" s="125">
        <f t="shared" si="5"/>
        <v>5.7737719353706449</v>
      </c>
      <c r="AX559" s="125">
        <f t="shared" si="5"/>
        <v>5.9123424618195406</v>
      </c>
      <c r="AY559" s="125">
        <f t="shared" si="5"/>
        <v>6.1843102150632401</v>
      </c>
      <c r="AZ559" s="125">
        <f t="shared" si="5"/>
        <v>6.4007610725904529</v>
      </c>
      <c r="BA559" s="125">
        <f t="shared" si="5"/>
        <v>6.5287762940422622</v>
      </c>
      <c r="BB559" s="125">
        <f t="shared" si="5"/>
        <v>6.6985244776873616</v>
      </c>
      <c r="BC559" s="125">
        <f t="shared" si="5"/>
        <v>6.7990023448526715</v>
      </c>
      <c r="BD559" s="125">
        <f t="shared" si="6"/>
        <v>6.9281833894048717</v>
      </c>
      <c r="BE559" s="125">
        <f t="shared" si="6"/>
        <v>7.1083161575293987</v>
      </c>
      <c r="BF559" s="125">
        <f t="shared" si="6"/>
        <v>7.229157532207398</v>
      </c>
      <c r="BG559" s="125">
        <f t="shared" si="6"/>
        <v>7.4171156280447903</v>
      </c>
      <c r="BH559" s="125">
        <f t="shared" si="6"/>
        <v>7.6025435187459092</v>
      </c>
      <c r="BI559" s="125">
        <f t="shared" si="6"/>
        <v>7.9598630641269663</v>
      </c>
      <c r="BJ559" s="125">
        <f t="shared" si="6"/>
        <v>8.2225385452431556</v>
      </c>
      <c r="BK559" s="125">
        <f t="shared" si="6"/>
        <v>8.3952118546932617</v>
      </c>
      <c r="BL559" s="125">
        <f t="shared" si="6"/>
        <v>8.4875591850948862</v>
      </c>
      <c r="BM559" s="125">
        <f t="shared" si="6"/>
        <v>8.6403352504265936</v>
      </c>
      <c r="BN559" s="125">
        <f t="shared" si="6"/>
        <v>8.7612999439325652</v>
      </c>
      <c r="BO559" s="125">
        <f t="shared" si="6"/>
        <v>8.857674243315822</v>
      </c>
      <c r="BP559" s="125">
        <f t="shared" si="6"/>
        <v>9.1411198191019292</v>
      </c>
      <c r="BQ559" s="125">
        <f t="shared" si="6"/>
        <v>9.1685431785592346</v>
      </c>
      <c r="BR559" s="125">
        <f t="shared" si="6"/>
        <v>9.3060713262376229</v>
      </c>
      <c r="BS559" s="125">
        <f t="shared" si="6"/>
        <v>9.5480291807198014</v>
      </c>
      <c r="BT559" s="125">
        <f t="shared" si="7"/>
        <v>9.7676338518763561</v>
      </c>
      <c r="BU559" s="125">
        <f t="shared" si="7"/>
        <v>10.041127599728894</v>
      </c>
      <c r="BV559" s="125">
        <f t="shared" si="7"/>
        <v>10.141538875726182</v>
      </c>
      <c r="BW559" s="125">
        <f t="shared" si="7"/>
        <v>10.222671186731992</v>
      </c>
      <c r="BX559" s="125">
        <f t="shared" si="7"/>
        <v>10.243116529105455</v>
      </c>
      <c r="BY559" s="125">
        <f t="shared" si="7"/>
        <v>10.386520160512932</v>
      </c>
      <c r="BZ559" s="125">
        <f t="shared" si="7"/>
        <v>10.511158402439087</v>
      </c>
      <c r="CA559" s="125">
        <f t="shared" si="7"/>
        <v>10.784448520902503</v>
      </c>
      <c r="CB559" s="125">
        <f t="shared" si="7"/>
        <v>10.956999697236943</v>
      </c>
      <c r="CC559" s="125">
        <f t="shared" si="7"/>
        <v>11.154225691787209</v>
      </c>
      <c r="CD559" s="125">
        <f t="shared" si="7"/>
        <v>11.845787684678017</v>
      </c>
      <c r="CE559" s="125">
        <f t="shared" si="7"/>
        <v>12.79345069945226</v>
      </c>
      <c r="CF559" s="125">
        <f t="shared" si="7"/>
        <v>13.151667319036923</v>
      </c>
      <c r="CG559" s="125">
        <f t="shared" si="7"/>
        <v>13.37524566346055</v>
      </c>
    </row>
    <row r="560" spans="1:16383">
      <c r="A560" s="3"/>
      <c r="B560" s="123">
        <v>1950</v>
      </c>
      <c r="C560" s="123"/>
      <c r="D560" s="3"/>
      <c r="E560" s="126"/>
      <c r="F560" s="126"/>
      <c r="G560" s="126"/>
      <c r="H560" s="126"/>
      <c r="I560" s="124">
        <v>1</v>
      </c>
      <c r="J560" s="125">
        <f>I560*J$553</f>
        <v>1.0963508322663253</v>
      </c>
      <c r="K560" s="125">
        <f t="shared" si="3"/>
        <v>1.0963508322663253</v>
      </c>
      <c r="L560" s="125">
        <f t="shared" si="3"/>
        <v>1.0963508322663253</v>
      </c>
      <c r="M560" s="125">
        <f t="shared" si="3"/>
        <v>1.1402048655569783</v>
      </c>
      <c r="N560" s="125">
        <f t="shared" si="3"/>
        <v>1.1619718309859155</v>
      </c>
      <c r="O560" s="125">
        <f t="shared" si="3"/>
        <v>1.184058898847631</v>
      </c>
      <c r="P560" s="125">
        <f t="shared" si="3"/>
        <v>1.2608834827144684</v>
      </c>
      <c r="Q560" s="125">
        <f t="shared" si="3"/>
        <v>1.2826504481434058</v>
      </c>
      <c r="R560" s="125">
        <f t="shared" si="3"/>
        <v>1.2935339308578746</v>
      </c>
      <c r="S560" s="125">
        <f t="shared" si="3"/>
        <v>1.3265044814340587</v>
      </c>
      <c r="T560" s="125">
        <f t="shared" si="3"/>
        <v>1.3485915492957747</v>
      </c>
      <c r="U560" s="125">
        <f t="shared" si="3"/>
        <v>1.3745198463508324</v>
      </c>
      <c r="V560" s="125">
        <f t="shared" si="3"/>
        <v>1.4270166453265045</v>
      </c>
      <c r="W560" s="125">
        <f t="shared" si="3"/>
        <v>1.4541299615877079</v>
      </c>
      <c r="X560" s="125">
        <f t="shared" si="4"/>
        <v>1.5762768783610754</v>
      </c>
      <c r="Y560" s="125">
        <f t="shared" si="4"/>
        <v>1.6440567841306015</v>
      </c>
      <c r="Z560" s="125">
        <f t="shared" si="4"/>
        <v>1.7394120776101765</v>
      </c>
      <c r="AA560" s="125">
        <f t="shared" si="4"/>
        <v>1.8072491486369733</v>
      </c>
      <c r="AB560" s="125">
        <f t="shared" si="4"/>
        <v>1.8668883705419932</v>
      </c>
      <c r="AC560" s="125">
        <f t="shared" si="4"/>
        <v>1.9957036681093907</v>
      </c>
      <c r="AD560" s="125">
        <f t="shared" si="4"/>
        <v>2.1034716661872981</v>
      </c>
      <c r="AE560" s="125">
        <f t="shared" si="4"/>
        <v>2.263335512817533</v>
      </c>
      <c r="AF560" s="125">
        <f t="shared" si="4"/>
        <v>2.4308223407660305</v>
      </c>
      <c r="AG560" s="125">
        <f t="shared" si="4"/>
        <v>2.6277189503680791</v>
      </c>
      <c r="AH560" s="125">
        <f t="shared" si="4"/>
        <v>2.8852354075041511</v>
      </c>
      <c r="AI560" s="125">
        <f t="shared" si="4"/>
        <v>3.1939555961070951</v>
      </c>
      <c r="AJ560" s="125">
        <f t="shared" si="4"/>
        <v>3.4590539105839837</v>
      </c>
      <c r="AK560" s="125">
        <f t="shared" si="4"/>
        <v>3.6942695765036948</v>
      </c>
      <c r="AL560" s="125">
        <f t="shared" si="4"/>
        <v>3.8494288987168503</v>
      </c>
      <c r="AM560" s="125">
        <f t="shared" si="4"/>
        <v>3.9957071968680906</v>
      </c>
      <c r="AN560" s="125">
        <f t="shared" si="5"/>
        <v>4.2794024078457245</v>
      </c>
      <c r="AO560" s="125">
        <f t="shared" si="5"/>
        <v>4.5532841619478512</v>
      </c>
      <c r="AP560" s="125">
        <f t="shared" si="5"/>
        <v>4.8219279275027738</v>
      </c>
      <c r="AQ560" s="125">
        <f t="shared" si="5"/>
        <v>4.9472980536178461</v>
      </c>
      <c r="AR560" s="125">
        <f t="shared" si="5"/>
        <v>5.085822399119146</v>
      </c>
      <c r="AS560" s="125">
        <f t="shared" si="5"/>
        <v>5.2027963142988858</v>
      </c>
      <c r="AT560" s="125">
        <f t="shared" si="5"/>
        <v>5.1767823327273916</v>
      </c>
      <c r="AU560" s="125">
        <f t="shared" si="5"/>
        <v>5.1871358973928468</v>
      </c>
      <c r="AV560" s="125">
        <f t="shared" si="5"/>
        <v>5.2338201204693817</v>
      </c>
      <c r="AW560" s="125">
        <f t="shared" si="5"/>
        <v>5.2913921417945442</v>
      </c>
      <c r="AX560" s="125">
        <f t="shared" si="5"/>
        <v>5.4183855531976137</v>
      </c>
      <c r="AY560" s="125">
        <f t="shared" si="5"/>
        <v>5.6676312886447038</v>
      </c>
      <c r="AZ560" s="125">
        <f t="shared" si="5"/>
        <v>5.865998383747268</v>
      </c>
      <c r="BA560" s="125">
        <f t="shared" si="5"/>
        <v>5.9833183514222137</v>
      </c>
      <c r="BB560" s="125">
        <f t="shared" si="5"/>
        <v>6.1388846285591914</v>
      </c>
      <c r="BC560" s="125">
        <f t="shared" si="5"/>
        <v>6.2309678979875782</v>
      </c>
      <c r="BD560" s="125">
        <f t="shared" si="6"/>
        <v>6.3493562880493419</v>
      </c>
      <c r="BE560" s="125">
        <f t="shared" si="6"/>
        <v>6.5144395515386249</v>
      </c>
      <c r="BF560" s="125">
        <f t="shared" si="6"/>
        <v>6.6251850239147805</v>
      </c>
      <c r="BG560" s="125">
        <f t="shared" si="6"/>
        <v>6.797439834536565</v>
      </c>
      <c r="BH560" s="125">
        <f t="shared" si="6"/>
        <v>6.9673758303999787</v>
      </c>
      <c r="BI560" s="125">
        <f t="shared" si="6"/>
        <v>7.2948424944287771</v>
      </c>
      <c r="BJ560" s="125">
        <f t="shared" si="6"/>
        <v>7.5355722967449266</v>
      </c>
      <c r="BK560" s="125">
        <f t="shared" si="6"/>
        <v>7.6938193149765697</v>
      </c>
      <c r="BL560" s="125">
        <f t="shared" si="6"/>
        <v>7.778451327441311</v>
      </c>
      <c r="BM560" s="125">
        <f t="shared" si="6"/>
        <v>7.9184634513352545</v>
      </c>
      <c r="BN560" s="125">
        <f t="shared" si="6"/>
        <v>8.0293219396539488</v>
      </c>
      <c r="BO560" s="125">
        <f t="shared" si="6"/>
        <v>8.1176444809901422</v>
      </c>
      <c r="BP560" s="125">
        <f t="shared" si="6"/>
        <v>8.3774091043818277</v>
      </c>
      <c r="BQ560" s="125">
        <f t="shared" si="6"/>
        <v>8.4025413316949731</v>
      </c>
      <c r="BR560" s="125">
        <f t="shared" si="6"/>
        <v>8.5285794516703977</v>
      </c>
      <c r="BS560" s="125">
        <f t="shared" si="6"/>
        <v>8.7503225174138279</v>
      </c>
      <c r="BT560" s="125">
        <f t="shared" si="7"/>
        <v>8.9515799353143457</v>
      </c>
      <c r="BU560" s="125">
        <f t="shared" si="7"/>
        <v>9.2022241735031471</v>
      </c>
      <c r="BV560" s="125">
        <f t="shared" si="7"/>
        <v>9.2942464152381792</v>
      </c>
      <c r="BW560" s="125">
        <f t="shared" si="7"/>
        <v>9.3686003865600842</v>
      </c>
      <c r="BX560" s="125">
        <f t="shared" si="7"/>
        <v>9.3873375873332048</v>
      </c>
      <c r="BY560" s="125">
        <f t="shared" si="7"/>
        <v>9.5187603135558696</v>
      </c>
      <c r="BZ560" s="125">
        <f t="shared" si="7"/>
        <v>9.6329854373185402</v>
      </c>
      <c r="CA560" s="125">
        <f t="shared" si="7"/>
        <v>9.8834430586888224</v>
      </c>
      <c r="CB560" s="125">
        <f t="shared" si="7"/>
        <v>10.041578147627844</v>
      </c>
      <c r="CC560" s="125">
        <f t="shared" si="7"/>
        <v>10.222326554285145</v>
      </c>
      <c r="CD560" s="125">
        <f t="shared" si="7"/>
        <v>10.856110800650825</v>
      </c>
      <c r="CE560" s="125">
        <f t="shared" si="7"/>
        <v>11.724599664702891</v>
      </c>
      <c r="CF560" s="125">
        <f t="shared" si="7"/>
        <v>12.052888455314573</v>
      </c>
      <c r="CG560" s="125">
        <f t="shared" si="7"/>
        <v>12.25778755905492</v>
      </c>
    </row>
    <row r="561" spans="1:85">
      <c r="A561" s="3"/>
      <c r="B561" s="123">
        <v>1951</v>
      </c>
      <c r="C561" s="123"/>
      <c r="D561" s="3"/>
      <c r="E561" s="126"/>
      <c r="F561" s="126"/>
      <c r="G561" s="126"/>
      <c r="H561" s="126"/>
      <c r="I561" s="126"/>
      <c r="J561" s="124">
        <v>1</v>
      </c>
      <c r="K561" s="125">
        <f t="shared" si="3"/>
        <v>1</v>
      </c>
      <c r="L561" s="125">
        <f t="shared" si="3"/>
        <v>1</v>
      </c>
      <c r="M561" s="125">
        <f t="shared" si="3"/>
        <v>1.04</v>
      </c>
      <c r="N561" s="125">
        <f t="shared" si="3"/>
        <v>1.0598540145985402</v>
      </c>
      <c r="O561" s="125">
        <f t="shared" si="3"/>
        <v>1.0799999999999998</v>
      </c>
      <c r="P561" s="125">
        <f t="shared" si="3"/>
        <v>1.1500729927007298</v>
      </c>
      <c r="Q561" s="125">
        <f t="shared" si="3"/>
        <v>1.16992700729927</v>
      </c>
      <c r="R561" s="125">
        <f t="shared" si="3"/>
        <v>1.1798540145985403</v>
      </c>
      <c r="S561" s="125">
        <f t="shared" si="3"/>
        <v>1.2099270072992701</v>
      </c>
      <c r="T561" s="125">
        <f t="shared" si="3"/>
        <v>1.2300729927007301</v>
      </c>
      <c r="U561" s="125">
        <f t="shared" si="3"/>
        <v>1.2537226277372264</v>
      </c>
      <c r="V561" s="125">
        <f t="shared" si="3"/>
        <v>1.3016058394160586</v>
      </c>
      <c r="W561" s="125">
        <f t="shared" si="3"/>
        <v>1.3263363503649634</v>
      </c>
      <c r="X561" s="125">
        <f t="shared" si="4"/>
        <v>1.4377486037956204</v>
      </c>
      <c r="Y561" s="125">
        <f t="shared" si="4"/>
        <v>1.499571793758832</v>
      </c>
      <c r="Z561" s="125">
        <f t="shared" si="4"/>
        <v>1.5865469577968443</v>
      </c>
      <c r="AA561" s="125">
        <f t="shared" si="4"/>
        <v>1.648422289150921</v>
      </c>
      <c r="AB561" s="125">
        <f t="shared" si="4"/>
        <v>1.7028202246929014</v>
      </c>
      <c r="AC561" s="125">
        <f t="shared" si="4"/>
        <v>1.8203148201967114</v>
      </c>
      <c r="AD561" s="125">
        <f t="shared" si="4"/>
        <v>1.9186118204873339</v>
      </c>
      <c r="AE561" s="125">
        <f t="shared" si="4"/>
        <v>2.0644263188443714</v>
      </c>
      <c r="AF561" s="125">
        <f t="shared" si="4"/>
        <v>2.2171938664388549</v>
      </c>
      <c r="AG561" s="125">
        <f t="shared" si="4"/>
        <v>2.396786569620402</v>
      </c>
      <c r="AH561" s="125">
        <f t="shared" si="4"/>
        <v>2.6316716534432016</v>
      </c>
      <c r="AI561" s="125">
        <f t="shared" si="4"/>
        <v>2.9132605203616242</v>
      </c>
      <c r="AJ561" s="125">
        <f t="shared" si="4"/>
        <v>3.1550611435516389</v>
      </c>
      <c r="AK561" s="125">
        <f t="shared" si="4"/>
        <v>3.3696053013131504</v>
      </c>
      <c r="AL561" s="125">
        <f t="shared" si="4"/>
        <v>3.5111287239683029</v>
      </c>
      <c r="AM561" s="125">
        <f t="shared" si="4"/>
        <v>3.6445516154790987</v>
      </c>
      <c r="AN561" s="125">
        <f t="shared" si="5"/>
        <v>3.9033147801781145</v>
      </c>
      <c r="AO561" s="125">
        <f t="shared" si="5"/>
        <v>4.1531269261095138</v>
      </c>
      <c r="AP561" s="125">
        <f t="shared" si="5"/>
        <v>4.3981614147499748</v>
      </c>
      <c r="AQ561" s="125">
        <f t="shared" si="5"/>
        <v>4.5125136115334739</v>
      </c>
      <c r="AR561" s="125">
        <f t="shared" si="5"/>
        <v>4.638863992656411</v>
      </c>
      <c r="AS561" s="125">
        <f t="shared" si="5"/>
        <v>4.745557864487508</v>
      </c>
      <c r="AT561" s="125">
        <f t="shared" si="5"/>
        <v>4.7218300751650704</v>
      </c>
      <c r="AU561" s="125">
        <f t="shared" si="5"/>
        <v>4.7312737353154004</v>
      </c>
      <c r="AV561" s="125">
        <f t="shared" si="5"/>
        <v>4.773855198933239</v>
      </c>
      <c r="AW561" s="125">
        <f t="shared" si="5"/>
        <v>4.8263676061215044</v>
      </c>
      <c r="AX561" s="125">
        <f t="shared" si="5"/>
        <v>4.9422004286684205</v>
      </c>
      <c r="AY561" s="125">
        <f t="shared" si="5"/>
        <v>5.1695416483871677</v>
      </c>
      <c r="AZ561" s="125">
        <f t="shared" si="5"/>
        <v>5.3504756060807184</v>
      </c>
      <c r="BA561" s="125">
        <f t="shared" si="5"/>
        <v>5.4574851182023325</v>
      </c>
      <c r="BB561" s="125">
        <f t="shared" si="5"/>
        <v>5.5993797312755929</v>
      </c>
      <c r="BC561" s="125">
        <f t="shared" si="5"/>
        <v>5.6833704272447259</v>
      </c>
      <c r="BD561" s="125">
        <f t="shared" si="6"/>
        <v>5.7913544653623754</v>
      </c>
      <c r="BE561" s="125">
        <f t="shared" si="6"/>
        <v>5.9419296814617972</v>
      </c>
      <c r="BF561" s="125">
        <f t="shared" si="6"/>
        <v>6.0429424860466474</v>
      </c>
      <c r="BG561" s="125">
        <f t="shared" si="6"/>
        <v>6.2000589906838606</v>
      </c>
      <c r="BH561" s="125">
        <f t="shared" si="6"/>
        <v>6.3550604654509568</v>
      </c>
      <c r="BI561" s="125">
        <f t="shared" si="6"/>
        <v>6.6537483073271515</v>
      </c>
      <c r="BJ561" s="125">
        <f t="shared" si="6"/>
        <v>6.8733220014689467</v>
      </c>
      <c r="BK561" s="125">
        <f t="shared" si="6"/>
        <v>7.0176617634997935</v>
      </c>
      <c r="BL561" s="125">
        <f t="shared" si="6"/>
        <v>7.0948560428982903</v>
      </c>
      <c r="BM561" s="125">
        <f t="shared" si="6"/>
        <v>7.2225634516704593</v>
      </c>
      <c r="BN561" s="125">
        <f t="shared" si="6"/>
        <v>7.3236793399938458</v>
      </c>
      <c r="BO561" s="125">
        <f t="shared" si="6"/>
        <v>7.4042398127337776</v>
      </c>
      <c r="BP561" s="125">
        <f t="shared" si="6"/>
        <v>7.6411754867412585</v>
      </c>
      <c r="BQ561" s="125">
        <f t="shared" si="6"/>
        <v>7.664099013201481</v>
      </c>
      <c r="BR561" s="125">
        <f t="shared" si="6"/>
        <v>7.7790604983995024</v>
      </c>
      <c r="BS561" s="125">
        <f t="shared" si="6"/>
        <v>7.9813160713578899</v>
      </c>
      <c r="BT561" s="125">
        <f t="shared" si="7"/>
        <v>8.1648863409991215</v>
      </c>
      <c r="BU561" s="125">
        <f t="shared" si="7"/>
        <v>8.3935031585470963</v>
      </c>
      <c r="BV561" s="125">
        <f t="shared" si="7"/>
        <v>8.4774381901325668</v>
      </c>
      <c r="BW561" s="125">
        <f t="shared" si="7"/>
        <v>8.5452576956536266</v>
      </c>
      <c r="BX561" s="125">
        <f t="shared" si="7"/>
        <v>8.5623482110449345</v>
      </c>
      <c r="BY561" s="125">
        <f t="shared" si="7"/>
        <v>8.6822210859995632</v>
      </c>
      <c r="BZ561" s="125">
        <f t="shared" si="7"/>
        <v>8.7864077390315583</v>
      </c>
      <c r="CA561" s="125">
        <f t="shared" si="7"/>
        <v>9.0148543402463783</v>
      </c>
      <c r="CB561" s="125">
        <f t="shared" si="7"/>
        <v>9.1590920096903208</v>
      </c>
      <c r="CC561" s="125">
        <f t="shared" si="7"/>
        <v>9.3239556658647462</v>
      </c>
      <c r="CD561" s="125">
        <f t="shared" si="7"/>
        <v>9.9020409171483603</v>
      </c>
      <c r="CE561" s="125">
        <f t="shared" si="7"/>
        <v>10.69420419052023</v>
      </c>
      <c r="CF561" s="125">
        <f t="shared" si="7"/>
        <v>10.993641907854796</v>
      </c>
      <c r="CG561" s="125">
        <f t="shared" si="7"/>
        <v>11.180533820288327</v>
      </c>
    </row>
    <row r="562" spans="1:85">
      <c r="A562" s="3"/>
      <c r="B562" s="123">
        <v>1952</v>
      </c>
      <c r="C562" s="123"/>
      <c r="D562" s="3"/>
      <c r="E562" s="126"/>
      <c r="F562" s="126"/>
      <c r="G562" s="126"/>
      <c r="H562" s="126"/>
      <c r="I562" s="126"/>
      <c r="J562" s="126"/>
      <c r="K562" s="124">
        <v>1</v>
      </c>
      <c r="L562" s="125">
        <f t="shared" si="3"/>
        <v>1</v>
      </c>
      <c r="M562" s="125">
        <f t="shared" si="3"/>
        <v>1.04</v>
      </c>
      <c r="N562" s="125">
        <f t="shared" si="3"/>
        <v>1.0598540145985402</v>
      </c>
      <c r="O562" s="125">
        <f t="shared" si="3"/>
        <v>1.0799999999999998</v>
      </c>
      <c r="P562" s="125">
        <f t="shared" si="3"/>
        <v>1.1500729927007298</v>
      </c>
      <c r="Q562" s="125">
        <f t="shared" si="3"/>
        <v>1.16992700729927</v>
      </c>
      <c r="R562" s="125">
        <f t="shared" si="3"/>
        <v>1.1798540145985403</v>
      </c>
      <c r="S562" s="125">
        <f t="shared" si="3"/>
        <v>1.2099270072992701</v>
      </c>
      <c r="T562" s="125">
        <f t="shared" si="3"/>
        <v>1.2300729927007301</v>
      </c>
      <c r="U562" s="125">
        <f t="shared" si="3"/>
        <v>1.2537226277372264</v>
      </c>
      <c r="V562" s="125">
        <f t="shared" si="3"/>
        <v>1.3016058394160586</v>
      </c>
      <c r="W562" s="125">
        <f t="shared" si="3"/>
        <v>1.3263363503649634</v>
      </c>
      <c r="X562" s="125">
        <f t="shared" si="4"/>
        <v>1.4377486037956204</v>
      </c>
      <c r="Y562" s="125">
        <f t="shared" si="4"/>
        <v>1.499571793758832</v>
      </c>
      <c r="Z562" s="125">
        <f t="shared" si="4"/>
        <v>1.5865469577968443</v>
      </c>
      <c r="AA562" s="125">
        <f t="shared" si="4"/>
        <v>1.648422289150921</v>
      </c>
      <c r="AB562" s="125">
        <f t="shared" si="4"/>
        <v>1.7028202246929014</v>
      </c>
      <c r="AC562" s="125">
        <f t="shared" si="4"/>
        <v>1.8203148201967114</v>
      </c>
      <c r="AD562" s="125">
        <f t="shared" si="4"/>
        <v>1.9186118204873339</v>
      </c>
      <c r="AE562" s="125">
        <f t="shared" si="4"/>
        <v>2.0644263188443714</v>
      </c>
      <c r="AF562" s="125">
        <f t="shared" si="4"/>
        <v>2.2171938664388549</v>
      </c>
      <c r="AG562" s="125">
        <f t="shared" si="4"/>
        <v>2.396786569620402</v>
      </c>
      <c r="AH562" s="125">
        <f t="shared" si="4"/>
        <v>2.6316716534432016</v>
      </c>
      <c r="AI562" s="125">
        <f t="shared" si="4"/>
        <v>2.9132605203616242</v>
      </c>
      <c r="AJ562" s="125">
        <f t="shared" si="4"/>
        <v>3.1550611435516389</v>
      </c>
      <c r="AK562" s="125">
        <f t="shared" si="4"/>
        <v>3.3696053013131504</v>
      </c>
      <c r="AL562" s="125">
        <f t="shared" si="4"/>
        <v>3.5111287239683029</v>
      </c>
      <c r="AM562" s="125">
        <f t="shared" si="4"/>
        <v>3.6445516154790987</v>
      </c>
      <c r="AN562" s="125">
        <f t="shared" si="5"/>
        <v>3.9033147801781145</v>
      </c>
      <c r="AO562" s="125">
        <f t="shared" si="5"/>
        <v>4.1531269261095138</v>
      </c>
      <c r="AP562" s="125">
        <f t="shared" si="5"/>
        <v>4.3981614147499748</v>
      </c>
      <c r="AQ562" s="125">
        <f t="shared" si="5"/>
        <v>4.5125136115334739</v>
      </c>
      <c r="AR562" s="125">
        <f t="shared" si="5"/>
        <v>4.638863992656411</v>
      </c>
      <c r="AS562" s="125">
        <f t="shared" si="5"/>
        <v>4.745557864487508</v>
      </c>
      <c r="AT562" s="125">
        <f t="shared" si="5"/>
        <v>4.7218300751650704</v>
      </c>
      <c r="AU562" s="125">
        <f t="shared" si="5"/>
        <v>4.7312737353154004</v>
      </c>
      <c r="AV562" s="125">
        <f t="shared" si="5"/>
        <v>4.773855198933239</v>
      </c>
      <c r="AW562" s="125">
        <f t="shared" si="5"/>
        <v>4.8263676061215044</v>
      </c>
      <c r="AX562" s="125">
        <f t="shared" si="5"/>
        <v>4.9422004286684205</v>
      </c>
      <c r="AY562" s="125">
        <f t="shared" si="5"/>
        <v>5.1695416483871677</v>
      </c>
      <c r="AZ562" s="125">
        <f t="shared" si="5"/>
        <v>5.3504756060807184</v>
      </c>
      <c r="BA562" s="125">
        <f t="shared" si="5"/>
        <v>5.4574851182023325</v>
      </c>
      <c r="BB562" s="125">
        <f t="shared" si="5"/>
        <v>5.5993797312755929</v>
      </c>
      <c r="BC562" s="125">
        <f t="shared" si="5"/>
        <v>5.6833704272447259</v>
      </c>
      <c r="BD562" s="125">
        <f t="shared" si="6"/>
        <v>5.7913544653623754</v>
      </c>
      <c r="BE562" s="125">
        <f t="shared" si="6"/>
        <v>5.9419296814617972</v>
      </c>
      <c r="BF562" s="125">
        <f t="shared" si="6"/>
        <v>6.0429424860466474</v>
      </c>
      <c r="BG562" s="125">
        <f t="shared" si="6"/>
        <v>6.2000589906838606</v>
      </c>
      <c r="BH562" s="125">
        <f t="shared" si="6"/>
        <v>6.3550604654509568</v>
      </c>
      <c r="BI562" s="125">
        <f t="shared" si="6"/>
        <v>6.6537483073271515</v>
      </c>
      <c r="BJ562" s="125">
        <f t="shared" si="6"/>
        <v>6.8733220014689467</v>
      </c>
      <c r="BK562" s="125">
        <f t="shared" si="6"/>
        <v>7.0176617634997935</v>
      </c>
      <c r="BL562" s="125">
        <f t="shared" si="6"/>
        <v>7.0948560428982903</v>
      </c>
      <c r="BM562" s="125">
        <f t="shared" si="6"/>
        <v>7.2225634516704593</v>
      </c>
      <c r="BN562" s="125">
        <f t="shared" si="6"/>
        <v>7.3236793399938458</v>
      </c>
      <c r="BO562" s="125">
        <f t="shared" si="6"/>
        <v>7.4042398127337776</v>
      </c>
      <c r="BP562" s="125">
        <f t="shared" si="6"/>
        <v>7.6411754867412585</v>
      </c>
      <c r="BQ562" s="125">
        <f t="shared" si="6"/>
        <v>7.664099013201481</v>
      </c>
      <c r="BR562" s="125">
        <f t="shared" si="6"/>
        <v>7.7790604983995024</v>
      </c>
      <c r="BS562" s="125">
        <f t="shared" si="6"/>
        <v>7.9813160713578899</v>
      </c>
      <c r="BT562" s="125">
        <f t="shared" si="7"/>
        <v>8.1648863409991215</v>
      </c>
      <c r="BU562" s="125">
        <f t="shared" si="7"/>
        <v>8.3935031585470963</v>
      </c>
      <c r="BV562" s="125">
        <f t="shared" si="7"/>
        <v>8.4774381901325668</v>
      </c>
      <c r="BW562" s="125">
        <f t="shared" si="7"/>
        <v>8.5452576956536266</v>
      </c>
      <c r="BX562" s="125">
        <f t="shared" si="7"/>
        <v>8.5623482110449345</v>
      </c>
      <c r="BY562" s="125">
        <f t="shared" si="7"/>
        <v>8.6822210859995632</v>
      </c>
      <c r="BZ562" s="125">
        <f t="shared" si="7"/>
        <v>8.7864077390315583</v>
      </c>
      <c r="CA562" s="125">
        <f t="shared" si="7"/>
        <v>9.0148543402463783</v>
      </c>
      <c r="CB562" s="125">
        <f t="shared" si="7"/>
        <v>9.1590920096903208</v>
      </c>
      <c r="CC562" s="125">
        <f t="shared" si="7"/>
        <v>9.3239556658647462</v>
      </c>
      <c r="CD562" s="125">
        <f t="shared" si="7"/>
        <v>9.9020409171483603</v>
      </c>
      <c r="CE562" s="125">
        <f t="shared" si="7"/>
        <v>10.69420419052023</v>
      </c>
      <c r="CF562" s="125">
        <f t="shared" si="7"/>
        <v>10.993641907854796</v>
      </c>
      <c r="CG562" s="125">
        <f t="shared" si="7"/>
        <v>11.180533820288327</v>
      </c>
    </row>
    <row r="563" spans="1:85">
      <c r="A563" s="3"/>
      <c r="B563" s="123">
        <v>1953</v>
      </c>
      <c r="C563" s="123"/>
      <c r="D563" s="3"/>
      <c r="E563" s="126"/>
      <c r="F563" s="126"/>
      <c r="G563" s="126"/>
      <c r="H563" s="126"/>
      <c r="I563" s="126"/>
      <c r="J563" s="126"/>
      <c r="K563" s="126"/>
      <c r="L563" s="124">
        <v>1</v>
      </c>
      <c r="M563" s="125">
        <f t="shared" si="3"/>
        <v>1.04</v>
      </c>
      <c r="N563" s="125">
        <f t="shared" si="3"/>
        <v>1.0598540145985402</v>
      </c>
      <c r="O563" s="125">
        <f t="shared" si="3"/>
        <v>1.0799999999999998</v>
      </c>
      <c r="P563" s="125">
        <f t="shared" si="3"/>
        <v>1.1500729927007298</v>
      </c>
      <c r="Q563" s="125">
        <f t="shared" si="3"/>
        <v>1.16992700729927</v>
      </c>
      <c r="R563" s="125">
        <f t="shared" si="3"/>
        <v>1.1798540145985403</v>
      </c>
      <c r="S563" s="125">
        <f t="shared" si="3"/>
        <v>1.2099270072992701</v>
      </c>
      <c r="T563" s="125">
        <f t="shared" si="3"/>
        <v>1.2300729927007301</v>
      </c>
      <c r="U563" s="125">
        <f t="shared" si="3"/>
        <v>1.2537226277372264</v>
      </c>
      <c r="V563" s="125">
        <f t="shared" si="3"/>
        <v>1.3016058394160586</v>
      </c>
      <c r="W563" s="125">
        <f t="shared" si="3"/>
        <v>1.3263363503649634</v>
      </c>
      <c r="X563" s="125">
        <f t="shared" si="4"/>
        <v>1.4377486037956204</v>
      </c>
      <c r="Y563" s="125">
        <f t="shared" si="4"/>
        <v>1.499571793758832</v>
      </c>
      <c r="Z563" s="125">
        <f t="shared" si="4"/>
        <v>1.5865469577968443</v>
      </c>
      <c r="AA563" s="125">
        <f t="shared" si="4"/>
        <v>1.648422289150921</v>
      </c>
      <c r="AB563" s="125">
        <f t="shared" si="4"/>
        <v>1.7028202246929014</v>
      </c>
      <c r="AC563" s="125">
        <f t="shared" si="4"/>
        <v>1.8203148201967114</v>
      </c>
      <c r="AD563" s="125">
        <f t="shared" si="4"/>
        <v>1.9186118204873339</v>
      </c>
      <c r="AE563" s="125">
        <f t="shared" si="4"/>
        <v>2.0644263188443714</v>
      </c>
      <c r="AF563" s="125">
        <f t="shared" si="4"/>
        <v>2.2171938664388549</v>
      </c>
      <c r="AG563" s="125">
        <f t="shared" si="4"/>
        <v>2.396786569620402</v>
      </c>
      <c r="AH563" s="125">
        <f t="shared" si="4"/>
        <v>2.6316716534432016</v>
      </c>
      <c r="AI563" s="125">
        <f t="shared" si="4"/>
        <v>2.9132605203616242</v>
      </c>
      <c r="AJ563" s="125">
        <f t="shared" si="4"/>
        <v>3.1550611435516389</v>
      </c>
      <c r="AK563" s="125">
        <f t="shared" si="4"/>
        <v>3.3696053013131504</v>
      </c>
      <c r="AL563" s="125">
        <f t="shared" si="4"/>
        <v>3.5111287239683029</v>
      </c>
      <c r="AM563" s="125">
        <f t="shared" si="4"/>
        <v>3.6445516154790987</v>
      </c>
      <c r="AN563" s="125">
        <f t="shared" si="5"/>
        <v>3.9033147801781145</v>
      </c>
      <c r="AO563" s="125">
        <f t="shared" si="5"/>
        <v>4.1531269261095138</v>
      </c>
      <c r="AP563" s="125">
        <f t="shared" si="5"/>
        <v>4.3981614147499748</v>
      </c>
      <c r="AQ563" s="125">
        <f t="shared" si="5"/>
        <v>4.5125136115334739</v>
      </c>
      <c r="AR563" s="125">
        <f t="shared" si="5"/>
        <v>4.638863992656411</v>
      </c>
      <c r="AS563" s="125">
        <f t="shared" si="5"/>
        <v>4.745557864487508</v>
      </c>
      <c r="AT563" s="125">
        <f t="shared" si="5"/>
        <v>4.7218300751650704</v>
      </c>
      <c r="AU563" s="125">
        <f t="shared" si="5"/>
        <v>4.7312737353154004</v>
      </c>
      <c r="AV563" s="125">
        <f t="shared" si="5"/>
        <v>4.773855198933239</v>
      </c>
      <c r="AW563" s="125">
        <f t="shared" si="5"/>
        <v>4.8263676061215044</v>
      </c>
      <c r="AX563" s="125">
        <f t="shared" si="5"/>
        <v>4.9422004286684205</v>
      </c>
      <c r="AY563" s="125">
        <f t="shared" si="5"/>
        <v>5.1695416483871677</v>
      </c>
      <c r="AZ563" s="125">
        <f t="shared" si="5"/>
        <v>5.3504756060807184</v>
      </c>
      <c r="BA563" s="125">
        <f t="shared" si="5"/>
        <v>5.4574851182023325</v>
      </c>
      <c r="BB563" s="125">
        <f t="shared" si="5"/>
        <v>5.5993797312755929</v>
      </c>
      <c r="BC563" s="125">
        <f t="shared" si="5"/>
        <v>5.6833704272447259</v>
      </c>
      <c r="BD563" s="125">
        <f t="shared" si="6"/>
        <v>5.7913544653623754</v>
      </c>
      <c r="BE563" s="125">
        <f t="shared" si="6"/>
        <v>5.9419296814617972</v>
      </c>
      <c r="BF563" s="125">
        <f t="shared" si="6"/>
        <v>6.0429424860466474</v>
      </c>
      <c r="BG563" s="125">
        <f t="shared" si="6"/>
        <v>6.2000589906838606</v>
      </c>
      <c r="BH563" s="125">
        <f t="shared" si="6"/>
        <v>6.3550604654509568</v>
      </c>
      <c r="BI563" s="125">
        <f t="shared" si="6"/>
        <v>6.6537483073271515</v>
      </c>
      <c r="BJ563" s="125">
        <f t="shared" si="6"/>
        <v>6.8733220014689467</v>
      </c>
      <c r="BK563" s="125">
        <f t="shared" si="6"/>
        <v>7.0176617634997935</v>
      </c>
      <c r="BL563" s="125">
        <f t="shared" si="6"/>
        <v>7.0948560428982903</v>
      </c>
      <c r="BM563" s="125">
        <f t="shared" si="6"/>
        <v>7.2225634516704593</v>
      </c>
      <c r="BN563" s="125">
        <f t="shared" si="6"/>
        <v>7.3236793399938458</v>
      </c>
      <c r="BO563" s="125">
        <f t="shared" si="6"/>
        <v>7.4042398127337776</v>
      </c>
      <c r="BP563" s="125">
        <f t="shared" si="6"/>
        <v>7.6411754867412585</v>
      </c>
      <c r="BQ563" s="125">
        <f t="shared" si="6"/>
        <v>7.664099013201481</v>
      </c>
      <c r="BR563" s="125">
        <f t="shared" si="6"/>
        <v>7.7790604983995024</v>
      </c>
      <c r="BS563" s="125">
        <f t="shared" si="6"/>
        <v>7.9813160713578899</v>
      </c>
      <c r="BT563" s="125">
        <f t="shared" si="7"/>
        <v>8.1648863409991215</v>
      </c>
      <c r="BU563" s="125">
        <f t="shared" si="7"/>
        <v>8.3935031585470963</v>
      </c>
      <c r="BV563" s="125">
        <f t="shared" si="7"/>
        <v>8.4774381901325668</v>
      </c>
      <c r="BW563" s="125">
        <f t="shared" si="7"/>
        <v>8.5452576956536266</v>
      </c>
      <c r="BX563" s="125">
        <f t="shared" si="7"/>
        <v>8.5623482110449345</v>
      </c>
      <c r="BY563" s="125">
        <f t="shared" si="7"/>
        <v>8.6822210859995632</v>
      </c>
      <c r="BZ563" s="125">
        <f t="shared" si="7"/>
        <v>8.7864077390315583</v>
      </c>
      <c r="CA563" s="125">
        <f t="shared" si="7"/>
        <v>9.0148543402463783</v>
      </c>
      <c r="CB563" s="125">
        <f t="shared" si="7"/>
        <v>9.1590920096903208</v>
      </c>
      <c r="CC563" s="125">
        <f t="shared" si="7"/>
        <v>9.3239556658647462</v>
      </c>
      <c r="CD563" s="125">
        <f t="shared" si="7"/>
        <v>9.9020409171483603</v>
      </c>
      <c r="CE563" s="125">
        <f t="shared" si="7"/>
        <v>10.69420419052023</v>
      </c>
      <c r="CF563" s="125">
        <f t="shared" si="7"/>
        <v>10.993641907854796</v>
      </c>
      <c r="CG563" s="125">
        <f t="shared" si="7"/>
        <v>11.180533820288327</v>
      </c>
    </row>
    <row r="564" spans="1:85">
      <c r="A564" s="3"/>
      <c r="B564" s="123">
        <v>1954</v>
      </c>
      <c r="C564" s="123"/>
      <c r="D564" s="3"/>
      <c r="E564" s="126"/>
      <c r="F564" s="126"/>
      <c r="G564" s="126"/>
      <c r="H564" s="126"/>
      <c r="I564" s="126"/>
      <c r="J564" s="126"/>
      <c r="K564" s="126"/>
      <c r="L564" s="126"/>
      <c r="M564" s="124">
        <v>1</v>
      </c>
      <c r="N564" s="125">
        <f t="shared" si="3"/>
        <v>1.0190903986524424</v>
      </c>
      <c r="O564" s="125">
        <f t="shared" si="3"/>
        <v>1.0384615384615383</v>
      </c>
      <c r="P564" s="125">
        <f t="shared" si="3"/>
        <v>1.105839416058394</v>
      </c>
      <c r="Q564" s="125">
        <f t="shared" si="3"/>
        <v>1.1249298147108364</v>
      </c>
      <c r="R564" s="125">
        <f t="shared" si="3"/>
        <v>1.1344750140370579</v>
      </c>
      <c r="S564" s="125">
        <f t="shared" si="3"/>
        <v>1.163391353172375</v>
      </c>
      <c r="T564" s="125">
        <f t="shared" si="3"/>
        <v>1.1827624929814711</v>
      </c>
      <c r="U564" s="125">
        <f t="shared" si="3"/>
        <v>1.2055025266704098</v>
      </c>
      <c r="V564" s="125">
        <f t="shared" si="3"/>
        <v>1.2515440763615946</v>
      </c>
      <c r="W564" s="125">
        <f t="shared" si="3"/>
        <v>1.2753234138124647</v>
      </c>
      <c r="X564" s="125">
        <f t="shared" si="4"/>
        <v>1.3824505805727119</v>
      </c>
      <c r="Y564" s="125">
        <f t="shared" si="4"/>
        <v>1.4418959555373383</v>
      </c>
      <c r="Z564" s="125">
        <f t="shared" si="4"/>
        <v>1.5255259209585039</v>
      </c>
      <c r="AA564" s="125">
        <f t="shared" si="4"/>
        <v>1.5850214318758855</v>
      </c>
      <c r="AB564" s="125">
        <f t="shared" si="4"/>
        <v>1.6373271391277897</v>
      </c>
      <c r="AC564" s="125">
        <f t="shared" si="4"/>
        <v>1.7503027117276071</v>
      </c>
      <c r="AD564" s="125">
        <f t="shared" si="4"/>
        <v>1.8448190581608979</v>
      </c>
      <c r="AE564" s="125">
        <f t="shared" si="4"/>
        <v>1.9850253065811263</v>
      </c>
      <c r="AF564" s="125">
        <f t="shared" si="4"/>
        <v>2.1319171792681297</v>
      </c>
      <c r="AG564" s="125">
        <f t="shared" si="4"/>
        <v>2.3046024707888479</v>
      </c>
      <c r="AH564" s="125">
        <f t="shared" si="4"/>
        <v>2.5304535129261554</v>
      </c>
      <c r="AI564" s="125">
        <f t="shared" si="4"/>
        <v>2.8012120388092541</v>
      </c>
      <c r="AJ564" s="125">
        <f t="shared" si="4"/>
        <v>3.0337126380304222</v>
      </c>
      <c r="AK564" s="125">
        <f t="shared" si="4"/>
        <v>3.2400050974164913</v>
      </c>
      <c r="AL564" s="125">
        <f t="shared" si="4"/>
        <v>3.3760853115079841</v>
      </c>
      <c r="AM564" s="125">
        <f t="shared" si="4"/>
        <v>3.5043765533452875</v>
      </c>
      <c r="AN564" s="125">
        <f t="shared" si="5"/>
        <v>3.7531872886328026</v>
      </c>
      <c r="AO564" s="125">
        <f t="shared" si="5"/>
        <v>3.993391275105302</v>
      </c>
      <c r="AP564" s="125">
        <f t="shared" si="5"/>
        <v>4.2290013603365146</v>
      </c>
      <c r="AQ564" s="125">
        <f t="shared" si="5"/>
        <v>4.3389553957052645</v>
      </c>
      <c r="AR564" s="125">
        <f t="shared" si="5"/>
        <v>4.4604461467850118</v>
      </c>
      <c r="AS564" s="125">
        <f t="shared" si="5"/>
        <v>4.563036408161067</v>
      </c>
      <c r="AT564" s="125">
        <f t="shared" si="5"/>
        <v>4.5402212261202619</v>
      </c>
      <c r="AU564" s="125">
        <f t="shared" si="5"/>
        <v>4.5493016685725021</v>
      </c>
      <c r="AV564" s="125">
        <f t="shared" si="5"/>
        <v>4.5902453835896537</v>
      </c>
      <c r="AW564" s="125">
        <f t="shared" si="5"/>
        <v>4.6407380828091398</v>
      </c>
      <c r="AX564" s="125">
        <f t="shared" si="5"/>
        <v>4.7521157967965593</v>
      </c>
      <c r="AY564" s="125">
        <f t="shared" si="5"/>
        <v>4.970713123449201</v>
      </c>
      <c r="AZ564" s="125">
        <f t="shared" si="5"/>
        <v>5.1446880827699228</v>
      </c>
      <c r="BA564" s="125">
        <f t="shared" si="5"/>
        <v>5.2475818444253211</v>
      </c>
      <c r="BB564" s="125">
        <f t="shared" si="5"/>
        <v>5.38401897238038</v>
      </c>
      <c r="BC564" s="125">
        <f t="shared" si="5"/>
        <v>5.4647792569660849</v>
      </c>
      <c r="BD564" s="125">
        <f t="shared" si="6"/>
        <v>5.5686100628484398</v>
      </c>
      <c r="BE564" s="125">
        <f t="shared" si="6"/>
        <v>5.7133939244824994</v>
      </c>
      <c r="BF564" s="125">
        <f t="shared" si="6"/>
        <v>5.810521621198701</v>
      </c>
      <c r="BG564" s="125">
        <f t="shared" si="6"/>
        <v>5.9615951833498677</v>
      </c>
      <c r="BH564" s="125">
        <f t="shared" si="6"/>
        <v>6.1106350629336141</v>
      </c>
      <c r="BI564" s="125">
        <f t="shared" si="6"/>
        <v>6.3978349108914934</v>
      </c>
      <c r="BJ564" s="125">
        <f t="shared" si="6"/>
        <v>6.6089634629509124</v>
      </c>
      <c r="BK564" s="125">
        <f t="shared" si="6"/>
        <v>6.7477516956728811</v>
      </c>
      <c r="BL564" s="125">
        <f t="shared" si="6"/>
        <v>6.8219769643252821</v>
      </c>
      <c r="BM564" s="125">
        <f t="shared" si="6"/>
        <v>6.9447725496831376</v>
      </c>
      <c r="BN564" s="125">
        <f t="shared" si="6"/>
        <v>7.0419993653787012</v>
      </c>
      <c r="BO564" s="125">
        <f t="shared" si="6"/>
        <v>7.1194613583978663</v>
      </c>
      <c r="BP564" s="125">
        <f t="shared" si="6"/>
        <v>7.3472841218665979</v>
      </c>
      <c r="BQ564" s="125">
        <f t="shared" si="6"/>
        <v>7.369325974232197</v>
      </c>
      <c r="BR564" s="125">
        <f t="shared" si="6"/>
        <v>7.4798658638456796</v>
      </c>
      <c r="BS564" s="125">
        <f t="shared" si="6"/>
        <v>7.6743423763056677</v>
      </c>
      <c r="BT564" s="125">
        <f t="shared" si="7"/>
        <v>7.8508522509606973</v>
      </c>
      <c r="BU564" s="125">
        <f t="shared" si="7"/>
        <v>8.0706761139875969</v>
      </c>
      <c r="BV564" s="125">
        <f t="shared" si="7"/>
        <v>8.1513828751274726</v>
      </c>
      <c r="BW564" s="125">
        <f t="shared" si="7"/>
        <v>8.2165939381284918</v>
      </c>
      <c r="BX564" s="125">
        <f t="shared" si="7"/>
        <v>8.2330271260047496</v>
      </c>
      <c r="BY564" s="125">
        <f t="shared" si="7"/>
        <v>8.3482895057688165</v>
      </c>
      <c r="BZ564" s="125">
        <f t="shared" si="7"/>
        <v>8.4484689798380419</v>
      </c>
      <c r="CA564" s="125">
        <f t="shared" si="7"/>
        <v>8.6681291733138313</v>
      </c>
      <c r="CB564" s="125">
        <f t="shared" si="7"/>
        <v>8.8068192400868526</v>
      </c>
      <c r="CC564" s="125">
        <f t="shared" si="7"/>
        <v>8.9653419864084167</v>
      </c>
      <c r="CD564" s="125">
        <f t="shared" si="7"/>
        <v>9.5211931895657393</v>
      </c>
      <c r="CE564" s="125">
        <f t="shared" si="7"/>
        <v>10.282888644730999</v>
      </c>
      <c r="CF564" s="125">
        <f t="shared" si="7"/>
        <v>10.570809526783467</v>
      </c>
      <c r="CG564" s="125">
        <f t="shared" si="7"/>
        <v>10.750513288738786</v>
      </c>
    </row>
    <row r="565" spans="1:85">
      <c r="A565" s="3"/>
      <c r="B565" s="123">
        <v>1955</v>
      </c>
      <c r="C565" s="123"/>
      <c r="D565" s="3"/>
      <c r="E565" s="126"/>
      <c r="F565" s="126"/>
      <c r="G565" s="126"/>
      <c r="H565" s="126"/>
      <c r="I565" s="126"/>
      <c r="J565" s="126"/>
      <c r="K565" s="126"/>
      <c r="L565" s="126"/>
      <c r="M565" s="126"/>
      <c r="N565" s="124">
        <v>1</v>
      </c>
      <c r="O565" s="125">
        <f>N565*O$553</f>
        <v>1.0190082644628098</v>
      </c>
      <c r="P565" s="125">
        <f>O565*P$553</f>
        <v>1.0851239669421486</v>
      </c>
      <c r="Q565" s="125">
        <f t="shared" si="3"/>
        <v>1.1038567493112947</v>
      </c>
      <c r="R565" s="125">
        <f t="shared" si="3"/>
        <v>1.1132231404958679</v>
      </c>
      <c r="S565" s="125">
        <f t="shared" si="3"/>
        <v>1.1415977961432506</v>
      </c>
      <c r="T565" s="125">
        <f t="shared" si="3"/>
        <v>1.1606060606060606</v>
      </c>
      <c r="U565" s="125">
        <f t="shared" si="3"/>
        <v>1.1829201101928375</v>
      </c>
      <c r="V565" s="125">
        <f t="shared" si="3"/>
        <v>1.228099173553719</v>
      </c>
      <c r="W565" s="125">
        <f t="shared" si="3"/>
        <v>1.2514330578512396</v>
      </c>
      <c r="X565" s="125">
        <f t="shared" si="4"/>
        <v>1.3565534347107437</v>
      </c>
      <c r="Y565" s="125">
        <f t="shared" si="4"/>
        <v>1.4148852324033057</v>
      </c>
      <c r="Z565" s="125">
        <f t="shared" si="4"/>
        <v>1.4969485758826975</v>
      </c>
      <c r="AA565" s="125">
        <f t="shared" si="4"/>
        <v>1.5553295703421226</v>
      </c>
      <c r="AB565" s="125">
        <f t="shared" si="4"/>
        <v>1.6066554461634126</v>
      </c>
      <c r="AC565" s="125">
        <f t="shared" si="4"/>
        <v>1.717514671948688</v>
      </c>
      <c r="AD565" s="125">
        <f t="shared" si="4"/>
        <v>1.8102604642339173</v>
      </c>
      <c r="AE565" s="125">
        <f t="shared" si="4"/>
        <v>1.9478402595156952</v>
      </c>
      <c r="AF565" s="125">
        <f t="shared" si="4"/>
        <v>2.0919804387198568</v>
      </c>
      <c r="AG565" s="125">
        <f t="shared" si="4"/>
        <v>2.2614308542561652</v>
      </c>
      <c r="AH565" s="125">
        <f t="shared" si="4"/>
        <v>2.4830510779732697</v>
      </c>
      <c r="AI565" s="125">
        <f t="shared" si="4"/>
        <v>2.7487375433164094</v>
      </c>
      <c r="AJ565" s="125">
        <f t="shared" si="4"/>
        <v>2.9768827594116711</v>
      </c>
      <c r="AK565" s="125">
        <f t="shared" si="4"/>
        <v>3.1793107870516648</v>
      </c>
      <c r="AL565" s="125">
        <f t="shared" si="4"/>
        <v>3.312841840107835</v>
      </c>
      <c r="AM565" s="125">
        <f t="shared" si="4"/>
        <v>3.4387298300319329</v>
      </c>
      <c r="AN565" s="125">
        <f t="shared" si="5"/>
        <v>3.6828796479641999</v>
      </c>
      <c r="AO565" s="125">
        <f t="shared" si="5"/>
        <v>3.9185839454339089</v>
      </c>
      <c r="AP565" s="125">
        <f t="shared" si="5"/>
        <v>4.1497803982145092</v>
      </c>
      <c r="AQ565" s="125">
        <f t="shared" si="5"/>
        <v>4.2576746885680867</v>
      </c>
      <c r="AR565" s="125">
        <f t="shared" si="5"/>
        <v>4.376889579847993</v>
      </c>
      <c r="AS565" s="125">
        <f t="shared" si="5"/>
        <v>4.4775580401844968</v>
      </c>
      <c r="AT565" s="125">
        <f t="shared" si="5"/>
        <v>4.4551702499835741</v>
      </c>
      <c r="AU565" s="125">
        <f t="shared" si="5"/>
        <v>4.4640805904835412</v>
      </c>
      <c r="AV565" s="125">
        <f t="shared" si="5"/>
        <v>4.5042573157978927</v>
      </c>
      <c r="AW565" s="125">
        <f t="shared" si="5"/>
        <v>4.553804146271669</v>
      </c>
      <c r="AX565" s="125">
        <f t="shared" si="5"/>
        <v>4.6630954457821892</v>
      </c>
      <c r="AY565" s="125">
        <f t="shared" si="5"/>
        <v>4.87759783628817</v>
      </c>
      <c r="AZ565" s="125">
        <f t="shared" si="5"/>
        <v>5.0483137605582558</v>
      </c>
      <c r="BA565" s="125">
        <f t="shared" si="5"/>
        <v>5.1492800357694213</v>
      </c>
      <c r="BB565" s="125">
        <f t="shared" si="5"/>
        <v>5.2831613166994265</v>
      </c>
      <c r="BC565" s="125">
        <f t="shared" si="5"/>
        <v>5.3624087364499173</v>
      </c>
      <c r="BD565" s="125">
        <f t="shared" si="6"/>
        <v>5.4642945024424652</v>
      </c>
      <c r="BE565" s="125">
        <f t="shared" si="6"/>
        <v>5.6063661595059697</v>
      </c>
      <c r="BF565" s="125">
        <f t="shared" si="6"/>
        <v>5.7016743842175703</v>
      </c>
      <c r="BG565" s="125">
        <f t="shared" si="6"/>
        <v>5.8499179182072272</v>
      </c>
      <c r="BH565" s="125">
        <f t="shared" si="6"/>
        <v>5.9961658661624071</v>
      </c>
      <c r="BI565" s="125">
        <f t="shared" si="6"/>
        <v>6.27798566187204</v>
      </c>
      <c r="BJ565" s="125">
        <f t="shared" si="6"/>
        <v>6.4851591887138165</v>
      </c>
      <c r="BK565" s="125">
        <f t="shared" si="6"/>
        <v>6.6213475316768058</v>
      </c>
      <c r="BL565" s="125">
        <f t="shared" si="6"/>
        <v>6.6941823545252497</v>
      </c>
      <c r="BM565" s="125">
        <f t="shared" si="6"/>
        <v>6.8146776369067039</v>
      </c>
      <c r="BN565" s="125">
        <f t="shared" si="6"/>
        <v>6.910083123823398</v>
      </c>
      <c r="BO565" s="125">
        <f t="shared" si="6"/>
        <v>6.9860940381854544</v>
      </c>
      <c r="BP565" s="125">
        <f t="shared" si="6"/>
        <v>7.2096490474073889</v>
      </c>
      <c r="BQ565" s="125">
        <f t="shared" si="6"/>
        <v>7.2312779945496102</v>
      </c>
      <c r="BR565" s="125">
        <f t="shared" si="6"/>
        <v>7.3397471644678536</v>
      </c>
      <c r="BS565" s="125">
        <f t="shared" si="6"/>
        <v>7.5305805907440178</v>
      </c>
      <c r="BT565" s="125">
        <f t="shared" si="7"/>
        <v>7.7037839443311293</v>
      </c>
      <c r="BU565" s="125">
        <f t="shared" si="7"/>
        <v>7.9194898947724015</v>
      </c>
      <c r="BV565" s="125">
        <f t="shared" si="7"/>
        <v>7.998684793720126</v>
      </c>
      <c r="BW565" s="125">
        <f t="shared" si="7"/>
        <v>8.0626742720698878</v>
      </c>
      <c r="BX565" s="125">
        <f t="shared" si="7"/>
        <v>8.0787996206140278</v>
      </c>
      <c r="BY565" s="125">
        <f t="shared" si="7"/>
        <v>8.1919028153026243</v>
      </c>
      <c r="BZ565" s="125">
        <f t="shared" si="7"/>
        <v>8.2902056490862552</v>
      </c>
      <c r="CA565" s="125">
        <f t="shared" si="7"/>
        <v>8.5057509959624973</v>
      </c>
      <c r="CB565" s="125">
        <f t="shared" si="7"/>
        <v>8.6418430118978975</v>
      </c>
      <c r="CC565" s="125">
        <f t="shared" si="7"/>
        <v>8.79739618611206</v>
      </c>
      <c r="CD565" s="125">
        <f t="shared" si="7"/>
        <v>9.3428347496510078</v>
      </c>
      <c r="CE565" s="125">
        <f t="shared" si="7"/>
        <v>10.090261529623088</v>
      </c>
      <c r="CF565" s="125">
        <f t="shared" si="7"/>
        <v>10.372788852452535</v>
      </c>
      <c r="CG565" s="125">
        <f t="shared" si="7"/>
        <v>10.549126262944228</v>
      </c>
    </row>
    <row r="566" spans="1:85">
      <c r="A566" s="3"/>
      <c r="B566" s="123">
        <v>1956</v>
      </c>
      <c r="C566" s="123"/>
      <c r="D566" s="3"/>
      <c r="E566" s="126"/>
      <c r="F566" s="126"/>
      <c r="G566" s="126"/>
      <c r="H566" s="126"/>
      <c r="I566" s="126"/>
      <c r="J566" s="126"/>
      <c r="K566" s="126"/>
      <c r="L566" s="126"/>
      <c r="M566" s="126"/>
      <c r="N566" s="126"/>
      <c r="O566" s="124">
        <v>1</v>
      </c>
      <c r="P566" s="125">
        <f t="shared" si="3"/>
        <v>1.064882400648824</v>
      </c>
      <c r="Q566" s="125">
        <f t="shared" si="3"/>
        <v>1.0832657474993241</v>
      </c>
      <c r="R566" s="125">
        <f t="shared" si="3"/>
        <v>1.0924574209245743</v>
      </c>
      <c r="S566" s="125">
        <f t="shared" si="3"/>
        <v>1.1203027845363611</v>
      </c>
      <c r="T566" s="125">
        <f t="shared" si="3"/>
        <v>1.1389564747228982</v>
      </c>
      <c r="U566" s="125">
        <f t="shared" si="3"/>
        <v>1.1608542849418761</v>
      </c>
      <c r="V566" s="125">
        <f t="shared" si="3"/>
        <v>1.2051905920519059</v>
      </c>
      <c r="W566" s="125">
        <f t="shared" si="3"/>
        <v>1.228089213300892</v>
      </c>
      <c r="X566" s="125">
        <f t="shared" si="4"/>
        <v>1.3312487072181671</v>
      </c>
      <c r="Y566" s="125">
        <f t="shared" si="4"/>
        <v>1.3884924016285483</v>
      </c>
      <c r="Z566" s="125">
        <f t="shared" si="4"/>
        <v>1.4690249609230042</v>
      </c>
      <c r="AA566" s="125">
        <f t="shared" si="4"/>
        <v>1.5263169343990013</v>
      </c>
      <c r="AB566" s="125">
        <f t="shared" si="4"/>
        <v>1.5766853932341682</v>
      </c>
      <c r="AC566" s="125">
        <f t="shared" si="4"/>
        <v>1.6854766853673258</v>
      </c>
      <c r="AD566" s="125">
        <f t="shared" si="4"/>
        <v>1.7764924263771615</v>
      </c>
      <c r="AE566" s="125">
        <f t="shared" si="4"/>
        <v>1.9115058507818259</v>
      </c>
      <c r="AF566" s="125">
        <f t="shared" si="4"/>
        <v>2.0529572837396812</v>
      </c>
      <c r="AG566" s="125">
        <f t="shared" si="4"/>
        <v>2.2192468237225955</v>
      </c>
      <c r="AH566" s="125">
        <f t="shared" si="4"/>
        <v>2.43673301244741</v>
      </c>
      <c r="AI566" s="125">
        <f t="shared" si="4"/>
        <v>2.6974634447792827</v>
      </c>
      <c r="AJ566" s="125">
        <f t="shared" si="4"/>
        <v>2.9213529106959633</v>
      </c>
      <c r="AK566" s="125">
        <f t="shared" si="4"/>
        <v>3.1200049086232888</v>
      </c>
      <c r="AL566" s="125">
        <f t="shared" si="4"/>
        <v>3.2510451147854669</v>
      </c>
      <c r="AM566" s="125">
        <f t="shared" si="4"/>
        <v>3.3745848291473148</v>
      </c>
      <c r="AN566" s="125">
        <f t="shared" si="5"/>
        <v>3.6141803520167741</v>
      </c>
      <c r="AO566" s="125">
        <f t="shared" si="5"/>
        <v>3.8454878945458479</v>
      </c>
      <c r="AP566" s="125">
        <f t="shared" si="5"/>
        <v>4.0723716803240526</v>
      </c>
      <c r="AQ566" s="125">
        <f t="shared" si="5"/>
        <v>4.1782533440124778</v>
      </c>
      <c r="AR566" s="125">
        <f t="shared" si="5"/>
        <v>4.2952444376448273</v>
      </c>
      <c r="AS566" s="125">
        <f t="shared" si="5"/>
        <v>4.3940350597106583</v>
      </c>
      <c r="AT566" s="125">
        <f t="shared" si="5"/>
        <v>4.3720648844121053</v>
      </c>
      <c r="AU566" s="125">
        <f t="shared" si="5"/>
        <v>4.3808090141809295</v>
      </c>
      <c r="AV566" s="125">
        <f t="shared" si="5"/>
        <v>4.4202362953085572</v>
      </c>
      <c r="AW566" s="125">
        <f t="shared" si="5"/>
        <v>4.4688588945569512</v>
      </c>
      <c r="AX566" s="125">
        <f t="shared" si="5"/>
        <v>4.5761115080263179</v>
      </c>
      <c r="AY566" s="125">
        <f t="shared" si="5"/>
        <v>4.7866126373955291</v>
      </c>
      <c r="AZ566" s="125">
        <f t="shared" si="5"/>
        <v>4.9541440797043723</v>
      </c>
      <c r="BA566" s="125">
        <f t="shared" si="5"/>
        <v>5.0532269612984599</v>
      </c>
      <c r="BB566" s="125">
        <f t="shared" si="5"/>
        <v>5.18461086229222</v>
      </c>
      <c r="BC566" s="125">
        <f t="shared" si="5"/>
        <v>5.2623800252266024</v>
      </c>
      <c r="BD566" s="125">
        <f t="shared" si="6"/>
        <v>5.3623652457059077</v>
      </c>
      <c r="BE566" s="125">
        <f t="shared" si="6"/>
        <v>5.5017867420942617</v>
      </c>
      <c r="BF566" s="125">
        <f t="shared" si="6"/>
        <v>5.5953171167098636</v>
      </c>
      <c r="BG566" s="125">
        <f t="shared" si="6"/>
        <v>5.7407953617443201</v>
      </c>
      <c r="BH566" s="125">
        <f t="shared" si="6"/>
        <v>5.8843152457879278</v>
      </c>
      <c r="BI566" s="125">
        <f t="shared" si="6"/>
        <v>6.1608780623399602</v>
      </c>
      <c r="BJ566" s="125">
        <f t="shared" si="6"/>
        <v>6.3641870383971781</v>
      </c>
      <c r="BK566" s="125">
        <f t="shared" si="6"/>
        <v>6.4978349662035182</v>
      </c>
      <c r="BL566" s="125">
        <f t="shared" si="6"/>
        <v>6.5693111508317559</v>
      </c>
      <c r="BM566" s="125">
        <f t="shared" si="6"/>
        <v>6.6875587515467272</v>
      </c>
      <c r="BN566" s="125">
        <f t="shared" si="6"/>
        <v>6.7811845740683818</v>
      </c>
      <c r="BO566" s="125">
        <f t="shared" si="6"/>
        <v>6.8557776043831335</v>
      </c>
      <c r="BP566" s="125">
        <f t="shared" si="6"/>
        <v>7.0751624877233938</v>
      </c>
      <c r="BQ566" s="125">
        <f t="shared" si="6"/>
        <v>7.0963879751865635</v>
      </c>
      <c r="BR566" s="125">
        <f t="shared" si="6"/>
        <v>7.202833794814361</v>
      </c>
      <c r="BS566" s="125">
        <f t="shared" si="6"/>
        <v>7.3901074734795342</v>
      </c>
      <c r="BT566" s="125">
        <f t="shared" si="7"/>
        <v>7.5600799453695631</v>
      </c>
      <c r="BU566" s="125">
        <f t="shared" si="7"/>
        <v>7.7717621838399111</v>
      </c>
      <c r="BV566" s="125">
        <f t="shared" si="7"/>
        <v>7.8494798056783104</v>
      </c>
      <c r="BW566" s="125">
        <f t="shared" si="7"/>
        <v>7.9122756441237367</v>
      </c>
      <c r="BX566" s="125">
        <f t="shared" si="7"/>
        <v>7.9281001954119841</v>
      </c>
      <c r="BY566" s="125">
        <f t="shared" si="7"/>
        <v>8.0390935981477512</v>
      </c>
      <c r="BZ566" s="125">
        <f t="shared" si="7"/>
        <v>8.1355627213255239</v>
      </c>
      <c r="CA566" s="125">
        <f t="shared" si="7"/>
        <v>8.3470873520799884</v>
      </c>
      <c r="CB566" s="125">
        <f t="shared" si="7"/>
        <v>8.4806407497132685</v>
      </c>
      <c r="CC566" s="125">
        <f t="shared" si="7"/>
        <v>8.6332922832081067</v>
      </c>
      <c r="CD566" s="125">
        <f t="shared" si="7"/>
        <v>9.1685564047670098</v>
      </c>
      <c r="CE566" s="125">
        <f t="shared" si="7"/>
        <v>9.902040917148371</v>
      </c>
      <c r="CF566" s="125">
        <f t="shared" si="7"/>
        <v>10.179298062828526</v>
      </c>
      <c r="CG566" s="125">
        <f t="shared" si="7"/>
        <v>10.35234612989661</v>
      </c>
    </row>
    <row r="567" spans="1:85">
      <c r="A567" s="3"/>
      <c r="B567" s="123">
        <v>1957</v>
      </c>
      <c r="C567" s="123"/>
      <c r="D567" s="3"/>
      <c r="E567" s="126"/>
      <c r="F567" s="126"/>
      <c r="G567" s="126"/>
      <c r="H567" s="126"/>
      <c r="I567" s="126"/>
      <c r="J567" s="126"/>
      <c r="K567" s="126"/>
      <c r="L567" s="126"/>
      <c r="M567" s="126"/>
      <c r="N567" s="126"/>
      <c r="O567" s="126"/>
      <c r="P567" s="124">
        <v>1</v>
      </c>
      <c r="Q567" s="125">
        <f t="shared" si="3"/>
        <v>1.0172632647880173</v>
      </c>
      <c r="R567" s="125">
        <f t="shared" si="3"/>
        <v>1.0258948971820261</v>
      </c>
      <c r="S567" s="125">
        <f t="shared" si="3"/>
        <v>1.0520436659050521</v>
      </c>
      <c r="T567" s="125">
        <f t="shared" si="3"/>
        <v>1.0695608022340697</v>
      </c>
      <c r="U567" s="125">
        <f t="shared" si="3"/>
        <v>1.0901243970550902</v>
      </c>
      <c r="V567" s="125">
        <f t="shared" si="3"/>
        <v>1.131759329779132</v>
      </c>
      <c r="W567" s="125">
        <f t="shared" si="3"/>
        <v>1.1532627570449354</v>
      </c>
      <c r="X567" s="125">
        <f t="shared" si="4"/>
        <v>1.2501368286367101</v>
      </c>
      <c r="Y567" s="125">
        <f t="shared" si="4"/>
        <v>1.3038927122680886</v>
      </c>
      <c r="Z567" s="125">
        <f t="shared" si="4"/>
        <v>1.3795184895796377</v>
      </c>
      <c r="AA567" s="125">
        <f t="shared" si="4"/>
        <v>1.4333197106732436</v>
      </c>
      <c r="AB567" s="125">
        <f t="shared" si="4"/>
        <v>1.4806192611254605</v>
      </c>
      <c r="AC567" s="125">
        <f t="shared" si="4"/>
        <v>1.5827819901431173</v>
      </c>
      <c r="AD567" s="125">
        <f t="shared" si="4"/>
        <v>1.6682522176108456</v>
      </c>
      <c r="AE567" s="125">
        <f t="shared" si="4"/>
        <v>1.7950393861492699</v>
      </c>
      <c r="AF567" s="125">
        <f t="shared" si="4"/>
        <v>1.9278723007243161</v>
      </c>
      <c r="AG567" s="125">
        <f t="shared" si="4"/>
        <v>2.0840299570829859</v>
      </c>
      <c r="AH567" s="125">
        <f t="shared" si="4"/>
        <v>2.2882648928771188</v>
      </c>
      <c r="AI567" s="125">
        <f t="shared" si="4"/>
        <v>2.5331092364149703</v>
      </c>
      <c r="AJ567" s="125">
        <f t="shared" si="4"/>
        <v>2.7433573030374125</v>
      </c>
      <c r="AK567" s="125">
        <f t="shared" si="4"/>
        <v>2.9299055996439569</v>
      </c>
      <c r="AL567" s="125">
        <f t="shared" si="4"/>
        <v>3.0529616348290034</v>
      </c>
      <c r="AM567" s="125">
        <f t="shared" si="4"/>
        <v>3.1689741769525055</v>
      </c>
      <c r="AN567" s="125">
        <f t="shared" si="5"/>
        <v>3.3939713435161334</v>
      </c>
      <c r="AO567" s="125">
        <f t="shared" si="5"/>
        <v>3.611185509501166</v>
      </c>
      <c r="AP567" s="125">
        <f t="shared" si="5"/>
        <v>3.8242454545617348</v>
      </c>
      <c r="AQ567" s="125">
        <f t="shared" si="5"/>
        <v>3.9236758363803399</v>
      </c>
      <c r="AR567" s="125">
        <f t="shared" si="5"/>
        <v>4.0335387597989891</v>
      </c>
      <c r="AS567" s="125">
        <f t="shared" si="5"/>
        <v>4.1263101512743656</v>
      </c>
      <c r="AT567" s="125">
        <f t="shared" si="5"/>
        <v>4.1056786005179937</v>
      </c>
      <c r="AU567" s="125">
        <f t="shared" si="5"/>
        <v>4.1138899577190298</v>
      </c>
      <c r="AV567" s="125">
        <f t="shared" si="5"/>
        <v>4.1509149673385002</v>
      </c>
      <c r="AW567" s="125">
        <f t="shared" si="5"/>
        <v>4.196575031979223</v>
      </c>
      <c r="AX567" s="125">
        <f t="shared" si="5"/>
        <v>4.2972928327467246</v>
      </c>
      <c r="AY567" s="125">
        <f t="shared" si="5"/>
        <v>4.4949683030530743</v>
      </c>
      <c r="AZ567" s="125">
        <f t="shared" si="5"/>
        <v>4.6522921936599317</v>
      </c>
      <c r="BA567" s="125">
        <f t="shared" si="5"/>
        <v>4.7453380375331307</v>
      </c>
      <c r="BB567" s="125">
        <f t="shared" si="5"/>
        <v>4.868716826508992</v>
      </c>
      <c r="BC567" s="125">
        <f t="shared" si="5"/>
        <v>4.9417475789066261</v>
      </c>
      <c r="BD567" s="125">
        <f t="shared" si="6"/>
        <v>5.0356407829058512</v>
      </c>
      <c r="BE567" s="125">
        <f t="shared" si="6"/>
        <v>5.1665674432614033</v>
      </c>
      <c r="BF567" s="125">
        <f t="shared" si="6"/>
        <v>5.2543990897968467</v>
      </c>
      <c r="BG567" s="125">
        <f t="shared" si="6"/>
        <v>5.3910134661315645</v>
      </c>
      <c r="BH567" s="125">
        <f t="shared" si="6"/>
        <v>5.5257888027848532</v>
      </c>
      <c r="BI567" s="125">
        <f t="shared" si="6"/>
        <v>5.7855008765157407</v>
      </c>
      <c r="BJ567" s="125">
        <f t="shared" si="6"/>
        <v>5.9764224054407595</v>
      </c>
      <c r="BK567" s="125">
        <f t="shared" si="6"/>
        <v>6.1019272759550152</v>
      </c>
      <c r="BL567" s="125">
        <f t="shared" si="6"/>
        <v>6.16904847599052</v>
      </c>
      <c r="BM567" s="125">
        <f t="shared" si="6"/>
        <v>6.2800913485583498</v>
      </c>
      <c r="BN567" s="125">
        <f t="shared" si="6"/>
        <v>6.3680126274381665</v>
      </c>
      <c r="BO567" s="125">
        <f t="shared" si="6"/>
        <v>6.4380607663399854</v>
      </c>
      <c r="BP567" s="125">
        <f t="shared" si="6"/>
        <v>6.6440787108628649</v>
      </c>
      <c r="BQ567" s="125">
        <f t="shared" si="6"/>
        <v>6.6640109469954529</v>
      </c>
      <c r="BR567" s="125">
        <f t="shared" si="6"/>
        <v>6.7639711112003837</v>
      </c>
      <c r="BS567" s="125">
        <f t="shared" si="6"/>
        <v>6.9398343600915942</v>
      </c>
      <c r="BT567" s="125">
        <f t="shared" si="7"/>
        <v>7.0994505503737004</v>
      </c>
      <c r="BU567" s="125">
        <f t="shared" si="7"/>
        <v>7.2982351657841642</v>
      </c>
      <c r="BV567" s="125">
        <f t="shared" si="7"/>
        <v>7.3712175174420063</v>
      </c>
      <c r="BW567" s="125">
        <f t="shared" si="7"/>
        <v>7.430187257581542</v>
      </c>
      <c r="BX567" s="125">
        <f t="shared" si="7"/>
        <v>7.4450476320967054</v>
      </c>
      <c r="BY567" s="125">
        <f t="shared" si="7"/>
        <v>7.5492782989460592</v>
      </c>
      <c r="BZ567" s="125">
        <f t="shared" si="7"/>
        <v>7.6398696385334119</v>
      </c>
      <c r="CA567" s="125">
        <f t="shared" si="7"/>
        <v>7.838506249135281</v>
      </c>
      <c r="CB567" s="125">
        <f t="shared" si="7"/>
        <v>7.9639223491214457</v>
      </c>
      <c r="CC567" s="125">
        <f t="shared" si="7"/>
        <v>8.1072729514056316</v>
      </c>
      <c r="CD567" s="125">
        <f t="shared" si="7"/>
        <v>8.6099238743927806</v>
      </c>
      <c r="CE567" s="125">
        <f t="shared" si="7"/>
        <v>9.2987177843442037</v>
      </c>
      <c r="CF567" s="125">
        <f t="shared" si="7"/>
        <v>9.5590818823058417</v>
      </c>
      <c r="CG567" s="125">
        <f t="shared" si="7"/>
        <v>9.7215862743050394</v>
      </c>
    </row>
    <row r="568" spans="1:85">
      <c r="A568" s="3"/>
      <c r="B568" s="123">
        <v>1958</v>
      </c>
      <c r="C568" s="123"/>
      <c r="D568" s="3"/>
      <c r="E568" s="126"/>
      <c r="F568" s="126"/>
      <c r="G568" s="126"/>
      <c r="H568" s="126"/>
      <c r="I568" s="126"/>
      <c r="J568" s="126"/>
      <c r="K568" s="126"/>
      <c r="L568" s="126"/>
      <c r="M568" s="126"/>
      <c r="N568" s="126"/>
      <c r="O568" s="126"/>
      <c r="P568" s="126"/>
      <c r="Q568" s="124">
        <v>1</v>
      </c>
      <c r="R568" s="125">
        <f t="shared" si="3"/>
        <v>1.0084851509857751</v>
      </c>
      <c r="S568" s="125">
        <f t="shared" si="3"/>
        <v>1.0341901672073872</v>
      </c>
      <c r="T568" s="125">
        <f t="shared" si="3"/>
        <v>1.0514100324432247</v>
      </c>
      <c r="U568" s="125">
        <f t="shared" si="3"/>
        <v>1.0716246568505119</v>
      </c>
      <c r="V568" s="125">
        <f t="shared" si="3"/>
        <v>1.1125530321936614</v>
      </c>
      <c r="W568" s="125">
        <f t="shared" si="3"/>
        <v>1.1336915398053409</v>
      </c>
      <c r="X568" s="125">
        <f t="shared" si="4"/>
        <v>1.2289216291489895</v>
      </c>
      <c r="Y568" s="125">
        <f t="shared" si="4"/>
        <v>1.281765259202396</v>
      </c>
      <c r="Z568" s="125">
        <f t="shared" si="4"/>
        <v>1.3561076442361351</v>
      </c>
      <c r="AA568" s="125">
        <f t="shared" si="4"/>
        <v>1.4089958423613442</v>
      </c>
      <c r="AB568" s="125">
        <f t="shared" si="4"/>
        <v>1.4554927051592685</v>
      </c>
      <c r="AC568" s="125">
        <f t="shared" si="4"/>
        <v>1.555921701815258</v>
      </c>
      <c r="AD568" s="125">
        <f t="shared" si="4"/>
        <v>1.639941473713282</v>
      </c>
      <c r="AE568" s="125">
        <f t="shared" si="4"/>
        <v>1.7645770257154916</v>
      </c>
      <c r="AF568" s="125">
        <f t="shared" si="4"/>
        <v>1.8951557256184381</v>
      </c>
      <c r="AG568" s="125">
        <f t="shared" si="4"/>
        <v>2.0486633393935314</v>
      </c>
      <c r="AH568" s="125">
        <f t="shared" si="4"/>
        <v>2.2494323466540975</v>
      </c>
      <c r="AI568" s="125">
        <f t="shared" si="4"/>
        <v>2.4901216077460857</v>
      </c>
      <c r="AJ568" s="125">
        <f t="shared" si="4"/>
        <v>2.6968017011890106</v>
      </c>
      <c r="AK568" s="125">
        <f t="shared" si="4"/>
        <v>2.8801842168698637</v>
      </c>
      <c r="AL568" s="125">
        <f t="shared" si="4"/>
        <v>3.0011519539783982</v>
      </c>
      <c r="AM568" s="125">
        <f t="shared" si="4"/>
        <v>3.1151957282295775</v>
      </c>
      <c r="AN568" s="125">
        <f t="shared" si="5"/>
        <v>3.3363746249338773</v>
      </c>
      <c r="AO568" s="125">
        <f t="shared" si="5"/>
        <v>3.5499026009296455</v>
      </c>
      <c r="AP568" s="125">
        <f t="shared" si="5"/>
        <v>3.7593468543844946</v>
      </c>
      <c r="AQ568" s="125">
        <f t="shared" si="5"/>
        <v>3.8570898725984915</v>
      </c>
      <c r="AR568" s="125">
        <f t="shared" si="5"/>
        <v>3.9650883890312492</v>
      </c>
      <c r="AS568" s="125">
        <f t="shared" si="5"/>
        <v>4.0562854219789672</v>
      </c>
      <c r="AT568" s="125">
        <f t="shared" si="5"/>
        <v>4.0360039948690725</v>
      </c>
      <c r="AU568" s="125">
        <f t="shared" si="5"/>
        <v>4.0440760028588105</v>
      </c>
      <c r="AV568" s="125">
        <f t="shared" si="5"/>
        <v>4.0804726868845398</v>
      </c>
      <c r="AW568" s="125">
        <f t="shared" si="5"/>
        <v>4.1253578864402689</v>
      </c>
      <c r="AX568" s="125">
        <f t="shared" si="5"/>
        <v>4.2243664757148354</v>
      </c>
      <c r="AY568" s="125">
        <f t="shared" si="5"/>
        <v>4.4186873335977177</v>
      </c>
      <c r="AZ568" s="125">
        <f t="shared" si="5"/>
        <v>4.5733413902736375</v>
      </c>
      <c r="BA568" s="125">
        <f t="shared" si="5"/>
        <v>4.6648082180791102</v>
      </c>
      <c r="BB568" s="125">
        <f t="shared" si="5"/>
        <v>4.7860932317491676</v>
      </c>
      <c r="BC568" s="125">
        <f t="shared" si="5"/>
        <v>4.8578846302254046</v>
      </c>
      <c r="BD568" s="125">
        <f t="shared" si="6"/>
        <v>4.9501844381996865</v>
      </c>
      <c r="BE568" s="125">
        <f t="shared" si="6"/>
        <v>5.0788892335928786</v>
      </c>
      <c r="BF568" s="125">
        <f t="shared" si="6"/>
        <v>5.1652303505639567</v>
      </c>
      <c r="BG568" s="125">
        <f t="shared" si="6"/>
        <v>5.2995263396786196</v>
      </c>
      <c r="BH568" s="125">
        <f t="shared" si="6"/>
        <v>5.4320144981705845</v>
      </c>
      <c r="BI568" s="125">
        <f t="shared" si="6"/>
        <v>5.6873191795846019</v>
      </c>
      <c r="BJ568" s="125">
        <f t="shared" si="6"/>
        <v>5.875000712510893</v>
      </c>
      <c r="BK568" s="125">
        <f t="shared" si="6"/>
        <v>5.9983757274736211</v>
      </c>
      <c r="BL568" s="125">
        <f t="shared" si="6"/>
        <v>6.0643578604758304</v>
      </c>
      <c r="BM568" s="125">
        <f t="shared" si="6"/>
        <v>6.173516301964395</v>
      </c>
      <c r="BN568" s="125">
        <f t="shared" si="6"/>
        <v>6.2599455301918967</v>
      </c>
      <c r="BO568" s="125">
        <f t="shared" si="6"/>
        <v>6.3288049310240071</v>
      </c>
      <c r="BP568" s="125">
        <f t="shared" si="6"/>
        <v>6.5313266888167751</v>
      </c>
      <c r="BQ568" s="125">
        <f t="shared" si="6"/>
        <v>6.5509206688832249</v>
      </c>
      <c r="BR568" s="125">
        <f t="shared" si="6"/>
        <v>6.6491844789164727</v>
      </c>
      <c r="BS568" s="125">
        <f t="shared" si="6"/>
        <v>6.8220632753683015</v>
      </c>
      <c r="BT568" s="125">
        <f t="shared" si="7"/>
        <v>6.9789707307017714</v>
      </c>
      <c r="BU568" s="125">
        <f t="shared" si="7"/>
        <v>7.1743819111614213</v>
      </c>
      <c r="BV568" s="125">
        <f t="shared" si="7"/>
        <v>7.246125730273036</v>
      </c>
      <c r="BW568" s="125">
        <f t="shared" si="7"/>
        <v>7.3040947361152204</v>
      </c>
      <c r="BX568" s="125">
        <f t="shared" si="7"/>
        <v>7.3187029255874512</v>
      </c>
      <c r="BY568" s="125">
        <f t="shared" si="7"/>
        <v>7.4211647665456759</v>
      </c>
      <c r="BZ568" s="125">
        <f t="shared" si="7"/>
        <v>7.5102187437442245</v>
      </c>
      <c r="CA568" s="125">
        <f t="shared" si="7"/>
        <v>7.7054844310815742</v>
      </c>
      <c r="CB568" s="125">
        <f t="shared" si="7"/>
        <v>7.8287721819788798</v>
      </c>
      <c r="CC568" s="125">
        <f t="shared" si="7"/>
        <v>7.9696900812545</v>
      </c>
      <c r="CD568" s="125">
        <f t="shared" si="7"/>
        <v>8.4638108662922793</v>
      </c>
      <c r="CE568" s="125">
        <f t="shared" si="7"/>
        <v>9.1409157355956623</v>
      </c>
      <c r="CF568" s="125">
        <f t="shared" si="7"/>
        <v>9.3968613761923407</v>
      </c>
      <c r="CG568" s="125">
        <f t="shared" si="7"/>
        <v>9.5566080195876104</v>
      </c>
    </row>
    <row r="569" spans="1:85">
      <c r="A569" s="3"/>
      <c r="B569" s="123">
        <v>1959</v>
      </c>
      <c r="C569" s="123"/>
      <c r="D569" s="3"/>
      <c r="E569" s="126"/>
      <c r="F569" s="126"/>
      <c r="G569" s="126"/>
      <c r="H569" s="126"/>
      <c r="I569" s="126"/>
      <c r="J569" s="126"/>
      <c r="K569" s="126"/>
      <c r="L569" s="126"/>
      <c r="M569" s="126"/>
      <c r="N569" s="126"/>
      <c r="O569" s="126"/>
      <c r="P569" s="126"/>
      <c r="Q569" s="126"/>
      <c r="R569" s="124">
        <v>1</v>
      </c>
      <c r="S569" s="125">
        <f t="shared" si="3"/>
        <v>1.0254887404107893</v>
      </c>
      <c r="T569" s="125">
        <f t="shared" si="3"/>
        <v>1.0425637218510271</v>
      </c>
      <c r="U569" s="125">
        <f t="shared" si="3"/>
        <v>1.062608265280871</v>
      </c>
      <c r="V569" s="125">
        <f t="shared" si="3"/>
        <v>1.1031922791388271</v>
      </c>
      <c r="W569" s="125">
        <f t="shared" si="3"/>
        <v>1.1241529324424648</v>
      </c>
      <c r="X569" s="125">
        <f t="shared" si="4"/>
        <v>1.2185817787676321</v>
      </c>
      <c r="Y569" s="125">
        <f t="shared" si="4"/>
        <v>1.2709807952546401</v>
      </c>
      <c r="Z569" s="125">
        <f t="shared" si="4"/>
        <v>1.3446976813794094</v>
      </c>
      <c r="AA569" s="125">
        <f t="shared" si="4"/>
        <v>1.3971408909532061</v>
      </c>
      <c r="AB569" s="125">
        <f t="shared" si="4"/>
        <v>1.4432465403546619</v>
      </c>
      <c r="AC569" s="125">
        <f t="shared" si="4"/>
        <v>1.5428305516391336</v>
      </c>
      <c r="AD569" s="125">
        <f t="shared" si="4"/>
        <v>1.626143401427647</v>
      </c>
      <c r="AE569" s="125">
        <f t="shared" si="4"/>
        <v>1.7497302999361484</v>
      </c>
      <c r="AF569" s="125">
        <f t="shared" si="4"/>
        <v>1.8792103421314235</v>
      </c>
      <c r="AG569" s="125">
        <f t="shared" si="4"/>
        <v>2.0314263798440688</v>
      </c>
      <c r="AH569" s="125">
        <f t="shared" si="4"/>
        <v>2.2305061650687876</v>
      </c>
      <c r="AI569" s="125">
        <f t="shared" si="4"/>
        <v>2.4691703247311478</v>
      </c>
      <c r="AJ569" s="125">
        <f t="shared" si="4"/>
        <v>2.6741114616838328</v>
      </c>
      <c r="AK569" s="125">
        <f t="shared" si="4"/>
        <v>2.8559510410783338</v>
      </c>
      <c r="AL569" s="125">
        <f t="shared" si="4"/>
        <v>2.9759009848036237</v>
      </c>
      <c r="AM569" s="125">
        <f t="shared" si="4"/>
        <v>3.0889852222261616</v>
      </c>
      <c r="AN569" s="125">
        <f t="shared" si="5"/>
        <v>3.3083031730042189</v>
      </c>
      <c r="AO569" s="125">
        <f t="shared" si="5"/>
        <v>3.5200345760764891</v>
      </c>
      <c r="AP569" s="125">
        <f t="shared" si="5"/>
        <v>3.7277166160650017</v>
      </c>
      <c r="AQ569" s="125">
        <f t="shared" si="5"/>
        <v>3.8246372480826918</v>
      </c>
      <c r="AR569" s="125">
        <f t="shared" si="5"/>
        <v>3.9317270910290074</v>
      </c>
      <c r="AS569" s="125">
        <f t="shared" si="5"/>
        <v>4.022156814122674</v>
      </c>
      <c r="AT569" s="125">
        <f t="shared" si="5"/>
        <v>4.0020460300520604</v>
      </c>
      <c r="AU569" s="125">
        <f t="shared" si="5"/>
        <v>4.0100501221121645</v>
      </c>
      <c r="AV569" s="125">
        <f t="shared" si="5"/>
        <v>4.0461405732111739</v>
      </c>
      <c r="AW569" s="125">
        <f t="shared" si="5"/>
        <v>4.0906481195164961</v>
      </c>
      <c r="AX569" s="125">
        <f t="shared" si="5"/>
        <v>4.1888236743848921</v>
      </c>
      <c r="AY569" s="125">
        <f t="shared" si="5"/>
        <v>4.3815095634065973</v>
      </c>
      <c r="AZ569" s="125">
        <f t="shared" si="5"/>
        <v>4.5348623981258278</v>
      </c>
      <c r="BA569" s="125">
        <f t="shared" si="5"/>
        <v>4.6255596460883446</v>
      </c>
      <c r="BB569" s="125">
        <f t="shared" si="5"/>
        <v>4.7458241968866419</v>
      </c>
      <c r="BC569" s="125">
        <f t="shared" si="5"/>
        <v>4.8170115598399414</v>
      </c>
      <c r="BD569" s="125">
        <f t="shared" si="6"/>
        <v>4.9085347794769003</v>
      </c>
      <c r="BE569" s="125">
        <f t="shared" si="6"/>
        <v>5.0361566837432994</v>
      </c>
      <c r="BF569" s="125">
        <f t="shared" si="6"/>
        <v>5.1217713473669351</v>
      </c>
      <c r="BG569" s="125">
        <f t="shared" si="6"/>
        <v>5.2549374023984754</v>
      </c>
      <c r="BH569" s="125">
        <f t="shared" si="6"/>
        <v>5.3863108374584368</v>
      </c>
      <c r="BI569" s="125">
        <f t="shared" si="6"/>
        <v>5.6394674468189825</v>
      </c>
      <c r="BJ569" s="125">
        <f t="shared" si="6"/>
        <v>5.8255698725640084</v>
      </c>
      <c r="BK569" s="125">
        <f t="shared" si="6"/>
        <v>5.9479068398878523</v>
      </c>
      <c r="BL569" s="125">
        <f t="shared" si="6"/>
        <v>6.013333815126618</v>
      </c>
      <c r="BM569" s="125">
        <f t="shared" si="6"/>
        <v>6.1215738237988973</v>
      </c>
      <c r="BN569" s="125">
        <f t="shared" si="6"/>
        <v>6.2072758573320819</v>
      </c>
      <c r="BO569" s="125">
        <f t="shared" si="6"/>
        <v>6.2755558917627345</v>
      </c>
      <c r="BP569" s="125">
        <f t="shared" si="6"/>
        <v>6.4763736802991421</v>
      </c>
      <c r="BQ569" s="125">
        <f t="shared" si="6"/>
        <v>6.4958028013400391</v>
      </c>
      <c r="BR569" s="125">
        <f t="shared" si="6"/>
        <v>6.5932398433601387</v>
      </c>
      <c r="BS569" s="125">
        <f t="shared" si="6"/>
        <v>6.7646640792875026</v>
      </c>
      <c r="BT569" s="125">
        <f t="shared" si="7"/>
        <v>6.9202513531111149</v>
      </c>
      <c r="BU569" s="125">
        <f t="shared" si="7"/>
        <v>7.1140183909982264</v>
      </c>
      <c r="BV569" s="125">
        <f t="shared" si="7"/>
        <v>7.1851585749082085</v>
      </c>
      <c r="BW569" s="125">
        <f t="shared" si="7"/>
        <v>7.2426398435074741</v>
      </c>
      <c r="BX569" s="125">
        <f t="shared" si="7"/>
        <v>7.2571251231944887</v>
      </c>
      <c r="BY569" s="125">
        <f t="shared" si="7"/>
        <v>7.3587248749192113</v>
      </c>
      <c r="BZ569" s="125">
        <f t="shared" si="7"/>
        <v>7.4470295734182423</v>
      </c>
      <c r="CA569" s="125">
        <f t="shared" si="7"/>
        <v>7.6406523423271171</v>
      </c>
      <c r="CB569" s="125">
        <f t="shared" si="7"/>
        <v>7.7629027798043513</v>
      </c>
      <c r="CC569" s="125">
        <f t="shared" si="7"/>
        <v>7.9026350298408294</v>
      </c>
      <c r="CD569" s="125">
        <f t="shared" si="7"/>
        <v>8.3925984016909609</v>
      </c>
      <c r="CE569" s="125">
        <f t="shared" si="7"/>
        <v>9.064006273826239</v>
      </c>
      <c r="CF569" s="125">
        <f t="shared" si="7"/>
        <v>9.3177984494933739</v>
      </c>
      <c r="CG569" s="125">
        <f t="shared" si="7"/>
        <v>9.4762010231347595</v>
      </c>
    </row>
    <row r="570" spans="1:85">
      <c r="A570" s="3"/>
      <c r="B570" s="123">
        <v>1960</v>
      </c>
      <c r="C570" s="123"/>
      <c r="D570" s="3"/>
      <c r="E570" s="126"/>
      <c r="F570" s="126"/>
      <c r="G570" s="126"/>
      <c r="H570" s="126"/>
      <c r="I570" s="126"/>
      <c r="J570" s="126"/>
      <c r="K570" s="126"/>
      <c r="L570" s="126"/>
      <c r="M570" s="126"/>
      <c r="N570" s="126"/>
      <c r="O570" s="126"/>
      <c r="P570" s="126"/>
      <c r="Q570" s="126"/>
      <c r="R570" s="126"/>
      <c r="S570" s="124">
        <v>1</v>
      </c>
      <c r="T570" s="125">
        <f t="shared" si="3"/>
        <v>1.0166505791505793</v>
      </c>
      <c r="U570" s="125">
        <f t="shared" si="3"/>
        <v>1.0361969111969114</v>
      </c>
      <c r="V570" s="125">
        <f t="shared" si="3"/>
        <v>1.075772200772201</v>
      </c>
      <c r="W570" s="125">
        <f t="shared" si="3"/>
        <v>1.0962118725868728</v>
      </c>
      <c r="X570" s="125">
        <f t="shared" si="4"/>
        <v>1.1882936698841702</v>
      </c>
      <c r="Y570" s="125">
        <f t="shared" si="4"/>
        <v>1.2393902976891895</v>
      </c>
      <c r="Z570" s="125">
        <f t="shared" si="4"/>
        <v>1.3112749349551627</v>
      </c>
      <c r="AA570" s="125">
        <f t="shared" si="4"/>
        <v>1.3624146574184139</v>
      </c>
      <c r="AB570" s="125">
        <f t="shared" si="4"/>
        <v>1.4073743411132216</v>
      </c>
      <c r="AC570" s="125">
        <f t="shared" si="4"/>
        <v>1.5044831706500339</v>
      </c>
      <c r="AD570" s="125">
        <f t="shared" si="4"/>
        <v>1.5857252618651358</v>
      </c>
      <c r="AE570" s="125">
        <f t="shared" si="4"/>
        <v>1.7062403817668863</v>
      </c>
      <c r="AF570" s="125">
        <f t="shared" si="4"/>
        <v>1.832502170017636</v>
      </c>
      <c r="AG570" s="125">
        <f t="shared" si="4"/>
        <v>1.9809348457890645</v>
      </c>
      <c r="AH570" s="125">
        <f t="shared" si="4"/>
        <v>2.1750664606763932</v>
      </c>
      <c r="AI570" s="125">
        <f t="shared" si="4"/>
        <v>2.4077985719687671</v>
      </c>
      <c r="AJ570" s="125">
        <f t="shared" si="4"/>
        <v>2.6076458534421749</v>
      </c>
      <c r="AK570" s="125">
        <f t="shared" si="4"/>
        <v>2.784965771476243</v>
      </c>
      <c r="AL570" s="125">
        <f t="shared" si="4"/>
        <v>2.9019343338782453</v>
      </c>
      <c r="AM570" s="125">
        <f t="shared" si="4"/>
        <v>3.0122078385656188</v>
      </c>
      <c r="AN570" s="125">
        <f t="shared" si="5"/>
        <v>3.2260745951037775</v>
      </c>
      <c r="AO570" s="125">
        <f t="shared" si="5"/>
        <v>3.4325433691904195</v>
      </c>
      <c r="AP570" s="125">
        <f t="shared" si="5"/>
        <v>3.6350634279726539</v>
      </c>
      <c r="AQ570" s="125">
        <f t="shared" si="5"/>
        <v>3.729575077099943</v>
      </c>
      <c r="AR570" s="125">
        <f t="shared" si="5"/>
        <v>3.8340031792587412</v>
      </c>
      <c r="AS570" s="125">
        <f t="shared" si="5"/>
        <v>3.9221852523816918</v>
      </c>
      <c r="AT570" s="125">
        <f t="shared" si="5"/>
        <v>3.9025743261197832</v>
      </c>
      <c r="AU570" s="125">
        <f t="shared" si="5"/>
        <v>3.9103794747720229</v>
      </c>
      <c r="AV570" s="125">
        <f t="shared" si="5"/>
        <v>3.9455728900449705</v>
      </c>
      <c r="AW570" s="125">
        <f t="shared" si="5"/>
        <v>3.9889741918354646</v>
      </c>
      <c r="AX570" s="125">
        <f t="shared" si="5"/>
        <v>4.0847095724395155</v>
      </c>
      <c r="AY570" s="125">
        <f t="shared" si="5"/>
        <v>4.2726062127717332</v>
      </c>
      <c r="AZ570" s="125">
        <f t="shared" si="5"/>
        <v>4.422147430218744</v>
      </c>
      <c r="BA570" s="125">
        <f t="shared" si="5"/>
        <v>4.5105903788231192</v>
      </c>
      <c r="BB570" s="125">
        <f t="shared" si="5"/>
        <v>4.6278657286725204</v>
      </c>
      <c r="BC570" s="125">
        <f t="shared" si="5"/>
        <v>4.6972837146026079</v>
      </c>
      <c r="BD570" s="125">
        <f t="shared" si="6"/>
        <v>4.7865321051800569</v>
      </c>
      <c r="BE570" s="125">
        <f t="shared" si="6"/>
        <v>4.9109819399147385</v>
      </c>
      <c r="BF570" s="125">
        <f t="shared" si="6"/>
        <v>4.9944686328932884</v>
      </c>
      <c r="BG570" s="125">
        <f t="shared" si="6"/>
        <v>5.1243248173485139</v>
      </c>
      <c r="BH570" s="125">
        <f t="shared" si="6"/>
        <v>5.2524329377822259</v>
      </c>
      <c r="BI570" s="125">
        <f t="shared" si="6"/>
        <v>5.49929728585799</v>
      </c>
      <c r="BJ570" s="125">
        <f t="shared" si="6"/>
        <v>5.6807740962913034</v>
      </c>
      <c r="BK570" s="125">
        <f t="shared" si="6"/>
        <v>5.8000703523134201</v>
      </c>
      <c r="BL570" s="125">
        <f t="shared" si="6"/>
        <v>5.863871126188867</v>
      </c>
      <c r="BM570" s="125">
        <f t="shared" si="6"/>
        <v>5.969420806460267</v>
      </c>
      <c r="BN570" s="125">
        <f t="shared" si="6"/>
        <v>6.0529926977507111</v>
      </c>
      <c r="BO570" s="125">
        <f t="shared" si="6"/>
        <v>6.1195756174259683</v>
      </c>
      <c r="BP570" s="125">
        <f t="shared" si="6"/>
        <v>6.3154020371835999</v>
      </c>
      <c r="BQ570" s="125">
        <f t="shared" si="6"/>
        <v>6.3343482432951497</v>
      </c>
      <c r="BR570" s="125">
        <f t="shared" si="6"/>
        <v>6.4293634669445767</v>
      </c>
      <c r="BS570" s="125">
        <f t="shared" si="6"/>
        <v>6.5965269170851357</v>
      </c>
      <c r="BT570" s="125">
        <f t="shared" si="7"/>
        <v>6.7482470361780935</v>
      </c>
      <c r="BU570" s="125">
        <f t="shared" si="7"/>
        <v>6.9371979531910801</v>
      </c>
      <c r="BV570" s="125">
        <f t="shared" si="7"/>
        <v>7.0065699327229911</v>
      </c>
      <c r="BW570" s="125">
        <f t="shared" si="7"/>
        <v>7.0626224921847749</v>
      </c>
      <c r="BX570" s="125">
        <f t="shared" si="7"/>
        <v>7.0767477371691445</v>
      </c>
      <c r="BY570" s="125">
        <f t="shared" si="7"/>
        <v>7.1758222054895127</v>
      </c>
      <c r="BZ570" s="125">
        <f t="shared" si="7"/>
        <v>7.2619320719553873</v>
      </c>
      <c r="CA570" s="125">
        <f t="shared" si="7"/>
        <v>7.4507423058262274</v>
      </c>
      <c r="CB570" s="125">
        <f t="shared" si="7"/>
        <v>7.5699541827194468</v>
      </c>
      <c r="CC570" s="125">
        <f t="shared" si="7"/>
        <v>7.7062133580083971</v>
      </c>
      <c r="CD570" s="125">
        <f t="shared" si="7"/>
        <v>8.1839985862049183</v>
      </c>
      <c r="CE570" s="125">
        <f t="shared" si="7"/>
        <v>8.8387184731013129</v>
      </c>
      <c r="CF570" s="125">
        <f t="shared" si="7"/>
        <v>9.0862025903481491</v>
      </c>
      <c r="CG570" s="125">
        <f t="shared" si="7"/>
        <v>9.2406680343840666</v>
      </c>
    </row>
    <row r="571" spans="1:85">
      <c r="A571" s="3"/>
      <c r="B571" s="123">
        <v>1961</v>
      </c>
      <c r="C571" s="123"/>
      <c r="D571" s="3"/>
      <c r="E571" s="126"/>
      <c r="F571" s="126"/>
      <c r="G571" s="126"/>
      <c r="H571" s="126"/>
      <c r="I571" s="126"/>
      <c r="J571" s="126"/>
      <c r="K571" s="126"/>
      <c r="L571" s="126"/>
      <c r="M571" s="126"/>
      <c r="N571" s="126"/>
      <c r="O571" s="126"/>
      <c r="P571" s="126"/>
      <c r="Q571" s="126"/>
      <c r="R571" s="126"/>
      <c r="S571" s="126"/>
      <c r="T571" s="124">
        <v>1</v>
      </c>
      <c r="U571" s="125">
        <f t="shared" si="3"/>
        <v>1.0192262046047946</v>
      </c>
      <c r="V571" s="125">
        <f t="shared" si="3"/>
        <v>1.058153334915737</v>
      </c>
      <c r="W571" s="125">
        <f t="shared" si="3"/>
        <v>1.0782582482791359</v>
      </c>
      <c r="X571" s="125">
        <f t="shared" si="4"/>
        <v>1.1688319411345833</v>
      </c>
      <c r="Y571" s="125">
        <f t="shared" si="4"/>
        <v>1.2190917146033704</v>
      </c>
      <c r="Z571" s="125">
        <f t="shared" si="4"/>
        <v>1.289799034050366</v>
      </c>
      <c r="AA571" s="125">
        <f t="shared" si="4"/>
        <v>1.3401011963783303</v>
      </c>
      <c r="AB571" s="125">
        <f t="shared" si="4"/>
        <v>1.384324535858815</v>
      </c>
      <c r="AC571" s="125">
        <f t="shared" si="4"/>
        <v>1.4798429288330732</v>
      </c>
      <c r="AD571" s="125">
        <f t="shared" si="4"/>
        <v>1.5597544469900593</v>
      </c>
      <c r="AE571" s="125">
        <f t="shared" si="4"/>
        <v>1.6782957849613038</v>
      </c>
      <c r="AF571" s="125">
        <f t="shared" si="4"/>
        <v>1.8024896730484403</v>
      </c>
      <c r="AG571" s="125">
        <f t="shared" si="4"/>
        <v>1.948491336565364</v>
      </c>
      <c r="AH571" s="125">
        <f t="shared" si="4"/>
        <v>2.1394434875487698</v>
      </c>
      <c r="AI571" s="125">
        <f t="shared" si="4"/>
        <v>2.3683639407164883</v>
      </c>
      <c r="AJ571" s="125">
        <f t="shared" si="4"/>
        <v>2.5649381477959565</v>
      </c>
      <c r="AK571" s="125">
        <f t="shared" si="4"/>
        <v>2.7393539418460819</v>
      </c>
      <c r="AL571" s="125">
        <f t="shared" si="4"/>
        <v>2.8544068074036173</v>
      </c>
      <c r="AM571" s="125">
        <f t="shared" si="4"/>
        <v>2.9628742660849547</v>
      </c>
      <c r="AN571" s="125">
        <f t="shared" si="5"/>
        <v>3.1732383389769865</v>
      </c>
      <c r="AO571" s="125">
        <f t="shared" si="5"/>
        <v>3.3763255926715137</v>
      </c>
      <c r="AP571" s="125">
        <f t="shared" si="5"/>
        <v>3.5755288026391328</v>
      </c>
      <c r="AQ571" s="125">
        <f t="shared" si="5"/>
        <v>3.6684925515077502</v>
      </c>
      <c r="AR571" s="125">
        <f t="shared" si="5"/>
        <v>3.7712103429499675</v>
      </c>
      <c r="AS571" s="125">
        <f t="shared" si="5"/>
        <v>3.8579481808378162</v>
      </c>
      <c r="AT571" s="125">
        <f t="shared" si="5"/>
        <v>3.838658439933627</v>
      </c>
      <c r="AU571" s="125">
        <f t="shared" si="5"/>
        <v>3.8463357568134944</v>
      </c>
      <c r="AV571" s="125">
        <f t="shared" si="5"/>
        <v>3.8809527786248155</v>
      </c>
      <c r="AW571" s="125">
        <f t="shared" si="5"/>
        <v>3.9236432591896881</v>
      </c>
      <c r="AX571" s="125">
        <f t="shared" si="5"/>
        <v>4.0178106974102406</v>
      </c>
      <c r="AY571" s="125">
        <f t="shared" si="5"/>
        <v>4.2026299894911121</v>
      </c>
      <c r="AZ571" s="125">
        <f t="shared" si="5"/>
        <v>4.3497220391233009</v>
      </c>
      <c r="BA571" s="125">
        <f t="shared" si="5"/>
        <v>4.4367164799057672</v>
      </c>
      <c r="BB571" s="125">
        <f t="shared" si="5"/>
        <v>4.5520711083833172</v>
      </c>
      <c r="BC571" s="125">
        <f t="shared" ref="BC571:BQ571" si="8">BB571*BC$553</f>
        <v>4.6203521750090664</v>
      </c>
      <c r="BD571" s="125">
        <f t="shared" si="8"/>
        <v>4.7081388663342381</v>
      </c>
      <c r="BE571" s="125">
        <f t="shared" si="8"/>
        <v>4.830550476858928</v>
      </c>
      <c r="BF571" s="125">
        <f t="shared" si="8"/>
        <v>4.9126698349655289</v>
      </c>
      <c r="BG571" s="125">
        <f t="shared" si="8"/>
        <v>5.0403992506746329</v>
      </c>
      <c r="BH571" s="125">
        <f t="shared" si="8"/>
        <v>5.1664092319414987</v>
      </c>
      <c r="BI571" s="125">
        <f t="shared" si="8"/>
        <v>5.4092304658427484</v>
      </c>
      <c r="BJ571" s="125">
        <f t="shared" si="8"/>
        <v>5.5877350712155582</v>
      </c>
      <c r="BK571" s="125">
        <f t="shared" si="8"/>
        <v>5.705077507711084</v>
      </c>
      <c r="BL571" s="125">
        <f t="shared" si="8"/>
        <v>5.7678333602959055</v>
      </c>
      <c r="BM571" s="125">
        <f t="shared" si="8"/>
        <v>5.8716543607812319</v>
      </c>
      <c r="BN571" s="125">
        <f t="shared" si="8"/>
        <v>5.9538575218321697</v>
      </c>
      <c r="BO571" s="125">
        <f t="shared" si="8"/>
        <v>6.0193499545723226</v>
      </c>
      <c r="BP571" s="125">
        <f t="shared" si="8"/>
        <v>6.2119691531186367</v>
      </c>
      <c r="BQ571" s="125">
        <f t="shared" si="8"/>
        <v>6.2306050605779921</v>
      </c>
      <c r="BR571" s="125">
        <f t="shared" si="6"/>
        <v>6.324064136486661</v>
      </c>
      <c r="BS571" s="125">
        <f t="shared" si="6"/>
        <v>6.4884898040353143</v>
      </c>
      <c r="BT571" s="125">
        <f t="shared" si="7"/>
        <v>6.637725069528126</v>
      </c>
      <c r="BU571" s="125">
        <f t="shared" si="7"/>
        <v>6.8235813714749138</v>
      </c>
      <c r="BV571" s="125">
        <f t="shared" si="7"/>
        <v>6.8918171851896632</v>
      </c>
      <c r="BW571" s="125">
        <f t="shared" si="7"/>
        <v>6.946951722671181</v>
      </c>
      <c r="BX571" s="125">
        <f t="shared" si="7"/>
        <v>6.960845626116523</v>
      </c>
      <c r="BY571" s="125">
        <f t="shared" si="7"/>
        <v>7.0582974648821546</v>
      </c>
      <c r="BZ571" s="125">
        <f t="shared" si="7"/>
        <v>7.1429970344607403</v>
      </c>
      <c r="CA571" s="125">
        <f t="shared" si="7"/>
        <v>7.3287149573567199</v>
      </c>
      <c r="CB571" s="125">
        <f t="shared" si="7"/>
        <v>7.4459743966744272</v>
      </c>
      <c r="CC571" s="125">
        <f t="shared" si="7"/>
        <v>7.5800019358145674</v>
      </c>
      <c r="CD571" s="125">
        <f t="shared" si="7"/>
        <v>8.0499620558350706</v>
      </c>
      <c r="CE571" s="125">
        <f t="shared" si="7"/>
        <v>8.6939590203018771</v>
      </c>
      <c r="CF571" s="125">
        <f t="shared" si="7"/>
        <v>8.9373898728703303</v>
      </c>
      <c r="CG571" s="125">
        <f t="shared" si="7"/>
        <v>9.0893255007091245</v>
      </c>
    </row>
    <row r="572" spans="1:85">
      <c r="A572" s="3"/>
      <c r="B572" s="123">
        <v>1962</v>
      </c>
      <c r="C572" s="123"/>
      <c r="D572" s="3"/>
      <c r="E572" s="126"/>
      <c r="F572" s="126"/>
      <c r="G572" s="126"/>
      <c r="H572" s="126"/>
      <c r="I572" s="126"/>
      <c r="J572" s="126"/>
      <c r="K572" s="126"/>
      <c r="L572" s="126"/>
      <c r="M572" s="126"/>
      <c r="N572" s="126"/>
      <c r="O572" s="126"/>
      <c r="P572" s="126"/>
      <c r="Q572" s="126"/>
      <c r="R572" s="126"/>
      <c r="S572" s="126"/>
      <c r="T572" s="126"/>
      <c r="U572" s="124">
        <v>1</v>
      </c>
      <c r="V572" s="125">
        <f t="shared" ref="V572:AK587" si="9">U572*V$553</f>
        <v>1.0381928272007452</v>
      </c>
      <c r="W572" s="125">
        <f t="shared" si="9"/>
        <v>1.0579184909175594</v>
      </c>
      <c r="X572" s="125">
        <f t="shared" si="9"/>
        <v>1.1467836441546344</v>
      </c>
      <c r="Y572" s="125">
        <f t="shared" si="9"/>
        <v>1.1960953408532835</v>
      </c>
      <c r="Z572" s="125">
        <f t="shared" si="9"/>
        <v>1.2654688706227739</v>
      </c>
      <c r="AA572" s="125">
        <f t="shared" si="9"/>
        <v>1.3148221565770619</v>
      </c>
      <c r="AB572" s="125">
        <f t="shared" si="9"/>
        <v>1.3582112877441048</v>
      </c>
      <c r="AC572" s="125">
        <f t="shared" si="9"/>
        <v>1.4519278665984481</v>
      </c>
      <c r="AD572" s="125">
        <f t="shared" si="9"/>
        <v>1.5303319713947643</v>
      </c>
      <c r="AE572" s="125">
        <f t="shared" si="9"/>
        <v>1.6466372012207664</v>
      </c>
      <c r="AF572" s="125">
        <f t="shared" si="9"/>
        <v>1.7684883541111032</v>
      </c>
      <c r="AG572" s="125">
        <f t="shared" si="9"/>
        <v>1.9117359107941025</v>
      </c>
      <c r="AH572" s="125">
        <f t="shared" si="9"/>
        <v>2.0990860300519247</v>
      </c>
      <c r="AI572" s="125">
        <f t="shared" si="9"/>
        <v>2.3236882352674808</v>
      </c>
      <c r="AJ572" s="125">
        <f t="shared" si="9"/>
        <v>2.5165543587946817</v>
      </c>
      <c r="AK572" s="125">
        <f t="shared" si="9"/>
        <v>2.68768005519272</v>
      </c>
      <c r="AL572" s="125">
        <f t="shared" ref="AL572:BA587" si="10">AK572*AL$553</f>
        <v>2.8005626175108143</v>
      </c>
      <c r="AM572" s="125">
        <f t="shared" si="10"/>
        <v>2.9069839969762254</v>
      </c>
      <c r="AN572" s="125">
        <f t="shared" si="10"/>
        <v>3.1133798607615373</v>
      </c>
      <c r="AO572" s="125">
        <f t="shared" si="10"/>
        <v>3.3126361718502757</v>
      </c>
      <c r="AP572" s="125">
        <f t="shared" si="10"/>
        <v>3.5080817059894418</v>
      </c>
      <c r="AQ572" s="125">
        <f t="shared" si="10"/>
        <v>3.5992918303451673</v>
      </c>
      <c r="AR572" s="125">
        <f t="shared" si="10"/>
        <v>3.7000720015948323</v>
      </c>
      <c r="AS572" s="125">
        <f t="shared" si="10"/>
        <v>3.7851736576315131</v>
      </c>
      <c r="AT572" s="125">
        <f t="shared" si="10"/>
        <v>3.7662477893433555</v>
      </c>
      <c r="AU572" s="125">
        <f t="shared" si="10"/>
        <v>3.7737802849220423</v>
      </c>
      <c r="AV572" s="125">
        <f t="shared" si="10"/>
        <v>3.8077443074863404</v>
      </c>
      <c r="AW572" s="125">
        <f t="shared" si="10"/>
        <v>3.8496294948686898</v>
      </c>
      <c r="AX572" s="125">
        <f t="shared" si="10"/>
        <v>3.9420206027455382</v>
      </c>
      <c r="AY572" s="125">
        <f t="shared" si="10"/>
        <v>4.1233535504718333</v>
      </c>
      <c r="AZ572" s="125">
        <f t="shared" si="10"/>
        <v>4.2676709247383471</v>
      </c>
      <c r="BA572" s="125">
        <f t="shared" si="10"/>
        <v>4.3530243432331144</v>
      </c>
      <c r="BB572" s="125">
        <f t="shared" ref="BB572:BQ587" si="11">BA572*BB$553</f>
        <v>4.4662029761571755</v>
      </c>
      <c r="BC572" s="125">
        <f t="shared" si="11"/>
        <v>4.533196020799533</v>
      </c>
      <c r="BD572" s="125">
        <f t="shared" si="11"/>
        <v>4.6193267451947237</v>
      </c>
      <c r="BE572" s="125">
        <f t="shared" si="11"/>
        <v>4.7394292405697866</v>
      </c>
      <c r="BF572" s="125">
        <f t="shared" si="11"/>
        <v>4.8199995376594726</v>
      </c>
      <c r="BG572" s="125">
        <f t="shared" si="11"/>
        <v>4.9453195256386193</v>
      </c>
      <c r="BH572" s="125">
        <f t="shared" si="11"/>
        <v>5.0689525137795846</v>
      </c>
      <c r="BI572" s="125">
        <f t="shared" si="11"/>
        <v>5.3071932819272245</v>
      </c>
      <c r="BJ572" s="125">
        <f t="shared" si="11"/>
        <v>5.4823306602308222</v>
      </c>
      <c r="BK572" s="125">
        <f t="shared" si="11"/>
        <v>5.5974596040956692</v>
      </c>
      <c r="BL572" s="125">
        <f t="shared" si="11"/>
        <v>5.6590316597407213</v>
      </c>
      <c r="BM572" s="125">
        <f t="shared" si="11"/>
        <v>5.7608942296160546</v>
      </c>
      <c r="BN572" s="125">
        <f t="shared" si="11"/>
        <v>5.8415467488306794</v>
      </c>
      <c r="BO572" s="125">
        <f t="shared" si="11"/>
        <v>5.9058037630678166</v>
      </c>
      <c r="BP572" s="125">
        <f t="shared" si="11"/>
        <v>6.0947894834859868</v>
      </c>
      <c r="BQ572" s="125">
        <f t="shared" si="11"/>
        <v>6.113073851936444</v>
      </c>
      <c r="BR572" s="125">
        <f t="shared" ref="BR572:CG587" si="12">BQ572*BR$553</f>
        <v>6.2047699597154899</v>
      </c>
      <c r="BS572" s="125">
        <f t="shared" si="12"/>
        <v>6.3660939786680926</v>
      </c>
      <c r="BT572" s="125">
        <f t="shared" si="12"/>
        <v>6.5125141401774584</v>
      </c>
      <c r="BU572" s="125">
        <f t="shared" si="12"/>
        <v>6.6948645361024273</v>
      </c>
      <c r="BV572" s="125">
        <f t="shared" si="12"/>
        <v>6.7618131814634514</v>
      </c>
      <c r="BW572" s="125">
        <f t="shared" si="12"/>
        <v>6.8159076869151587</v>
      </c>
      <c r="BX572" s="125">
        <f t="shared" si="12"/>
        <v>6.8295395022889887</v>
      </c>
      <c r="BY572" s="125">
        <f t="shared" si="12"/>
        <v>6.9251530553210348</v>
      </c>
      <c r="BZ572" s="125">
        <f t="shared" si="12"/>
        <v>7.0082548919848868</v>
      </c>
      <c r="CA572" s="125">
        <f t="shared" si="12"/>
        <v>7.190469519176494</v>
      </c>
      <c r="CB572" s="125">
        <f t="shared" si="12"/>
        <v>7.3055170314833182</v>
      </c>
      <c r="CC572" s="125">
        <f t="shared" si="12"/>
        <v>7.437016338050018</v>
      </c>
      <c r="CD572" s="125">
        <f t="shared" si="12"/>
        <v>7.8981113510091197</v>
      </c>
      <c r="CE572" s="125">
        <f t="shared" si="12"/>
        <v>8.5299602590898491</v>
      </c>
      <c r="CF572" s="125">
        <f t="shared" si="12"/>
        <v>8.7687991463443655</v>
      </c>
      <c r="CG572" s="125">
        <f t="shared" si="12"/>
        <v>8.9178687318322183</v>
      </c>
    </row>
    <row r="573" spans="1:85">
      <c r="A573" s="3"/>
      <c r="B573" s="123">
        <v>1963</v>
      </c>
      <c r="C573" s="123"/>
      <c r="D573" s="3"/>
      <c r="E573" s="126"/>
      <c r="F573" s="126"/>
      <c r="G573" s="126"/>
      <c r="H573" s="126"/>
      <c r="I573" s="126"/>
      <c r="J573" s="126"/>
      <c r="K573" s="126"/>
      <c r="L573" s="126"/>
      <c r="M573" s="126"/>
      <c r="N573" s="126"/>
      <c r="O573" s="126"/>
      <c r="P573" s="126"/>
      <c r="Q573" s="126"/>
      <c r="R573" s="126"/>
      <c r="S573" s="126"/>
      <c r="T573" s="126"/>
      <c r="U573" s="126"/>
      <c r="V573" s="124">
        <v>1</v>
      </c>
      <c r="W573" s="125">
        <f t="shared" si="9"/>
        <v>1.0189999999999999</v>
      </c>
      <c r="X573" s="125">
        <f t="shared" si="9"/>
        <v>1.1045959999999999</v>
      </c>
      <c r="Y573" s="125">
        <f t="shared" si="9"/>
        <v>1.1520936279999998</v>
      </c>
      <c r="Z573" s="125">
        <f t="shared" si="9"/>
        <v>1.2189150584239998</v>
      </c>
      <c r="AA573" s="125">
        <f t="shared" si="9"/>
        <v>1.2664527457025356</v>
      </c>
      <c r="AB573" s="125">
        <f t="shared" si="9"/>
        <v>1.3082456863107192</v>
      </c>
      <c r="AC573" s="125">
        <f t="shared" si="9"/>
        <v>1.3985146386661589</v>
      </c>
      <c r="AD573" s="125">
        <f t="shared" si="9"/>
        <v>1.4740344291541316</v>
      </c>
      <c r="AE573" s="125">
        <f t="shared" si="9"/>
        <v>1.5860610457698456</v>
      </c>
      <c r="AF573" s="125">
        <f t="shared" si="9"/>
        <v>1.7034295631568144</v>
      </c>
      <c r="AG573" s="125">
        <f t="shared" si="9"/>
        <v>1.8414073577725163</v>
      </c>
      <c r="AH573" s="125">
        <f t="shared" si="9"/>
        <v>2.0218652788342228</v>
      </c>
      <c r="AI573" s="125">
        <f t="shared" si="9"/>
        <v>2.2382048636694845</v>
      </c>
      <c r="AJ573" s="125">
        <f t="shared" si="9"/>
        <v>2.4239758673540517</v>
      </c>
      <c r="AK573" s="125">
        <f t="shared" si="9"/>
        <v>2.5888062263341274</v>
      </c>
      <c r="AL573" s="125">
        <f t="shared" si="10"/>
        <v>2.6975360878401609</v>
      </c>
      <c r="AM573" s="125">
        <f t="shared" si="10"/>
        <v>2.800042459178087</v>
      </c>
      <c r="AN573" s="125">
        <f t="shared" si="10"/>
        <v>2.9988454737797312</v>
      </c>
      <c r="AO573" s="125">
        <f t="shared" si="10"/>
        <v>3.190771584101634</v>
      </c>
      <c r="AP573" s="125">
        <f t="shared" si="10"/>
        <v>3.3790271075636302</v>
      </c>
      <c r="AQ573" s="125">
        <f t="shared" si="10"/>
        <v>3.4668818123602847</v>
      </c>
      <c r="AR573" s="125">
        <f t="shared" si="10"/>
        <v>3.5639545031063729</v>
      </c>
      <c r="AS573" s="125">
        <f t="shared" si="10"/>
        <v>3.6459254566778192</v>
      </c>
      <c r="AT573" s="125">
        <f t="shared" si="10"/>
        <v>3.6276958293944301</v>
      </c>
      <c r="AU573" s="125">
        <f t="shared" si="10"/>
        <v>3.6349512210532189</v>
      </c>
      <c r="AV573" s="125">
        <f t="shared" si="10"/>
        <v>3.6676657820426977</v>
      </c>
      <c r="AW573" s="125">
        <f t="shared" si="10"/>
        <v>3.7080101056451671</v>
      </c>
      <c r="AX573" s="125">
        <f t="shared" si="10"/>
        <v>3.797002348180651</v>
      </c>
      <c r="AY573" s="125">
        <f t="shared" si="10"/>
        <v>3.9716644561969612</v>
      </c>
      <c r="AZ573" s="125">
        <f t="shared" si="10"/>
        <v>4.1106727121638542</v>
      </c>
      <c r="BA573" s="125">
        <f t="shared" si="10"/>
        <v>4.1928861664071313</v>
      </c>
      <c r="BB573" s="125">
        <f t="shared" si="11"/>
        <v>4.3019012067337172</v>
      </c>
      <c r="BC573" s="125">
        <f t="shared" si="11"/>
        <v>4.3664297248347221</v>
      </c>
      <c r="BD573" s="125">
        <f t="shared" si="11"/>
        <v>4.4493918896065816</v>
      </c>
      <c r="BE573" s="125">
        <f t="shared" si="11"/>
        <v>4.5650760787363529</v>
      </c>
      <c r="BF573" s="125">
        <f t="shared" si="11"/>
        <v>4.6426823720748702</v>
      </c>
      <c r="BG573" s="125">
        <f t="shared" si="11"/>
        <v>4.7633921137488171</v>
      </c>
      <c r="BH573" s="125">
        <f t="shared" si="11"/>
        <v>4.8824769165925375</v>
      </c>
      <c r="BI573" s="125">
        <f t="shared" si="11"/>
        <v>5.1119533316723862</v>
      </c>
      <c r="BJ573" s="125">
        <f t="shared" si="11"/>
        <v>5.2806477916175742</v>
      </c>
      <c r="BK573" s="125">
        <f t="shared" si="11"/>
        <v>5.3915413952415427</v>
      </c>
      <c r="BL573" s="125">
        <f t="shared" si="11"/>
        <v>5.4508483505891991</v>
      </c>
      <c r="BM573" s="125">
        <f t="shared" si="11"/>
        <v>5.548963620899805</v>
      </c>
      <c r="BN573" s="125">
        <f t="shared" si="11"/>
        <v>5.6266491115924024</v>
      </c>
      <c r="BO573" s="125">
        <f t="shared" si="11"/>
        <v>5.6885422518199187</v>
      </c>
      <c r="BP573" s="125">
        <f t="shared" si="11"/>
        <v>5.870575603878156</v>
      </c>
      <c r="BQ573" s="125">
        <f t="shared" si="11"/>
        <v>5.8881873306897896</v>
      </c>
      <c r="BR573" s="125">
        <f t="shared" si="12"/>
        <v>5.9765101406501362</v>
      </c>
      <c r="BS573" s="125">
        <f t="shared" si="12"/>
        <v>6.1318994043070401</v>
      </c>
      <c r="BT573" s="125">
        <f t="shared" si="12"/>
        <v>6.2729330906061014</v>
      </c>
      <c r="BU573" s="125">
        <f t="shared" si="12"/>
        <v>6.4485752171430724</v>
      </c>
      <c r="BV573" s="125">
        <f t="shared" si="12"/>
        <v>6.5130609693145027</v>
      </c>
      <c r="BW573" s="125">
        <f t="shared" si="12"/>
        <v>6.5651654570690186</v>
      </c>
      <c r="BX573" s="125">
        <f t="shared" si="12"/>
        <v>6.5782957879831567</v>
      </c>
      <c r="BY573" s="125">
        <f t="shared" si="12"/>
        <v>6.6703919290149214</v>
      </c>
      <c r="BZ573" s="125">
        <f t="shared" si="12"/>
        <v>6.7504366321631002</v>
      </c>
      <c r="CA573" s="125">
        <f t="shared" si="12"/>
        <v>6.9259479845993406</v>
      </c>
      <c r="CB573" s="125">
        <f t="shared" si="12"/>
        <v>7.0367631523529299</v>
      </c>
      <c r="CC573" s="125">
        <f t="shared" si="12"/>
        <v>7.1634248890952827</v>
      </c>
      <c r="CD573" s="125">
        <f t="shared" si="12"/>
        <v>7.6075572322191904</v>
      </c>
      <c r="CE573" s="125">
        <f t="shared" si="12"/>
        <v>8.2161618107967254</v>
      </c>
      <c r="CF573" s="125">
        <f t="shared" si="12"/>
        <v>8.4462143414990347</v>
      </c>
      <c r="CG573" s="125">
        <f t="shared" si="12"/>
        <v>8.5897999853045182</v>
      </c>
    </row>
    <row r="574" spans="1:85">
      <c r="A574" s="3"/>
      <c r="B574" s="123">
        <v>1964</v>
      </c>
      <c r="C574" s="123"/>
      <c r="D574" s="3"/>
      <c r="E574" s="126"/>
      <c r="F574" s="126"/>
      <c r="G574" s="126"/>
      <c r="H574" s="126"/>
      <c r="I574" s="126"/>
      <c r="J574" s="126"/>
      <c r="K574" s="126"/>
      <c r="L574" s="126"/>
      <c r="M574" s="126"/>
      <c r="N574" s="126"/>
      <c r="O574" s="126"/>
      <c r="P574" s="126"/>
      <c r="Q574" s="126"/>
      <c r="R574" s="126"/>
      <c r="S574" s="126"/>
      <c r="T574" s="126"/>
      <c r="U574" s="126"/>
      <c r="V574" s="126"/>
      <c r="W574" s="124">
        <v>1</v>
      </c>
      <c r="X574" s="125">
        <f t="shared" si="9"/>
        <v>1.0840000000000001</v>
      </c>
      <c r="Y574" s="125">
        <f t="shared" si="9"/>
        <v>1.130612</v>
      </c>
      <c r="Z574" s="125">
        <f t="shared" si="9"/>
        <v>1.1961874960000001</v>
      </c>
      <c r="AA574" s="125">
        <f t="shared" si="9"/>
        <v>1.2428388083440001</v>
      </c>
      <c r="AB574" s="125">
        <f t="shared" si="9"/>
        <v>1.2838524890193519</v>
      </c>
      <c r="AC574" s="125">
        <f t="shared" si="9"/>
        <v>1.3724383107616871</v>
      </c>
      <c r="AD574" s="125">
        <f t="shared" si="9"/>
        <v>1.4465499795428183</v>
      </c>
      <c r="AE574" s="125">
        <f t="shared" si="9"/>
        <v>1.5564877779880726</v>
      </c>
      <c r="AF574" s="125">
        <f t="shared" si="9"/>
        <v>1.6716678735591901</v>
      </c>
      <c r="AG574" s="125">
        <f t="shared" si="9"/>
        <v>1.8070729713174845</v>
      </c>
      <c r="AH574" s="125">
        <f t="shared" si="9"/>
        <v>1.9841661225065981</v>
      </c>
      <c r="AI574" s="125">
        <f t="shared" si="9"/>
        <v>2.1964718976148041</v>
      </c>
      <c r="AJ574" s="125">
        <f t="shared" si="9"/>
        <v>2.3787790651168326</v>
      </c>
      <c r="AK574" s="125">
        <f t="shared" si="9"/>
        <v>2.5405360415447773</v>
      </c>
      <c r="AL574" s="125">
        <f t="shared" si="10"/>
        <v>2.647238555289658</v>
      </c>
      <c r="AM574" s="125">
        <f t="shared" si="10"/>
        <v>2.747833620390665</v>
      </c>
      <c r="AN574" s="125">
        <f t="shared" si="10"/>
        <v>2.9429298074384023</v>
      </c>
      <c r="AO574" s="125">
        <f t="shared" si="10"/>
        <v>3.1312773151144602</v>
      </c>
      <c r="AP574" s="125">
        <f t="shared" si="10"/>
        <v>3.3160226767062131</v>
      </c>
      <c r="AQ574" s="125">
        <f t="shared" si="10"/>
        <v>3.4022392663005747</v>
      </c>
      <c r="AR574" s="125">
        <f t="shared" si="10"/>
        <v>3.497501965756991</v>
      </c>
      <c r="AS574" s="125">
        <f t="shared" si="10"/>
        <v>3.5779445109694015</v>
      </c>
      <c r="AT574" s="125">
        <f t="shared" si="10"/>
        <v>3.5600547884145546</v>
      </c>
      <c r="AU574" s="125">
        <f t="shared" si="10"/>
        <v>3.5671748979913835</v>
      </c>
      <c r="AV574" s="125">
        <f t="shared" si="10"/>
        <v>3.5992794720733055</v>
      </c>
      <c r="AW574" s="125">
        <f t="shared" si="10"/>
        <v>3.6388715462661114</v>
      </c>
      <c r="AX574" s="125">
        <f t="shared" si="10"/>
        <v>3.7262044633764981</v>
      </c>
      <c r="AY574" s="125">
        <f t="shared" si="10"/>
        <v>3.8976098686918172</v>
      </c>
      <c r="AZ574" s="125">
        <f t="shared" si="10"/>
        <v>4.0340262140960306</v>
      </c>
      <c r="BA574" s="125">
        <f t="shared" si="10"/>
        <v>4.1147067383779516</v>
      </c>
      <c r="BB574" s="125">
        <f t="shared" si="11"/>
        <v>4.2216891135757786</v>
      </c>
      <c r="BC574" s="125">
        <f t="shared" si="11"/>
        <v>4.285014450279415</v>
      </c>
      <c r="BD574" s="125">
        <f t="shared" si="11"/>
        <v>4.366429724834723</v>
      </c>
      <c r="BE574" s="125">
        <f t="shared" si="11"/>
        <v>4.4799568976804256</v>
      </c>
      <c r="BF574" s="125">
        <f t="shared" si="11"/>
        <v>4.5561161649409927</v>
      </c>
      <c r="BG574" s="125">
        <f t="shared" si="11"/>
        <v>4.6745751852294584</v>
      </c>
      <c r="BH574" s="125">
        <f t="shared" si="11"/>
        <v>4.7914395648601946</v>
      </c>
      <c r="BI574" s="125">
        <f t="shared" si="11"/>
        <v>5.0166372244086235</v>
      </c>
      <c r="BJ574" s="125">
        <f t="shared" si="11"/>
        <v>5.1821862528141081</v>
      </c>
      <c r="BK574" s="125">
        <f t="shared" si="11"/>
        <v>5.2910121641232042</v>
      </c>
      <c r="BL574" s="125">
        <f t="shared" si="11"/>
        <v>5.3492132979285589</v>
      </c>
      <c r="BM574" s="125">
        <f t="shared" si="11"/>
        <v>5.4454991372912733</v>
      </c>
      <c r="BN574" s="125">
        <f t="shared" si="11"/>
        <v>5.5217361252133514</v>
      </c>
      <c r="BO574" s="125">
        <f t="shared" si="11"/>
        <v>5.5824752225906975</v>
      </c>
      <c r="BP574" s="125">
        <f t="shared" si="11"/>
        <v>5.7611144297135999</v>
      </c>
      <c r="BQ574" s="125">
        <f t="shared" si="11"/>
        <v>5.77839777300274</v>
      </c>
      <c r="BR574" s="125">
        <f t="shared" si="12"/>
        <v>5.865073739597781</v>
      </c>
      <c r="BS574" s="125">
        <f t="shared" si="12"/>
        <v>6.0175656568273235</v>
      </c>
      <c r="BT574" s="125">
        <f t="shared" si="12"/>
        <v>6.1559696669343511</v>
      </c>
      <c r="BU574" s="125">
        <f t="shared" si="12"/>
        <v>6.3283368176085135</v>
      </c>
      <c r="BV574" s="125">
        <f t="shared" si="12"/>
        <v>6.3916201857845989</v>
      </c>
      <c r="BW574" s="125">
        <f t="shared" si="12"/>
        <v>6.4427531472708761</v>
      </c>
      <c r="BX574" s="125">
        <f t="shared" si="12"/>
        <v>6.4556386535654182</v>
      </c>
      <c r="BY574" s="125">
        <f t="shared" si="12"/>
        <v>6.5460175947153338</v>
      </c>
      <c r="BZ574" s="125">
        <f t="shared" si="12"/>
        <v>6.6245698058519178</v>
      </c>
      <c r="CA574" s="125">
        <f t="shared" si="12"/>
        <v>6.7968086208040681</v>
      </c>
      <c r="CB574" s="125">
        <f t="shared" si="12"/>
        <v>6.9055575587369331</v>
      </c>
      <c r="CC574" s="125">
        <f t="shared" si="12"/>
        <v>7.0298575947941977</v>
      </c>
      <c r="CD574" s="125">
        <f t="shared" si="12"/>
        <v>7.4657087656714385</v>
      </c>
      <c r="CE574" s="125">
        <f t="shared" si="12"/>
        <v>8.0629654669251547</v>
      </c>
      <c r="CF574" s="125">
        <f t="shared" si="12"/>
        <v>8.2887284999990598</v>
      </c>
      <c r="CG574" s="125">
        <f t="shared" si="12"/>
        <v>8.4296368844990432</v>
      </c>
    </row>
    <row r="575" spans="1:85">
      <c r="A575" s="3"/>
      <c r="B575" s="123">
        <v>1965</v>
      </c>
      <c r="C575" s="123"/>
      <c r="D575" s="3"/>
      <c r="E575" s="126"/>
      <c r="F575" s="126"/>
      <c r="G575" s="126"/>
      <c r="H575" s="126"/>
      <c r="I575" s="126"/>
      <c r="J575" s="126"/>
      <c r="K575" s="126"/>
      <c r="L575" s="126"/>
      <c r="M575" s="126"/>
      <c r="N575" s="126"/>
      <c r="O575" s="126"/>
      <c r="P575" s="126"/>
      <c r="Q575" s="126"/>
      <c r="R575" s="126"/>
      <c r="S575" s="126"/>
      <c r="T575" s="126"/>
      <c r="U575" s="126"/>
      <c r="V575" s="126"/>
      <c r="W575" s="126"/>
      <c r="X575" s="124">
        <v>1</v>
      </c>
      <c r="Y575" s="125">
        <f t="shared" si="9"/>
        <v>1.0429999999999999</v>
      </c>
      <c r="Z575" s="125">
        <f t="shared" si="9"/>
        <v>1.103494</v>
      </c>
      <c r="AA575" s="125">
        <f t="shared" si="9"/>
        <v>1.1465302659999999</v>
      </c>
      <c r="AB575" s="125">
        <f t="shared" si="9"/>
        <v>1.1843657647779997</v>
      </c>
      <c r="AC575" s="125">
        <f t="shared" si="9"/>
        <v>1.2660870025476816</v>
      </c>
      <c r="AD575" s="125">
        <f t="shared" si="9"/>
        <v>1.3344557006852564</v>
      </c>
      <c r="AE575" s="125">
        <f t="shared" si="9"/>
        <v>1.4358743339373361</v>
      </c>
      <c r="AF575" s="125">
        <f t="shared" si="9"/>
        <v>1.5421290346486991</v>
      </c>
      <c r="AG575" s="125">
        <f t="shared" si="9"/>
        <v>1.6670414864552436</v>
      </c>
      <c r="AH575" s="125">
        <f t="shared" si="9"/>
        <v>1.8304115521278577</v>
      </c>
      <c r="AI575" s="125">
        <f t="shared" si="9"/>
        <v>2.0262655882055385</v>
      </c>
      <c r="AJ575" s="125">
        <f t="shared" si="9"/>
        <v>2.1944456320265981</v>
      </c>
      <c r="AK575" s="125">
        <f t="shared" si="9"/>
        <v>2.3436679350044067</v>
      </c>
      <c r="AL575" s="125">
        <f t="shared" si="10"/>
        <v>2.442101988274592</v>
      </c>
      <c r="AM575" s="125">
        <f t="shared" si="10"/>
        <v>2.5349018638290266</v>
      </c>
      <c r="AN575" s="125">
        <f t="shared" si="10"/>
        <v>2.7148798961608875</v>
      </c>
      <c r="AO575" s="125">
        <f t="shared" si="10"/>
        <v>2.8886322095151846</v>
      </c>
      <c r="AP575" s="125">
        <f t="shared" si="10"/>
        <v>3.0590615098765803</v>
      </c>
      <c r="AQ575" s="125">
        <f t="shared" si="10"/>
        <v>3.1385971091333715</v>
      </c>
      <c r="AR575" s="125">
        <f t="shared" si="10"/>
        <v>3.2264778281891062</v>
      </c>
      <c r="AS575" s="125">
        <f t="shared" si="10"/>
        <v>3.3006868182374554</v>
      </c>
      <c r="AT575" s="125">
        <f t="shared" si="10"/>
        <v>3.2841833841462682</v>
      </c>
      <c r="AU575" s="125">
        <f t="shared" si="10"/>
        <v>3.290751750914561</v>
      </c>
      <c r="AV575" s="125">
        <f t="shared" si="10"/>
        <v>3.3203685166727919</v>
      </c>
      <c r="AW575" s="125">
        <f t="shared" si="10"/>
        <v>3.3568925703561923</v>
      </c>
      <c r="AX575" s="125">
        <f t="shared" si="10"/>
        <v>3.4374579920447408</v>
      </c>
      <c r="AY575" s="125">
        <f t="shared" si="10"/>
        <v>3.5955810596787989</v>
      </c>
      <c r="AZ575" s="125">
        <f t="shared" si="10"/>
        <v>3.7214263967675567</v>
      </c>
      <c r="BA575" s="125">
        <f t="shared" si="10"/>
        <v>3.7958549247029079</v>
      </c>
      <c r="BB575" s="125">
        <f t="shared" si="11"/>
        <v>3.8945471527451834</v>
      </c>
      <c r="BC575" s="125">
        <f t="shared" si="11"/>
        <v>3.9529653600363606</v>
      </c>
      <c r="BD575" s="125">
        <f t="shared" si="11"/>
        <v>4.0280717018770513</v>
      </c>
      <c r="BE575" s="125">
        <f t="shared" si="11"/>
        <v>4.1328015661258544</v>
      </c>
      <c r="BF575" s="125">
        <f t="shared" si="11"/>
        <v>4.2030591927499934</v>
      </c>
      <c r="BG575" s="125">
        <f t="shared" si="11"/>
        <v>4.3123387317614936</v>
      </c>
      <c r="BH575" s="125">
        <f t="shared" si="11"/>
        <v>4.4201472000555304</v>
      </c>
      <c r="BI575" s="125">
        <f t="shared" si="11"/>
        <v>4.6278941184581397</v>
      </c>
      <c r="BJ575" s="125">
        <f t="shared" si="11"/>
        <v>4.7806146243672583</v>
      </c>
      <c r="BK575" s="125">
        <f t="shared" si="11"/>
        <v>4.8810075314789705</v>
      </c>
      <c r="BL575" s="125">
        <f t="shared" si="11"/>
        <v>4.9346986143252387</v>
      </c>
      <c r="BM575" s="125">
        <f t="shared" si="11"/>
        <v>5.0235231893830932</v>
      </c>
      <c r="BN575" s="125">
        <f t="shared" si="11"/>
        <v>5.0938525140344568</v>
      </c>
      <c r="BO575" s="125">
        <f t="shared" si="11"/>
        <v>5.1498848916888349</v>
      </c>
      <c r="BP575" s="125">
        <f t="shared" si="11"/>
        <v>5.3146812082228774</v>
      </c>
      <c r="BQ575" s="125">
        <f t="shared" si="11"/>
        <v>5.330625251847545</v>
      </c>
      <c r="BR575" s="125">
        <f t="shared" si="12"/>
        <v>5.4105846306252579</v>
      </c>
      <c r="BS575" s="125">
        <f t="shared" si="12"/>
        <v>5.5512598310215147</v>
      </c>
      <c r="BT575" s="125">
        <f t="shared" si="12"/>
        <v>5.6789388071350091</v>
      </c>
      <c r="BU575" s="125">
        <f t="shared" si="12"/>
        <v>5.8379490937347898</v>
      </c>
      <c r="BV575" s="125">
        <f t="shared" si="12"/>
        <v>5.8963285846721378</v>
      </c>
      <c r="BW575" s="125">
        <f t="shared" si="12"/>
        <v>5.943499213349515</v>
      </c>
      <c r="BX575" s="125">
        <f t="shared" si="12"/>
        <v>5.9553862117762142</v>
      </c>
      <c r="BY575" s="125">
        <f t="shared" si="12"/>
        <v>6.0387616187410815</v>
      </c>
      <c r="BZ575" s="125">
        <f t="shared" si="12"/>
        <v>6.1112267581659747</v>
      </c>
      <c r="CA575" s="125">
        <f t="shared" si="12"/>
        <v>6.2701186538782903</v>
      </c>
      <c r="CB575" s="125">
        <f t="shared" si="12"/>
        <v>6.3704405523403427</v>
      </c>
      <c r="CC575" s="125">
        <f t="shared" si="12"/>
        <v>6.4851084822824694</v>
      </c>
      <c r="CD575" s="125">
        <f t="shared" si="12"/>
        <v>6.8871852081839826</v>
      </c>
      <c r="CE575" s="125">
        <f t="shared" si="12"/>
        <v>7.4381600248387016</v>
      </c>
      <c r="CF575" s="125">
        <f t="shared" si="12"/>
        <v>7.6464285055341854</v>
      </c>
      <c r="CG575" s="125">
        <f t="shared" si="12"/>
        <v>7.7764177901282654</v>
      </c>
    </row>
    <row r="576" spans="1:85">
      <c r="A576" s="3"/>
      <c r="B576" s="123">
        <v>1966</v>
      </c>
      <c r="C576" s="123"/>
      <c r="D576" s="3"/>
      <c r="E576" s="126"/>
      <c r="F576" s="126"/>
      <c r="G576" s="126"/>
      <c r="H576" s="126"/>
      <c r="I576" s="126"/>
      <c r="J576" s="126"/>
      <c r="K576" s="126"/>
      <c r="L576" s="126"/>
      <c r="M576" s="126"/>
      <c r="N576" s="126"/>
      <c r="O576" s="126"/>
      <c r="P576" s="126"/>
      <c r="Q576" s="126"/>
      <c r="R576" s="126"/>
      <c r="S576" s="126"/>
      <c r="T576" s="126"/>
      <c r="U576" s="126"/>
      <c r="V576" s="126"/>
      <c r="W576" s="126"/>
      <c r="X576" s="126"/>
      <c r="Y576" s="124">
        <v>1</v>
      </c>
      <c r="Z576" s="125">
        <f t="shared" si="9"/>
        <v>1.0580000000000001</v>
      </c>
      <c r="AA576" s="125">
        <f t="shared" si="9"/>
        <v>1.099262</v>
      </c>
      <c r="AB576" s="125">
        <f t="shared" si="9"/>
        <v>1.135537646</v>
      </c>
      <c r="AC576" s="125">
        <f t="shared" si="9"/>
        <v>1.2138897435739999</v>
      </c>
      <c r="AD576" s="125">
        <f t="shared" si="9"/>
        <v>1.279439789726996</v>
      </c>
      <c r="AE576" s="125">
        <f t="shared" si="9"/>
        <v>1.3766772137462477</v>
      </c>
      <c r="AF576" s="125">
        <f t="shared" si="9"/>
        <v>1.4785513275634701</v>
      </c>
      <c r="AG576" s="125">
        <f t="shared" si="9"/>
        <v>1.598313985096111</v>
      </c>
      <c r="AH576" s="125">
        <f t="shared" si="9"/>
        <v>1.7549487556355301</v>
      </c>
      <c r="AI576" s="125">
        <f t="shared" si="9"/>
        <v>1.9427282724885317</v>
      </c>
      <c r="AJ576" s="125">
        <f t="shared" si="9"/>
        <v>2.1039747191050799</v>
      </c>
      <c r="AK576" s="125">
        <f t="shared" si="9"/>
        <v>2.2470450000042255</v>
      </c>
      <c r="AL576" s="125">
        <f t="shared" si="10"/>
        <v>2.3414208900044029</v>
      </c>
      <c r="AM576" s="125">
        <f t="shared" si="10"/>
        <v>2.4303948838245701</v>
      </c>
      <c r="AN576" s="125">
        <f t="shared" si="10"/>
        <v>2.6029529205761146</v>
      </c>
      <c r="AO576" s="125">
        <f t="shared" si="10"/>
        <v>2.7695419074929859</v>
      </c>
      <c r="AP576" s="125">
        <f t="shared" si="10"/>
        <v>2.9329448800350719</v>
      </c>
      <c r="AQ576" s="125">
        <f t="shared" si="10"/>
        <v>3.0092014469159838</v>
      </c>
      <c r="AR576" s="125">
        <f t="shared" si="10"/>
        <v>3.0934590874296313</v>
      </c>
      <c r="AS576" s="125">
        <f t="shared" si="10"/>
        <v>3.1646086464405125</v>
      </c>
      <c r="AT576" s="125">
        <f t="shared" si="10"/>
        <v>3.1487856032083101</v>
      </c>
      <c r="AU576" s="125">
        <f t="shared" si="10"/>
        <v>3.155083174414727</v>
      </c>
      <c r="AV576" s="125">
        <f t="shared" si="10"/>
        <v>3.1834789229844591</v>
      </c>
      <c r="AW576" s="125">
        <f t="shared" si="10"/>
        <v>3.2184971911372879</v>
      </c>
      <c r="AX576" s="125">
        <f t="shared" si="10"/>
        <v>3.2957411237245831</v>
      </c>
      <c r="AY576" s="125">
        <f t="shared" si="10"/>
        <v>3.4473452154159139</v>
      </c>
      <c r="AZ576" s="125">
        <f t="shared" si="10"/>
        <v>3.5680022979554704</v>
      </c>
      <c r="BA576" s="125">
        <f t="shared" si="10"/>
        <v>3.6393623439145797</v>
      </c>
      <c r="BB576" s="125">
        <f t="shared" si="11"/>
        <v>3.7339857648563588</v>
      </c>
      <c r="BC576" s="125">
        <f t="shared" si="11"/>
        <v>3.7899955513292038</v>
      </c>
      <c r="BD576" s="125">
        <f t="shared" si="11"/>
        <v>3.8620054668044586</v>
      </c>
      <c r="BE576" s="125">
        <f t="shared" si="11"/>
        <v>3.9624176089413745</v>
      </c>
      <c r="BF576" s="125">
        <f t="shared" si="11"/>
        <v>4.0297787082933771</v>
      </c>
      <c r="BG576" s="125">
        <f t="shared" si="11"/>
        <v>4.1345529547090054</v>
      </c>
      <c r="BH576" s="125">
        <f t="shared" si="11"/>
        <v>4.2379167785767304</v>
      </c>
      <c r="BI576" s="125">
        <f t="shared" si="11"/>
        <v>4.4370988671698361</v>
      </c>
      <c r="BJ576" s="125">
        <f t="shared" si="11"/>
        <v>4.5835231297864407</v>
      </c>
      <c r="BK576" s="125">
        <f t="shared" si="11"/>
        <v>4.6797771155119552</v>
      </c>
      <c r="BL576" s="125">
        <f t="shared" si="11"/>
        <v>4.7312546637825861</v>
      </c>
      <c r="BM576" s="125">
        <f t="shared" si="11"/>
        <v>4.8164172477306728</v>
      </c>
      <c r="BN576" s="125">
        <f t="shared" si="11"/>
        <v>4.8838470891989019</v>
      </c>
      <c r="BO576" s="125">
        <f t="shared" si="11"/>
        <v>4.9375694071800895</v>
      </c>
      <c r="BP576" s="125">
        <f t="shared" si="11"/>
        <v>5.0955716282098527</v>
      </c>
      <c r="BQ576" s="125">
        <f t="shared" si="11"/>
        <v>5.1108583430944821</v>
      </c>
      <c r="BR576" s="125">
        <f t="shared" si="12"/>
        <v>5.1875212182408985</v>
      </c>
      <c r="BS576" s="125">
        <f t="shared" si="12"/>
        <v>5.3223967699151622</v>
      </c>
      <c r="BT576" s="125">
        <f t="shared" si="12"/>
        <v>5.4448118956232108</v>
      </c>
      <c r="BU576" s="125">
        <f t="shared" si="12"/>
        <v>5.5972666287006607</v>
      </c>
      <c r="BV576" s="125">
        <f t="shared" si="12"/>
        <v>5.6532392949876673</v>
      </c>
      <c r="BW576" s="125">
        <f t="shared" si="12"/>
        <v>5.6984652093475683</v>
      </c>
      <c r="BX576" s="125">
        <f t="shared" si="12"/>
        <v>5.7098621397662637</v>
      </c>
      <c r="BY576" s="125">
        <f t="shared" si="12"/>
        <v>5.7898002097229915</v>
      </c>
      <c r="BZ576" s="125">
        <f t="shared" si="12"/>
        <v>5.8592778122396671</v>
      </c>
      <c r="CA576" s="125">
        <f t="shared" si="12"/>
        <v>6.0116190353578984</v>
      </c>
      <c r="CB576" s="125">
        <f t="shared" si="12"/>
        <v>6.1078049399236249</v>
      </c>
      <c r="CC576" s="125">
        <f t="shared" si="12"/>
        <v>6.2177454288422505</v>
      </c>
      <c r="CD576" s="125">
        <f t="shared" si="12"/>
        <v>6.6032456454304702</v>
      </c>
      <c r="CE576" s="125">
        <f t="shared" si="12"/>
        <v>7.1315052970649084</v>
      </c>
      <c r="CF576" s="125">
        <f t="shared" si="12"/>
        <v>7.3311874453827262</v>
      </c>
      <c r="CG576" s="125">
        <f t="shared" si="12"/>
        <v>7.4558176319542318</v>
      </c>
    </row>
    <row r="577" spans="1:85">
      <c r="A577" s="3"/>
      <c r="B577" s="123">
        <v>1967</v>
      </c>
      <c r="C577" s="123"/>
      <c r="D577" s="3"/>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4">
        <v>1</v>
      </c>
      <c r="AA577" s="125">
        <f t="shared" si="9"/>
        <v>1.0389999999999999</v>
      </c>
      <c r="AB577" s="125">
        <f t="shared" si="9"/>
        <v>1.0732869999999999</v>
      </c>
      <c r="AC577" s="125">
        <f t="shared" si="9"/>
        <v>1.1473438029999998</v>
      </c>
      <c r="AD577" s="125">
        <f t="shared" si="9"/>
        <v>1.2093003683619998</v>
      </c>
      <c r="AE577" s="125">
        <f t="shared" si="9"/>
        <v>1.3012071963575118</v>
      </c>
      <c r="AF577" s="125">
        <f t="shared" si="9"/>
        <v>1.3974965288879677</v>
      </c>
      <c r="AG577" s="125">
        <f t="shared" si="9"/>
        <v>1.510693747727893</v>
      </c>
      <c r="AH577" s="125">
        <f t="shared" si="9"/>
        <v>1.6587417350052267</v>
      </c>
      <c r="AI577" s="125">
        <f t="shared" si="9"/>
        <v>1.836227100650786</v>
      </c>
      <c r="AJ577" s="125">
        <f t="shared" si="9"/>
        <v>1.9886339500048011</v>
      </c>
      <c r="AK577" s="125">
        <f t="shared" si="9"/>
        <v>2.1238610586051276</v>
      </c>
      <c r="AL577" s="125">
        <f t="shared" si="10"/>
        <v>2.213063223066543</v>
      </c>
      <c r="AM577" s="125">
        <f t="shared" si="10"/>
        <v>2.2971596255430717</v>
      </c>
      <c r="AN577" s="125">
        <f t="shared" si="10"/>
        <v>2.4602579589566296</v>
      </c>
      <c r="AO577" s="125">
        <f t="shared" si="10"/>
        <v>2.6177144683298539</v>
      </c>
      <c r="AP577" s="125">
        <f t="shared" si="10"/>
        <v>2.7721596219613152</v>
      </c>
      <c r="AQ577" s="125">
        <f t="shared" si="10"/>
        <v>2.8442357721323095</v>
      </c>
      <c r="AR577" s="125">
        <f t="shared" si="10"/>
        <v>2.9238743737520143</v>
      </c>
      <c r="AS577" s="125">
        <f t="shared" si="10"/>
        <v>2.9911234843483103</v>
      </c>
      <c r="AT577" s="125">
        <f t="shared" si="10"/>
        <v>2.9761678669265685</v>
      </c>
      <c r="AU577" s="125">
        <f t="shared" si="10"/>
        <v>2.9821202026604219</v>
      </c>
      <c r="AV577" s="125">
        <f t="shared" si="10"/>
        <v>3.0089592844843653</v>
      </c>
      <c r="AW577" s="125">
        <f t="shared" si="10"/>
        <v>3.0420578366136932</v>
      </c>
      <c r="AX577" s="125">
        <f t="shared" si="10"/>
        <v>3.1150672246924218</v>
      </c>
      <c r="AY577" s="125">
        <f t="shared" si="10"/>
        <v>3.2583603170282736</v>
      </c>
      <c r="AZ577" s="125">
        <f t="shared" si="10"/>
        <v>3.3724029281242629</v>
      </c>
      <c r="BA577" s="125">
        <f t="shared" si="10"/>
        <v>3.4398509866867482</v>
      </c>
      <c r="BB577" s="125">
        <f t="shared" si="11"/>
        <v>3.5292871123406035</v>
      </c>
      <c r="BC577" s="125">
        <f t="shared" si="11"/>
        <v>3.5822264190257123</v>
      </c>
      <c r="BD577" s="125">
        <f t="shared" si="11"/>
        <v>3.6502887209872004</v>
      </c>
      <c r="BE577" s="125">
        <f t="shared" si="11"/>
        <v>3.7451962277328676</v>
      </c>
      <c r="BF577" s="125">
        <f t="shared" si="11"/>
        <v>3.8088645636043261</v>
      </c>
      <c r="BG577" s="125">
        <f t="shared" si="11"/>
        <v>3.9078950422580387</v>
      </c>
      <c r="BH577" s="125">
        <f t="shared" si="11"/>
        <v>4.0055924183144898</v>
      </c>
      <c r="BI577" s="125">
        <f t="shared" si="11"/>
        <v>4.1938552619752709</v>
      </c>
      <c r="BJ577" s="125">
        <f t="shared" si="11"/>
        <v>4.3322524856204545</v>
      </c>
      <c r="BK577" s="125">
        <f t="shared" si="11"/>
        <v>4.4232297878184834</v>
      </c>
      <c r="BL577" s="125">
        <f t="shared" si="11"/>
        <v>4.471885315484486</v>
      </c>
      <c r="BM577" s="125">
        <f t="shared" si="11"/>
        <v>4.5523792511632069</v>
      </c>
      <c r="BN577" s="125">
        <f t="shared" si="11"/>
        <v>4.6161125606794915</v>
      </c>
      <c r="BO577" s="125">
        <f t="shared" si="11"/>
        <v>4.6668897988469658</v>
      </c>
      <c r="BP577" s="125">
        <f t="shared" si="11"/>
        <v>4.8162302724100687</v>
      </c>
      <c r="BQ577" s="125">
        <f t="shared" si="11"/>
        <v>4.8306789632272986</v>
      </c>
      <c r="BR577" s="125">
        <f t="shared" si="12"/>
        <v>4.9031391476757076</v>
      </c>
      <c r="BS577" s="125">
        <f t="shared" si="12"/>
        <v>5.0306207655152759</v>
      </c>
      <c r="BT577" s="125">
        <f t="shared" si="12"/>
        <v>5.1463250431221272</v>
      </c>
      <c r="BU577" s="125">
        <f t="shared" si="12"/>
        <v>5.2904221443295469</v>
      </c>
      <c r="BV577" s="125">
        <f t="shared" si="12"/>
        <v>5.3433263657728425</v>
      </c>
      <c r="BW577" s="125">
        <f t="shared" si="12"/>
        <v>5.3860729766990252</v>
      </c>
      <c r="BX577" s="125">
        <f t="shared" si="12"/>
        <v>5.3968451226524232</v>
      </c>
      <c r="BY577" s="125">
        <f t="shared" si="12"/>
        <v>5.4724009543695571</v>
      </c>
      <c r="BZ577" s="125">
        <f t="shared" si="12"/>
        <v>5.5380697658219917</v>
      </c>
      <c r="CA577" s="125">
        <f t="shared" si="12"/>
        <v>5.6820595797333633</v>
      </c>
      <c r="CB577" s="125">
        <f t="shared" si="12"/>
        <v>5.7729725330090975</v>
      </c>
      <c r="CC577" s="125">
        <f t="shared" si="12"/>
        <v>5.8768860386032618</v>
      </c>
      <c r="CD577" s="125">
        <f t="shared" si="12"/>
        <v>6.2412529729966639</v>
      </c>
      <c r="CE577" s="125">
        <f t="shared" si="12"/>
        <v>6.7405532108363975</v>
      </c>
      <c r="CF577" s="125">
        <f t="shared" si="12"/>
        <v>6.929288700739817</v>
      </c>
      <c r="CG577" s="125">
        <f t="shared" si="12"/>
        <v>7.0470866086523936</v>
      </c>
    </row>
    <row r="578" spans="1:85">
      <c r="A578" s="3"/>
      <c r="B578" s="123">
        <v>1968</v>
      </c>
      <c r="C578" s="123"/>
      <c r="D578" s="3"/>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4">
        <v>1</v>
      </c>
      <c r="AB578" s="125">
        <f t="shared" si="9"/>
        <v>1.0329999999999999</v>
      </c>
      <c r="AC578" s="125">
        <f t="shared" si="9"/>
        <v>1.104277</v>
      </c>
      <c r="AD578" s="125">
        <f t="shared" si="9"/>
        <v>1.163907958</v>
      </c>
      <c r="AE578" s="125">
        <f t="shared" si="9"/>
        <v>1.252364962808</v>
      </c>
      <c r="AF578" s="125">
        <f t="shared" si="9"/>
        <v>1.345039970055792</v>
      </c>
      <c r="AG578" s="125">
        <f t="shared" si="9"/>
        <v>1.453988207630311</v>
      </c>
      <c r="AH578" s="125">
        <f t="shared" si="9"/>
        <v>1.5964790519780816</v>
      </c>
      <c r="AI578" s="125">
        <f t="shared" si="9"/>
        <v>1.7673023105397363</v>
      </c>
      <c r="AJ578" s="125">
        <f t="shared" si="9"/>
        <v>1.9139884023145344</v>
      </c>
      <c r="AK578" s="125">
        <f t="shared" si="9"/>
        <v>2.044139613671923</v>
      </c>
      <c r="AL578" s="125">
        <f t="shared" si="10"/>
        <v>2.1299934774461438</v>
      </c>
      <c r="AM578" s="125">
        <f t="shared" si="10"/>
        <v>2.2109332295890973</v>
      </c>
      <c r="AN578" s="125">
        <f t="shared" si="10"/>
        <v>2.3679094888899233</v>
      </c>
      <c r="AO578" s="125">
        <f t="shared" si="10"/>
        <v>2.5194556961788783</v>
      </c>
      <c r="AP578" s="125">
        <f t="shared" si="10"/>
        <v>2.668103582253432</v>
      </c>
      <c r="AQ578" s="125">
        <f t="shared" si="10"/>
        <v>2.7374742753920214</v>
      </c>
      <c r="AR578" s="125">
        <f t="shared" si="10"/>
        <v>2.8141235551029982</v>
      </c>
      <c r="AS578" s="125">
        <f t="shared" si="10"/>
        <v>2.8788483968703669</v>
      </c>
      <c r="AT578" s="125">
        <f t="shared" si="10"/>
        <v>2.864454154886015</v>
      </c>
      <c r="AU578" s="125">
        <f t="shared" si="10"/>
        <v>2.8701830631957872</v>
      </c>
      <c r="AV578" s="125">
        <f t="shared" si="10"/>
        <v>2.8960147107645491</v>
      </c>
      <c r="AW578" s="125">
        <f t="shared" si="10"/>
        <v>2.9278708725829588</v>
      </c>
      <c r="AX578" s="125">
        <f t="shared" si="10"/>
        <v>2.99813977352495</v>
      </c>
      <c r="AY578" s="125">
        <f t="shared" si="10"/>
        <v>3.1360542031070979</v>
      </c>
      <c r="AZ578" s="125">
        <f t="shared" si="10"/>
        <v>3.2458161002158463</v>
      </c>
      <c r="BA578" s="125">
        <f t="shared" si="10"/>
        <v>3.3107324222201635</v>
      </c>
      <c r="BB578" s="125">
        <f t="shared" si="11"/>
        <v>3.3968114651978878</v>
      </c>
      <c r="BC578" s="125">
        <f t="shared" si="11"/>
        <v>3.4477636371758558</v>
      </c>
      <c r="BD578" s="125">
        <f t="shared" si="11"/>
        <v>3.5132711462821966</v>
      </c>
      <c r="BE578" s="125">
        <f t="shared" si="11"/>
        <v>3.6046161960855336</v>
      </c>
      <c r="BF578" s="125">
        <f t="shared" si="11"/>
        <v>3.6658946714189873</v>
      </c>
      <c r="BG578" s="125">
        <f t="shared" si="11"/>
        <v>3.7612079328758812</v>
      </c>
      <c r="BH578" s="125">
        <f t="shared" si="11"/>
        <v>3.8552381311977779</v>
      </c>
      <c r="BI578" s="125">
        <f t="shared" si="11"/>
        <v>4.0364343233640732</v>
      </c>
      <c r="BJ578" s="125">
        <f t="shared" si="11"/>
        <v>4.1696366560350873</v>
      </c>
      <c r="BK578" s="125">
        <f t="shared" si="11"/>
        <v>4.2571990258118237</v>
      </c>
      <c r="BL578" s="125">
        <f t="shared" si="11"/>
        <v>4.3040282150957534</v>
      </c>
      <c r="BM578" s="125">
        <f t="shared" si="11"/>
        <v>4.3815007229674769</v>
      </c>
      <c r="BN578" s="125">
        <f t="shared" si="11"/>
        <v>4.442841733089022</v>
      </c>
      <c r="BO578" s="125">
        <f t="shared" si="11"/>
        <v>4.4917129921530004</v>
      </c>
      <c r="BP578" s="125">
        <f t="shared" si="11"/>
        <v>4.6354478079018966</v>
      </c>
      <c r="BQ578" s="125">
        <f t="shared" si="11"/>
        <v>4.6493541513256016</v>
      </c>
      <c r="BR578" s="125">
        <f t="shared" si="12"/>
        <v>4.7190944635954848</v>
      </c>
      <c r="BS578" s="125">
        <f t="shared" si="12"/>
        <v>4.8417909196489672</v>
      </c>
      <c r="BT578" s="125">
        <f t="shared" si="12"/>
        <v>4.9531521108008931</v>
      </c>
      <c r="BU578" s="125">
        <f t="shared" si="12"/>
        <v>5.0918403699033181</v>
      </c>
      <c r="BV578" s="125">
        <f t="shared" si="12"/>
        <v>5.1427587736023517</v>
      </c>
      <c r="BW578" s="125">
        <f t="shared" si="12"/>
        <v>5.1839008437911707</v>
      </c>
      <c r="BX578" s="125">
        <f t="shared" si="12"/>
        <v>5.1942686454787532</v>
      </c>
      <c r="BY578" s="125">
        <f t="shared" si="12"/>
        <v>5.2669884065154555</v>
      </c>
      <c r="BZ578" s="125">
        <f t="shared" si="12"/>
        <v>5.3301922673936408</v>
      </c>
      <c r="CA578" s="125">
        <f t="shared" si="12"/>
        <v>5.4687772663458754</v>
      </c>
      <c r="CB578" s="125">
        <f t="shared" si="12"/>
        <v>5.5562777026074093</v>
      </c>
      <c r="CC578" s="125">
        <f t="shared" si="12"/>
        <v>5.6562907012543429</v>
      </c>
      <c r="CD578" s="125">
        <f t="shared" si="12"/>
        <v>6.0069807247321121</v>
      </c>
      <c r="CE578" s="125">
        <f t="shared" si="12"/>
        <v>6.4875391827106812</v>
      </c>
      <c r="CF578" s="125">
        <f t="shared" si="12"/>
        <v>6.6691902798265801</v>
      </c>
      <c r="CG578" s="125">
        <f t="shared" si="12"/>
        <v>6.7825665145836309</v>
      </c>
    </row>
    <row r="579" spans="1:85">
      <c r="A579" s="3"/>
      <c r="B579" s="123">
        <v>1969</v>
      </c>
      <c r="C579" s="123"/>
      <c r="D579" s="3"/>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4">
        <v>1</v>
      </c>
      <c r="AC579" s="125">
        <f t="shared" si="9"/>
        <v>1.069</v>
      </c>
      <c r="AD579" s="125">
        <f t="shared" si="9"/>
        <v>1.1267259999999999</v>
      </c>
      <c r="AE579" s="125">
        <f t="shared" si="9"/>
        <v>1.212357176</v>
      </c>
      <c r="AF579" s="125">
        <f t="shared" si="9"/>
        <v>1.3020716070240002</v>
      </c>
      <c r="AG579" s="125">
        <f t="shared" si="9"/>
        <v>1.4075394071929441</v>
      </c>
      <c r="AH579" s="125">
        <f t="shared" si="9"/>
        <v>1.5454782690978528</v>
      </c>
      <c r="AI579" s="125">
        <f t="shared" si="9"/>
        <v>1.7108444438913231</v>
      </c>
      <c r="AJ579" s="125">
        <f t="shared" si="9"/>
        <v>1.8528445327343028</v>
      </c>
      <c r="AK579" s="125">
        <f t="shared" si="9"/>
        <v>1.9788379609602356</v>
      </c>
      <c r="AL579" s="125">
        <f t="shared" si="10"/>
        <v>2.0619491553205656</v>
      </c>
      <c r="AM579" s="125">
        <f t="shared" si="10"/>
        <v>2.1403032232227472</v>
      </c>
      <c r="AN579" s="125">
        <f t="shared" si="10"/>
        <v>2.2922647520715622</v>
      </c>
      <c r="AO579" s="125">
        <f t="shared" si="10"/>
        <v>2.4389696962041425</v>
      </c>
      <c r="AP579" s="125">
        <f t="shared" si="10"/>
        <v>2.5828689082801866</v>
      </c>
      <c r="AQ579" s="125">
        <f t="shared" si="10"/>
        <v>2.6500234998954713</v>
      </c>
      <c r="AR579" s="125">
        <f t="shared" si="10"/>
        <v>2.7242241578925444</v>
      </c>
      <c r="AS579" s="125">
        <f t="shared" si="10"/>
        <v>2.7868813135240726</v>
      </c>
      <c r="AT579" s="125">
        <f t="shared" si="10"/>
        <v>2.7729469069564523</v>
      </c>
      <c r="AU579" s="125">
        <f t="shared" si="10"/>
        <v>2.7784928007703651</v>
      </c>
      <c r="AV579" s="125">
        <f t="shared" si="10"/>
        <v>2.8034992359772981</v>
      </c>
      <c r="AW579" s="125">
        <f t="shared" si="10"/>
        <v>2.8343377275730481</v>
      </c>
      <c r="AX579" s="125">
        <f t="shared" si="10"/>
        <v>2.9023618330348016</v>
      </c>
      <c r="AY579" s="125">
        <f t="shared" si="10"/>
        <v>3.0358704773544027</v>
      </c>
      <c r="AZ579" s="125">
        <f t="shared" si="10"/>
        <v>3.1421259440618066</v>
      </c>
      <c r="BA579" s="125">
        <f t="shared" si="10"/>
        <v>3.2049684629430426</v>
      </c>
      <c r="BB579" s="125">
        <f t="shared" si="11"/>
        <v>3.2882976429795616</v>
      </c>
      <c r="BC579" s="125">
        <f t="shared" si="11"/>
        <v>3.3376221076242549</v>
      </c>
      <c r="BD579" s="125">
        <f t="shared" si="11"/>
        <v>3.4010369276691153</v>
      </c>
      <c r="BE579" s="125">
        <f t="shared" si="11"/>
        <v>3.4894638877885122</v>
      </c>
      <c r="BF579" s="125">
        <f t="shared" si="11"/>
        <v>3.5487847738809166</v>
      </c>
      <c r="BG579" s="125">
        <f t="shared" si="11"/>
        <v>3.6410531780018207</v>
      </c>
      <c r="BH579" s="125">
        <f t="shared" si="11"/>
        <v>3.732079507451866</v>
      </c>
      <c r="BI579" s="125">
        <f t="shared" si="11"/>
        <v>3.9074872443021036</v>
      </c>
      <c r="BJ579" s="125">
        <f t="shared" si="11"/>
        <v>4.0364343233640723</v>
      </c>
      <c r="BK579" s="125">
        <f t="shared" si="11"/>
        <v>4.1211994441547173</v>
      </c>
      <c r="BL579" s="125">
        <f t="shared" si="11"/>
        <v>4.1665326380404188</v>
      </c>
      <c r="BM579" s="125">
        <f t="shared" si="11"/>
        <v>4.2415302255251461</v>
      </c>
      <c r="BN579" s="125">
        <f t="shared" si="11"/>
        <v>4.3009116486824981</v>
      </c>
      <c r="BO579" s="125">
        <f t="shared" si="11"/>
        <v>4.3482216768180049</v>
      </c>
      <c r="BP579" s="125">
        <f t="shared" si="11"/>
        <v>4.487364770476181</v>
      </c>
      <c r="BQ579" s="125">
        <f t="shared" si="11"/>
        <v>4.5008268647876086</v>
      </c>
      <c r="BR579" s="125">
        <f t="shared" si="12"/>
        <v>4.5683392677594226</v>
      </c>
      <c r="BS579" s="125">
        <f t="shared" si="12"/>
        <v>4.6871160887211678</v>
      </c>
      <c r="BT579" s="125">
        <f t="shared" si="12"/>
        <v>4.794919758761754</v>
      </c>
      <c r="BU579" s="125">
        <f t="shared" si="12"/>
        <v>4.9291775120070831</v>
      </c>
      <c r="BV579" s="125">
        <f t="shared" si="12"/>
        <v>4.9784692871271536</v>
      </c>
      <c r="BW579" s="125">
        <f t="shared" si="12"/>
        <v>5.0182970414241712</v>
      </c>
      <c r="BX579" s="125">
        <f t="shared" si="12"/>
        <v>5.0283336355070194</v>
      </c>
      <c r="BY579" s="125">
        <f t="shared" si="12"/>
        <v>5.0987303064041178</v>
      </c>
      <c r="BZ579" s="125">
        <f t="shared" si="12"/>
        <v>5.1599150700809675</v>
      </c>
      <c r="CA579" s="125">
        <f t="shared" si="12"/>
        <v>5.2940728619030724</v>
      </c>
      <c r="CB579" s="125">
        <f t="shared" si="12"/>
        <v>5.3787780276935218</v>
      </c>
      <c r="CC579" s="125">
        <f t="shared" si="12"/>
        <v>5.475596032192005</v>
      </c>
      <c r="CD579" s="125">
        <f t="shared" si="12"/>
        <v>5.8150829861879094</v>
      </c>
      <c r="CE579" s="125">
        <f t="shared" si="12"/>
        <v>6.2802896250829425</v>
      </c>
      <c r="CF579" s="125">
        <f t="shared" si="12"/>
        <v>6.4561377345852655</v>
      </c>
      <c r="CG579" s="125">
        <f t="shared" si="12"/>
        <v>6.5658920760732142</v>
      </c>
    </row>
    <row r="580" spans="1:85">
      <c r="A580" s="3"/>
      <c r="B580" s="123">
        <v>1970</v>
      </c>
      <c r="C580" s="123"/>
      <c r="D580" s="3"/>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4">
        <v>1</v>
      </c>
      <c r="AD580" s="125">
        <f t="shared" si="9"/>
        <v>1.054</v>
      </c>
      <c r="AE580" s="125">
        <f t="shared" si="9"/>
        <v>1.1341040000000002</v>
      </c>
      <c r="AF580" s="125">
        <f t="shared" si="9"/>
        <v>1.2180276960000003</v>
      </c>
      <c r="AG580" s="125">
        <f t="shared" si="9"/>
        <v>1.3166879393760003</v>
      </c>
      <c r="AH580" s="125">
        <f t="shared" si="9"/>
        <v>1.4457233574348485</v>
      </c>
      <c r="AI580" s="125">
        <f t="shared" si="9"/>
        <v>1.6004157566803772</v>
      </c>
      <c r="AJ580" s="125">
        <f t="shared" si="9"/>
        <v>1.7332502644848484</v>
      </c>
      <c r="AK580" s="125">
        <f t="shared" si="9"/>
        <v>1.8511112824698182</v>
      </c>
      <c r="AL580" s="125">
        <f t="shared" si="10"/>
        <v>1.9288579563335506</v>
      </c>
      <c r="AM580" s="125">
        <f t="shared" si="10"/>
        <v>2.0021545586742255</v>
      </c>
      <c r="AN580" s="125">
        <f t="shared" si="10"/>
        <v>2.1443075323400955</v>
      </c>
      <c r="AO580" s="125">
        <f t="shared" si="10"/>
        <v>2.281543214409862</v>
      </c>
      <c r="AP580" s="125">
        <f t="shared" si="10"/>
        <v>2.4161542640600437</v>
      </c>
      <c r="AQ580" s="125">
        <f t="shared" si="10"/>
        <v>2.478974274925605</v>
      </c>
      <c r="AR580" s="125">
        <f t="shared" si="10"/>
        <v>2.5483855546235219</v>
      </c>
      <c r="AS580" s="125">
        <f t="shared" si="10"/>
        <v>2.6069984223798626</v>
      </c>
      <c r="AT580" s="125">
        <f t="shared" si="10"/>
        <v>2.5939634302679631</v>
      </c>
      <c r="AU580" s="125">
        <f t="shared" si="10"/>
        <v>2.5991513571284992</v>
      </c>
      <c r="AV580" s="125">
        <f t="shared" si="10"/>
        <v>2.6225437193426555</v>
      </c>
      <c r="AW580" s="125">
        <f t="shared" si="10"/>
        <v>2.6513917002554246</v>
      </c>
      <c r="AX580" s="125">
        <f t="shared" si="10"/>
        <v>2.7150251010615549</v>
      </c>
      <c r="AY580" s="125">
        <f t="shared" si="10"/>
        <v>2.8399162557103867</v>
      </c>
      <c r="AZ580" s="125">
        <f t="shared" si="10"/>
        <v>2.9393133246602501</v>
      </c>
      <c r="BA580" s="125">
        <f t="shared" si="10"/>
        <v>2.9980995911534549</v>
      </c>
      <c r="BB580" s="125">
        <f t="shared" si="11"/>
        <v>3.076050180523445</v>
      </c>
      <c r="BC580" s="125">
        <f t="shared" si="11"/>
        <v>3.1221909332312965</v>
      </c>
      <c r="BD580" s="125">
        <f t="shared" si="11"/>
        <v>3.1815125609626906</v>
      </c>
      <c r="BE580" s="125">
        <f t="shared" si="11"/>
        <v>3.2642318875477208</v>
      </c>
      <c r="BF580" s="125">
        <f t="shared" si="11"/>
        <v>3.3197238296360316</v>
      </c>
      <c r="BG580" s="125">
        <f t="shared" si="11"/>
        <v>3.4060366492065683</v>
      </c>
      <c r="BH580" s="125">
        <f t="shared" si="11"/>
        <v>3.4911875654367321</v>
      </c>
      <c r="BI580" s="125">
        <f t="shared" si="11"/>
        <v>3.6552733810122584</v>
      </c>
      <c r="BJ580" s="125">
        <f t="shared" si="11"/>
        <v>3.7758974025856626</v>
      </c>
      <c r="BK580" s="125">
        <f t="shared" si="11"/>
        <v>3.855191248039961</v>
      </c>
      <c r="BL580" s="125">
        <f t="shared" si="11"/>
        <v>3.8975983517684001</v>
      </c>
      <c r="BM580" s="125">
        <f t="shared" si="11"/>
        <v>3.9677551221002312</v>
      </c>
      <c r="BN580" s="125">
        <f t="shared" si="11"/>
        <v>4.023303693809634</v>
      </c>
      <c r="BO580" s="125">
        <f t="shared" si="11"/>
        <v>4.0675600344415397</v>
      </c>
      <c r="BP580" s="125">
        <f t="shared" si="11"/>
        <v>4.1977219555436687</v>
      </c>
      <c r="BQ580" s="125">
        <f t="shared" si="11"/>
        <v>4.2103151214102992</v>
      </c>
      <c r="BR580" s="125">
        <f t="shared" si="12"/>
        <v>4.2734698482314535</v>
      </c>
      <c r="BS580" s="125">
        <f t="shared" si="12"/>
        <v>4.3845800642854718</v>
      </c>
      <c r="BT580" s="125">
        <f t="shared" si="12"/>
        <v>4.4854254057640368</v>
      </c>
      <c r="BU580" s="125">
        <f t="shared" si="12"/>
        <v>4.6110173171254303</v>
      </c>
      <c r="BV580" s="125">
        <f t="shared" si="12"/>
        <v>4.657127490296685</v>
      </c>
      <c r="BW580" s="125">
        <f t="shared" si="12"/>
        <v>4.6943845102190584</v>
      </c>
      <c r="BX580" s="125">
        <f t="shared" si="12"/>
        <v>4.7037732792394964</v>
      </c>
      <c r="BY580" s="125">
        <f t="shared" si="12"/>
        <v>4.7696261051488493</v>
      </c>
      <c r="BZ580" s="125">
        <f t="shared" si="12"/>
        <v>4.8268616184106357</v>
      </c>
      <c r="CA580" s="125">
        <f t="shared" si="12"/>
        <v>4.9523600204893121</v>
      </c>
      <c r="CB580" s="125">
        <f t="shared" si="12"/>
        <v>5.0315977808171413</v>
      </c>
      <c r="CC580" s="125">
        <f t="shared" si="12"/>
        <v>5.1221665408718495</v>
      </c>
      <c r="CD580" s="125">
        <f t="shared" si="12"/>
        <v>5.4397408664059048</v>
      </c>
      <c r="CE580" s="125">
        <f t="shared" si="12"/>
        <v>5.8749201357183773</v>
      </c>
      <c r="CF580" s="125">
        <f t="shared" si="12"/>
        <v>6.039417899518492</v>
      </c>
      <c r="CG580" s="125">
        <f t="shared" si="12"/>
        <v>6.1420880038103061</v>
      </c>
    </row>
    <row r="581" spans="1:85">
      <c r="A581" s="3"/>
      <c r="B581" s="123">
        <v>1971</v>
      </c>
      <c r="C581" s="123"/>
      <c r="D581" s="3"/>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4">
        <v>1</v>
      </c>
      <c r="AE581" s="125">
        <f t="shared" si="9"/>
        <v>1.0760000000000001</v>
      </c>
      <c r="AF581" s="125">
        <f t="shared" si="9"/>
        <v>1.1556240000000002</v>
      </c>
      <c r="AG581" s="125">
        <f t="shared" si="9"/>
        <v>1.2492295440000001</v>
      </c>
      <c r="AH581" s="125">
        <f t="shared" si="9"/>
        <v>1.3716540393120003</v>
      </c>
      <c r="AI581" s="125">
        <f t="shared" si="9"/>
        <v>1.5184210215183842</v>
      </c>
      <c r="AJ581" s="125">
        <f t="shared" si="9"/>
        <v>1.6444499663044101</v>
      </c>
      <c r="AK581" s="125">
        <f t="shared" si="9"/>
        <v>1.75627256401311</v>
      </c>
      <c r="AL581" s="125">
        <f t="shared" si="10"/>
        <v>1.8300360117016607</v>
      </c>
      <c r="AM581" s="125">
        <f t="shared" si="10"/>
        <v>1.8995773801463238</v>
      </c>
      <c r="AN581" s="125">
        <f t="shared" si="10"/>
        <v>2.0344473741367128</v>
      </c>
      <c r="AO581" s="125">
        <f t="shared" si="10"/>
        <v>2.1646520060814627</v>
      </c>
      <c r="AP581" s="125">
        <f t="shared" si="10"/>
        <v>2.2923664744402688</v>
      </c>
      <c r="AQ581" s="125">
        <f t="shared" si="10"/>
        <v>2.3519680027757159</v>
      </c>
      <c r="AR581" s="125">
        <f t="shared" si="10"/>
        <v>2.4178231068534362</v>
      </c>
      <c r="AS581" s="125">
        <f t="shared" si="10"/>
        <v>2.473433038311065</v>
      </c>
      <c r="AT581" s="125">
        <f t="shared" si="10"/>
        <v>2.4610658731195096</v>
      </c>
      <c r="AU581" s="125">
        <f t="shared" si="10"/>
        <v>2.4659880048657485</v>
      </c>
      <c r="AV581" s="125">
        <f t="shared" si="10"/>
        <v>2.4881818969095399</v>
      </c>
      <c r="AW581" s="125">
        <f t="shared" si="10"/>
        <v>2.5155518977755444</v>
      </c>
      <c r="AX581" s="125">
        <f t="shared" si="10"/>
        <v>2.5759251433221575</v>
      </c>
      <c r="AY581" s="125">
        <f t="shared" si="10"/>
        <v>2.6944176999149767</v>
      </c>
      <c r="AZ581" s="125">
        <f t="shared" si="10"/>
        <v>2.7887223194120008</v>
      </c>
      <c r="BA581" s="125">
        <f t="shared" si="10"/>
        <v>2.8444967658002409</v>
      </c>
      <c r="BB581" s="125">
        <f t="shared" si="11"/>
        <v>2.9184536817110471</v>
      </c>
      <c r="BC581" s="125">
        <f t="shared" si="11"/>
        <v>2.9622304869367126</v>
      </c>
      <c r="BD581" s="125">
        <f t="shared" si="11"/>
        <v>3.0185128661885101</v>
      </c>
      <c r="BE581" s="125">
        <f t="shared" si="11"/>
        <v>3.0969942007094113</v>
      </c>
      <c r="BF581" s="125">
        <f t="shared" si="11"/>
        <v>3.149643102121471</v>
      </c>
      <c r="BG581" s="125">
        <f t="shared" si="11"/>
        <v>3.2315338227766293</v>
      </c>
      <c r="BH581" s="125">
        <f t="shared" si="11"/>
        <v>3.3123221683460446</v>
      </c>
      <c r="BI581" s="125">
        <f t="shared" si="11"/>
        <v>3.4680013102583085</v>
      </c>
      <c r="BJ581" s="125">
        <f t="shared" si="11"/>
        <v>3.5824453534968326</v>
      </c>
      <c r="BK581" s="125">
        <f t="shared" si="11"/>
        <v>3.6576767059202657</v>
      </c>
      <c r="BL581" s="125">
        <f t="shared" si="11"/>
        <v>3.6979111496853885</v>
      </c>
      <c r="BM581" s="125">
        <f t="shared" si="11"/>
        <v>3.7644735503797255</v>
      </c>
      <c r="BN581" s="125">
        <f t="shared" si="11"/>
        <v>3.8171761800850419</v>
      </c>
      <c r="BO581" s="125">
        <f t="shared" si="11"/>
        <v>3.859165118065977</v>
      </c>
      <c r="BP581" s="125">
        <f t="shared" si="11"/>
        <v>3.9826584018440885</v>
      </c>
      <c r="BQ581" s="125">
        <f t="shared" si="11"/>
        <v>3.9946063770496205</v>
      </c>
      <c r="BR581" s="125">
        <f t="shared" si="12"/>
        <v>4.0545254727053646</v>
      </c>
      <c r="BS581" s="125">
        <f t="shared" si="12"/>
        <v>4.1599431349957046</v>
      </c>
      <c r="BT581" s="125">
        <f t="shared" si="12"/>
        <v>4.2556218271006054</v>
      </c>
      <c r="BU581" s="125">
        <f t="shared" si="12"/>
        <v>4.3747792382594222</v>
      </c>
      <c r="BV581" s="125">
        <f t="shared" si="12"/>
        <v>4.4185270306420161</v>
      </c>
      <c r="BW581" s="125">
        <f t="shared" si="12"/>
        <v>4.4538752468871525</v>
      </c>
      <c r="BX581" s="125">
        <f t="shared" si="12"/>
        <v>4.462782997380927</v>
      </c>
      <c r="BY581" s="125">
        <f t="shared" si="12"/>
        <v>4.5252619593442605</v>
      </c>
      <c r="BZ581" s="125">
        <f t="shared" si="12"/>
        <v>4.5795651028563915</v>
      </c>
      <c r="CA581" s="125">
        <f t="shared" si="12"/>
        <v>4.6986337955306574</v>
      </c>
      <c r="CB581" s="125">
        <f t="shared" si="12"/>
        <v>4.7738119362591478</v>
      </c>
      <c r="CC581" s="125">
        <f t="shared" si="12"/>
        <v>4.8597405511118126</v>
      </c>
      <c r="CD581" s="125">
        <f t="shared" si="12"/>
        <v>5.161044465280745</v>
      </c>
      <c r="CE581" s="125">
        <f t="shared" si="12"/>
        <v>5.5739280225032051</v>
      </c>
      <c r="CF581" s="125">
        <f t="shared" si="12"/>
        <v>5.729998007133295</v>
      </c>
      <c r="CG581" s="125">
        <f t="shared" si="12"/>
        <v>5.8274079732545605</v>
      </c>
    </row>
    <row r="582" spans="1:85">
      <c r="A582" s="3"/>
      <c r="B582" s="123">
        <v>1972</v>
      </c>
      <c r="C582" s="123"/>
      <c r="D582" s="3"/>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4">
        <v>1</v>
      </c>
      <c r="AF582" s="125">
        <f t="shared" si="9"/>
        <v>1.0740000000000001</v>
      </c>
      <c r="AG582" s="125">
        <f t="shared" si="9"/>
        <v>1.1609940000000001</v>
      </c>
      <c r="AH582" s="125">
        <f t="shared" si="9"/>
        <v>1.2747714120000002</v>
      </c>
      <c r="AI582" s="125">
        <f t="shared" si="9"/>
        <v>1.4111719530840001</v>
      </c>
      <c r="AJ582" s="125">
        <f t="shared" si="9"/>
        <v>1.5282992251899721</v>
      </c>
      <c r="AK582" s="125">
        <f t="shared" si="9"/>
        <v>1.6322235725028902</v>
      </c>
      <c r="AL582" s="125">
        <f t="shared" si="10"/>
        <v>1.7007769625480116</v>
      </c>
      <c r="AM582" s="125">
        <f t="shared" si="10"/>
        <v>1.7654064871248361</v>
      </c>
      <c r="AN582" s="125">
        <f t="shared" si="10"/>
        <v>1.8907503477106993</v>
      </c>
      <c r="AO582" s="125">
        <f t="shared" si="10"/>
        <v>2.0117583699641841</v>
      </c>
      <c r="AP582" s="125">
        <f t="shared" si="10"/>
        <v>2.1304521137920709</v>
      </c>
      <c r="AQ582" s="125">
        <f t="shared" si="10"/>
        <v>2.1858438687506649</v>
      </c>
      <c r="AR582" s="125">
        <f t="shared" si="10"/>
        <v>2.2470474970756835</v>
      </c>
      <c r="AS582" s="125">
        <f t="shared" si="10"/>
        <v>2.2987295895084241</v>
      </c>
      <c r="AT582" s="125">
        <f t="shared" si="10"/>
        <v>2.2872359415608821</v>
      </c>
      <c r="AU582" s="125">
        <f t="shared" si="10"/>
        <v>2.2918104134440038</v>
      </c>
      <c r="AV582" s="125">
        <f t="shared" si="10"/>
        <v>2.3124367071649998</v>
      </c>
      <c r="AW582" s="125">
        <f t="shared" si="10"/>
        <v>2.3378735109438145</v>
      </c>
      <c r="AX582" s="125">
        <f t="shared" si="10"/>
        <v>2.393982475206466</v>
      </c>
      <c r="AY582" s="125">
        <f t="shared" si="10"/>
        <v>2.5041056690659635</v>
      </c>
      <c r="AZ582" s="125">
        <f t="shared" si="10"/>
        <v>2.5917493674832719</v>
      </c>
      <c r="BA582" s="125">
        <f t="shared" si="10"/>
        <v>2.6435843548329374</v>
      </c>
      <c r="BB582" s="125">
        <f t="shared" si="11"/>
        <v>2.7123175480585937</v>
      </c>
      <c r="BC582" s="125">
        <f t="shared" si="11"/>
        <v>2.7530023112794724</v>
      </c>
      <c r="BD582" s="125">
        <f t="shared" si="11"/>
        <v>2.8053093551937822</v>
      </c>
      <c r="BE582" s="125">
        <f t="shared" si="11"/>
        <v>2.8782473984288206</v>
      </c>
      <c r="BF582" s="125">
        <f t="shared" si="11"/>
        <v>2.9271776042021105</v>
      </c>
      <c r="BG582" s="125">
        <f t="shared" si="11"/>
        <v>3.0032842219113656</v>
      </c>
      <c r="BH582" s="125">
        <f t="shared" si="11"/>
        <v>3.0783663274591495</v>
      </c>
      <c r="BI582" s="125">
        <f t="shared" si="11"/>
        <v>3.2230495448497294</v>
      </c>
      <c r="BJ582" s="125">
        <f t="shared" si="11"/>
        <v>3.3294101798297704</v>
      </c>
      <c r="BK582" s="125">
        <f t="shared" si="11"/>
        <v>3.3993277936061954</v>
      </c>
      <c r="BL582" s="125">
        <f t="shared" si="11"/>
        <v>3.4367203993358633</v>
      </c>
      <c r="BM582" s="125">
        <f t="shared" si="11"/>
        <v>3.4985813665239087</v>
      </c>
      <c r="BN582" s="125">
        <f t="shared" si="11"/>
        <v>3.5475615056552434</v>
      </c>
      <c r="BO582" s="125">
        <f t="shared" si="11"/>
        <v>3.5865846822174507</v>
      </c>
      <c r="BP582" s="125">
        <f t="shared" si="11"/>
        <v>3.7013553920484092</v>
      </c>
      <c r="BQ582" s="125">
        <f t="shared" si="11"/>
        <v>3.7124594582245543</v>
      </c>
      <c r="BR582" s="125">
        <f t="shared" si="12"/>
        <v>3.7681463500979224</v>
      </c>
      <c r="BS582" s="125">
        <f t="shared" si="12"/>
        <v>3.8661181552004686</v>
      </c>
      <c r="BT582" s="125">
        <f t="shared" si="12"/>
        <v>3.9550388727700789</v>
      </c>
      <c r="BU582" s="125">
        <f t="shared" si="12"/>
        <v>4.0657799612076415</v>
      </c>
      <c r="BV582" s="125">
        <f t="shared" si="12"/>
        <v>4.106437760819718</v>
      </c>
      <c r="BW582" s="125">
        <f t="shared" si="12"/>
        <v>4.1392892629062761</v>
      </c>
      <c r="BX582" s="125">
        <f t="shared" si="12"/>
        <v>4.1475678414320889</v>
      </c>
      <c r="BY582" s="125">
        <f t="shared" si="12"/>
        <v>4.2056337912121382</v>
      </c>
      <c r="BZ582" s="125">
        <f t="shared" si="12"/>
        <v>4.2561013967066836</v>
      </c>
      <c r="CA582" s="125">
        <f t="shared" si="12"/>
        <v>4.3667600330210572</v>
      </c>
      <c r="CB582" s="125">
        <f t="shared" si="12"/>
        <v>4.4366281935493941</v>
      </c>
      <c r="CC582" s="125">
        <f t="shared" si="12"/>
        <v>4.516487501033283</v>
      </c>
      <c r="CD582" s="125">
        <f t="shared" si="12"/>
        <v>4.796509726097347</v>
      </c>
      <c r="CE582" s="125">
        <f t="shared" si="12"/>
        <v>5.1802305041851353</v>
      </c>
      <c r="CF582" s="125">
        <f t="shared" si="12"/>
        <v>5.325276958302319</v>
      </c>
      <c r="CG582" s="125">
        <f t="shared" si="12"/>
        <v>5.4158066665934577</v>
      </c>
    </row>
    <row r="583" spans="1:85">
      <c r="A583" s="3"/>
      <c r="B583" s="123">
        <v>1973</v>
      </c>
      <c r="C583" s="123"/>
      <c r="D583" s="3"/>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4">
        <v>1</v>
      </c>
      <c r="AG583" s="125">
        <f t="shared" si="9"/>
        <v>1.081</v>
      </c>
      <c r="AH583" s="125">
        <f t="shared" si="9"/>
        <v>1.186938</v>
      </c>
      <c r="AI583" s="125">
        <f t="shared" si="9"/>
        <v>1.313940366</v>
      </c>
      <c r="AJ583" s="125">
        <f t="shared" si="9"/>
        <v>1.4229974163779999</v>
      </c>
      <c r="AK583" s="125">
        <f t="shared" si="9"/>
        <v>1.519761240691704</v>
      </c>
      <c r="AL583" s="125">
        <f t="shared" si="10"/>
        <v>1.5835912128007557</v>
      </c>
      <c r="AM583" s="125">
        <f t="shared" si="10"/>
        <v>1.6437676788871844</v>
      </c>
      <c r="AN583" s="125">
        <f t="shared" si="10"/>
        <v>1.7604751840881745</v>
      </c>
      <c r="AO583" s="125">
        <f t="shared" si="10"/>
        <v>1.8731455958698178</v>
      </c>
      <c r="AP583" s="125">
        <f t="shared" si="10"/>
        <v>1.9836611860261368</v>
      </c>
      <c r="AQ583" s="125">
        <f t="shared" si="10"/>
        <v>2.0352363768628163</v>
      </c>
      <c r="AR583" s="125">
        <f t="shared" si="10"/>
        <v>2.0922229954149754</v>
      </c>
      <c r="AS583" s="125">
        <f t="shared" si="10"/>
        <v>2.1403441243095198</v>
      </c>
      <c r="AT583" s="125">
        <f t="shared" si="10"/>
        <v>2.1296424036879724</v>
      </c>
      <c r="AU583" s="125">
        <f t="shared" si="10"/>
        <v>2.1339016884953486</v>
      </c>
      <c r="AV583" s="125">
        <f t="shared" si="10"/>
        <v>2.1531068036918066</v>
      </c>
      <c r="AW583" s="125">
        <f t="shared" si="10"/>
        <v>2.1767909785324164</v>
      </c>
      <c r="AX583" s="125">
        <f t="shared" si="10"/>
        <v>2.2290339620171946</v>
      </c>
      <c r="AY583" s="125">
        <f t="shared" si="10"/>
        <v>2.3315695242699856</v>
      </c>
      <c r="AZ583" s="125">
        <f t="shared" si="10"/>
        <v>2.4131744576194349</v>
      </c>
      <c r="BA583" s="125">
        <f t="shared" si="10"/>
        <v>2.4614379467718237</v>
      </c>
      <c r="BB583" s="125">
        <f t="shared" si="11"/>
        <v>2.5254353333878914</v>
      </c>
      <c r="BC583" s="125">
        <f t="shared" si="11"/>
        <v>2.5633168633887093</v>
      </c>
      <c r="BD583" s="125">
        <f t="shared" si="11"/>
        <v>2.6120198837930948</v>
      </c>
      <c r="BE583" s="125">
        <f t="shared" si="11"/>
        <v>2.6799324007717154</v>
      </c>
      <c r="BF583" s="125">
        <f t="shared" si="11"/>
        <v>2.7254912515848342</v>
      </c>
      <c r="BG583" s="125">
        <f t="shared" si="11"/>
        <v>2.7963540241260398</v>
      </c>
      <c r="BH583" s="125">
        <f t="shared" si="11"/>
        <v>2.8662628747291907</v>
      </c>
      <c r="BI583" s="125">
        <f t="shared" si="11"/>
        <v>3.0009772298414625</v>
      </c>
      <c r="BJ583" s="125">
        <f t="shared" si="11"/>
        <v>3.1000094784262306</v>
      </c>
      <c r="BK583" s="125">
        <f t="shared" si="11"/>
        <v>3.1651096774731813</v>
      </c>
      <c r="BL583" s="125">
        <f t="shared" si="11"/>
        <v>3.1999258839253861</v>
      </c>
      <c r="BM583" s="125">
        <f t="shared" si="11"/>
        <v>3.257524549836043</v>
      </c>
      <c r="BN583" s="125">
        <f t="shared" si="11"/>
        <v>3.3031298935337476</v>
      </c>
      <c r="BO583" s="125">
        <f t="shared" si="11"/>
        <v>3.3394643223626184</v>
      </c>
      <c r="BP583" s="125">
        <f t="shared" si="11"/>
        <v>3.4463271806782223</v>
      </c>
      <c r="BQ583" s="125">
        <f t="shared" si="11"/>
        <v>3.4566661622202566</v>
      </c>
      <c r="BR583" s="125">
        <f t="shared" si="12"/>
        <v>3.5085161546535599</v>
      </c>
      <c r="BS583" s="125">
        <f t="shared" si="12"/>
        <v>3.5997375746745526</v>
      </c>
      <c r="BT583" s="125">
        <f t="shared" si="12"/>
        <v>3.682531538892067</v>
      </c>
      <c r="BU583" s="125">
        <f t="shared" si="12"/>
        <v>3.7856424219810449</v>
      </c>
      <c r="BV583" s="125">
        <f t="shared" si="12"/>
        <v>3.8234988462008554</v>
      </c>
      <c r="BW583" s="125">
        <f t="shared" si="12"/>
        <v>3.8540868369704624</v>
      </c>
      <c r="BX583" s="125">
        <f t="shared" si="12"/>
        <v>3.8617950106444034</v>
      </c>
      <c r="BY583" s="125">
        <f t="shared" si="12"/>
        <v>3.9158601407934253</v>
      </c>
      <c r="BZ583" s="125">
        <f t="shared" si="12"/>
        <v>3.9628504624829466</v>
      </c>
      <c r="CA583" s="125">
        <f t="shared" si="12"/>
        <v>4.0658845745075034</v>
      </c>
      <c r="CB583" s="125">
        <f t="shared" si="12"/>
        <v>4.1309387276996237</v>
      </c>
      <c r="CC583" s="125">
        <f t="shared" si="12"/>
        <v>4.2052956247982172</v>
      </c>
      <c r="CD583" s="125">
        <f t="shared" si="12"/>
        <v>4.4660239535357071</v>
      </c>
      <c r="CE583" s="125">
        <f t="shared" si="12"/>
        <v>4.8233058698185642</v>
      </c>
      <c r="CF583" s="125">
        <f t="shared" si="12"/>
        <v>4.9583584341734843</v>
      </c>
      <c r="CG583" s="125">
        <f t="shared" si="12"/>
        <v>5.0426505275544331</v>
      </c>
    </row>
    <row r="584" spans="1:85">
      <c r="A584" s="3"/>
      <c r="B584" s="123">
        <v>1974</v>
      </c>
      <c r="C584" s="123"/>
      <c r="D584" s="3"/>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4">
        <v>1</v>
      </c>
      <c r="AH584" s="125">
        <f t="shared" si="9"/>
        <v>1.0980000000000001</v>
      </c>
      <c r="AI584" s="125">
        <f t="shared" si="9"/>
        <v>1.2154860000000001</v>
      </c>
      <c r="AJ584" s="125">
        <f t="shared" si="9"/>
        <v>1.3163713379999999</v>
      </c>
      <c r="AK584" s="125">
        <f t="shared" si="9"/>
        <v>1.4058845889839999</v>
      </c>
      <c r="AL584" s="125">
        <f t="shared" si="10"/>
        <v>1.4649317417213279</v>
      </c>
      <c r="AM584" s="125">
        <f t="shared" si="10"/>
        <v>1.5205991479067384</v>
      </c>
      <c r="AN584" s="125">
        <f t="shared" si="10"/>
        <v>1.6285616874081168</v>
      </c>
      <c r="AO584" s="125">
        <f t="shared" si="10"/>
        <v>1.7327896354022363</v>
      </c>
      <c r="AP584" s="125">
        <f t="shared" si="10"/>
        <v>1.8350242238909682</v>
      </c>
      <c r="AQ584" s="125">
        <f t="shared" si="10"/>
        <v>1.8827348537121333</v>
      </c>
      <c r="AR584" s="125">
        <f t="shared" si="10"/>
        <v>1.9354514296160732</v>
      </c>
      <c r="AS584" s="125">
        <f t="shared" si="10"/>
        <v>1.9799668124972427</v>
      </c>
      <c r="AT584" s="125">
        <f t="shared" si="10"/>
        <v>1.9700669784347564</v>
      </c>
      <c r="AU584" s="125">
        <f t="shared" si="10"/>
        <v>1.9740071123916259</v>
      </c>
      <c r="AV584" s="125">
        <f t="shared" si="10"/>
        <v>1.9917731764031503</v>
      </c>
      <c r="AW584" s="125">
        <f t="shared" si="10"/>
        <v>2.0136826813435849</v>
      </c>
      <c r="AX584" s="125">
        <f t="shared" si="10"/>
        <v>2.062011065695831</v>
      </c>
      <c r="AY584" s="125">
        <f t="shared" si="10"/>
        <v>2.1568635747178395</v>
      </c>
      <c r="AZ584" s="125">
        <f t="shared" si="10"/>
        <v>2.2323537998329637</v>
      </c>
      <c r="BA584" s="125">
        <f t="shared" si="10"/>
        <v>2.2770008758296232</v>
      </c>
      <c r="BB584" s="125">
        <f t="shared" si="11"/>
        <v>2.3362028986011936</v>
      </c>
      <c r="BC584" s="125">
        <f t="shared" si="11"/>
        <v>2.3712459420802112</v>
      </c>
      <c r="BD584" s="125">
        <f t="shared" si="11"/>
        <v>2.4162996149797351</v>
      </c>
      <c r="BE584" s="125">
        <f t="shared" si="11"/>
        <v>2.4791234049692084</v>
      </c>
      <c r="BF584" s="125">
        <f t="shared" si="11"/>
        <v>2.5212685028536845</v>
      </c>
      <c r="BG584" s="125">
        <f t="shared" si="11"/>
        <v>2.5868214839278805</v>
      </c>
      <c r="BH584" s="125">
        <f t="shared" si="11"/>
        <v>2.6514920210260771</v>
      </c>
      <c r="BI584" s="125">
        <f t="shared" si="11"/>
        <v>2.7761121460143023</v>
      </c>
      <c r="BJ584" s="125">
        <f t="shared" si="11"/>
        <v>2.8677238468327739</v>
      </c>
      <c r="BK584" s="125">
        <f t="shared" si="11"/>
        <v>2.927946047616262</v>
      </c>
      <c r="BL584" s="125">
        <f t="shared" si="11"/>
        <v>2.9601534541400407</v>
      </c>
      <c r="BM584" s="125">
        <f t="shared" si="11"/>
        <v>3.0134362163145614</v>
      </c>
      <c r="BN584" s="125">
        <f t="shared" si="11"/>
        <v>3.0556243233429652</v>
      </c>
      <c r="BO584" s="125">
        <f t="shared" si="11"/>
        <v>3.0892361908997374</v>
      </c>
      <c r="BP584" s="125">
        <f t="shared" si="11"/>
        <v>3.188091749008529</v>
      </c>
      <c r="BQ584" s="125">
        <f t="shared" si="11"/>
        <v>3.1976560242555543</v>
      </c>
      <c r="BR584" s="125">
        <f t="shared" si="12"/>
        <v>3.2456208646193874</v>
      </c>
      <c r="BS584" s="125">
        <f t="shared" si="12"/>
        <v>3.3300070070994914</v>
      </c>
      <c r="BT584" s="125">
        <f t="shared" si="12"/>
        <v>3.4065971682627794</v>
      </c>
      <c r="BU584" s="125">
        <f t="shared" si="12"/>
        <v>3.5019818889741372</v>
      </c>
      <c r="BV584" s="125">
        <f t="shared" si="12"/>
        <v>3.5370017078638787</v>
      </c>
      <c r="BW584" s="125">
        <f t="shared" si="12"/>
        <v>3.5652977215267896</v>
      </c>
      <c r="BX584" s="125">
        <f t="shared" si="12"/>
        <v>3.5724283169698432</v>
      </c>
      <c r="BY584" s="125">
        <f t="shared" si="12"/>
        <v>3.6224423134074208</v>
      </c>
      <c r="BZ584" s="125">
        <f t="shared" si="12"/>
        <v>3.66591162116831</v>
      </c>
      <c r="CA584" s="125">
        <f>BZ584*CA$553</f>
        <v>3.7612253233186861</v>
      </c>
      <c r="CB584" s="125">
        <f t="shared" si="12"/>
        <v>3.821404928491785</v>
      </c>
      <c r="CC584" s="125">
        <f t="shared" si="12"/>
        <v>3.8901902172046374</v>
      </c>
      <c r="CD584" s="125">
        <f t="shared" si="12"/>
        <v>4.1313820106713255</v>
      </c>
      <c r="CE584" s="125">
        <f t="shared" si="12"/>
        <v>4.4618925715250315</v>
      </c>
      <c r="CF584" s="125">
        <f t="shared" si="12"/>
        <v>4.5868255635277322</v>
      </c>
      <c r="CG584" s="125">
        <f t="shared" si="12"/>
        <v>4.6648015981077036</v>
      </c>
    </row>
    <row r="585" spans="1:85">
      <c r="A585" s="3"/>
      <c r="B585" s="123">
        <v>1975</v>
      </c>
      <c r="C585" s="123"/>
      <c r="D585" s="3"/>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4">
        <v>1</v>
      </c>
      <c r="AI585" s="125">
        <f t="shared" si="9"/>
        <v>1.107</v>
      </c>
      <c r="AJ585" s="125">
        <f t="shared" si="9"/>
        <v>1.1988809999999999</v>
      </c>
      <c r="AK585" s="125">
        <f t="shared" si="9"/>
        <v>1.280404908</v>
      </c>
      <c r="AL585" s="125">
        <f t="shared" si="10"/>
        <v>1.3341819141360001</v>
      </c>
      <c r="AM585" s="125">
        <f t="shared" si="10"/>
        <v>1.384880826873168</v>
      </c>
      <c r="AN585" s="125">
        <f t="shared" si="10"/>
        <v>1.4832073655811628</v>
      </c>
      <c r="AO585" s="125">
        <f t="shared" si="10"/>
        <v>1.5781326369783573</v>
      </c>
      <c r="AP585" s="125">
        <f t="shared" si="10"/>
        <v>1.6712424625600804</v>
      </c>
      <c r="AQ585" s="125">
        <f t="shared" si="10"/>
        <v>1.7146947665866425</v>
      </c>
      <c r="AR585" s="125">
        <f t="shared" si="10"/>
        <v>1.7627062200510686</v>
      </c>
      <c r="AS585" s="125">
        <f t="shared" si="10"/>
        <v>1.803248463112243</v>
      </c>
      <c r="AT585" s="125">
        <f t="shared" si="10"/>
        <v>1.7942322207966817</v>
      </c>
      <c r="AU585" s="125">
        <f t="shared" si="10"/>
        <v>1.797820685238275</v>
      </c>
      <c r="AV585" s="125">
        <f t="shared" si="10"/>
        <v>1.8140010714054193</v>
      </c>
      <c r="AW585" s="125">
        <f t="shared" si="10"/>
        <v>1.8339550831908789</v>
      </c>
      <c r="AX585" s="125">
        <f t="shared" si="10"/>
        <v>1.8779700051874599</v>
      </c>
      <c r="AY585" s="125">
        <f t="shared" si="10"/>
        <v>1.9643566254260831</v>
      </c>
      <c r="AZ585" s="125">
        <f t="shared" si="10"/>
        <v>2.0331091073159957</v>
      </c>
      <c r="BA585" s="125">
        <f t="shared" si="10"/>
        <v>2.0737712894623157</v>
      </c>
      <c r="BB585" s="125">
        <f t="shared" si="11"/>
        <v>2.1276893429883361</v>
      </c>
      <c r="BC585" s="125">
        <f t="shared" si="11"/>
        <v>2.159604683133161</v>
      </c>
      <c r="BD585" s="125">
        <f t="shared" si="11"/>
        <v>2.2006371721126907</v>
      </c>
      <c r="BE585" s="125">
        <f t="shared" si="11"/>
        <v>2.2578537385876207</v>
      </c>
      <c r="BF585" s="125">
        <f t="shared" si="11"/>
        <v>2.2962372521436101</v>
      </c>
      <c r="BG585" s="125">
        <f t="shared" si="11"/>
        <v>2.355939420699344</v>
      </c>
      <c r="BH585" s="125">
        <f t="shared" si="11"/>
        <v>2.4148379062168273</v>
      </c>
      <c r="BI585" s="125">
        <f t="shared" si="11"/>
        <v>2.5283352878090182</v>
      </c>
      <c r="BJ585" s="125">
        <f t="shared" si="11"/>
        <v>2.6117703523067157</v>
      </c>
      <c r="BK585" s="125">
        <f t="shared" si="11"/>
        <v>2.6666175297051566</v>
      </c>
      <c r="BL585" s="125">
        <f t="shared" si="11"/>
        <v>2.695950322531913</v>
      </c>
      <c r="BM585" s="125">
        <f t="shared" si="11"/>
        <v>2.7444774283374875</v>
      </c>
      <c r="BN585" s="125">
        <f t="shared" si="11"/>
        <v>2.7829001123342123</v>
      </c>
      <c r="BO585" s="125">
        <f t="shared" si="11"/>
        <v>2.8135120135698886</v>
      </c>
      <c r="BP585" s="125">
        <f t="shared" si="11"/>
        <v>2.9035443980041249</v>
      </c>
      <c r="BQ585" s="125">
        <f t="shared" si="11"/>
        <v>2.912255031198137</v>
      </c>
      <c r="BR585" s="125">
        <f t="shared" si="12"/>
        <v>2.9559388566661089</v>
      </c>
      <c r="BS585" s="125">
        <f t="shared" si="12"/>
        <v>3.0327932669394277</v>
      </c>
      <c r="BT585" s="125">
        <f t="shared" si="12"/>
        <v>3.1025475120790342</v>
      </c>
      <c r="BU585" s="125">
        <f t="shared" si="12"/>
        <v>3.1894188424172474</v>
      </c>
      <c r="BV585" s="125">
        <f t="shared" si="12"/>
        <v>3.22131303084142</v>
      </c>
      <c r="BW585" s="125">
        <f t="shared" si="12"/>
        <v>3.2470835350881515</v>
      </c>
      <c r="BX585" s="125">
        <f t="shared" si="12"/>
        <v>3.2535777021583279</v>
      </c>
      <c r="BY585" s="125">
        <f t="shared" si="12"/>
        <v>3.2991277899885443</v>
      </c>
      <c r="BZ585" s="125">
        <f t="shared" si="12"/>
        <v>3.3387173234684067</v>
      </c>
      <c r="CA585" s="125">
        <f t="shared" si="12"/>
        <v>3.4255239738785854</v>
      </c>
      <c r="CB585" s="125">
        <f t="shared" si="12"/>
        <v>3.4803323574606426</v>
      </c>
      <c r="CC585" s="125">
        <f t="shared" si="12"/>
        <v>3.5429783398949342</v>
      </c>
      <c r="CD585" s="125">
        <f t="shared" si="12"/>
        <v>3.7626429969684203</v>
      </c>
      <c r="CE585" s="125">
        <f t="shared" si="12"/>
        <v>4.0636544367258942</v>
      </c>
      <c r="CF585" s="125">
        <f t="shared" si="12"/>
        <v>4.1774367609542198</v>
      </c>
      <c r="CG585" s="125">
        <f t="shared" si="12"/>
        <v>4.2484531858904413</v>
      </c>
    </row>
    <row r="586" spans="1:85">
      <c r="A586" s="3"/>
      <c r="B586" s="123">
        <v>1976</v>
      </c>
      <c r="C586" s="123"/>
      <c r="D586" s="3"/>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4">
        <v>1</v>
      </c>
      <c r="AJ586" s="125">
        <f t="shared" si="9"/>
        <v>1.083</v>
      </c>
      <c r="AK586" s="125">
        <f t="shared" si="9"/>
        <v>1.156644</v>
      </c>
      <c r="AL586" s="125">
        <f t="shared" si="10"/>
        <v>1.2052230480000001</v>
      </c>
      <c r="AM586" s="125">
        <f t="shared" si="10"/>
        <v>1.2510215238240001</v>
      </c>
      <c r="AN586" s="125">
        <f t="shared" si="10"/>
        <v>1.3398440520155042</v>
      </c>
      <c r="AO586" s="125">
        <f t="shared" si="10"/>
        <v>1.4255940713444966</v>
      </c>
      <c r="AP586" s="125">
        <f t="shared" si="10"/>
        <v>1.5097041215538218</v>
      </c>
      <c r="AQ586" s="125">
        <f t="shared" si="10"/>
        <v>1.5489564287142212</v>
      </c>
      <c r="AR586" s="125">
        <f t="shared" si="10"/>
        <v>1.5923272087182194</v>
      </c>
      <c r="AS586" s="125">
        <f t="shared" si="10"/>
        <v>1.6289507345187384</v>
      </c>
      <c r="AT586" s="125">
        <f t="shared" si="10"/>
        <v>1.6208059808461448</v>
      </c>
      <c r="AU586" s="125">
        <f t="shared" si="10"/>
        <v>1.6240475928078371</v>
      </c>
      <c r="AV586" s="125">
        <f t="shared" si="10"/>
        <v>1.6386640211431074</v>
      </c>
      <c r="AW586" s="125">
        <f t="shared" si="10"/>
        <v>1.6566893253756814</v>
      </c>
      <c r="AX586" s="125">
        <f t="shared" si="10"/>
        <v>1.6964498691846976</v>
      </c>
      <c r="AY586" s="125">
        <f t="shared" si="10"/>
        <v>1.7744865631671938</v>
      </c>
      <c r="AZ586" s="125">
        <f t="shared" si="10"/>
        <v>1.8365935928780455</v>
      </c>
      <c r="BA586" s="125">
        <f t="shared" si="10"/>
        <v>1.8733254647356063</v>
      </c>
      <c r="BB586" s="125">
        <f t="shared" si="11"/>
        <v>1.9220319268187323</v>
      </c>
      <c r="BC586" s="125">
        <f t="shared" si="11"/>
        <v>1.9508624057210131</v>
      </c>
      <c r="BD586" s="125">
        <f t="shared" si="11"/>
        <v>1.9879287914297121</v>
      </c>
      <c r="BE586" s="125">
        <f t="shared" si="11"/>
        <v>2.0396149400068846</v>
      </c>
      <c r="BF586" s="125">
        <f t="shared" si="11"/>
        <v>2.0742883939870014</v>
      </c>
      <c r="BG586" s="125">
        <f t="shared" si="11"/>
        <v>2.1282198922306637</v>
      </c>
      <c r="BH586" s="125">
        <f t="shared" si="11"/>
        <v>2.1814253895364302</v>
      </c>
      <c r="BI586" s="125">
        <f t="shared" si="11"/>
        <v>2.2839523828446424</v>
      </c>
      <c r="BJ586" s="125">
        <f t="shared" si="11"/>
        <v>2.3593228114785156</v>
      </c>
      <c r="BK586" s="125">
        <f t="shared" si="11"/>
        <v>2.4088685905195644</v>
      </c>
      <c r="BL586" s="125">
        <f t="shared" si="11"/>
        <v>2.4353661450152795</v>
      </c>
      <c r="BM586" s="125">
        <f t="shared" si="11"/>
        <v>2.4792027356255546</v>
      </c>
      <c r="BN586" s="125">
        <f t="shared" si="11"/>
        <v>2.5139115739243123</v>
      </c>
      <c r="BO586" s="125">
        <f t="shared" si="11"/>
        <v>2.5415646012374795</v>
      </c>
      <c r="BP586" s="125">
        <f t="shared" si="11"/>
        <v>2.6228946684770791</v>
      </c>
      <c r="BQ586" s="125">
        <f t="shared" si="11"/>
        <v>2.6307633524825103</v>
      </c>
      <c r="BR586" s="125">
        <f t="shared" si="12"/>
        <v>2.6702248027697477</v>
      </c>
      <c r="BS586" s="125">
        <f t="shared" si="12"/>
        <v>2.7396506476417612</v>
      </c>
      <c r="BT586" s="125">
        <f t="shared" si="12"/>
        <v>2.8026626125375214</v>
      </c>
      <c r="BU586" s="125">
        <f t="shared" si="12"/>
        <v>2.881137165688572</v>
      </c>
      <c r="BV586" s="125">
        <f t="shared" si="12"/>
        <v>2.9099485373454579</v>
      </c>
      <c r="BW586" s="125">
        <f t="shared" si="12"/>
        <v>2.9332281256442214</v>
      </c>
      <c r="BX586" s="125">
        <f t="shared" si="12"/>
        <v>2.9390945818955099</v>
      </c>
      <c r="BY586" s="125">
        <f t="shared" si="12"/>
        <v>2.9802419060420471</v>
      </c>
      <c r="BZ586" s="125">
        <f t="shared" si="12"/>
        <v>3.0160048089145515</v>
      </c>
      <c r="CA586" s="125">
        <f t="shared" si="12"/>
        <v>3.09442093394633</v>
      </c>
      <c r="CB586" s="125">
        <f t="shared" si="12"/>
        <v>3.1439316688894712</v>
      </c>
      <c r="CC586" s="125">
        <f t="shared" si="12"/>
        <v>3.2005224389294815</v>
      </c>
      <c r="CD586" s="125">
        <f t="shared" si="12"/>
        <v>3.3989548301431096</v>
      </c>
      <c r="CE586" s="125">
        <f t="shared" si="12"/>
        <v>3.6708712165545587</v>
      </c>
      <c r="CF586" s="125">
        <f t="shared" si="12"/>
        <v>3.7736556106180865</v>
      </c>
      <c r="CG586" s="125">
        <f t="shared" si="12"/>
        <v>3.8378077559985937</v>
      </c>
    </row>
    <row r="587" spans="1:85">
      <c r="A587" s="3"/>
      <c r="B587" s="123">
        <v>1977</v>
      </c>
      <c r="C587" s="123"/>
      <c r="D587" s="3"/>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4">
        <v>1</v>
      </c>
      <c r="AK587" s="125">
        <f t="shared" si="9"/>
        <v>1.0680000000000001</v>
      </c>
      <c r="AL587" s="125">
        <f t="shared" si="10"/>
        <v>1.1128560000000001</v>
      </c>
      <c r="AM587" s="125">
        <f t="shared" si="10"/>
        <v>1.1551445280000001</v>
      </c>
      <c r="AN587" s="125">
        <f t="shared" si="10"/>
        <v>1.237159789488</v>
      </c>
      <c r="AO587" s="125">
        <f t="shared" si="10"/>
        <v>1.316338016015232</v>
      </c>
      <c r="AP587" s="125">
        <f t="shared" si="10"/>
        <v>1.3940019589601307</v>
      </c>
      <c r="AQ587" s="125">
        <f t="shared" si="10"/>
        <v>1.430246009893094</v>
      </c>
      <c r="AR587" s="125">
        <f t="shared" si="10"/>
        <v>1.4702928981701007</v>
      </c>
      <c r="AS587" s="125">
        <f t="shared" si="10"/>
        <v>1.5041096348280127</v>
      </c>
      <c r="AT587" s="125">
        <f t="shared" si="10"/>
        <v>1.4965890866538727</v>
      </c>
      <c r="AU587" s="125">
        <f t="shared" si="10"/>
        <v>1.4995822648271804</v>
      </c>
      <c r="AV587" s="125">
        <f t="shared" si="10"/>
        <v>1.5130785052106248</v>
      </c>
      <c r="AW587" s="125">
        <f t="shared" si="10"/>
        <v>1.5297223687679415</v>
      </c>
      <c r="AX587" s="125">
        <f t="shared" si="10"/>
        <v>1.5664357056183722</v>
      </c>
      <c r="AY587" s="125">
        <f t="shared" si="10"/>
        <v>1.6384917480768173</v>
      </c>
      <c r="AZ587" s="125">
        <f t="shared" si="10"/>
        <v>1.6958389592595058</v>
      </c>
      <c r="BA587" s="125">
        <f t="shared" ref="BA587:BO603" si="13">AZ587*BA$553</f>
        <v>1.729755738444696</v>
      </c>
      <c r="BB587" s="125">
        <f t="shared" si="11"/>
        <v>1.774729387644258</v>
      </c>
      <c r="BC587" s="125">
        <f t="shared" si="11"/>
        <v>1.8013503284589216</v>
      </c>
      <c r="BD587" s="125">
        <f t="shared" si="11"/>
        <v>1.8355759846996409</v>
      </c>
      <c r="BE587" s="125">
        <f t="shared" si="11"/>
        <v>1.8833009603018316</v>
      </c>
      <c r="BF587" s="125">
        <f t="shared" si="11"/>
        <v>1.9153170766269625</v>
      </c>
      <c r="BG587" s="125">
        <f t="shared" si="11"/>
        <v>1.9651153206192635</v>
      </c>
      <c r="BH587" s="125">
        <f t="shared" si="11"/>
        <v>2.0142432036347451</v>
      </c>
      <c r="BI587" s="125">
        <f t="shared" si="11"/>
        <v>2.108912634205578</v>
      </c>
      <c r="BJ587" s="125">
        <f t="shared" si="11"/>
        <v>2.1785067511343619</v>
      </c>
      <c r="BK587" s="125">
        <f t="shared" si="11"/>
        <v>2.2242553929081832</v>
      </c>
      <c r="BL587" s="125">
        <f t="shared" si="11"/>
        <v>2.2487222022301729</v>
      </c>
      <c r="BM587" s="125">
        <f t="shared" si="11"/>
        <v>2.289199201870316</v>
      </c>
      <c r="BN587" s="125">
        <f t="shared" si="11"/>
        <v>2.3212479906965005</v>
      </c>
      <c r="BO587" s="125">
        <f t="shared" si="11"/>
        <v>2.3467817185941615</v>
      </c>
      <c r="BP587" s="125">
        <f t="shared" si="11"/>
        <v>2.4218787335891747</v>
      </c>
      <c r="BQ587" s="125">
        <f t="shared" ref="BP587:CE603" si="14">BP587*BQ$553</f>
        <v>2.4291443697899422</v>
      </c>
      <c r="BR587" s="125">
        <f t="shared" si="12"/>
        <v>2.4655815353367911</v>
      </c>
      <c r="BS587" s="125">
        <f t="shared" si="12"/>
        <v>2.5296866552555479</v>
      </c>
      <c r="BT587" s="125">
        <f t="shared" si="12"/>
        <v>2.5878694483264253</v>
      </c>
      <c r="BU587" s="125">
        <f t="shared" si="12"/>
        <v>2.6603297928795651</v>
      </c>
      <c r="BV587" s="125">
        <f t="shared" si="12"/>
        <v>2.6869330908083606</v>
      </c>
      <c r="BW587" s="125">
        <f t="shared" si="12"/>
        <v>2.7084285555348275</v>
      </c>
      <c r="BX587" s="125">
        <f t="shared" si="12"/>
        <v>2.7138454126458971</v>
      </c>
      <c r="BY587" s="125">
        <f t="shared" si="12"/>
        <v>2.7518392484229395</v>
      </c>
      <c r="BZ587" s="125">
        <f t="shared" si="12"/>
        <v>2.7848613194040146</v>
      </c>
      <c r="CA587" s="125">
        <f t="shared" si="12"/>
        <v>2.8572677137085192</v>
      </c>
      <c r="CB587" s="125">
        <f t="shared" si="12"/>
        <v>2.9029839971278557</v>
      </c>
      <c r="CC587" s="125">
        <f t="shared" si="12"/>
        <v>2.9552377090761572</v>
      </c>
      <c r="CD587" s="125">
        <f t="shared" si="12"/>
        <v>3.1384624470388793</v>
      </c>
      <c r="CE587" s="125">
        <f t="shared" si="12"/>
        <v>3.3895394428019898</v>
      </c>
      <c r="CF587" s="125">
        <f t="shared" si="12"/>
        <v>3.4844465472004456</v>
      </c>
      <c r="CG587" s="125">
        <f t="shared" si="12"/>
        <v>3.5436821385028527</v>
      </c>
    </row>
    <row r="588" spans="1:85">
      <c r="A588" s="3"/>
      <c r="B588" s="123">
        <v>1978</v>
      </c>
      <c r="C588" s="123"/>
      <c r="D588" s="3"/>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4">
        <v>1</v>
      </c>
      <c r="AL588" s="125">
        <f t="shared" ref="AL588:AZ602" si="15">AK588*AL$553</f>
        <v>1.042</v>
      </c>
      <c r="AM588" s="125">
        <f t="shared" si="15"/>
        <v>1.081596</v>
      </c>
      <c r="AN588" s="125">
        <f t="shared" si="15"/>
        <v>1.1583893160000001</v>
      </c>
      <c r="AO588" s="125">
        <f t="shared" si="15"/>
        <v>1.232526232224</v>
      </c>
      <c r="AP588" s="125">
        <f t="shared" si="15"/>
        <v>1.3052452799252159</v>
      </c>
      <c r="AQ588" s="125">
        <f t="shared" si="15"/>
        <v>1.3391816572032715</v>
      </c>
      <c r="AR588" s="125">
        <f t="shared" si="15"/>
        <v>1.3766787436049632</v>
      </c>
      <c r="AS588" s="125">
        <f t="shared" si="15"/>
        <v>1.4083423547078773</v>
      </c>
      <c r="AT588" s="125">
        <f t="shared" si="15"/>
        <v>1.401300642934338</v>
      </c>
      <c r="AU588" s="125">
        <f t="shared" si="15"/>
        <v>1.4041032442202066</v>
      </c>
      <c r="AV588" s="125">
        <f t="shared" si="15"/>
        <v>1.4167401734181884</v>
      </c>
      <c r="AW588" s="125">
        <f t="shared" si="15"/>
        <v>1.4323243153257883</v>
      </c>
      <c r="AX588" s="125">
        <f t="shared" si="15"/>
        <v>1.4667000988936072</v>
      </c>
      <c r="AY588" s="125">
        <f t="shared" si="15"/>
        <v>1.5341683034427132</v>
      </c>
      <c r="AZ588" s="125">
        <f t="shared" si="15"/>
        <v>1.5878641940632079</v>
      </c>
      <c r="BA588" s="125">
        <f t="shared" si="13"/>
        <v>1.619621477944472</v>
      </c>
      <c r="BB588" s="125">
        <f t="shared" si="13"/>
        <v>1.6617316363710284</v>
      </c>
      <c r="BC588" s="125">
        <f t="shared" si="13"/>
        <v>1.6866576109165936</v>
      </c>
      <c r="BD588" s="125">
        <f t="shared" si="13"/>
        <v>1.7187041055240087</v>
      </c>
      <c r="BE588" s="125">
        <f t="shared" si="13"/>
        <v>1.7633904122676329</v>
      </c>
      <c r="BF588" s="125">
        <f t="shared" si="13"/>
        <v>1.7933680492761825</v>
      </c>
      <c r="BG588" s="125">
        <f t="shared" si="13"/>
        <v>1.8399956185573634</v>
      </c>
      <c r="BH588" s="125">
        <f t="shared" si="13"/>
        <v>1.8859955090212972</v>
      </c>
      <c r="BI588" s="125">
        <f t="shared" si="13"/>
        <v>1.974637297945298</v>
      </c>
      <c r="BJ588" s="125">
        <f t="shared" si="13"/>
        <v>2.0398003287774928</v>
      </c>
      <c r="BK588" s="125">
        <f t="shared" si="13"/>
        <v>2.0826361356818199</v>
      </c>
      <c r="BL588" s="125">
        <f t="shared" si="13"/>
        <v>2.1055451331743198</v>
      </c>
      <c r="BM588" s="125">
        <f t="shared" si="13"/>
        <v>2.1434449455714577</v>
      </c>
      <c r="BN588" s="125">
        <f t="shared" si="13"/>
        <v>2.1734531748094583</v>
      </c>
      <c r="BO588" s="125">
        <f t="shared" si="13"/>
        <v>2.1973611597323623</v>
      </c>
      <c r="BP588" s="125">
        <f t="shared" si="14"/>
        <v>2.2676767168437979</v>
      </c>
      <c r="BQ588" s="125">
        <f t="shared" si="14"/>
        <v>2.274479746994329</v>
      </c>
      <c r="BR588" s="125">
        <f t="shared" si="14"/>
        <v>2.3085969431992437</v>
      </c>
      <c r="BS588" s="125">
        <f t="shared" si="14"/>
        <v>2.368620463722424</v>
      </c>
      <c r="BT588" s="125">
        <f t="shared" si="14"/>
        <v>2.4230987343880397</v>
      </c>
      <c r="BU588" s="125">
        <f t="shared" si="14"/>
        <v>2.490945498950905</v>
      </c>
      <c r="BV588" s="125">
        <f t="shared" si="14"/>
        <v>2.5158549539404143</v>
      </c>
      <c r="BW588" s="125">
        <f t="shared" si="14"/>
        <v>2.5359817935719375</v>
      </c>
      <c r="BX588" s="125">
        <f t="shared" si="14"/>
        <v>2.5410537571590814</v>
      </c>
      <c r="BY588" s="125">
        <f t="shared" si="14"/>
        <v>2.5766285097593085</v>
      </c>
      <c r="BZ588" s="125">
        <f t="shared" si="14"/>
        <v>2.60754805187642</v>
      </c>
      <c r="CA588" s="125">
        <f t="shared" si="14"/>
        <v>2.6753443012252069</v>
      </c>
      <c r="CB588" s="125">
        <f t="shared" si="14"/>
        <v>2.7181498100448103</v>
      </c>
      <c r="CC588" s="125">
        <f t="shared" si="14"/>
        <v>2.7670765066256169</v>
      </c>
      <c r="CD588" s="125">
        <f t="shared" si="14"/>
        <v>2.9386352500364055</v>
      </c>
      <c r="CE588" s="125">
        <f t="shared" si="14"/>
        <v>3.1737260700393182</v>
      </c>
      <c r="CF588" s="125">
        <f t="shared" ref="CF588:CG619" si="16">CE588*CF$553</f>
        <v>3.2625904000004193</v>
      </c>
      <c r="CG588" s="125">
        <f t="shared" si="16"/>
        <v>3.3180544368004261</v>
      </c>
    </row>
    <row r="589" spans="1:85">
      <c r="A589" s="3"/>
      <c r="B589" s="123">
        <v>1979</v>
      </c>
      <c r="C589" s="123"/>
      <c r="D589" s="3"/>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4">
        <v>1</v>
      </c>
      <c r="AM589" s="125">
        <f t="shared" si="15"/>
        <v>1.038</v>
      </c>
      <c r="AN589" s="125">
        <f t="shared" si="15"/>
        <v>1.1116980000000001</v>
      </c>
      <c r="AO589" s="125">
        <f t="shared" si="15"/>
        <v>1.1828466720000002</v>
      </c>
      <c r="AP589" s="125">
        <f t="shared" si="15"/>
        <v>1.2526346256480001</v>
      </c>
      <c r="AQ589" s="125">
        <f t="shared" si="15"/>
        <v>1.2852031259148482</v>
      </c>
      <c r="AR589" s="125">
        <f t="shared" si="15"/>
        <v>1.3211888134404639</v>
      </c>
      <c r="AS589" s="125">
        <f t="shared" si="15"/>
        <v>1.3515761561495945</v>
      </c>
      <c r="AT589" s="125">
        <f t="shared" si="15"/>
        <v>1.3448182753688465</v>
      </c>
      <c r="AU589" s="125">
        <f t="shared" si="15"/>
        <v>1.3475079119195841</v>
      </c>
      <c r="AV589" s="125">
        <f t="shared" si="15"/>
        <v>1.3596354831268602</v>
      </c>
      <c r="AW589" s="125">
        <f t="shared" si="15"/>
        <v>1.3745914734412557</v>
      </c>
      <c r="AX589" s="125">
        <f t="shared" si="15"/>
        <v>1.4075816688038458</v>
      </c>
      <c r="AY589" s="125">
        <f t="shared" si="15"/>
        <v>1.4723304255688228</v>
      </c>
      <c r="AZ589" s="125">
        <f t="shared" si="15"/>
        <v>1.5238619904637314</v>
      </c>
      <c r="BA589" s="125">
        <f t="shared" si="13"/>
        <v>1.5543392302730061</v>
      </c>
      <c r="BB589" s="125">
        <f t="shared" si="13"/>
        <v>1.5947520502601042</v>
      </c>
      <c r="BC589" s="125">
        <f t="shared" si="13"/>
        <v>1.6186733310140056</v>
      </c>
      <c r="BD589" s="125">
        <f t="shared" si="13"/>
        <v>1.6494281243032716</v>
      </c>
      <c r="BE589" s="125">
        <f t="shared" si="13"/>
        <v>1.6923132555351568</v>
      </c>
      <c r="BF589" s="125">
        <f t="shared" si="13"/>
        <v>1.7210825808792543</v>
      </c>
      <c r="BG589" s="125">
        <f t="shared" si="13"/>
        <v>1.7658307279821148</v>
      </c>
      <c r="BH589" s="125">
        <f t="shared" si="13"/>
        <v>1.8099764961816676</v>
      </c>
      <c r="BI589" s="125">
        <f t="shared" si="13"/>
        <v>1.8950453915022059</v>
      </c>
      <c r="BJ589" s="125">
        <f t="shared" si="13"/>
        <v>1.9575818894217785</v>
      </c>
      <c r="BK589" s="125">
        <f t="shared" si="13"/>
        <v>1.9986911090996355</v>
      </c>
      <c r="BL589" s="125">
        <f t="shared" si="13"/>
        <v>2.0206767112997315</v>
      </c>
      <c r="BM589" s="125">
        <f t="shared" si="13"/>
        <v>2.0570488921031265</v>
      </c>
      <c r="BN589" s="125">
        <f t="shared" si="13"/>
        <v>2.0858475765925704</v>
      </c>
      <c r="BO589" s="125">
        <f t="shared" si="13"/>
        <v>2.1087918999350883</v>
      </c>
      <c r="BP589" s="125">
        <f t="shared" si="14"/>
        <v>2.176273240733011</v>
      </c>
      <c r="BQ589" s="125">
        <f t="shared" si="14"/>
        <v>2.1828020604552099</v>
      </c>
      <c r="BR589" s="125">
        <f t="shared" si="14"/>
        <v>2.2155440913620379</v>
      </c>
      <c r="BS589" s="125">
        <f t="shared" si="14"/>
        <v>2.273148237737451</v>
      </c>
      <c r="BT589" s="125">
        <f t="shared" si="14"/>
        <v>2.3254306472054123</v>
      </c>
      <c r="BU589" s="125">
        <f t="shared" si="14"/>
        <v>2.3905427053271637</v>
      </c>
      <c r="BV589" s="125">
        <f t="shared" si="14"/>
        <v>2.4144481323804352</v>
      </c>
      <c r="BW589" s="125">
        <f t="shared" si="14"/>
        <v>2.4337637174394788</v>
      </c>
      <c r="BX589" s="125">
        <f t="shared" si="14"/>
        <v>2.4386312448743577</v>
      </c>
      <c r="BY589" s="125">
        <f t="shared" si="14"/>
        <v>2.4727720823025989</v>
      </c>
      <c r="BZ589" s="125">
        <f t="shared" si="14"/>
        <v>2.5024453472902302</v>
      </c>
      <c r="CA589" s="125">
        <f t="shared" si="14"/>
        <v>2.5675089263197761</v>
      </c>
      <c r="CB589" s="125">
        <f t="shared" si="14"/>
        <v>2.6085890691408924</v>
      </c>
      <c r="CC589" s="125">
        <f t="shared" si="14"/>
        <v>2.6555436723854284</v>
      </c>
      <c r="CD589" s="125">
        <f t="shared" si="14"/>
        <v>2.820187380073325</v>
      </c>
      <c r="CE589" s="125">
        <f t="shared" si="14"/>
        <v>3.0458023704791914</v>
      </c>
      <c r="CF589" s="125">
        <f t="shared" si="16"/>
        <v>3.131084836852609</v>
      </c>
      <c r="CG589" s="125">
        <f t="shared" si="16"/>
        <v>3.1843132790791029</v>
      </c>
    </row>
    <row r="590" spans="1:85">
      <c r="A590" s="3"/>
      <c r="B590" s="123">
        <v>1980</v>
      </c>
      <c r="C590" s="123"/>
      <c r="D590" s="3"/>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4">
        <v>1</v>
      </c>
      <c r="AN590" s="125">
        <f t="shared" si="15"/>
        <v>1.071</v>
      </c>
      <c r="AO590" s="125">
        <f t="shared" si="15"/>
        <v>1.1395440000000001</v>
      </c>
      <c r="AP590" s="125">
        <f t="shared" si="15"/>
        <v>1.2067770960000002</v>
      </c>
      <c r="AQ590" s="125">
        <f t="shared" si="15"/>
        <v>1.2381533004960001</v>
      </c>
      <c r="AR590" s="125">
        <f t="shared" si="15"/>
        <v>1.2728215929098883</v>
      </c>
      <c r="AS590" s="125">
        <f t="shared" si="15"/>
        <v>1.3020964895468157</v>
      </c>
      <c r="AT590" s="125">
        <f t="shared" si="15"/>
        <v>1.2955860070990817</v>
      </c>
      <c r="AU590" s="125">
        <f t="shared" si="15"/>
        <v>1.2981771791132799</v>
      </c>
      <c r="AV590" s="125">
        <f t="shared" si="15"/>
        <v>1.3098607737252992</v>
      </c>
      <c r="AW590" s="125">
        <f t="shared" si="15"/>
        <v>1.3242692422362774</v>
      </c>
      <c r="AX590" s="125">
        <f t="shared" si="15"/>
        <v>1.356051704049948</v>
      </c>
      <c r="AY590" s="125">
        <f t="shared" si="15"/>
        <v>1.4184300824362457</v>
      </c>
      <c r="AZ590" s="125">
        <f t="shared" si="15"/>
        <v>1.4680751353215142</v>
      </c>
      <c r="BA590" s="125">
        <f t="shared" si="13"/>
        <v>1.4974366380279445</v>
      </c>
      <c r="BB590" s="125">
        <f t="shared" si="13"/>
        <v>1.536369990616671</v>
      </c>
      <c r="BC590" s="125">
        <f t="shared" si="13"/>
        <v>1.5594155404759209</v>
      </c>
      <c r="BD590" s="125">
        <f t="shared" si="13"/>
        <v>1.5890444357449633</v>
      </c>
      <c r="BE590" s="125">
        <f t="shared" si="13"/>
        <v>1.6303595910743325</v>
      </c>
      <c r="BF590" s="125">
        <f t="shared" si="13"/>
        <v>1.658075704122596</v>
      </c>
      <c r="BG590" s="125">
        <f t="shared" si="13"/>
        <v>1.7011856724297836</v>
      </c>
      <c r="BH590" s="125">
        <f t="shared" si="13"/>
        <v>1.7437153142405279</v>
      </c>
      <c r="BI590" s="125">
        <f t="shared" si="13"/>
        <v>1.8256699340098326</v>
      </c>
      <c r="BJ590" s="125">
        <f t="shared" si="13"/>
        <v>1.8859170418321569</v>
      </c>
      <c r="BK590" s="125">
        <f t="shared" si="13"/>
        <v>1.9255212997106321</v>
      </c>
      <c r="BL590" s="125">
        <f t="shared" si="13"/>
        <v>1.9467020340074488</v>
      </c>
      <c r="BM590" s="125">
        <f t="shared" si="13"/>
        <v>1.9817426706195829</v>
      </c>
      <c r="BN590" s="125">
        <f t="shared" si="13"/>
        <v>2.0094870680082573</v>
      </c>
      <c r="BO590" s="125">
        <f t="shared" si="13"/>
        <v>2.0315914257563481</v>
      </c>
      <c r="BP590" s="125">
        <f t="shared" si="14"/>
        <v>2.0966023513805512</v>
      </c>
      <c r="BQ590" s="125">
        <f t="shared" si="14"/>
        <v>2.1028921584346927</v>
      </c>
      <c r="BR590" s="125">
        <f t="shared" si="14"/>
        <v>2.134435540811213</v>
      </c>
      <c r="BS590" s="125">
        <f t="shared" si="14"/>
        <v>2.1899308648723044</v>
      </c>
      <c r="BT590" s="125">
        <f t="shared" si="14"/>
        <v>2.2402992747643671</v>
      </c>
      <c r="BU590" s="125">
        <f t="shared" si="14"/>
        <v>2.3030276544577695</v>
      </c>
      <c r="BV590" s="125">
        <f t="shared" si="14"/>
        <v>2.3260579310023473</v>
      </c>
      <c r="BW590" s="125">
        <f t="shared" si="14"/>
        <v>2.3446663944503658</v>
      </c>
      <c r="BX590" s="125">
        <f t="shared" si="14"/>
        <v>2.3493557272392667</v>
      </c>
      <c r="BY590" s="125">
        <f t="shared" si="14"/>
        <v>2.3822467074206166</v>
      </c>
      <c r="BZ590" s="125">
        <f t="shared" si="14"/>
        <v>2.4108336679096642</v>
      </c>
      <c r="CA590" s="125">
        <f t="shared" si="14"/>
        <v>2.4735153432753156</v>
      </c>
      <c r="CB590" s="125">
        <f t="shared" si="14"/>
        <v>2.5130915887677205</v>
      </c>
      <c r="CC590" s="125">
        <f t="shared" si="14"/>
        <v>2.5583272373655395</v>
      </c>
      <c r="CD590" s="125">
        <f t="shared" si="14"/>
        <v>2.7169435260822032</v>
      </c>
      <c r="CE590" s="125">
        <f t="shared" si="14"/>
        <v>2.9342990081687796</v>
      </c>
      <c r="CF590" s="125">
        <f t="shared" si="16"/>
        <v>3.0164593803975057</v>
      </c>
      <c r="CG590" s="125">
        <f t="shared" si="16"/>
        <v>3.067739189864263</v>
      </c>
    </row>
    <row r="591" spans="1:85">
      <c r="A591" s="3"/>
      <c r="B591" s="123">
        <v>1981</v>
      </c>
      <c r="C591" s="123"/>
      <c r="D591" s="3"/>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4">
        <v>1</v>
      </c>
      <c r="AO591" s="125">
        <f t="shared" si="15"/>
        <v>1.0640000000000001</v>
      </c>
      <c r="AP591" s="125">
        <f t="shared" si="15"/>
        <v>1.126776</v>
      </c>
      <c r="AQ591" s="125">
        <f t="shared" si="15"/>
        <v>1.1560721760000001</v>
      </c>
      <c r="AR591" s="125">
        <f t="shared" si="15"/>
        <v>1.1884421969280001</v>
      </c>
      <c r="AS591" s="125">
        <f t="shared" si="15"/>
        <v>1.2157763674573441</v>
      </c>
      <c r="AT591" s="125">
        <f t="shared" si="15"/>
        <v>1.2096974856200573</v>
      </c>
      <c r="AU591" s="125">
        <f t="shared" si="15"/>
        <v>1.2121168805912974</v>
      </c>
      <c r="AV591" s="125">
        <f t="shared" si="15"/>
        <v>1.2230259325166191</v>
      </c>
      <c r="AW591" s="125">
        <f t="shared" si="15"/>
        <v>1.2364792177743018</v>
      </c>
      <c r="AX591" s="125">
        <f t="shared" si="15"/>
        <v>1.2661547190008851</v>
      </c>
      <c r="AY591" s="125">
        <f t="shared" si="15"/>
        <v>1.3243978360749258</v>
      </c>
      <c r="AZ591" s="125">
        <f t="shared" si="15"/>
        <v>1.3707517603375481</v>
      </c>
      <c r="BA591" s="125">
        <f t="shared" si="13"/>
        <v>1.3981667955442991</v>
      </c>
      <c r="BB591" s="125">
        <f t="shared" si="13"/>
        <v>1.434519132228451</v>
      </c>
      <c r="BC591" s="125">
        <f t="shared" si="13"/>
        <v>1.4560369192118776</v>
      </c>
      <c r="BD591" s="125">
        <f t="shared" si="13"/>
        <v>1.4837016206769031</v>
      </c>
      <c r="BE591" s="125">
        <f t="shared" si="13"/>
        <v>1.5222778628145026</v>
      </c>
      <c r="BF591" s="125">
        <f t="shared" si="13"/>
        <v>1.548156586482349</v>
      </c>
      <c r="BG591" s="125">
        <f t="shared" si="13"/>
        <v>1.58840865773089</v>
      </c>
      <c r="BH591" s="125">
        <f t="shared" si="13"/>
        <v>1.6281188741741621</v>
      </c>
      <c r="BI591" s="125">
        <f t="shared" si="13"/>
        <v>1.7046404612603476</v>
      </c>
      <c r="BJ591" s="125">
        <f t="shared" si="13"/>
        <v>1.760893596481939</v>
      </c>
      <c r="BK591" s="125">
        <f t="shared" si="13"/>
        <v>1.7978723620080594</v>
      </c>
      <c r="BL591" s="125">
        <f t="shared" si="13"/>
        <v>1.8176489579901478</v>
      </c>
      <c r="BM591" s="125">
        <f t="shared" si="13"/>
        <v>1.8503666392339706</v>
      </c>
      <c r="BN591" s="125">
        <f t="shared" si="13"/>
        <v>1.8762717721832463</v>
      </c>
      <c r="BO591" s="125">
        <f t="shared" si="13"/>
        <v>1.8969107616772618</v>
      </c>
      <c r="BP591" s="125">
        <f t="shared" si="14"/>
        <v>1.9576119060509343</v>
      </c>
      <c r="BQ591" s="125">
        <f t="shared" si="14"/>
        <v>1.9634847417690868</v>
      </c>
      <c r="BR591" s="125">
        <f t="shared" si="14"/>
        <v>1.992937012895623</v>
      </c>
      <c r="BS591" s="125">
        <f t="shared" si="14"/>
        <v>2.0447533752309091</v>
      </c>
      <c r="BT591" s="125">
        <f t="shared" si="14"/>
        <v>2.0917827028612197</v>
      </c>
      <c r="BU591" s="125">
        <f t="shared" si="14"/>
        <v>2.150352618541334</v>
      </c>
      <c r="BV591" s="125">
        <f t="shared" si="14"/>
        <v>2.1718561447267475</v>
      </c>
      <c r="BW591" s="125">
        <f t="shared" si="14"/>
        <v>2.1892309938845615</v>
      </c>
      <c r="BX591" s="125">
        <f t="shared" si="14"/>
        <v>2.1936094558723305</v>
      </c>
      <c r="BY591" s="125">
        <f t="shared" si="14"/>
        <v>2.224319988254543</v>
      </c>
      <c r="BZ591" s="125">
        <f t="shared" si="14"/>
        <v>2.2510118281135973</v>
      </c>
      <c r="CA591" s="125">
        <f t="shared" si="14"/>
        <v>2.309538135644551</v>
      </c>
      <c r="CB591" s="125">
        <f t="shared" si="14"/>
        <v>2.3464907458148638</v>
      </c>
      <c r="CC591" s="125">
        <f t="shared" si="14"/>
        <v>2.3887275792395313</v>
      </c>
      <c r="CD591" s="125">
        <f t="shared" si="14"/>
        <v>2.5368286891523821</v>
      </c>
      <c r="CE591" s="125">
        <f t="shared" si="14"/>
        <v>2.7397749842845727</v>
      </c>
      <c r="CF591" s="125">
        <f t="shared" si="16"/>
        <v>2.8164886838445407</v>
      </c>
      <c r="CG591" s="125">
        <f t="shared" si="16"/>
        <v>2.8643689914698975</v>
      </c>
    </row>
    <row r="592" spans="1:85">
      <c r="A592" s="3"/>
      <c r="B592" s="123">
        <v>1982</v>
      </c>
      <c r="C592" s="123"/>
      <c r="D592" s="3"/>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4">
        <v>1</v>
      </c>
      <c r="AP592" s="125">
        <f t="shared" si="15"/>
        <v>1.0589999999999999</v>
      </c>
      <c r="AQ592" s="125">
        <f t="shared" si="15"/>
        <v>1.0865339999999999</v>
      </c>
      <c r="AR592" s="125">
        <f t="shared" si="15"/>
        <v>1.116956952</v>
      </c>
      <c r="AS592" s="125">
        <f t="shared" si="15"/>
        <v>1.1426469618959998</v>
      </c>
      <c r="AT592" s="125">
        <f t="shared" si="15"/>
        <v>1.1369337270865199</v>
      </c>
      <c r="AU592" s="125">
        <f t="shared" si="15"/>
        <v>1.139207594540693</v>
      </c>
      <c r="AV592" s="125">
        <f t="shared" si="15"/>
        <v>1.149460462891559</v>
      </c>
      <c r="AW592" s="125">
        <f t="shared" si="15"/>
        <v>1.1621045279833659</v>
      </c>
      <c r="AX592" s="125">
        <f t="shared" si="15"/>
        <v>1.1899950366549668</v>
      </c>
      <c r="AY592" s="125">
        <f t="shared" si="15"/>
        <v>1.2447348083410952</v>
      </c>
      <c r="AZ592" s="125">
        <f t="shared" si="15"/>
        <v>1.2883005266330334</v>
      </c>
      <c r="BA592" s="125">
        <f t="shared" si="13"/>
        <v>1.3140665371656941</v>
      </c>
      <c r="BB592" s="125">
        <f t="shared" si="13"/>
        <v>1.3482322671320022</v>
      </c>
      <c r="BC592" s="125">
        <f t="shared" si="13"/>
        <v>1.3684557511389821</v>
      </c>
      <c r="BD592" s="125">
        <f t="shared" si="13"/>
        <v>1.3944564104106227</v>
      </c>
      <c r="BE592" s="125">
        <f t="shared" si="13"/>
        <v>1.430712277081299</v>
      </c>
      <c r="BF592" s="125">
        <f t="shared" si="13"/>
        <v>1.455034385791681</v>
      </c>
      <c r="BG592" s="125">
        <f t="shared" si="13"/>
        <v>1.4928652798222648</v>
      </c>
      <c r="BH592" s="125">
        <f t="shared" si="13"/>
        <v>1.5301869118178213</v>
      </c>
      <c r="BI592" s="125">
        <f t="shared" si="13"/>
        <v>1.6021056966732588</v>
      </c>
      <c r="BJ592" s="125">
        <f t="shared" si="13"/>
        <v>1.6549751846634762</v>
      </c>
      <c r="BK592" s="125">
        <f t="shared" si="13"/>
        <v>1.689729663541409</v>
      </c>
      <c r="BL592" s="125">
        <f t="shared" si="13"/>
        <v>1.7083166898403643</v>
      </c>
      <c r="BM592" s="125">
        <f t="shared" si="13"/>
        <v>1.739066390257491</v>
      </c>
      <c r="BN592" s="125">
        <f t="shared" si="13"/>
        <v>1.7634133197210959</v>
      </c>
      <c r="BO592" s="125">
        <f t="shared" si="13"/>
        <v>1.7828108662380278</v>
      </c>
      <c r="BP592" s="125">
        <f t="shared" si="14"/>
        <v>1.8398608139576447</v>
      </c>
      <c r="BQ592" s="125">
        <f t="shared" si="14"/>
        <v>1.8453803963995175</v>
      </c>
      <c r="BR592" s="125">
        <f t="shared" si="14"/>
        <v>1.8730611023455099</v>
      </c>
      <c r="BS592" s="125">
        <f t="shared" si="14"/>
        <v>1.9217606910064933</v>
      </c>
      <c r="BT592" s="125">
        <f t="shared" si="14"/>
        <v>1.9659611868996425</v>
      </c>
      <c r="BU592" s="125">
        <f t="shared" si="14"/>
        <v>2.0210081001328324</v>
      </c>
      <c r="BV592" s="125">
        <f t="shared" si="14"/>
        <v>2.0412181811341608</v>
      </c>
      <c r="BW592" s="125">
        <f t="shared" si="14"/>
        <v>2.0575479265832342</v>
      </c>
      <c r="BX592" s="125">
        <f t="shared" si="14"/>
        <v>2.0616630224364005</v>
      </c>
      <c r="BY592" s="125">
        <f t="shared" si="14"/>
        <v>2.0905263047505103</v>
      </c>
      <c r="BZ592" s="125">
        <f t="shared" si="14"/>
        <v>2.1156126204075165</v>
      </c>
      <c r="CA592" s="125">
        <f t="shared" si="14"/>
        <v>2.170618548538112</v>
      </c>
      <c r="CB592" s="125">
        <f t="shared" si="14"/>
        <v>2.2053484453147219</v>
      </c>
      <c r="CC592" s="125">
        <f t="shared" si="14"/>
        <v>2.2450447173303867</v>
      </c>
      <c r="CD592" s="125">
        <f t="shared" si="14"/>
        <v>2.3842374898048706</v>
      </c>
      <c r="CE592" s="125">
        <f t="shared" si="14"/>
        <v>2.5749764889892606</v>
      </c>
      <c r="CF592" s="125">
        <f t="shared" si="16"/>
        <v>2.6470758306809601</v>
      </c>
      <c r="CG592" s="125">
        <f t="shared" si="16"/>
        <v>2.692076119802536</v>
      </c>
    </row>
    <row r="593" spans="1:85">
      <c r="A593" s="3"/>
      <c r="B593" s="123">
        <v>1983</v>
      </c>
      <c r="C593" s="123"/>
      <c r="D593" s="3"/>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4">
        <v>1</v>
      </c>
      <c r="AQ593" s="125">
        <f t="shared" si="15"/>
        <v>1.026</v>
      </c>
      <c r="AR593" s="125">
        <f t="shared" si="15"/>
        <v>1.0547280000000001</v>
      </c>
      <c r="AS593" s="125">
        <f t="shared" si="15"/>
        <v>1.0789867440000001</v>
      </c>
      <c r="AT593" s="125">
        <f t="shared" si="15"/>
        <v>1.0735918102799999</v>
      </c>
      <c r="AU593" s="125">
        <f t="shared" si="15"/>
        <v>1.0757389939005599</v>
      </c>
      <c r="AV593" s="125">
        <f t="shared" si="15"/>
        <v>1.0854206448456649</v>
      </c>
      <c r="AW593" s="125">
        <f t="shared" si="15"/>
        <v>1.097360271938967</v>
      </c>
      <c r="AX593" s="125">
        <f t="shared" si="15"/>
        <v>1.1236969184655023</v>
      </c>
      <c r="AY593" s="125">
        <f t="shared" si="15"/>
        <v>1.1753869767149154</v>
      </c>
      <c r="AZ593" s="125">
        <f t="shared" si="15"/>
        <v>1.2165255208999375</v>
      </c>
      <c r="BA593" s="125">
        <f t="shared" si="13"/>
        <v>1.2408560313179362</v>
      </c>
      <c r="BB593" s="125">
        <f t="shared" si="13"/>
        <v>1.2731182881322025</v>
      </c>
      <c r="BC593" s="125">
        <f t="shared" si="13"/>
        <v>1.2922150624541855</v>
      </c>
      <c r="BD593" s="125">
        <f t="shared" si="13"/>
        <v>1.3167671486408148</v>
      </c>
      <c r="BE593" s="125">
        <f t="shared" si="13"/>
        <v>1.3510030945054761</v>
      </c>
      <c r="BF593" s="125">
        <f t="shared" si="13"/>
        <v>1.3739701471120691</v>
      </c>
      <c r="BG593" s="125">
        <f t="shared" si="13"/>
        <v>1.409693370936983</v>
      </c>
      <c r="BH593" s="125">
        <f t="shared" si="13"/>
        <v>1.4449357052104075</v>
      </c>
      <c r="BI593" s="125">
        <f t="shared" si="13"/>
        <v>1.5128476833552966</v>
      </c>
      <c r="BJ593" s="125">
        <f t="shared" si="13"/>
        <v>1.5627716569060213</v>
      </c>
      <c r="BK593" s="125">
        <f t="shared" si="13"/>
        <v>1.5955898617010476</v>
      </c>
      <c r="BL593" s="125">
        <f t="shared" si="13"/>
        <v>1.6131413501797589</v>
      </c>
      <c r="BM593" s="125">
        <f t="shared" si="13"/>
        <v>1.6421778944829946</v>
      </c>
      <c r="BN593" s="125">
        <f t="shared" si="13"/>
        <v>1.6651683850057566</v>
      </c>
      <c r="BO593" s="125">
        <f t="shared" si="13"/>
        <v>1.6834852372408198</v>
      </c>
      <c r="BP593" s="125">
        <f t="shared" si="14"/>
        <v>1.7373567648325261</v>
      </c>
      <c r="BQ593" s="125">
        <f t="shared" si="14"/>
        <v>1.7425688351270234</v>
      </c>
      <c r="BR593" s="125">
        <f t="shared" si="14"/>
        <v>1.7687073676539287</v>
      </c>
      <c r="BS593" s="125">
        <f t="shared" si="14"/>
        <v>1.8146937592129309</v>
      </c>
      <c r="BT593" s="125">
        <f t="shared" si="14"/>
        <v>1.856431715674828</v>
      </c>
      <c r="BU593" s="125">
        <f t="shared" si="14"/>
        <v>1.9084118037137232</v>
      </c>
      <c r="BV593" s="125">
        <f t="shared" si="14"/>
        <v>1.9274959217508605</v>
      </c>
      <c r="BW593" s="125">
        <f t="shared" si="14"/>
        <v>1.9429158891248675</v>
      </c>
      <c r="BX593" s="125">
        <f t="shared" si="14"/>
        <v>1.9468017209031172</v>
      </c>
      <c r="BY593" s="125">
        <f t="shared" si="14"/>
        <v>1.9740569449957608</v>
      </c>
      <c r="BZ593" s="125">
        <f t="shared" si="14"/>
        <v>1.99774562833571</v>
      </c>
      <c r="CA593" s="125">
        <f t="shared" si="14"/>
        <v>2.0496870146724384</v>
      </c>
      <c r="CB593" s="125">
        <f t="shared" si="14"/>
        <v>2.0824820069071976</v>
      </c>
      <c r="CC593" s="125">
        <f t="shared" si="14"/>
        <v>2.1199666830315271</v>
      </c>
      <c r="CD593" s="125">
        <f t="shared" si="14"/>
        <v>2.2514046173794817</v>
      </c>
      <c r="CE593" s="125">
        <f t="shared" si="14"/>
        <v>2.4315169867698403</v>
      </c>
      <c r="CF593" s="125">
        <f t="shared" si="16"/>
        <v>2.499599462399396</v>
      </c>
      <c r="CG593" s="125">
        <f t="shared" si="16"/>
        <v>2.5420926532601853</v>
      </c>
    </row>
    <row r="594" spans="1:85">
      <c r="A594" s="3"/>
      <c r="B594" s="123">
        <v>1984</v>
      </c>
      <c r="C594" s="123"/>
      <c r="D594" s="3"/>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4">
        <v>1</v>
      </c>
      <c r="AR594" s="125">
        <f t="shared" si="15"/>
        <v>1.028</v>
      </c>
      <c r="AS594" s="125">
        <f t="shared" si="15"/>
        <v>1.051644</v>
      </c>
      <c r="AT594" s="125">
        <f t="shared" si="15"/>
        <v>1.04638578</v>
      </c>
      <c r="AU594" s="125">
        <f t="shared" si="15"/>
        <v>1.0484785515600001</v>
      </c>
      <c r="AV594" s="125">
        <f t="shared" si="15"/>
        <v>1.0579148585240401</v>
      </c>
      <c r="AW594" s="125">
        <f t="shared" si="15"/>
        <v>1.0695519219678045</v>
      </c>
      <c r="AX594" s="125">
        <f t="shared" si="15"/>
        <v>1.0952211680950319</v>
      </c>
      <c r="AY594" s="125">
        <f t="shared" si="15"/>
        <v>1.1456013418274034</v>
      </c>
      <c r="AZ594" s="125">
        <f t="shared" si="15"/>
        <v>1.1856973887913624</v>
      </c>
      <c r="BA594" s="125">
        <f t="shared" si="13"/>
        <v>1.2094113365671897</v>
      </c>
      <c r="BB594" s="125">
        <f t="shared" si="13"/>
        <v>1.2408560313179366</v>
      </c>
      <c r="BC594" s="125">
        <f t="shared" si="13"/>
        <v>1.2594688717877056</v>
      </c>
      <c r="BD594" s="125">
        <f t="shared" si="13"/>
        <v>1.283398780351672</v>
      </c>
      <c r="BE594" s="125">
        <f t="shared" si="13"/>
        <v>1.3167671486408155</v>
      </c>
      <c r="BF594" s="125">
        <f t="shared" si="13"/>
        <v>1.3391521901677093</v>
      </c>
      <c r="BG594" s="125">
        <f t="shared" si="13"/>
        <v>1.3739701471120698</v>
      </c>
      <c r="BH594" s="125">
        <f t="shared" si="13"/>
        <v>1.4083194007898714</v>
      </c>
      <c r="BI594" s="125">
        <f t="shared" si="13"/>
        <v>1.4745104126269952</v>
      </c>
      <c r="BJ594" s="125">
        <f t="shared" si="13"/>
        <v>1.523169256243686</v>
      </c>
      <c r="BK594" s="125">
        <f t="shared" si="13"/>
        <v>1.5551558106248033</v>
      </c>
      <c r="BL594" s="125">
        <f t="shared" si="13"/>
        <v>1.5722625245416759</v>
      </c>
      <c r="BM594" s="125">
        <f t="shared" si="13"/>
        <v>1.6005632499834261</v>
      </c>
      <c r="BN594" s="125">
        <f t="shared" si="13"/>
        <v>1.6229711354831942</v>
      </c>
      <c r="BO594" s="125">
        <f t="shared" si="13"/>
        <v>1.6408238179735091</v>
      </c>
      <c r="BP594" s="125">
        <f t="shared" si="14"/>
        <v>1.6933301801486613</v>
      </c>
      <c r="BQ594" s="125">
        <f t="shared" si="14"/>
        <v>1.698410170689107</v>
      </c>
      <c r="BR594" s="125">
        <f t="shared" si="14"/>
        <v>1.7238863232494435</v>
      </c>
      <c r="BS594" s="125">
        <f t="shared" si="14"/>
        <v>1.7687073676539291</v>
      </c>
      <c r="BT594" s="125">
        <f t="shared" si="14"/>
        <v>1.8093876371099693</v>
      </c>
      <c r="BU594" s="125">
        <f t="shared" si="14"/>
        <v>1.8600504909490485</v>
      </c>
      <c r="BV594" s="125">
        <f t="shared" si="14"/>
        <v>1.8786509958585391</v>
      </c>
      <c r="BW594" s="125">
        <f t="shared" si="14"/>
        <v>1.8936802038254075</v>
      </c>
      <c r="BX594" s="125">
        <f t="shared" si="14"/>
        <v>1.8974675642330583</v>
      </c>
      <c r="BY594" s="125">
        <f t="shared" si="14"/>
        <v>1.9240321101323212</v>
      </c>
      <c r="BZ594" s="125">
        <f t="shared" si="14"/>
        <v>1.9471204954539092</v>
      </c>
      <c r="CA594" s="125">
        <f t="shared" si="14"/>
        <v>1.9977456283357109</v>
      </c>
      <c r="CB594" s="125">
        <f t="shared" si="14"/>
        <v>2.0297095583890825</v>
      </c>
      <c r="CC594" s="125">
        <f t="shared" si="14"/>
        <v>2.0662443304400862</v>
      </c>
      <c r="CD594" s="125">
        <f t="shared" si="14"/>
        <v>2.1943514789273717</v>
      </c>
      <c r="CE594" s="125">
        <f t="shared" si="14"/>
        <v>2.3698995972415617</v>
      </c>
      <c r="CF594" s="125">
        <f t="shared" si="16"/>
        <v>2.4362567859643254</v>
      </c>
      <c r="CG594" s="125">
        <f t="shared" si="16"/>
        <v>2.4776731513257189</v>
      </c>
    </row>
    <row r="595" spans="1:85">
      <c r="A595" s="3"/>
      <c r="B595" s="123">
        <v>1985</v>
      </c>
      <c r="C595" s="123"/>
      <c r="D595" s="3"/>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4">
        <v>1</v>
      </c>
      <c r="AS595" s="125">
        <f t="shared" si="15"/>
        <v>1.0229999999999999</v>
      </c>
      <c r="AT595" s="125">
        <f t="shared" si="15"/>
        <v>1.0178849999999999</v>
      </c>
      <c r="AU595" s="125">
        <f t="shared" si="15"/>
        <v>1.0199207699999999</v>
      </c>
      <c r="AV595" s="125">
        <f t="shared" si="15"/>
        <v>1.0291000569299997</v>
      </c>
      <c r="AW595" s="125">
        <f t="shared" si="15"/>
        <v>1.0404201575562295</v>
      </c>
      <c r="AX595" s="125">
        <f t="shared" si="15"/>
        <v>1.0653902413375791</v>
      </c>
      <c r="AY595" s="125">
        <f t="shared" si="15"/>
        <v>1.1143981924391078</v>
      </c>
      <c r="AZ595" s="125">
        <f t="shared" si="15"/>
        <v>1.1534021291744765</v>
      </c>
      <c r="BA595" s="125">
        <f t="shared" si="13"/>
        <v>1.176470171757966</v>
      </c>
      <c r="BB595" s="125">
        <f t="shared" si="13"/>
        <v>1.2070583962236732</v>
      </c>
      <c r="BC595" s="125">
        <f t="shared" si="13"/>
        <v>1.2251642721670282</v>
      </c>
      <c r="BD595" s="125">
        <f t="shared" si="13"/>
        <v>1.2484423933382016</v>
      </c>
      <c r="BE595" s="125">
        <f t="shared" si="13"/>
        <v>1.2809018955649949</v>
      </c>
      <c r="BF595" s="125">
        <f t="shared" si="13"/>
        <v>1.3026772277895997</v>
      </c>
      <c r="BG595" s="125">
        <f t="shared" si="13"/>
        <v>1.3365468357121293</v>
      </c>
      <c r="BH595" s="125">
        <f t="shared" si="13"/>
        <v>1.3699605066049323</v>
      </c>
      <c r="BI595" s="125">
        <f t="shared" si="13"/>
        <v>1.434348650415364</v>
      </c>
      <c r="BJ595" s="125">
        <f t="shared" si="13"/>
        <v>1.4816821558790709</v>
      </c>
      <c r="BK595" s="125">
        <f t="shared" si="13"/>
        <v>1.5127974811525313</v>
      </c>
      <c r="BL595" s="125">
        <f t="shared" si="13"/>
        <v>1.5294382534452091</v>
      </c>
      <c r="BM595" s="125">
        <f t="shared" si="13"/>
        <v>1.556968142007223</v>
      </c>
      <c r="BN595" s="125">
        <f t="shared" si="13"/>
        <v>1.5787656959953242</v>
      </c>
      <c r="BO595" s="125">
        <f t="shared" si="13"/>
        <v>1.5961321186512727</v>
      </c>
      <c r="BP595" s="125">
        <f t="shared" si="14"/>
        <v>1.6472083464481135</v>
      </c>
      <c r="BQ595" s="125">
        <f t="shared" si="14"/>
        <v>1.6521499714874577</v>
      </c>
      <c r="BR595" s="125">
        <f t="shared" si="14"/>
        <v>1.6769322210597695</v>
      </c>
      <c r="BS595" s="125">
        <f t="shared" si="14"/>
        <v>1.7205324588073234</v>
      </c>
      <c r="BT595" s="125">
        <f t="shared" si="14"/>
        <v>1.7601047053598917</v>
      </c>
      <c r="BU595" s="125">
        <f t="shared" si="14"/>
        <v>1.8093876371099686</v>
      </c>
      <c r="BV595" s="125">
        <f t="shared" si="14"/>
        <v>1.8274815134810682</v>
      </c>
      <c r="BW595" s="125">
        <f t="shared" si="14"/>
        <v>1.8421013655889169</v>
      </c>
      <c r="BX595" s="125">
        <f t="shared" si="14"/>
        <v>1.8457855683200948</v>
      </c>
      <c r="BY595" s="125">
        <f t="shared" si="14"/>
        <v>1.8716265662765761</v>
      </c>
      <c r="BZ595" s="125">
        <f t="shared" si="14"/>
        <v>1.894086085071895</v>
      </c>
      <c r="CA595" s="125">
        <f t="shared" si="14"/>
        <v>1.9433323232837643</v>
      </c>
      <c r="CB595" s="125">
        <f t="shared" si="14"/>
        <v>1.9744256404563045</v>
      </c>
      <c r="CC595" s="125">
        <f t="shared" si="14"/>
        <v>2.0099653019845181</v>
      </c>
      <c r="CD595" s="125">
        <f t="shared" si="14"/>
        <v>2.1345831507075581</v>
      </c>
      <c r="CE595" s="125">
        <f t="shared" si="14"/>
        <v>2.3053498027641628</v>
      </c>
      <c r="CF595" s="125">
        <f t="shared" si="16"/>
        <v>2.3698995972415595</v>
      </c>
      <c r="CG595" s="125">
        <f t="shared" si="16"/>
        <v>2.4101878903946656</v>
      </c>
    </row>
    <row r="596" spans="1:85">
      <c r="A596" s="3"/>
      <c r="B596" s="123">
        <v>1986</v>
      </c>
      <c r="C596" s="123"/>
      <c r="D596" s="3"/>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4">
        <v>1</v>
      </c>
      <c r="AT596" s="125">
        <f t="shared" si="15"/>
        <v>0.995</v>
      </c>
      <c r="AU596" s="125">
        <f t="shared" si="15"/>
        <v>0.99699000000000004</v>
      </c>
      <c r="AV596" s="125">
        <f t="shared" si="15"/>
        <v>1.00596291</v>
      </c>
      <c r="AW596" s="125">
        <f t="shared" si="15"/>
        <v>1.0170285020099998</v>
      </c>
      <c r="AX596" s="125">
        <f t="shared" si="15"/>
        <v>1.0414371860582399</v>
      </c>
      <c r="AY596" s="125">
        <f t="shared" si="15"/>
        <v>1.089343296616919</v>
      </c>
      <c r="AZ596" s="125">
        <f t="shared" si="15"/>
        <v>1.127470311998511</v>
      </c>
      <c r="BA596" s="125">
        <f t="shared" si="13"/>
        <v>1.1500197182384813</v>
      </c>
      <c r="BB596" s="125">
        <f t="shared" si="13"/>
        <v>1.1799202309126817</v>
      </c>
      <c r="BC596" s="125">
        <f t="shared" si="13"/>
        <v>1.1976190343763717</v>
      </c>
      <c r="BD596" s="125">
        <f t="shared" si="13"/>
        <v>1.2203737960295227</v>
      </c>
      <c r="BE596" s="125">
        <f t="shared" si="13"/>
        <v>1.2521035147262902</v>
      </c>
      <c r="BF596" s="125">
        <f t="shared" si="13"/>
        <v>1.2733892744766371</v>
      </c>
      <c r="BG596" s="125">
        <f t="shared" si="13"/>
        <v>1.3064973956130297</v>
      </c>
      <c r="BH596" s="125">
        <f t="shared" si="13"/>
        <v>1.3391598305033554</v>
      </c>
      <c r="BI596" s="125">
        <f t="shared" si="13"/>
        <v>1.4021003425370131</v>
      </c>
      <c r="BJ596" s="125">
        <f t="shared" si="13"/>
        <v>1.4483696538407345</v>
      </c>
      <c r="BK596" s="125">
        <f t="shared" si="13"/>
        <v>1.4787854165713898</v>
      </c>
      <c r="BL596" s="125">
        <f t="shared" si="13"/>
        <v>1.4950520561536751</v>
      </c>
      <c r="BM596" s="125">
        <f t="shared" si="13"/>
        <v>1.5219629931644412</v>
      </c>
      <c r="BN596" s="125">
        <f t="shared" si="13"/>
        <v>1.5432704750687434</v>
      </c>
      <c r="BO596" s="125">
        <f t="shared" si="13"/>
        <v>1.5602464502944995</v>
      </c>
      <c r="BP596" s="125">
        <f t="shared" si="14"/>
        <v>1.6101743367039236</v>
      </c>
      <c r="BQ596" s="125">
        <f t="shared" si="14"/>
        <v>1.6150048597140352</v>
      </c>
      <c r="BR596" s="125">
        <f t="shared" si="14"/>
        <v>1.6392299326097455</v>
      </c>
      <c r="BS596" s="125">
        <f t="shared" si="14"/>
        <v>1.6818499108575988</v>
      </c>
      <c r="BT596" s="125">
        <f t="shared" si="14"/>
        <v>1.7205324588073234</v>
      </c>
      <c r="BU596" s="125">
        <f t="shared" si="14"/>
        <v>1.7687073676539284</v>
      </c>
      <c r="BV596" s="125">
        <f t="shared" si="14"/>
        <v>1.7863944413304678</v>
      </c>
      <c r="BW596" s="125">
        <f t="shared" si="14"/>
        <v>1.8006855968611115</v>
      </c>
      <c r="BX596" s="125">
        <f t="shared" si="14"/>
        <v>1.8042869680548337</v>
      </c>
      <c r="BY596" s="125">
        <f t="shared" si="14"/>
        <v>1.8295469856076014</v>
      </c>
      <c r="BZ596" s="125">
        <f t="shared" si="14"/>
        <v>1.8515015494348928</v>
      </c>
      <c r="CA596" s="125">
        <f t="shared" si="14"/>
        <v>1.8996405897202</v>
      </c>
      <c r="CB596" s="125">
        <f t="shared" si="14"/>
        <v>1.9300348391557232</v>
      </c>
      <c r="CC596" s="125">
        <f t="shared" si="14"/>
        <v>1.9647754662605261</v>
      </c>
      <c r="CD596" s="125">
        <f t="shared" si="14"/>
        <v>2.086591545168679</v>
      </c>
      <c r="CE596" s="125">
        <f t="shared" si="14"/>
        <v>2.2535188687821734</v>
      </c>
      <c r="CF596" s="125">
        <f t="shared" si="16"/>
        <v>2.3166173971080743</v>
      </c>
      <c r="CG596" s="125">
        <f t="shared" si="16"/>
        <v>2.3559998928589114</v>
      </c>
    </row>
    <row r="597" spans="1:85">
      <c r="A597" s="3"/>
      <c r="B597" s="123">
        <v>1987</v>
      </c>
      <c r="C597" s="123"/>
      <c r="D597" s="3"/>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4">
        <v>1</v>
      </c>
      <c r="AU597" s="125">
        <f t="shared" si="15"/>
        <v>1.002</v>
      </c>
      <c r="AV597" s="125">
        <f t="shared" si="15"/>
        <v>1.011018</v>
      </c>
      <c r="AW597" s="125">
        <f t="shared" si="15"/>
        <v>1.0221391979999999</v>
      </c>
      <c r="AX597" s="125">
        <f t="shared" si="15"/>
        <v>1.0466705387519999</v>
      </c>
      <c r="AY597" s="125">
        <f t="shared" si="15"/>
        <v>1.094817383534592</v>
      </c>
      <c r="AZ597" s="125">
        <f t="shared" si="15"/>
        <v>1.1331359919583026</v>
      </c>
      <c r="BA597" s="125">
        <f t="shared" si="13"/>
        <v>1.1557987117974686</v>
      </c>
      <c r="BB597" s="125">
        <f t="shared" si="13"/>
        <v>1.1858494783042028</v>
      </c>
      <c r="BC597" s="125">
        <f t="shared" si="13"/>
        <v>1.2036372204787658</v>
      </c>
      <c r="BD597" s="125">
        <f t="shared" si="13"/>
        <v>1.2265063276678623</v>
      </c>
      <c r="BE597" s="125">
        <f t="shared" si="13"/>
        <v>1.2583954921872267</v>
      </c>
      <c r="BF597" s="125">
        <f t="shared" si="13"/>
        <v>1.2797882155544094</v>
      </c>
      <c r="BG597" s="125">
        <f t="shared" si="13"/>
        <v>1.3130627091588241</v>
      </c>
      <c r="BH597" s="125">
        <f t="shared" si="13"/>
        <v>1.3458892768877946</v>
      </c>
      <c r="BI597" s="125">
        <f t="shared" si="13"/>
        <v>1.4091460729015208</v>
      </c>
      <c r="BJ597" s="125">
        <f t="shared" si="13"/>
        <v>1.455647893307271</v>
      </c>
      <c r="BK597" s="125">
        <f t="shared" si="13"/>
        <v>1.4862164990667235</v>
      </c>
      <c r="BL597" s="125">
        <f t="shared" si="13"/>
        <v>1.5025648805564573</v>
      </c>
      <c r="BM597" s="125">
        <f t="shared" si="13"/>
        <v>1.5296110484064736</v>
      </c>
      <c r="BN597" s="125">
        <f t="shared" si="13"/>
        <v>1.5510256030841643</v>
      </c>
      <c r="BO597" s="125">
        <f t="shared" si="13"/>
        <v>1.56808688471809</v>
      </c>
      <c r="BP597" s="125">
        <f t="shared" si="14"/>
        <v>1.618265665029069</v>
      </c>
      <c r="BQ597" s="125">
        <f t="shared" si="14"/>
        <v>1.6231204620241559</v>
      </c>
      <c r="BR597" s="125">
        <f t="shared" si="14"/>
        <v>1.6474672689545182</v>
      </c>
      <c r="BS597" s="125">
        <f t="shared" si="14"/>
        <v>1.6903014179473357</v>
      </c>
      <c r="BT597" s="125">
        <f t="shared" si="14"/>
        <v>1.7291783505601241</v>
      </c>
      <c r="BU597" s="125">
        <f t="shared" si="14"/>
        <v>1.7775953443758077</v>
      </c>
      <c r="BV597" s="125">
        <f t="shared" si="14"/>
        <v>1.7953712978195657</v>
      </c>
      <c r="BW597" s="125">
        <f t="shared" si="14"/>
        <v>1.8097342682021222</v>
      </c>
      <c r="BX597" s="125">
        <f t="shared" si="14"/>
        <v>1.8133537367385264</v>
      </c>
      <c r="BY597" s="125">
        <f t="shared" si="14"/>
        <v>1.8387406890528657</v>
      </c>
      <c r="BZ597" s="125">
        <f t="shared" si="14"/>
        <v>1.8608055773215002</v>
      </c>
      <c r="CA597" s="125">
        <f t="shared" si="14"/>
        <v>1.9091865223318591</v>
      </c>
      <c r="CB597" s="125">
        <f t="shared" si="14"/>
        <v>1.939733506689169</v>
      </c>
      <c r="CC597" s="125">
        <f t="shared" si="14"/>
        <v>1.974648709809574</v>
      </c>
      <c r="CD597" s="125">
        <f t="shared" si="14"/>
        <v>2.0970769298177676</v>
      </c>
      <c r="CE597" s="125">
        <f t="shared" si="14"/>
        <v>2.2648430842031892</v>
      </c>
      <c r="CF597" s="125">
        <f t="shared" si="16"/>
        <v>2.3282586905608786</v>
      </c>
      <c r="CG597" s="125">
        <f t="shared" si="16"/>
        <v>2.3678390883004132</v>
      </c>
    </row>
    <row r="598" spans="1:85">
      <c r="A598" s="3"/>
      <c r="B598" s="123">
        <v>1988</v>
      </c>
      <c r="C598" s="123"/>
      <c r="D598" s="3"/>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4">
        <v>1</v>
      </c>
      <c r="AV598" s="125">
        <f t="shared" si="15"/>
        <v>1.0089999999999999</v>
      </c>
      <c r="AW598" s="125">
        <f t="shared" si="15"/>
        <v>1.0200989999999999</v>
      </c>
      <c r="AX598" s="125">
        <f t="shared" si="15"/>
        <v>1.0445813759999998</v>
      </c>
      <c r="AY598" s="125">
        <f t="shared" si="15"/>
        <v>1.0926321192959998</v>
      </c>
      <c r="AZ598" s="125">
        <f t="shared" si="15"/>
        <v>1.1308742434713597</v>
      </c>
      <c r="BA598" s="125">
        <f t="shared" si="13"/>
        <v>1.1534917283407868</v>
      </c>
      <c r="BB598" s="125">
        <f t="shared" si="13"/>
        <v>1.1834825132776474</v>
      </c>
      <c r="BC598" s="125">
        <f t="shared" si="13"/>
        <v>1.201234750976812</v>
      </c>
      <c r="BD598" s="125">
        <f t="shared" si="13"/>
        <v>1.2240582112453713</v>
      </c>
      <c r="BE598" s="125">
        <f t="shared" si="13"/>
        <v>1.255883724737751</v>
      </c>
      <c r="BF598" s="125">
        <f t="shared" si="13"/>
        <v>1.2772337480582927</v>
      </c>
      <c r="BG598" s="125">
        <f t="shared" si="13"/>
        <v>1.3104418255078083</v>
      </c>
      <c r="BH598" s="125">
        <f t="shared" si="13"/>
        <v>1.3432028711455033</v>
      </c>
      <c r="BI598" s="125">
        <f t="shared" si="13"/>
        <v>1.4063334060893418</v>
      </c>
      <c r="BJ598" s="125">
        <f t="shared" si="13"/>
        <v>1.45274240849029</v>
      </c>
      <c r="BK598" s="125">
        <f t="shared" si="13"/>
        <v>1.4832499990685859</v>
      </c>
      <c r="BL598" s="125">
        <f t="shared" si="13"/>
        <v>1.4995657490583403</v>
      </c>
      <c r="BM598" s="125">
        <f t="shared" si="13"/>
        <v>1.5265579325413905</v>
      </c>
      <c r="BN598" s="125">
        <f t="shared" si="13"/>
        <v>1.5479297435969699</v>
      </c>
      <c r="BO598" s="125">
        <f t="shared" si="13"/>
        <v>1.5649569707765365</v>
      </c>
      <c r="BP598" s="125">
        <f t="shared" si="14"/>
        <v>1.6150355938413856</v>
      </c>
      <c r="BQ598" s="125">
        <f t="shared" si="14"/>
        <v>1.6198807006229097</v>
      </c>
      <c r="BR598" s="125">
        <f t="shared" si="14"/>
        <v>1.6441789111322531</v>
      </c>
      <c r="BS598" s="125">
        <f t="shared" si="14"/>
        <v>1.6869275628216918</v>
      </c>
      <c r="BT598" s="125">
        <f t="shared" si="14"/>
        <v>1.7257268967665904</v>
      </c>
      <c r="BU598" s="125">
        <f t="shared" si="14"/>
        <v>1.7740472498760549</v>
      </c>
      <c r="BV598" s="125">
        <f t="shared" si="14"/>
        <v>1.7917877223748155</v>
      </c>
      <c r="BW598" s="125">
        <f t="shared" si="14"/>
        <v>1.8061220241538141</v>
      </c>
      <c r="BX598" s="125">
        <f t="shared" si="14"/>
        <v>1.8097342682021218</v>
      </c>
      <c r="BY598" s="125">
        <f t="shared" si="14"/>
        <v>1.8350705479569516</v>
      </c>
      <c r="BZ598" s="125">
        <f t="shared" si="14"/>
        <v>1.857091394532435</v>
      </c>
      <c r="CA598" s="125">
        <f t="shared" si="14"/>
        <v>1.9053757707902783</v>
      </c>
      <c r="CB598" s="125">
        <f t="shared" si="14"/>
        <v>1.9358617831229228</v>
      </c>
      <c r="CC598" s="125">
        <f t="shared" si="14"/>
        <v>1.9707072952191353</v>
      </c>
      <c r="CD598" s="125">
        <f t="shared" si="14"/>
        <v>2.0928911475227219</v>
      </c>
      <c r="CE598" s="125">
        <f t="shared" si="14"/>
        <v>2.2603224393245398</v>
      </c>
      <c r="CF598" s="125">
        <f t="shared" si="16"/>
        <v>2.3236114676256268</v>
      </c>
      <c r="CG598" s="125">
        <f t="shared" si="16"/>
        <v>2.363112862575262</v>
      </c>
    </row>
    <row r="599" spans="1:85">
      <c r="A599" s="3"/>
      <c r="B599" s="123">
        <v>1989</v>
      </c>
      <c r="C599" s="123"/>
      <c r="D599" s="3"/>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4">
        <v>1</v>
      </c>
      <c r="AW599" s="125">
        <f t="shared" si="15"/>
        <v>1.0109999999999999</v>
      </c>
      <c r="AX599" s="125">
        <f t="shared" si="15"/>
        <v>1.035264</v>
      </c>
      <c r="AY599" s="125">
        <f t="shared" si="15"/>
        <v>1.0828861439999999</v>
      </c>
      <c r="AZ599" s="125">
        <f t="shared" si="15"/>
        <v>1.1207871590399998</v>
      </c>
      <c r="BA599" s="125">
        <f t="shared" si="13"/>
        <v>1.1432029022207999</v>
      </c>
      <c r="BB599" s="125">
        <f t="shared" si="13"/>
        <v>1.1729261776785407</v>
      </c>
      <c r="BC599" s="125">
        <f t="shared" si="13"/>
        <v>1.1905200703437187</v>
      </c>
      <c r="BD599" s="125">
        <f t="shared" si="13"/>
        <v>1.2131399516802492</v>
      </c>
      <c r="BE599" s="125">
        <f t="shared" si="13"/>
        <v>1.2446815904239357</v>
      </c>
      <c r="BF599" s="125">
        <f t="shared" si="13"/>
        <v>1.2658411774611424</v>
      </c>
      <c r="BG599" s="125">
        <f t="shared" si="13"/>
        <v>1.2987530480751321</v>
      </c>
      <c r="BH599" s="125">
        <f t="shared" si="13"/>
        <v>1.3312218742770103</v>
      </c>
      <c r="BI599" s="125">
        <f t="shared" si="13"/>
        <v>1.3937893023680297</v>
      </c>
      <c r="BJ599" s="125">
        <f t="shared" si="13"/>
        <v>1.4397843493461746</v>
      </c>
      <c r="BK599" s="125">
        <f t="shared" si="13"/>
        <v>1.4700198206824442</v>
      </c>
      <c r="BL599" s="125">
        <f t="shared" si="13"/>
        <v>1.4861900387099509</v>
      </c>
      <c r="BM599" s="125">
        <f t="shared" si="13"/>
        <v>1.5129414594067301</v>
      </c>
      <c r="BN599" s="125">
        <f t="shared" si="13"/>
        <v>1.5341226398384242</v>
      </c>
      <c r="BO599" s="125">
        <f t="shared" si="13"/>
        <v>1.5509979888766467</v>
      </c>
      <c r="BP599" s="125">
        <f t="shared" si="14"/>
        <v>1.6006299245206994</v>
      </c>
      <c r="BQ599" s="125">
        <f t="shared" si="14"/>
        <v>1.6054318142942614</v>
      </c>
      <c r="BR599" s="125">
        <f t="shared" si="14"/>
        <v>1.6295132915086752</v>
      </c>
      <c r="BS599" s="125">
        <f t="shared" si="14"/>
        <v>1.6718806370879007</v>
      </c>
      <c r="BT599" s="125">
        <f t="shared" si="14"/>
        <v>1.7103338917409223</v>
      </c>
      <c r="BU599" s="125">
        <f t="shared" si="14"/>
        <v>1.7582232407096683</v>
      </c>
      <c r="BV599" s="125">
        <f t="shared" si="14"/>
        <v>1.775805473116765</v>
      </c>
      <c r="BW599" s="125">
        <f t="shared" si="14"/>
        <v>1.790011916901699</v>
      </c>
      <c r="BX599" s="125">
        <f t="shared" si="14"/>
        <v>1.7935919407355023</v>
      </c>
      <c r="BY599" s="125">
        <f t="shared" si="14"/>
        <v>1.8187022279057994</v>
      </c>
      <c r="BZ599" s="125">
        <f t="shared" si="14"/>
        <v>1.8405266546406689</v>
      </c>
      <c r="CA599" s="125">
        <f t="shared" si="14"/>
        <v>1.8883803476613263</v>
      </c>
      <c r="CB599" s="125">
        <f t="shared" si="14"/>
        <v>1.9185944332239075</v>
      </c>
      <c r="CC599" s="125">
        <f t="shared" si="14"/>
        <v>1.953129133021938</v>
      </c>
      <c r="CD599" s="125">
        <f t="shared" si="14"/>
        <v>2.0742231392692982</v>
      </c>
      <c r="CE599" s="125">
        <f t="shared" si="14"/>
        <v>2.2401609904108422</v>
      </c>
      <c r="CF599" s="125">
        <f t="shared" si="16"/>
        <v>2.3028854981423459</v>
      </c>
      <c r="CG599" s="125">
        <f t="shared" si="16"/>
        <v>2.3420345516107655</v>
      </c>
    </row>
    <row r="600" spans="1:85">
      <c r="A600" s="3"/>
      <c r="B600" s="123">
        <v>1990</v>
      </c>
      <c r="C600" s="123"/>
      <c r="D600" s="3"/>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4">
        <v>1</v>
      </c>
      <c r="AX600" s="125">
        <f t="shared" si="15"/>
        <v>1.024</v>
      </c>
      <c r="AY600" s="125">
        <f t="shared" si="15"/>
        <v>1.0711040000000001</v>
      </c>
      <c r="AZ600" s="125">
        <f t="shared" si="15"/>
        <v>1.1085926399999999</v>
      </c>
      <c r="BA600" s="125">
        <f t="shared" si="13"/>
        <v>1.1307644928</v>
      </c>
      <c r="BB600" s="125">
        <f t="shared" si="13"/>
        <v>1.1601643696128001</v>
      </c>
      <c r="BC600" s="125">
        <f t="shared" si="13"/>
        <v>1.1775668351569919</v>
      </c>
      <c r="BD600" s="125">
        <f t="shared" si="13"/>
        <v>1.1999406050249746</v>
      </c>
      <c r="BE600" s="125">
        <f t="shared" si="13"/>
        <v>1.2311390607556238</v>
      </c>
      <c r="BF600" s="125">
        <f t="shared" si="13"/>
        <v>1.2520684247884692</v>
      </c>
      <c r="BG600" s="125">
        <f t="shared" si="13"/>
        <v>1.2846222038329695</v>
      </c>
      <c r="BH600" s="125">
        <f t="shared" si="13"/>
        <v>1.3167377589287936</v>
      </c>
      <c r="BI600" s="125">
        <f t="shared" si="13"/>
        <v>1.3786244335984468</v>
      </c>
      <c r="BJ600" s="125">
        <f t="shared" si="13"/>
        <v>1.4241190399071955</v>
      </c>
      <c r="BK600" s="125">
        <f t="shared" si="13"/>
        <v>1.4540255397452464</v>
      </c>
      <c r="BL600" s="125">
        <f t="shared" si="13"/>
        <v>1.470019820682444</v>
      </c>
      <c r="BM600" s="125">
        <f t="shared" si="13"/>
        <v>1.4964801774547281</v>
      </c>
      <c r="BN600" s="125">
        <f t="shared" si="13"/>
        <v>1.5174308999390942</v>
      </c>
      <c r="BO600" s="125">
        <f t="shared" si="13"/>
        <v>1.534122639838424</v>
      </c>
      <c r="BP600" s="125">
        <f t="shared" si="14"/>
        <v>1.5832145643132536</v>
      </c>
      <c r="BQ600" s="125">
        <f t="shared" si="14"/>
        <v>1.5879642080061931</v>
      </c>
      <c r="BR600" s="125">
        <f t="shared" si="14"/>
        <v>1.6117836711262858</v>
      </c>
      <c r="BS600" s="125">
        <f t="shared" si="14"/>
        <v>1.6536900465755693</v>
      </c>
      <c r="BT600" s="125">
        <f t="shared" si="14"/>
        <v>1.6917249176468072</v>
      </c>
      <c r="BU600" s="125">
        <f t="shared" si="14"/>
        <v>1.7390932153409178</v>
      </c>
      <c r="BV600" s="125">
        <f t="shared" si="14"/>
        <v>1.7564841474943269</v>
      </c>
      <c r="BW600" s="125">
        <f t="shared" si="14"/>
        <v>1.7705360206742815</v>
      </c>
      <c r="BX600" s="125">
        <f t="shared" si="14"/>
        <v>1.77407709271563</v>
      </c>
      <c r="BY600" s="125">
        <f t="shared" si="14"/>
        <v>1.7989141720136488</v>
      </c>
      <c r="BZ600" s="125">
        <f t="shared" si="14"/>
        <v>1.8205011420778126</v>
      </c>
      <c r="CA600" s="125">
        <f t="shared" si="14"/>
        <v>1.8678341717718356</v>
      </c>
      <c r="CB600" s="125">
        <f t="shared" si="14"/>
        <v>1.8977195185201849</v>
      </c>
      <c r="CC600" s="125">
        <f t="shared" si="14"/>
        <v>1.9318784698535483</v>
      </c>
      <c r="CD600" s="125">
        <f t="shared" si="14"/>
        <v>2.0516549349844682</v>
      </c>
      <c r="CE600" s="125">
        <f t="shared" si="14"/>
        <v>2.2157873297832258</v>
      </c>
      <c r="CF600" s="125">
        <f t="shared" si="16"/>
        <v>2.2778293750171561</v>
      </c>
      <c r="CG600" s="125">
        <f t="shared" si="16"/>
        <v>2.3165524743924477</v>
      </c>
    </row>
    <row r="601" spans="1:85">
      <c r="A601" s="3"/>
      <c r="B601" s="123">
        <v>1991</v>
      </c>
      <c r="C601" s="123"/>
      <c r="D601" s="3"/>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4">
        <v>1</v>
      </c>
      <c r="AY601" s="125">
        <f t="shared" si="15"/>
        <v>1.046</v>
      </c>
      <c r="AZ601" s="125">
        <f t="shared" si="15"/>
        <v>1.0826099999999999</v>
      </c>
      <c r="BA601" s="125">
        <f t="shared" si="13"/>
        <v>1.1042622</v>
      </c>
      <c r="BB601" s="125">
        <f t="shared" si="13"/>
        <v>1.1329730172000001</v>
      </c>
      <c r="BC601" s="125">
        <f t="shared" si="13"/>
        <v>1.1499676124580001</v>
      </c>
      <c r="BD601" s="125">
        <f t="shared" si="13"/>
        <v>1.1718169970947019</v>
      </c>
      <c r="BE601" s="125">
        <f t="shared" si="13"/>
        <v>1.2022842390191641</v>
      </c>
      <c r="BF601" s="125">
        <f t="shared" si="13"/>
        <v>1.2227230710824899</v>
      </c>
      <c r="BG601" s="125">
        <f t="shared" si="13"/>
        <v>1.2545138709306347</v>
      </c>
      <c r="BH601" s="125">
        <f t="shared" si="13"/>
        <v>1.2858767177039006</v>
      </c>
      <c r="BI601" s="125">
        <f t="shared" si="13"/>
        <v>1.3463129234359839</v>
      </c>
      <c r="BJ601" s="125">
        <f t="shared" si="13"/>
        <v>1.3907412499093712</v>
      </c>
      <c r="BK601" s="125">
        <f t="shared" si="13"/>
        <v>1.4199468161574678</v>
      </c>
      <c r="BL601" s="125">
        <f t="shared" si="13"/>
        <v>1.4355662311351998</v>
      </c>
      <c r="BM601" s="125">
        <f t="shared" si="13"/>
        <v>1.4614064232956334</v>
      </c>
      <c r="BN601" s="125">
        <f t="shared" si="13"/>
        <v>1.4818661132217723</v>
      </c>
      <c r="BO601" s="125">
        <f t="shared" si="13"/>
        <v>1.4981666404672116</v>
      </c>
      <c r="BP601" s="125">
        <f t="shared" si="14"/>
        <v>1.5461079729621625</v>
      </c>
      <c r="BQ601" s="125">
        <f t="shared" si="14"/>
        <v>1.5507462968810488</v>
      </c>
      <c r="BR601" s="125">
        <f t="shared" si="14"/>
        <v>1.5740074913342643</v>
      </c>
      <c r="BS601" s="125">
        <f t="shared" si="14"/>
        <v>1.6149316861089553</v>
      </c>
      <c r="BT601" s="125">
        <f t="shared" si="14"/>
        <v>1.6520751148894612</v>
      </c>
      <c r="BU601" s="125">
        <f t="shared" si="14"/>
        <v>1.6983332181063662</v>
      </c>
      <c r="BV601" s="125">
        <f t="shared" si="14"/>
        <v>1.7153165502874299</v>
      </c>
      <c r="BW601" s="125">
        <f t="shared" si="14"/>
        <v>1.7290390826897293</v>
      </c>
      <c r="BX601" s="125">
        <f t="shared" si="14"/>
        <v>1.7324971608551087</v>
      </c>
      <c r="BY601" s="125">
        <f t="shared" si="14"/>
        <v>1.7567521211070802</v>
      </c>
      <c r="BZ601" s="125">
        <f t="shared" si="14"/>
        <v>1.7778331465603652</v>
      </c>
      <c r="CA601" s="125">
        <f t="shared" si="14"/>
        <v>1.8240568083709348</v>
      </c>
      <c r="CB601" s="125">
        <f t="shared" si="14"/>
        <v>1.8532417173048696</v>
      </c>
      <c r="CC601" s="125">
        <f t="shared" si="14"/>
        <v>1.8866000682163573</v>
      </c>
      <c r="CD601" s="125">
        <f t="shared" si="14"/>
        <v>2.0035692724457714</v>
      </c>
      <c r="CE601" s="125">
        <f t="shared" si="14"/>
        <v>2.1638548142414331</v>
      </c>
      <c r="CF601" s="125">
        <f t="shared" si="16"/>
        <v>2.2244427490401932</v>
      </c>
      <c r="CG601" s="125">
        <f t="shared" si="16"/>
        <v>2.2622582757738763</v>
      </c>
    </row>
    <row r="602" spans="1:85">
      <c r="A602" s="3"/>
      <c r="B602" s="123">
        <v>1992</v>
      </c>
      <c r="C602" s="123"/>
      <c r="D602" s="3"/>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4">
        <v>1</v>
      </c>
      <c r="AZ602" s="125">
        <f t="shared" si="15"/>
        <v>1.0349999999999999</v>
      </c>
      <c r="BA602" s="125">
        <f t="shared" si="13"/>
        <v>1.0556999999999999</v>
      </c>
      <c r="BB602" s="125">
        <f t="shared" si="13"/>
        <v>1.0831481999999999</v>
      </c>
      <c r="BC602" s="125">
        <f t="shared" si="13"/>
        <v>1.0993954229999998</v>
      </c>
      <c r="BD602" s="125">
        <f t="shared" si="13"/>
        <v>1.1202839360369996</v>
      </c>
      <c r="BE602" s="125">
        <f t="shared" si="13"/>
        <v>1.1494113183739616</v>
      </c>
      <c r="BF602" s="125">
        <f t="shared" si="13"/>
        <v>1.1689513107863188</v>
      </c>
      <c r="BG602" s="125">
        <f t="shared" si="13"/>
        <v>1.1993440448667632</v>
      </c>
      <c r="BH602" s="125">
        <f t="shared" si="13"/>
        <v>1.2293276459884321</v>
      </c>
      <c r="BI602" s="125">
        <f t="shared" si="13"/>
        <v>1.2871060453498884</v>
      </c>
      <c r="BJ602" s="125">
        <f t="shared" si="13"/>
        <v>1.3295805448464346</v>
      </c>
      <c r="BK602" s="125">
        <f t="shared" si="13"/>
        <v>1.3575017362882096</v>
      </c>
      <c r="BL602" s="125">
        <f t="shared" si="13"/>
        <v>1.3724342553873798</v>
      </c>
      <c r="BM602" s="125">
        <f t="shared" si="13"/>
        <v>1.3971380719843527</v>
      </c>
      <c r="BN602" s="125">
        <f t="shared" si="13"/>
        <v>1.4166980049921336</v>
      </c>
      <c r="BO602" s="125">
        <f t="shared" si="13"/>
        <v>1.4322816830470468</v>
      </c>
      <c r="BP602" s="125">
        <f t="shared" si="14"/>
        <v>1.4781146969045524</v>
      </c>
      <c r="BQ602" s="125">
        <f t="shared" si="14"/>
        <v>1.482549040995266</v>
      </c>
      <c r="BR602" s="125">
        <f t="shared" si="14"/>
        <v>1.5047872766101948</v>
      </c>
      <c r="BS602" s="125">
        <f t="shared" si="14"/>
        <v>1.5439117458020599</v>
      </c>
      <c r="BT602" s="125">
        <f t="shared" si="14"/>
        <v>1.5794217159555071</v>
      </c>
      <c r="BU602" s="125">
        <f t="shared" si="14"/>
        <v>1.6236455240022614</v>
      </c>
      <c r="BV602" s="125">
        <f t="shared" si="14"/>
        <v>1.6398819792422841</v>
      </c>
      <c r="BW602" s="125">
        <f t="shared" si="14"/>
        <v>1.6530010350762223</v>
      </c>
      <c r="BX602" s="125">
        <f t="shared" si="14"/>
        <v>1.6563070371463748</v>
      </c>
      <c r="BY602" s="125">
        <f t="shared" si="14"/>
        <v>1.6794953356664242</v>
      </c>
      <c r="BZ602" s="125">
        <f t="shared" si="14"/>
        <v>1.6996492796944214</v>
      </c>
      <c r="CA602" s="125">
        <f t="shared" si="14"/>
        <v>1.7438401609664764</v>
      </c>
      <c r="CB602" s="125">
        <f t="shared" si="14"/>
        <v>1.77174160354194</v>
      </c>
      <c r="CC602" s="125">
        <f t="shared" si="14"/>
        <v>1.8036329524056949</v>
      </c>
      <c r="CD602" s="125">
        <f t="shared" si="14"/>
        <v>1.915458195454848</v>
      </c>
      <c r="CE602" s="125">
        <f t="shared" si="14"/>
        <v>2.068694851091236</v>
      </c>
      <c r="CF602" s="125">
        <f t="shared" si="16"/>
        <v>2.1266183069217908</v>
      </c>
      <c r="CG602" s="125">
        <f t="shared" si="16"/>
        <v>2.1627708181394611</v>
      </c>
    </row>
    <row r="603" spans="1:85">
      <c r="A603" s="3"/>
      <c r="B603" s="123">
        <v>1993</v>
      </c>
      <c r="C603" s="127"/>
      <c r="D603" s="3"/>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4">
        <v>1</v>
      </c>
      <c r="BA603" s="125">
        <f t="shared" si="13"/>
        <v>1.02</v>
      </c>
      <c r="BB603" s="125">
        <f t="shared" si="13"/>
        <v>1.0465200000000001</v>
      </c>
      <c r="BC603" s="125">
        <f t="shared" si="13"/>
        <v>1.0622178</v>
      </c>
      <c r="BD603" s="125">
        <f t="shared" si="13"/>
        <v>1.0823999381999998</v>
      </c>
      <c r="BE603" s="125">
        <f t="shared" si="13"/>
        <v>1.1105423365931999</v>
      </c>
      <c r="BF603" s="125">
        <f t="shared" si="13"/>
        <v>1.1294215563152843</v>
      </c>
      <c r="BG603" s="125">
        <f t="shared" si="13"/>
        <v>1.1587865167794817</v>
      </c>
      <c r="BH603" s="125">
        <f t="shared" si="13"/>
        <v>1.1877561796989686</v>
      </c>
      <c r="BI603" s="125">
        <f t="shared" si="13"/>
        <v>1.2435807201448201</v>
      </c>
      <c r="BJ603" s="125">
        <f t="shared" si="13"/>
        <v>1.2846188839095991</v>
      </c>
      <c r="BK603" s="125">
        <f t="shared" si="13"/>
        <v>1.3115958804717005</v>
      </c>
      <c r="BL603" s="125">
        <f t="shared" si="13"/>
        <v>1.3260234351568891</v>
      </c>
      <c r="BM603" s="125">
        <f t="shared" si="13"/>
        <v>1.3498918569897131</v>
      </c>
      <c r="BN603" s="125">
        <f t="shared" si="13"/>
        <v>1.3687903429875692</v>
      </c>
      <c r="BO603" s="125">
        <f t="shared" si="13"/>
        <v>1.3838470367604323</v>
      </c>
      <c r="BP603" s="125">
        <f t="shared" si="14"/>
        <v>1.4281301419367662</v>
      </c>
      <c r="BQ603" s="125">
        <f t="shared" si="14"/>
        <v>1.4324145323625763</v>
      </c>
      <c r="BR603" s="125">
        <f t="shared" si="14"/>
        <v>1.4539007503480148</v>
      </c>
      <c r="BS603" s="125">
        <f t="shared" si="14"/>
        <v>1.4917021698570632</v>
      </c>
      <c r="BT603" s="125">
        <f t="shared" si="14"/>
        <v>1.5260113197637755</v>
      </c>
      <c r="BU603" s="125">
        <f t="shared" si="14"/>
        <v>1.5687396367171613</v>
      </c>
      <c r="BV603" s="125">
        <f t="shared" si="14"/>
        <v>1.5844270330843329</v>
      </c>
      <c r="BW603" s="125">
        <f t="shared" si="14"/>
        <v>1.5971024493490076</v>
      </c>
      <c r="BX603" s="125">
        <f t="shared" si="14"/>
        <v>1.6002966542477055</v>
      </c>
      <c r="BY603" s="125">
        <f t="shared" si="14"/>
        <v>1.6227008074071734</v>
      </c>
      <c r="BZ603" s="125">
        <f t="shared" si="14"/>
        <v>1.6421732170960595</v>
      </c>
      <c r="CA603" s="125">
        <f t="shared" si="14"/>
        <v>1.684869720740557</v>
      </c>
      <c r="CB603" s="125">
        <f t="shared" si="14"/>
        <v>1.7118276362724059</v>
      </c>
      <c r="CC603" s="125">
        <f t="shared" si="14"/>
        <v>1.7426405337253092</v>
      </c>
      <c r="CD603" s="125">
        <f t="shared" ref="CC603:CG631" si="17">CC603*CD$553</f>
        <v>1.8506842468162785</v>
      </c>
      <c r="CE603" s="125">
        <f t="shared" si="17"/>
        <v>1.998738986561581</v>
      </c>
      <c r="CF603" s="125">
        <f t="shared" si="16"/>
        <v>2.0547036781853052</v>
      </c>
      <c r="CG603" s="125">
        <f t="shared" si="16"/>
        <v>2.0896336407144553</v>
      </c>
    </row>
    <row r="604" spans="1:85">
      <c r="A604" s="3"/>
      <c r="B604" s="123">
        <v>1994</v>
      </c>
      <c r="C604" s="3"/>
      <c r="D604" s="3"/>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4">
        <v>1</v>
      </c>
      <c r="BB604" s="125">
        <f t="shared" ref="BB604:BQ619" si="18">BA604*BB$553</f>
        <v>1.026</v>
      </c>
      <c r="BC604" s="125">
        <f t="shared" si="18"/>
        <v>1.0413899999999998</v>
      </c>
      <c r="BD604" s="125">
        <f t="shared" si="18"/>
        <v>1.0611764099999996</v>
      </c>
      <c r="BE604" s="125">
        <f t="shared" si="18"/>
        <v>1.0887669966599995</v>
      </c>
      <c r="BF604" s="125">
        <f t="shared" si="18"/>
        <v>1.1072760356032194</v>
      </c>
      <c r="BG604" s="125">
        <f t="shared" si="18"/>
        <v>1.1360652125289032</v>
      </c>
      <c r="BH604" s="125">
        <f t="shared" si="18"/>
        <v>1.1644668428421256</v>
      </c>
      <c r="BI604" s="125">
        <f t="shared" si="18"/>
        <v>1.2191967844557055</v>
      </c>
      <c r="BJ604" s="125">
        <f t="shared" si="18"/>
        <v>1.2594302783427436</v>
      </c>
      <c r="BK604" s="125">
        <f t="shared" si="18"/>
        <v>1.2858783141879411</v>
      </c>
      <c r="BL604" s="125">
        <f t="shared" si="18"/>
        <v>1.3000229756440083</v>
      </c>
      <c r="BM604" s="125">
        <f t="shared" si="18"/>
        <v>1.3234233892056004</v>
      </c>
      <c r="BN604" s="125">
        <f t="shared" si="18"/>
        <v>1.3419513166544788</v>
      </c>
      <c r="BO604" s="125">
        <f t="shared" si="18"/>
        <v>1.3567127811376778</v>
      </c>
      <c r="BP604" s="125">
        <f t="shared" si="18"/>
        <v>1.4001275901340835</v>
      </c>
      <c r="BQ604" s="125">
        <f t="shared" si="18"/>
        <v>1.4043279729044855</v>
      </c>
      <c r="BR604" s="125">
        <f t="shared" ref="BR604:CB630" si="19">BQ604*BR$553</f>
        <v>1.4253928924980526</v>
      </c>
      <c r="BS604" s="125">
        <f t="shared" si="19"/>
        <v>1.4624531077030021</v>
      </c>
      <c r="BT604" s="125">
        <f t="shared" si="19"/>
        <v>1.496089529180171</v>
      </c>
      <c r="BU604" s="125">
        <f t="shared" si="19"/>
        <v>1.5379800359972158</v>
      </c>
      <c r="BV604" s="125">
        <f t="shared" si="19"/>
        <v>1.5533598363571879</v>
      </c>
      <c r="BW604" s="125">
        <f t="shared" si="19"/>
        <v>1.5657867150480453</v>
      </c>
      <c r="BX604" s="125">
        <f t="shared" si="19"/>
        <v>1.5689182884781414</v>
      </c>
      <c r="BY604" s="125">
        <f t="shared" si="19"/>
        <v>1.5908831445168354</v>
      </c>
      <c r="BZ604" s="125">
        <f t="shared" si="19"/>
        <v>1.6099737422510374</v>
      </c>
      <c r="CA604" s="125">
        <f t="shared" si="19"/>
        <v>1.6518330595495645</v>
      </c>
      <c r="CB604" s="125">
        <f t="shared" si="19"/>
        <v>1.6782623885023575</v>
      </c>
      <c r="CC604" s="125">
        <f t="shared" si="17"/>
        <v>1.7084711114954001</v>
      </c>
      <c r="CD604" s="125">
        <f t="shared" si="17"/>
        <v>1.814396320408115</v>
      </c>
      <c r="CE604" s="125">
        <f t="shared" si="17"/>
        <v>1.9595480260407643</v>
      </c>
      <c r="CF604" s="125">
        <f t="shared" si="16"/>
        <v>2.0144153707699055</v>
      </c>
      <c r="CG604" s="125">
        <f t="shared" si="16"/>
        <v>2.0486604320729938</v>
      </c>
    </row>
    <row r="605" spans="1:85">
      <c r="A605" s="3"/>
      <c r="B605" s="123">
        <v>1995</v>
      </c>
      <c r="C605" s="3"/>
      <c r="D605" s="3"/>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4">
        <v>1</v>
      </c>
      <c r="BC605" s="125">
        <f t="shared" si="18"/>
        <v>1.0149999999999999</v>
      </c>
      <c r="BD605" s="125">
        <f t="shared" si="18"/>
        <v>1.0342849999999999</v>
      </c>
      <c r="BE605" s="125">
        <f t="shared" si="18"/>
        <v>1.0611764099999998</v>
      </c>
      <c r="BF605" s="125">
        <f t="shared" si="18"/>
        <v>1.0792164089699998</v>
      </c>
      <c r="BG605" s="125">
        <f t="shared" si="18"/>
        <v>1.1072760356032199</v>
      </c>
      <c r="BH605" s="125">
        <f t="shared" si="18"/>
        <v>1.1349579364933002</v>
      </c>
      <c r="BI605" s="125">
        <f t="shared" si="18"/>
        <v>1.1883009595084852</v>
      </c>
      <c r="BJ605" s="125">
        <f t="shared" si="18"/>
        <v>1.2275148911722651</v>
      </c>
      <c r="BK605" s="125">
        <f t="shared" si="18"/>
        <v>1.2532927038868826</v>
      </c>
      <c r="BL605" s="125">
        <f t="shared" si="18"/>
        <v>1.2670789236296383</v>
      </c>
      <c r="BM605" s="125">
        <f t="shared" si="18"/>
        <v>1.2898863442549717</v>
      </c>
      <c r="BN605" s="125">
        <f t="shared" si="18"/>
        <v>1.3079447530745414</v>
      </c>
      <c r="BO605" s="125">
        <f t="shared" si="18"/>
        <v>1.3223321453583612</v>
      </c>
      <c r="BP605" s="125">
        <f t="shared" si="18"/>
        <v>1.3646467740098287</v>
      </c>
      <c r="BQ605" s="125">
        <f t="shared" si="18"/>
        <v>1.368740714331858</v>
      </c>
      <c r="BR605" s="125">
        <f t="shared" si="19"/>
        <v>1.3892718250468357</v>
      </c>
      <c r="BS605" s="125">
        <f t="shared" si="19"/>
        <v>1.4253928924980535</v>
      </c>
      <c r="BT605" s="125">
        <f t="shared" si="19"/>
        <v>1.4581769290255087</v>
      </c>
      <c r="BU605" s="125">
        <f t="shared" si="19"/>
        <v>1.4990058830382229</v>
      </c>
      <c r="BV605" s="125">
        <f t="shared" si="19"/>
        <v>1.5139959418686051</v>
      </c>
      <c r="BW605" s="125">
        <f t="shared" si="19"/>
        <v>1.5261079094035539</v>
      </c>
      <c r="BX605" s="125">
        <f t="shared" si="19"/>
        <v>1.529160125222361</v>
      </c>
      <c r="BY605" s="125">
        <f t="shared" si="19"/>
        <v>1.5505683669754742</v>
      </c>
      <c r="BZ605" s="125">
        <f t="shared" si="19"/>
        <v>1.5691751873791799</v>
      </c>
      <c r="CA605" s="125">
        <f t="shared" si="19"/>
        <v>1.6099737422510387</v>
      </c>
      <c r="CB605" s="125">
        <f t="shared" si="19"/>
        <v>1.6357333221270554</v>
      </c>
      <c r="CC605" s="125">
        <f t="shared" si="17"/>
        <v>1.6651765219253423</v>
      </c>
      <c r="CD605" s="125">
        <f t="shared" si="17"/>
        <v>1.7684174662847136</v>
      </c>
      <c r="CE605" s="125">
        <f t="shared" si="17"/>
        <v>1.9098908635874909</v>
      </c>
      <c r="CF605" s="125">
        <f t="shared" si="16"/>
        <v>1.9633678077679408</v>
      </c>
      <c r="CG605" s="125">
        <f t="shared" si="16"/>
        <v>1.9967450604999957</v>
      </c>
    </row>
    <row r="606" spans="1:85">
      <c r="A606" s="128"/>
      <c r="B606" s="123">
        <v>1996</v>
      </c>
      <c r="C606" s="128"/>
      <c r="D606" s="128"/>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4">
        <v>1</v>
      </c>
      <c r="BD606" s="125">
        <f t="shared" si="18"/>
        <v>1.0189999999999999</v>
      </c>
      <c r="BE606" s="125">
        <f t="shared" si="18"/>
        <v>1.0454939999999999</v>
      </c>
      <c r="BF606" s="125">
        <f t="shared" si="18"/>
        <v>1.0632673979999998</v>
      </c>
      <c r="BG606" s="125">
        <f t="shared" si="18"/>
        <v>1.0909123503479998</v>
      </c>
      <c r="BH606" s="125">
        <f t="shared" si="18"/>
        <v>1.1181851591066998</v>
      </c>
      <c r="BI606" s="125">
        <f t="shared" si="18"/>
        <v>1.1707398615847147</v>
      </c>
      <c r="BJ606" s="125">
        <f t="shared" si="18"/>
        <v>1.2093742770170102</v>
      </c>
      <c r="BK606" s="125">
        <f t="shared" si="18"/>
        <v>1.2347711368343672</v>
      </c>
      <c r="BL606" s="125">
        <f t="shared" si="18"/>
        <v>1.2483536193395453</v>
      </c>
      <c r="BM606" s="125">
        <f t="shared" si="18"/>
        <v>1.270823984487657</v>
      </c>
      <c r="BN606" s="125">
        <f t="shared" si="18"/>
        <v>1.2886155202704841</v>
      </c>
      <c r="BO606" s="125">
        <f t="shared" si="18"/>
        <v>1.3027902909934592</v>
      </c>
      <c r="BP606" s="125">
        <f t="shared" si="18"/>
        <v>1.3444795803052501</v>
      </c>
      <c r="BQ606" s="125">
        <f t="shared" si="18"/>
        <v>1.3485130190461656</v>
      </c>
      <c r="BR606" s="125">
        <f t="shared" si="19"/>
        <v>1.368740714331858</v>
      </c>
      <c r="BS606" s="125">
        <f t="shared" si="19"/>
        <v>1.4043279729044862</v>
      </c>
      <c r="BT606" s="125">
        <f t="shared" si="19"/>
        <v>1.4366275162812892</v>
      </c>
      <c r="BU606" s="125">
        <f t="shared" si="19"/>
        <v>1.4768530867371652</v>
      </c>
      <c r="BV606" s="125">
        <f t="shared" si="19"/>
        <v>1.4916216176045369</v>
      </c>
      <c r="BW606" s="125">
        <f t="shared" si="19"/>
        <v>1.5035545905453733</v>
      </c>
      <c r="BX606" s="125">
        <f t="shared" si="19"/>
        <v>1.5065616997264641</v>
      </c>
      <c r="BY606" s="125">
        <f t="shared" si="19"/>
        <v>1.5276535635226347</v>
      </c>
      <c r="BZ606" s="125">
        <f t="shared" si="19"/>
        <v>1.5459854062849063</v>
      </c>
      <c r="CA606" s="125">
        <f t="shared" si="19"/>
        <v>1.5861810268483139</v>
      </c>
      <c r="CB606" s="125">
        <f t="shared" si="19"/>
        <v>1.611559923277887</v>
      </c>
      <c r="CC606" s="125">
        <f t="shared" si="17"/>
        <v>1.6405680018968889</v>
      </c>
      <c r="CD606" s="125">
        <f t="shared" si="17"/>
        <v>1.742283218014496</v>
      </c>
      <c r="CE606" s="125">
        <f t="shared" si="17"/>
        <v>1.8816658754556559</v>
      </c>
      <c r="CF606" s="125">
        <f t="shared" si="16"/>
        <v>1.9343525199684144</v>
      </c>
      <c r="CG606" s="125">
        <f t="shared" si="16"/>
        <v>1.9672365128078773</v>
      </c>
    </row>
    <row r="607" spans="1:85">
      <c r="A607" s="3"/>
      <c r="B607" s="123">
        <v>1997</v>
      </c>
      <c r="C607" s="3"/>
      <c r="D607" s="3"/>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4">
        <v>1</v>
      </c>
      <c r="BE607" s="125">
        <f t="shared" si="18"/>
        <v>1.026</v>
      </c>
      <c r="BF607" s="125">
        <f t="shared" si="18"/>
        <v>1.043442</v>
      </c>
      <c r="BG607" s="125">
        <f t="shared" si="18"/>
        <v>1.070571492</v>
      </c>
      <c r="BH607" s="125">
        <f t="shared" si="18"/>
        <v>1.0973357792999998</v>
      </c>
      <c r="BI607" s="125">
        <f t="shared" si="18"/>
        <v>1.1489105609270998</v>
      </c>
      <c r="BJ607" s="125">
        <f t="shared" si="18"/>
        <v>1.186824609437694</v>
      </c>
      <c r="BK607" s="125">
        <f t="shared" si="18"/>
        <v>1.2117479262358855</v>
      </c>
      <c r="BL607" s="125">
        <f t="shared" si="18"/>
        <v>1.22507715342448</v>
      </c>
      <c r="BM607" s="125">
        <f t="shared" si="18"/>
        <v>1.2471285421861207</v>
      </c>
      <c r="BN607" s="125">
        <f t="shared" si="18"/>
        <v>1.2645883417767263</v>
      </c>
      <c r="BO607" s="125">
        <f t="shared" si="18"/>
        <v>1.2784988135362703</v>
      </c>
      <c r="BP607" s="125">
        <f t="shared" si="18"/>
        <v>1.3194107755694309</v>
      </c>
      <c r="BQ607" s="125">
        <f t="shared" si="18"/>
        <v>1.3233690078961391</v>
      </c>
      <c r="BR607" s="125">
        <f t="shared" si="19"/>
        <v>1.343219543014581</v>
      </c>
      <c r="BS607" s="125">
        <f t="shared" si="19"/>
        <v>1.3781432511329601</v>
      </c>
      <c r="BT607" s="125">
        <f t="shared" si="19"/>
        <v>1.409840545909018</v>
      </c>
      <c r="BU607" s="125">
        <f t="shared" si="19"/>
        <v>1.4493160811944705</v>
      </c>
      <c r="BV607" s="125">
        <f t="shared" si="19"/>
        <v>1.4638092420064153</v>
      </c>
      <c r="BW607" s="125">
        <f t="shared" si="19"/>
        <v>1.4755197159424667</v>
      </c>
      <c r="BX607" s="125">
        <f t="shared" si="19"/>
        <v>1.4784707553743517</v>
      </c>
      <c r="BY607" s="125">
        <f t="shared" si="19"/>
        <v>1.4991693459495927</v>
      </c>
      <c r="BZ607" s="125">
        <f t="shared" si="19"/>
        <v>1.5171593781009878</v>
      </c>
      <c r="CA607" s="125">
        <f t="shared" si="19"/>
        <v>1.5566055219316135</v>
      </c>
      <c r="CB607" s="125">
        <f t="shared" si="19"/>
        <v>1.5815112102825193</v>
      </c>
      <c r="CC607" s="125">
        <f t="shared" si="17"/>
        <v>1.6099784120676046</v>
      </c>
      <c r="CD607" s="125">
        <f t="shared" si="17"/>
        <v>1.7097970736157961</v>
      </c>
      <c r="CE607" s="125">
        <f t="shared" si="17"/>
        <v>1.84658083950506</v>
      </c>
      <c r="CF607" s="125">
        <f t="shared" si="16"/>
        <v>1.8982851030112018</v>
      </c>
      <c r="CG607" s="125">
        <f t="shared" si="16"/>
        <v>1.9305559497623921</v>
      </c>
    </row>
    <row r="608" spans="1:85">
      <c r="A608" s="3"/>
      <c r="B608" s="123">
        <v>1998</v>
      </c>
      <c r="C608" s="3"/>
      <c r="D608" s="3"/>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4">
        <v>1</v>
      </c>
      <c r="BF608" s="125">
        <f t="shared" si="18"/>
        <v>1.0169999999999999</v>
      </c>
      <c r="BG608" s="125">
        <f t="shared" si="18"/>
        <v>1.043442</v>
      </c>
      <c r="BH608" s="125">
        <f t="shared" si="18"/>
        <v>1.06952805</v>
      </c>
      <c r="BI608" s="125">
        <f t="shared" si="18"/>
        <v>1.1197958683499998</v>
      </c>
      <c r="BJ608" s="125">
        <f t="shared" si="18"/>
        <v>1.1567491320055496</v>
      </c>
      <c r="BK608" s="125">
        <f t="shared" si="18"/>
        <v>1.1810408637776662</v>
      </c>
      <c r="BL608" s="125">
        <f t="shared" si="18"/>
        <v>1.1940323132792203</v>
      </c>
      <c r="BM608" s="125">
        <f t="shared" si="18"/>
        <v>1.2155248949182462</v>
      </c>
      <c r="BN608" s="125">
        <f t="shared" si="18"/>
        <v>1.2325422434471016</v>
      </c>
      <c r="BO608" s="125">
        <f t="shared" si="18"/>
        <v>1.2461002081250196</v>
      </c>
      <c r="BP608" s="125">
        <f t="shared" si="18"/>
        <v>1.2859754147850204</v>
      </c>
      <c r="BQ608" s="125">
        <f t="shared" si="18"/>
        <v>1.2898333410293754</v>
      </c>
      <c r="BR608" s="125">
        <f t="shared" si="19"/>
        <v>1.3091808411448158</v>
      </c>
      <c r="BS608" s="125">
        <f t="shared" si="19"/>
        <v>1.343219543014581</v>
      </c>
      <c r="BT608" s="125">
        <f t="shared" si="19"/>
        <v>1.3741135925039163</v>
      </c>
      <c r="BU608" s="125">
        <f t="shared" si="19"/>
        <v>1.4125887730940261</v>
      </c>
      <c r="BV608" s="125">
        <f t="shared" si="19"/>
        <v>1.4267146608249663</v>
      </c>
      <c r="BW608" s="125">
        <f t="shared" si="19"/>
        <v>1.4381283781115661</v>
      </c>
      <c r="BX608" s="125">
        <f t="shared" si="19"/>
        <v>1.4410046348677892</v>
      </c>
      <c r="BY608" s="125">
        <f t="shared" si="19"/>
        <v>1.4611786997559382</v>
      </c>
      <c r="BZ608" s="125">
        <f t="shared" si="19"/>
        <v>1.4787128441530095</v>
      </c>
      <c r="CA608" s="125">
        <f t="shared" si="19"/>
        <v>1.5171593781009878</v>
      </c>
      <c r="CB608" s="125">
        <f t="shared" si="19"/>
        <v>1.5414339281506035</v>
      </c>
      <c r="CC608" s="125">
        <f t="shared" si="17"/>
        <v>1.5691797388573143</v>
      </c>
      <c r="CD608" s="125">
        <f t="shared" si="17"/>
        <v>1.666468882666468</v>
      </c>
      <c r="CE608" s="125">
        <f t="shared" si="17"/>
        <v>1.7997863932797855</v>
      </c>
      <c r="CF608" s="125">
        <f t="shared" si="16"/>
        <v>1.8501804122916194</v>
      </c>
      <c r="CG608" s="125">
        <f t="shared" si="16"/>
        <v>1.8816334793005769</v>
      </c>
    </row>
    <row r="609" spans="1:85">
      <c r="A609" s="3"/>
      <c r="B609" s="123">
        <v>1999</v>
      </c>
      <c r="C609" s="3"/>
      <c r="D609" s="3"/>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4">
        <v>1</v>
      </c>
      <c r="BG609" s="125">
        <f t="shared" si="18"/>
        <v>1.026</v>
      </c>
      <c r="BH609" s="125">
        <f t="shared" si="18"/>
        <v>1.05165</v>
      </c>
      <c r="BI609" s="125">
        <f t="shared" si="18"/>
        <v>1.1010775499999998</v>
      </c>
      <c r="BJ609" s="125">
        <f t="shared" si="18"/>
        <v>1.1374131091499997</v>
      </c>
      <c r="BK609" s="125">
        <f t="shared" si="18"/>
        <v>1.1612987844421496</v>
      </c>
      <c r="BL609" s="125">
        <f t="shared" si="18"/>
        <v>1.1740730710710132</v>
      </c>
      <c r="BM609" s="125">
        <f t="shared" si="18"/>
        <v>1.1952063863502915</v>
      </c>
      <c r="BN609" s="125">
        <f t="shared" si="18"/>
        <v>1.2119392757591956</v>
      </c>
      <c r="BO609" s="125">
        <f t="shared" si="18"/>
        <v>1.2252706077925466</v>
      </c>
      <c r="BP609" s="125">
        <f t="shared" si="18"/>
        <v>1.2644792672419081</v>
      </c>
      <c r="BQ609" s="125">
        <f t="shared" si="18"/>
        <v>1.2682727050436338</v>
      </c>
      <c r="BR609" s="125">
        <f t="shared" si="19"/>
        <v>1.2872967956192882</v>
      </c>
      <c r="BS609" s="125">
        <f t="shared" si="19"/>
        <v>1.3207665123053898</v>
      </c>
      <c r="BT609" s="125">
        <f t="shared" si="19"/>
        <v>1.3511441420884136</v>
      </c>
      <c r="BU609" s="125">
        <f t="shared" si="19"/>
        <v>1.3889761780668892</v>
      </c>
      <c r="BV609" s="125">
        <f t="shared" si="19"/>
        <v>1.402865939847558</v>
      </c>
      <c r="BW609" s="125">
        <f t="shared" si="19"/>
        <v>1.4140888673663385</v>
      </c>
      <c r="BX609" s="125">
        <f t="shared" si="19"/>
        <v>1.4169170451010713</v>
      </c>
      <c r="BY609" s="125">
        <f t="shared" si="19"/>
        <v>1.4367538837324862</v>
      </c>
      <c r="BZ609" s="125">
        <f t="shared" si="19"/>
        <v>1.4539949303372761</v>
      </c>
      <c r="CA609" s="125">
        <f t="shared" si="19"/>
        <v>1.4917987985260452</v>
      </c>
      <c r="CB609" s="125">
        <f t="shared" si="19"/>
        <v>1.5156675793024621</v>
      </c>
      <c r="CC609" s="125">
        <f t="shared" si="17"/>
        <v>1.5429495957299064</v>
      </c>
      <c r="CD609" s="125">
        <f t="shared" si="17"/>
        <v>1.6386124706651608</v>
      </c>
      <c r="CE609" s="125">
        <f t="shared" si="17"/>
        <v>1.7697014683183738</v>
      </c>
      <c r="CF609" s="125">
        <f t="shared" si="16"/>
        <v>1.8192531094312883</v>
      </c>
      <c r="CG609" s="125">
        <f t="shared" si="16"/>
        <v>1.8501804122916199</v>
      </c>
    </row>
    <row r="610" spans="1:85">
      <c r="A610" s="3"/>
      <c r="B610" s="123">
        <v>2000</v>
      </c>
      <c r="C610" s="3"/>
      <c r="D610" s="3"/>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4">
        <v>1</v>
      </c>
      <c r="BH610" s="125">
        <f t="shared" si="18"/>
        <v>1.0249999999999999</v>
      </c>
      <c r="BI610" s="125">
        <f t="shared" si="18"/>
        <v>1.0731749999999998</v>
      </c>
      <c r="BJ610" s="125">
        <f t="shared" si="18"/>
        <v>1.1085897749999998</v>
      </c>
      <c r="BK610" s="125">
        <f t="shared" si="18"/>
        <v>1.1318701602749996</v>
      </c>
      <c r="BL610" s="125">
        <f t="shared" si="18"/>
        <v>1.1443207320380244</v>
      </c>
      <c r="BM610" s="125">
        <f t="shared" si="18"/>
        <v>1.1649185052147089</v>
      </c>
      <c r="BN610" s="125">
        <f t="shared" si="18"/>
        <v>1.1812273642877147</v>
      </c>
      <c r="BO610" s="125">
        <f t="shared" si="18"/>
        <v>1.1942208652948794</v>
      </c>
      <c r="BP610" s="125">
        <f t="shared" si="18"/>
        <v>1.2324359329843155</v>
      </c>
      <c r="BQ610" s="125">
        <f t="shared" si="18"/>
        <v>1.2361332407832684</v>
      </c>
      <c r="BR610" s="125">
        <f t="shared" si="19"/>
        <v>1.2546752393950173</v>
      </c>
      <c r="BS610" s="125">
        <f t="shared" si="19"/>
        <v>1.2872967956192878</v>
      </c>
      <c r="BT610" s="125">
        <f t="shared" si="19"/>
        <v>1.3169046219185312</v>
      </c>
      <c r="BU610" s="125">
        <f t="shared" si="19"/>
        <v>1.3537779513322501</v>
      </c>
      <c r="BV610" s="125">
        <f t="shared" si="19"/>
        <v>1.3673157308455726</v>
      </c>
      <c r="BW610" s="125">
        <f t="shared" si="19"/>
        <v>1.3782542566923373</v>
      </c>
      <c r="BX610" s="125">
        <f t="shared" si="19"/>
        <v>1.381010765205722</v>
      </c>
      <c r="BY610" s="125">
        <f t="shared" si="19"/>
        <v>1.4003449159186021</v>
      </c>
      <c r="BZ610" s="125">
        <f t="shared" si="19"/>
        <v>1.4171490549096253</v>
      </c>
      <c r="CA610" s="125">
        <f t="shared" si="19"/>
        <v>1.4539949303372757</v>
      </c>
      <c r="CB610" s="125">
        <f t="shared" si="19"/>
        <v>1.4772588492226721</v>
      </c>
      <c r="CC610" s="125">
        <f t="shared" si="17"/>
        <v>1.5038495085086803</v>
      </c>
      <c r="CD610" s="125">
        <f t="shared" si="17"/>
        <v>1.5970881780362185</v>
      </c>
      <c r="CE610" s="125">
        <f t="shared" si="17"/>
        <v>1.7248552322791162</v>
      </c>
      <c r="CF610" s="125">
        <f t="shared" si="16"/>
        <v>1.7731511787829315</v>
      </c>
      <c r="CG610" s="125">
        <f t="shared" si="16"/>
        <v>1.8032947488222411</v>
      </c>
    </row>
    <row r="611" spans="1:85">
      <c r="A611" s="3"/>
      <c r="B611" s="123">
        <v>2001</v>
      </c>
      <c r="C611" s="3"/>
      <c r="D611" s="3"/>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4">
        <v>1</v>
      </c>
      <c r="BI611" s="125">
        <f t="shared" si="18"/>
        <v>1.0469999999999999</v>
      </c>
      <c r="BJ611" s="125">
        <f t="shared" si="18"/>
        <v>1.0815509999999999</v>
      </c>
      <c r="BK611" s="125">
        <f t="shared" si="18"/>
        <v>1.1042635709999997</v>
      </c>
      <c r="BL611" s="125">
        <f t="shared" si="18"/>
        <v>1.1164104702809996</v>
      </c>
      <c r="BM611" s="125">
        <f t="shared" si="18"/>
        <v>1.1365058587460577</v>
      </c>
      <c r="BN611" s="125">
        <f t="shared" si="18"/>
        <v>1.1524169407685025</v>
      </c>
      <c r="BO611" s="125">
        <f t="shared" si="18"/>
        <v>1.165093527116956</v>
      </c>
      <c r="BP611" s="125">
        <f t="shared" si="18"/>
        <v>1.2023765199846987</v>
      </c>
      <c r="BQ611" s="125">
        <f t="shared" si="18"/>
        <v>1.2059836495446528</v>
      </c>
      <c r="BR611" s="125">
        <f t="shared" si="19"/>
        <v>1.2240734042878225</v>
      </c>
      <c r="BS611" s="125">
        <f t="shared" si="19"/>
        <v>1.2558993127993059</v>
      </c>
      <c r="BT611" s="125">
        <f t="shared" si="19"/>
        <v>1.2847849969936898</v>
      </c>
      <c r="BU611" s="125">
        <f t="shared" si="19"/>
        <v>1.3207589769095132</v>
      </c>
      <c r="BV611" s="125">
        <f t="shared" si="19"/>
        <v>1.3339665666786082</v>
      </c>
      <c r="BW611" s="125">
        <f t="shared" si="19"/>
        <v>1.3446382992120371</v>
      </c>
      <c r="BX611" s="125">
        <f t="shared" si="19"/>
        <v>1.3473275758104613</v>
      </c>
      <c r="BY611" s="125">
        <f t="shared" si="19"/>
        <v>1.3661901618718078</v>
      </c>
      <c r="BZ611" s="125">
        <f t="shared" si="19"/>
        <v>1.3825844438142694</v>
      </c>
      <c r="CA611" s="125">
        <f t="shared" si="19"/>
        <v>1.4185316393534404</v>
      </c>
      <c r="CB611" s="125">
        <f t="shared" si="19"/>
        <v>1.4412281455830955</v>
      </c>
      <c r="CC611" s="125">
        <f t="shared" si="17"/>
        <v>1.4671702522035912</v>
      </c>
      <c r="CD611" s="125">
        <f t="shared" si="17"/>
        <v>1.558134807840214</v>
      </c>
      <c r="CE611" s="125">
        <f t="shared" si="17"/>
        <v>1.6827855924674311</v>
      </c>
      <c r="CF611" s="125">
        <f t="shared" si="16"/>
        <v>1.7299035890565193</v>
      </c>
      <c r="CG611" s="125">
        <f t="shared" si="16"/>
        <v>1.7593119500704799</v>
      </c>
    </row>
    <row r="612" spans="1:85">
      <c r="A612" s="3"/>
      <c r="B612" s="123">
        <v>2002</v>
      </c>
      <c r="C612" s="3"/>
      <c r="D612" s="3"/>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4">
        <v>1</v>
      </c>
      <c r="BJ612" s="125">
        <f t="shared" si="18"/>
        <v>1.0329999999999999</v>
      </c>
      <c r="BK612" s="125">
        <f t="shared" si="18"/>
        <v>1.0546929999999999</v>
      </c>
      <c r="BL612" s="125">
        <f t="shared" si="18"/>
        <v>1.0662946229999997</v>
      </c>
      <c r="BM612" s="125">
        <f t="shared" si="18"/>
        <v>1.0854879262139996</v>
      </c>
      <c r="BN612" s="125">
        <f t="shared" si="18"/>
        <v>1.1006847571809957</v>
      </c>
      <c r="BO612" s="125">
        <f t="shared" si="18"/>
        <v>1.1127922895099864</v>
      </c>
      <c r="BP612" s="125">
        <f t="shared" si="18"/>
        <v>1.148401642774306</v>
      </c>
      <c r="BQ612" s="125">
        <f t="shared" si="18"/>
        <v>1.1518468477026289</v>
      </c>
      <c r="BR612" s="125">
        <f t="shared" si="19"/>
        <v>1.1691245504181682</v>
      </c>
      <c r="BS612" s="125">
        <f t="shared" si="19"/>
        <v>1.1995217887290406</v>
      </c>
      <c r="BT612" s="125">
        <f t="shared" si="19"/>
        <v>1.2271107898698084</v>
      </c>
      <c r="BU612" s="125">
        <f t="shared" si="19"/>
        <v>1.2614698919861631</v>
      </c>
      <c r="BV612" s="125">
        <f t="shared" si="19"/>
        <v>1.2740845909060248</v>
      </c>
      <c r="BW612" s="125">
        <f t="shared" si="19"/>
        <v>1.284277267633273</v>
      </c>
      <c r="BX612" s="125">
        <f t="shared" si="19"/>
        <v>1.2868458221685395</v>
      </c>
      <c r="BY612" s="125">
        <f t="shared" si="19"/>
        <v>1.304861663678899</v>
      </c>
      <c r="BZ612" s="125">
        <f t="shared" si="19"/>
        <v>1.3205200036430458</v>
      </c>
      <c r="CA612" s="125">
        <f t="shared" si="19"/>
        <v>1.354853523737765</v>
      </c>
      <c r="CB612" s="125">
        <f t="shared" si="19"/>
        <v>1.3765311801175693</v>
      </c>
      <c r="CC612" s="125">
        <f t="shared" si="17"/>
        <v>1.4013087413596854</v>
      </c>
      <c r="CD612" s="125">
        <f t="shared" si="17"/>
        <v>1.4881898833239859</v>
      </c>
      <c r="CE612" s="125">
        <f t="shared" si="17"/>
        <v>1.6072450739899049</v>
      </c>
      <c r="CF612" s="125">
        <f t="shared" si="16"/>
        <v>1.6522479360616222</v>
      </c>
      <c r="CG612" s="125">
        <f t="shared" si="16"/>
        <v>1.6803361509746697</v>
      </c>
    </row>
    <row r="613" spans="1:85">
      <c r="A613" s="3"/>
      <c r="B613" s="123">
        <v>2003</v>
      </c>
      <c r="C613" s="3"/>
      <c r="D613" s="3"/>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4">
        <v>1</v>
      </c>
      <c r="BK613" s="125">
        <f t="shared" si="18"/>
        <v>1.0209999999999999</v>
      </c>
      <c r="BL613" s="125">
        <f t="shared" si="18"/>
        <v>1.0322309999999999</v>
      </c>
      <c r="BM613" s="125">
        <f t="shared" si="18"/>
        <v>1.0508111579999999</v>
      </c>
      <c r="BN613" s="125">
        <f t="shared" si="18"/>
        <v>1.0655225142119999</v>
      </c>
      <c r="BO613" s="125">
        <f t="shared" si="18"/>
        <v>1.0772432618683319</v>
      </c>
      <c r="BP613" s="125">
        <f t="shared" si="18"/>
        <v>1.1117150462481185</v>
      </c>
      <c r="BQ613" s="125">
        <f t="shared" si="18"/>
        <v>1.1150501913868627</v>
      </c>
      <c r="BR613" s="125">
        <f t="shared" si="19"/>
        <v>1.1317759442576656</v>
      </c>
      <c r="BS613" s="125">
        <f t="shared" si="19"/>
        <v>1.161202118808365</v>
      </c>
      <c r="BT613" s="125">
        <f t="shared" si="19"/>
        <v>1.1879097675409573</v>
      </c>
      <c r="BU613" s="125">
        <f t="shared" si="19"/>
        <v>1.2211712410321043</v>
      </c>
      <c r="BV613" s="125">
        <f t="shared" si="19"/>
        <v>1.2333829534424254</v>
      </c>
      <c r="BW613" s="125">
        <f t="shared" si="19"/>
        <v>1.2432500170699647</v>
      </c>
      <c r="BX613" s="125">
        <f t="shared" si="19"/>
        <v>1.2457365171041046</v>
      </c>
      <c r="BY613" s="125">
        <f t="shared" si="19"/>
        <v>1.263176828343562</v>
      </c>
      <c r="BZ613" s="125">
        <f t="shared" si="19"/>
        <v>1.2783349502836847</v>
      </c>
      <c r="CA613" s="125">
        <f t="shared" si="19"/>
        <v>1.3115716589910607</v>
      </c>
      <c r="CB613" s="125">
        <f t="shared" si="19"/>
        <v>1.3325568055349177</v>
      </c>
      <c r="CC613" s="125">
        <f t="shared" si="17"/>
        <v>1.3565428280345462</v>
      </c>
      <c r="CD613" s="125">
        <f t="shared" si="17"/>
        <v>1.440648483372688</v>
      </c>
      <c r="CE613" s="125">
        <f t="shared" si="17"/>
        <v>1.5559003620425031</v>
      </c>
      <c r="CF613" s="125">
        <f t="shared" si="16"/>
        <v>1.5994655721796933</v>
      </c>
      <c r="CG613" s="125">
        <f t="shared" si="16"/>
        <v>1.6266564869067479</v>
      </c>
    </row>
    <row r="614" spans="1:85">
      <c r="A614" s="3"/>
      <c r="B614" s="123">
        <v>2004</v>
      </c>
      <c r="C614" s="3"/>
      <c r="D614" s="3"/>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4">
        <v>1</v>
      </c>
      <c r="BL614" s="125">
        <f t="shared" si="18"/>
        <v>1.0109999999999999</v>
      </c>
      <c r="BM614" s="125">
        <f t="shared" si="18"/>
        <v>1.0291979999999998</v>
      </c>
      <c r="BN614" s="125">
        <f t="shared" si="18"/>
        <v>1.0436067719999997</v>
      </c>
      <c r="BO614" s="125">
        <f t="shared" si="18"/>
        <v>1.0550864464919996</v>
      </c>
      <c r="BP614" s="125">
        <f t="shared" si="18"/>
        <v>1.0888492127797436</v>
      </c>
      <c r="BQ614" s="125">
        <f t="shared" si="18"/>
        <v>1.0921157604180827</v>
      </c>
      <c r="BR614" s="125">
        <f t="shared" si="19"/>
        <v>1.1084974968243537</v>
      </c>
      <c r="BS614" s="125">
        <f t="shared" si="19"/>
        <v>1.137318431741787</v>
      </c>
      <c r="BT614" s="125">
        <f t="shared" si="19"/>
        <v>1.1634767556718479</v>
      </c>
      <c r="BU614" s="125">
        <f t="shared" si="19"/>
        <v>1.1960541048306597</v>
      </c>
      <c r="BV614" s="125">
        <f t="shared" si="19"/>
        <v>1.2080146458789662</v>
      </c>
      <c r="BW614" s="125">
        <f t="shared" si="19"/>
        <v>1.217678763045998</v>
      </c>
      <c r="BX614" s="125">
        <f t="shared" si="19"/>
        <v>1.22011412057209</v>
      </c>
      <c r="BY614" s="125">
        <f t="shared" si="19"/>
        <v>1.2371957182600992</v>
      </c>
      <c r="BZ614" s="125">
        <f t="shared" si="19"/>
        <v>1.2520420668792205</v>
      </c>
      <c r="CA614" s="125">
        <f t="shared" si="19"/>
        <v>1.2845951606180803</v>
      </c>
      <c r="CB614" s="125">
        <f t="shared" si="19"/>
        <v>1.3051486831879697</v>
      </c>
      <c r="CC614" s="125">
        <f t="shared" si="17"/>
        <v>1.3286413594853532</v>
      </c>
      <c r="CD614" s="125">
        <f t="shared" si="17"/>
        <v>1.4110171237734452</v>
      </c>
      <c r="CE614" s="125">
        <f t="shared" si="17"/>
        <v>1.523898493675321</v>
      </c>
      <c r="CF614" s="125">
        <f t="shared" si="16"/>
        <v>1.5665676514982301</v>
      </c>
      <c r="CG614" s="125">
        <f t="shared" si="16"/>
        <v>1.5931993015736998</v>
      </c>
    </row>
    <row r="615" spans="1:85">
      <c r="A615" s="3"/>
      <c r="B615" s="123">
        <v>2005</v>
      </c>
      <c r="C615" s="3"/>
      <c r="D615" s="3"/>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4">
        <v>1</v>
      </c>
      <c r="BM615" s="125">
        <f t="shared" si="18"/>
        <v>1.018</v>
      </c>
      <c r="BN615" s="125">
        <f t="shared" si="18"/>
        <v>1.0322519999999999</v>
      </c>
      <c r="BO615" s="125">
        <f t="shared" si="18"/>
        <v>1.0436067719999997</v>
      </c>
      <c r="BP615" s="125">
        <f t="shared" si="18"/>
        <v>1.0770021887039998</v>
      </c>
      <c r="BQ615" s="125">
        <f t="shared" si="18"/>
        <v>1.0802331952701116</v>
      </c>
      <c r="BR615" s="125">
        <f t="shared" si="19"/>
        <v>1.0964366931991631</v>
      </c>
      <c r="BS615" s="125">
        <f t="shared" si="19"/>
        <v>1.1249440472223413</v>
      </c>
      <c r="BT615" s="125">
        <f t="shared" si="19"/>
        <v>1.1508177603084551</v>
      </c>
      <c r="BU615" s="125">
        <f t="shared" si="19"/>
        <v>1.1830406575970918</v>
      </c>
      <c r="BV615" s="125">
        <f t="shared" si="19"/>
        <v>1.1948710641730627</v>
      </c>
      <c r="BW615" s="125">
        <f t="shared" si="19"/>
        <v>1.2044300326864472</v>
      </c>
      <c r="BX615" s="125">
        <f t="shared" si="19"/>
        <v>1.2068388927518201</v>
      </c>
      <c r="BY615" s="125">
        <f t="shared" si="19"/>
        <v>1.2237346372503457</v>
      </c>
      <c r="BZ615" s="125">
        <f t="shared" si="19"/>
        <v>1.2384194528973498</v>
      </c>
      <c r="CA615" s="125">
        <f t="shared" si="19"/>
        <v>1.2706183586726809</v>
      </c>
      <c r="CB615" s="125">
        <f t="shared" si="19"/>
        <v>1.2909482524114437</v>
      </c>
      <c r="CC615" s="125">
        <f t="shared" si="17"/>
        <v>1.3141853209548497</v>
      </c>
      <c r="CD615" s="125">
        <f t="shared" si="17"/>
        <v>1.3956648108540506</v>
      </c>
      <c r="CE615" s="125">
        <f t="shared" si="17"/>
        <v>1.5073179957223748</v>
      </c>
      <c r="CF615" s="125">
        <f t="shared" si="16"/>
        <v>1.5495228996026014</v>
      </c>
      <c r="CG615" s="125">
        <f t="shared" si="16"/>
        <v>1.5758647888958455</v>
      </c>
    </row>
    <row r="616" spans="1:85">
      <c r="A616" s="3"/>
      <c r="B616" s="123">
        <v>2006</v>
      </c>
      <c r="C616" s="3"/>
      <c r="D616" s="3"/>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4">
        <v>1</v>
      </c>
      <c r="BN616" s="125">
        <f t="shared" si="18"/>
        <v>1.014</v>
      </c>
      <c r="BO616" s="125">
        <f t="shared" si="18"/>
        <v>1.0251539999999999</v>
      </c>
      <c r="BP616" s="125">
        <f t="shared" si="18"/>
        <v>1.0579589279999999</v>
      </c>
      <c r="BQ616" s="125">
        <f t="shared" si="18"/>
        <v>1.0611328047839999</v>
      </c>
      <c r="BR616" s="125">
        <f t="shared" si="19"/>
        <v>1.0770497968557597</v>
      </c>
      <c r="BS616" s="125">
        <f t="shared" si="19"/>
        <v>1.1050530915740095</v>
      </c>
      <c r="BT616" s="125">
        <f t="shared" si="19"/>
        <v>1.1304693126802117</v>
      </c>
      <c r="BU616" s="125">
        <f t="shared" si="19"/>
        <v>1.1621224534352577</v>
      </c>
      <c r="BV616" s="125">
        <f t="shared" si="19"/>
        <v>1.1737436779696102</v>
      </c>
      <c r="BW616" s="125">
        <f t="shared" si="19"/>
        <v>1.183133627393367</v>
      </c>
      <c r="BX616" s="125">
        <f t="shared" si="19"/>
        <v>1.1854998946481539</v>
      </c>
      <c r="BY616" s="125">
        <f t="shared" si="19"/>
        <v>1.2020968931732281</v>
      </c>
      <c r="BZ616" s="125">
        <f t="shared" si="19"/>
        <v>1.2165220558913068</v>
      </c>
      <c r="CA616" s="125">
        <f t="shared" si="19"/>
        <v>1.2481516293444808</v>
      </c>
      <c r="CB616" s="125">
        <f t="shared" si="19"/>
        <v>1.2681220554139925</v>
      </c>
      <c r="CC616" s="125">
        <f t="shared" si="17"/>
        <v>1.2909482524114444</v>
      </c>
      <c r="CD616" s="125">
        <f t="shared" si="17"/>
        <v>1.370987044060954</v>
      </c>
      <c r="CE616" s="125">
        <f t="shared" si="17"/>
        <v>1.4806660075858304</v>
      </c>
      <c r="CF616" s="125">
        <f t="shared" si="16"/>
        <v>1.5221246557982337</v>
      </c>
      <c r="CG616" s="125">
        <f t="shared" si="16"/>
        <v>1.5480007749468037</v>
      </c>
    </row>
    <row r="617" spans="1:85">
      <c r="A617" s="3"/>
      <c r="B617" s="123">
        <v>2007</v>
      </c>
      <c r="C617" s="3"/>
      <c r="D617" s="3"/>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4">
        <v>1</v>
      </c>
      <c r="BO617" s="125">
        <f t="shared" si="18"/>
        <v>1.0109999999999999</v>
      </c>
      <c r="BP617" s="125">
        <f t="shared" si="18"/>
        <v>1.0433519999999998</v>
      </c>
      <c r="BQ617" s="125">
        <f t="shared" si="18"/>
        <v>1.0464820559999997</v>
      </c>
      <c r="BR617" s="125">
        <f t="shared" si="19"/>
        <v>1.0621792868399995</v>
      </c>
      <c r="BS617" s="125">
        <f t="shared" si="19"/>
        <v>1.0897959482978394</v>
      </c>
      <c r="BT617" s="125">
        <f t="shared" si="19"/>
        <v>1.1148612551086896</v>
      </c>
      <c r="BU617" s="125">
        <f t="shared" si="19"/>
        <v>1.1460773702517328</v>
      </c>
      <c r="BV617" s="125">
        <f t="shared" si="19"/>
        <v>1.1575381439542503</v>
      </c>
      <c r="BW617" s="125">
        <f t="shared" si="19"/>
        <v>1.1667984491058843</v>
      </c>
      <c r="BX617" s="125">
        <f t="shared" si="19"/>
        <v>1.1691320460040959</v>
      </c>
      <c r="BY617" s="125">
        <f t="shared" si="19"/>
        <v>1.1854998946481532</v>
      </c>
      <c r="BZ617" s="125">
        <f t="shared" si="19"/>
        <v>1.199725893383931</v>
      </c>
      <c r="CA617" s="125">
        <f t="shared" si="19"/>
        <v>1.2309187666119132</v>
      </c>
      <c r="CB617" s="125">
        <f t="shared" si="19"/>
        <v>1.2506134668777038</v>
      </c>
      <c r="CC617" s="125">
        <f t="shared" si="17"/>
        <v>1.2731245092815024</v>
      </c>
      <c r="CD617" s="125">
        <f t="shared" si="17"/>
        <v>1.3520582288569556</v>
      </c>
      <c r="CE617" s="125">
        <f t="shared" si="17"/>
        <v>1.4602228871655121</v>
      </c>
      <c r="CF617" s="125">
        <f t="shared" si="16"/>
        <v>1.5011091280061464</v>
      </c>
      <c r="CG617" s="125">
        <f t="shared" si="16"/>
        <v>1.5266279831822507</v>
      </c>
    </row>
    <row r="618" spans="1:85">
      <c r="A618" s="3"/>
      <c r="B618" s="123">
        <v>2008</v>
      </c>
      <c r="C618" s="3"/>
      <c r="D618" s="3"/>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4">
        <v>1</v>
      </c>
      <c r="BP618" s="125">
        <f t="shared" si="18"/>
        <v>1.032</v>
      </c>
      <c r="BQ618" s="125">
        <f t="shared" si="18"/>
        <v>1.035096</v>
      </c>
      <c r="BR618" s="125">
        <f t="shared" si="19"/>
        <v>1.0506224399999999</v>
      </c>
      <c r="BS618" s="125">
        <f t="shared" si="19"/>
        <v>1.0779386234399999</v>
      </c>
      <c r="BT618" s="125">
        <f t="shared" si="19"/>
        <v>1.1027312117791197</v>
      </c>
      <c r="BU618" s="125">
        <f t="shared" si="19"/>
        <v>1.133607685708935</v>
      </c>
      <c r="BV618" s="125">
        <f t="shared" si="19"/>
        <v>1.1449437625660244</v>
      </c>
      <c r="BW618" s="125">
        <f t="shared" si="19"/>
        <v>1.1541033126665525</v>
      </c>
      <c r="BX618" s="125">
        <f t="shared" si="19"/>
        <v>1.1564115192918856</v>
      </c>
      <c r="BY618" s="125">
        <f t="shared" si="19"/>
        <v>1.1726012805619719</v>
      </c>
      <c r="BZ618" s="125">
        <f t="shared" si="19"/>
        <v>1.1866724959287156</v>
      </c>
      <c r="CA618" s="125">
        <f t="shared" si="19"/>
        <v>1.2175259808228622</v>
      </c>
      <c r="CB618" s="125">
        <f t="shared" si="19"/>
        <v>1.2370063965160281</v>
      </c>
      <c r="CC618" s="125">
        <f t="shared" si="17"/>
        <v>1.2592725116533166</v>
      </c>
      <c r="CD618" s="125">
        <f t="shared" si="17"/>
        <v>1.3373474073758223</v>
      </c>
      <c r="CE618" s="125">
        <f t="shared" si="17"/>
        <v>1.4443351999658882</v>
      </c>
      <c r="CF618" s="125">
        <f t="shared" si="16"/>
        <v>1.4847765855649331</v>
      </c>
      <c r="CG618" s="125">
        <f t="shared" si="16"/>
        <v>1.5100177875195369</v>
      </c>
    </row>
    <row r="619" spans="1:85">
      <c r="A619" s="3"/>
      <c r="B619" s="123">
        <v>2009</v>
      </c>
      <c r="C619" s="3"/>
      <c r="D619" s="3"/>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4">
        <v>1</v>
      </c>
      <c r="BQ619" s="125">
        <f t="shared" si="18"/>
        <v>1.0029999999999999</v>
      </c>
      <c r="BR619" s="125">
        <f t="shared" si="19"/>
        <v>1.0180449999999999</v>
      </c>
      <c r="BS619" s="125">
        <f t="shared" si="19"/>
        <v>1.0445141699999998</v>
      </c>
      <c r="BT619" s="125">
        <f t="shared" si="19"/>
        <v>1.0685379959099996</v>
      </c>
      <c r="BU619" s="125">
        <f t="shared" si="19"/>
        <v>1.0984570597954797</v>
      </c>
      <c r="BV619" s="125">
        <f t="shared" si="19"/>
        <v>1.1094416303934345</v>
      </c>
      <c r="BW619" s="125">
        <f t="shared" si="19"/>
        <v>1.1183171634365821</v>
      </c>
      <c r="BX619" s="125">
        <f t="shared" si="19"/>
        <v>1.1205537977634552</v>
      </c>
      <c r="BY619" s="125">
        <f t="shared" si="19"/>
        <v>1.1362415509321435</v>
      </c>
      <c r="BZ619" s="125">
        <f t="shared" si="19"/>
        <v>1.1498764495433293</v>
      </c>
      <c r="CA619" s="125">
        <f t="shared" si="19"/>
        <v>1.179773237231456</v>
      </c>
      <c r="CB619" s="125">
        <f t="shared" si="19"/>
        <v>1.1986496090271592</v>
      </c>
      <c r="CC619" s="125">
        <f t="shared" si="17"/>
        <v>1.2202253019896481</v>
      </c>
      <c r="CD619" s="125">
        <f t="shared" si="17"/>
        <v>1.2958792707130062</v>
      </c>
      <c r="CE619" s="125">
        <f t="shared" si="17"/>
        <v>1.3995496123700468</v>
      </c>
      <c r="CF619" s="125">
        <f t="shared" si="16"/>
        <v>1.4387370015164083</v>
      </c>
      <c r="CG619" s="125">
        <f t="shared" si="16"/>
        <v>1.4631955305421871</v>
      </c>
    </row>
    <row r="620" spans="1:85">
      <c r="A620" s="3"/>
      <c r="B620" s="123">
        <v>2010</v>
      </c>
      <c r="C620" s="3"/>
      <c r="D620" s="3"/>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4">
        <v>1</v>
      </c>
      <c r="BR620" s="125">
        <f t="shared" si="19"/>
        <v>1.0149999999999999</v>
      </c>
      <c r="BS620" s="125">
        <f t="shared" si="19"/>
        <v>1.0413899999999998</v>
      </c>
      <c r="BT620" s="125">
        <f t="shared" si="19"/>
        <v>1.0653419699999997</v>
      </c>
      <c r="BU620" s="125">
        <f t="shared" si="19"/>
        <v>1.0951715451599997</v>
      </c>
      <c r="BV620" s="125">
        <f t="shared" si="19"/>
        <v>1.1061232606115996</v>
      </c>
      <c r="BW620" s="125">
        <f t="shared" si="19"/>
        <v>1.1149722466964924</v>
      </c>
      <c r="BX620" s="125">
        <f t="shared" si="19"/>
        <v>1.1172021911898855</v>
      </c>
      <c r="BY620" s="125">
        <f t="shared" si="19"/>
        <v>1.132843021866544</v>
      </c>
      <c r="BZ620" s="125">
        <f t="shared" si="19"/>
        <v>1.1464371381289424</v>
      </c>
      <c r="CA620" s="125">
        <f t="shared" si="19"/>
        <v>1.1762445037202949</v>
      </c>
      <c r="CB620" s="125">
        <f t="shared" si="19"/>
        <v>1.1950644157798196</v>
      </c>
      <c r="CC620" s="125">
        <f t="shared" si="17"/>
        <v>1.2165755752638563</v>
      </c>
      <c r="CD620" s="125">
        <f t="shared" si="17"/>
        <v>1.2920032609302154</v>
      </c>
      <c r="CE620" s="125">
        <f t="shared" si="17"/>
        <v>1.3953635218046327</v>
      </c>
      <c r="CF620" s="125">
        <f t="shared" si="17"/>
        <v>1.4344337004151626</v>
      </c>
      <c r="CG620" s="125">
        <f t="shared" si="17"/>
        <v>1.4588190733222202</v>
      </c>
    </row>
    <row r="621" spans="1:85">
      <c r="A621" s="3"/>
      <c r="B621" s="123">
        <v>2011</v>
      </c>
      <c r="C621" s="3"/>
      <c r="D621" s="3"/>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4">
        <v>1</v>
      </c>
      <c r="BS621" s="125">
        <f t="shared" si="19"/>
        <v>1.026</v>
      </c>
      <c r="BT621" s="125">
        <f t="shared" si="19"/>
        <v>1.049598</v>
      </c>
      <c r="BU621" s="125">
        <f t="shared" si="19"/>
        <v>1.0789867440000001</v>
      </c>
      <c r="BV621" s="125">
        <f t="shared" si="19"/>
        <v>1.08977661144</v>
      </c>
      <c r="BW621" s="125">
        <f t="shared" si="19"/>
        <v>1.09849482433152</v>
      </c>
      <c r="BX621" s="125">
        <f t="shared" si="19"/>
        <v>1.1006918139801831</v>
      </c>
      <c r="BY621" s="125">
        <f t="shared" si="19"/>
        <v>1.1161014993759057</v>
      </c>
      <c r="BZ621" s="125">
        <f t="shared" si="19"/>
        <v>1.1294947173684167</v>
      </c>
      <c r="CA621" s="125">
        <f t="shared" si="19"/>
        <v>1.1588615800199955</v>
      </c>
      <c r="CB621" s="125">
        <f t="shared" si="19"/>
        <v>1.1774033653003155</v>
      </c>
      <c r="CC621" s="125">
        <f t="shared" si="17"/>
        <v>1.1985966258757212</v>
      </c>
      <c r="CD621" s="125">
        <f t="shared" si="17"/>
        <v>1.272909616680016</v>
      </c>
      <c r="CE621" s="125">
        <f t="shared" si="17"/>
        <v>1.3747423860144175</v>
      </c>
      <c r="CF621" s="125">
        <f t="shared" si="17"/>
        <v>1.4132351728228212</v>
      </c>
      <c r="CG621" s="125">
        <f t="shared" si="17"/>
        <v>1.437260170760809</v>
      </c>
    </row>
    <row r="622" spans="1:85">
      <c r="A622" s="3"/>
      <c r="B622" s="123">
        <v>2012</v>
      </c>
      <c r="C622" s="3"/>
      <c r="D622" s="3"/>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4">
        <v>1</v>
      </c>
      <c r="BT622" s="125">
        <f t="shared" si="19"/>
        <v>1.0229999999999999</v>
      </c>
      <c r="BU622" s="125">
        <f t="shared" si="19"/>
        <v>1.051644</v>
      </c>
      <c r="BV622" s="125">
        <f t="shared" si="19"/>
        <v>1.06216044</v>
      </c>
      <c r="BW622" s="125">
        <f t="shared" si="19"/>
        <v>1.0706577235199999</v>
      </c>
      <c r="BX622" s="125">
        <f t="shared" si="19"/>
        <v>1.0727990389670399</v>
      </c>
      <c r="BY622" s="125">
        <f t="shared" si="19"/>
        <v>1.0878182255125783</v>
      </c>
      <c r="BZ622" s="125">
        <f t="shared" si="19"/>
        <v>1.1008720442187292</v>
      </c>
      <c r="CA622" s="125">
        <f t="shared" si="19"/>
        <v>1.1294947173684162</v>
      </c>
      <c r="CB622" s="125">
        <f t="shared" si="19"/>
        <v>1.147566632846311</v>
      </c>
      <c r="CC622" s="125">
        <f t="shared" si="17"/>
        <v>1.1682228322375445</v>
      </c>
      <c r="CD622" s="125">
        <f t="shared" si="17"/>
        <v>1.2406526478362723</v>
      </c>
      <c r="CE622" s="125">
        <f t="shared" si="17"/>
        <v>1.3399048596631742</v>
      </c>
      <c r="CF622" s="125">
        <f t="shared" si="17"/>
        <v>1.3774221957337431</v>
      </c>
      <c r="CG622" s="125">
        <f t="shared" si="17"/>
        <v>1.4008383730612166</v>
      </c>
    </row>
    <row r="623" spans="1:85">
      <c r="A623" s="3"/>
      <c r="B623" s="123">
        <v>2013</v>
      </c>
      <c r="C623" s="3"/>
      <c r="D623" s="3"/>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4">
        <v>1</v>
      </c>
      <c r="BU623" s="125">
        <f t="shared" si="19"/>
        <v>1.028</v>
      </c>
      <c r="BV623" s="125">
        <f t="shared" si="19"/>
        <v>1.0382800000000001</v>
      </c>
      <c r="BW623" s="125">
        <f t="shared" si="19"/>
        <v>1.0465862400000001</v>
      </c>
      <c r="BX623" s="125">
        <f t="shared" si="19"/>
        <v>1.0486794124800001</v>
      </c>
      <c r="BY623" s="125">
        <f t="shared" si="19"/>
        <v>1.0633609242547202</v>
      </c>
      <c r="BZ623" s="125">
        <f t="shared" si="19"/>
        <v>1.0761212553457769</v>
      </c>
      <c r="CA623" s="125">
        <f t="shared" si="19"/>
        <v>1.1041004079847672</v>
      </c>
      <c r="CB623" s="125">
        <f t="shared" si="19"/>
        <v>1.1217660145125234</v>
      </c>
      <c r="CC623" s="125">
        <f t="shared" si="17"/>
        <v>1.1419578027737489</v>
      </c>
      <c r="CD623" s="125">
        <f t="shared" si="17"/>
        <v>1.2127591865457215</v>
      </c>
      <c r="CE623" s="125">
        <f t="shared" si="17"/>
        <v>1.3097799214693793</v>
      </c>
      <c r="CF623" s="125">
        <f t="shared" si="17"/>
        <v>1.3464537592705219</v>
      </c>
      <c r="CG623" s="125">
        <f t="shared" si="17"/>
        <v>1.3693434731781207</v>
      </c>
    </row>
    <row r="624" spans="1:85">
      <c r="A624" s="3"/>
      <c r="B624" s="123">
        <v>2014</v>
      </c>
      <c r="C624" s="3"/>
      <c r="D624" s="3"/>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4">
        <v>1</v>
      </c>
      <c r="BV624" s="125">
        <f t="shared" si="19"/>
        <v>1.01</v>
      </c>
      <c r="BW624" s="125">
        <f t="shared" si="19"/>
        <v>1.0180800000000001</v>
      </c>
      <c r="BX624" s="125">
        <f t="shared" si="19"/>
        <v>1.0201161600000002</v>
      </c>
      <c r="BY624" s="125">
        <f t="shared" si="19"/>
        <v>1.0343977862400002</v>
      </c>
      <c r="BZ624" s="125">
        <f t="shared" si="19"/>
        <v>1.0468105596748802</v>
      </c>
      <c r="CA624" s="125">
        <f t="shared" si="19"/>
        <v>1.0740276342264272</v>
      </c>
      <c r="CB624" s="125">
        <f t="shared" si="19"/>
        <v>1.09121207637405</v>
      </c>
      <c r="CC624" s="125">
        <f t="shared" si="17"/>
        <v>1.1108538937487831</v>
      </c>
      <c r="CD624" s="125">
        <f t="shared" si="17"/>
        <v>1.1797268351612076</v>
      </c>
      <c r="CE624" s="125">
        <f t="shared" si="17"/>
        <v>1.2741049819741042</v>
      </c>
      <c r="CF624" s="125">
        <f t="shared" si="17"/>
        <v>1.309779921469379</v>
      </c>
      <c r="CG624" s="125">
        <f t="shared" si="17"/>
        <v>1.3320461801343584</v>
      </c>
    </row>
    <row r="625" spans="1:16383">
      <c r="A625" s="3"/>
      <c r="B625" s="123">
        <v>2015</v>
      </c>
      <c r="C625" s="3"/>
      <c r="D625" s="3"/>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4">
        <v>1</v>
      </c>
      <c r="BW625" s="125">
        <f t="shared" si="19"/>
        <v>1.008</v>
      </c>
      <c r="BX625" s="125">
        <f t="shared" si="19"/>
        <v>1.010016</v>
      </c>
      <c r="BY625" s="125">
        <f t="shared" si="19"/>
        <v>1.0241562239999999</v>
      </c>
      <c r="BZ625" s="125">
        <f t="shared" si="19"/>
        <v>1.036446098688</v>
      </c>
      <c r="CA625" s="125">
        <f t="shared" si="19"/>
        <v>1.063393697253888</v>
      </c>
      <c r="CB625" s="125">
        <f t="shared" si="19"/>
        <v>1.0804079964099502</v>
      </c>
      <c r="CC625" s="125">
        <f t="shared" si="17"/>
        <v>1.0998553403453293</v>
      </c>
      <c r="CD625" s="125">
        <f t="shared" si="17"/>
        <v>1.1680463714467397</v>
      </c>
      <c r="CE625" s="125">
        <f t="shared" si="17"/>
        <v>1.261490081162479</v>
      </c>
      <c r="CF625" s="125">
        <f t="shared" si="17"/>
        <v>1.2968118034350284</v>
      </c>
      <c r="CG625" s="125">
        <f t="shared" si="17"/>
        <v>1.3188576040934239</v>
      </c>
    </row>
    <row r="626" spans="1:16383">
      <c r="A626" s="3"/>
      <c r="B626" s="123">
        <v>2016</v>
      </c>
      <c r="C626" s="3"/>
      <c r="D626" s="3"/>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4">
        <v>1</v>
      </c>
      <c r="BX626" s="125">
        <f t="shared" si="19"/>
        <v>1.002</v>
      </c>
      <c r="BY626" s="125">
        <f t="shared" si="19"/>
        <v>1.0160279999999999</v>
      </c>
      <c r="BZ626" s="125">
        <f t="shared" si="19"/>
        <v>1.028220336</v>
      </c>
      <c r="CA626" s="125">
        <f t="shared" si="19"/>
        <v>1.0549540647360001</v>
      </c>
      <c r="CB626" s="125">
        <f t="shared" si="19"/>
        <v>1.0718333297717761</v>
      </c>
      <c r="CC626" s="125">
        <f t="shared" si="17"/>
        <v>1.0911263297076681</v>
      </c>
      <c r="CD626" s="125">
        <f t="shared" si="17"/>
        <v>1.1587761621495436</v>
      </c>
      <c r="CE626" s="125">
        <f t="shared" si="17"/>
        <v>1.2514782551215071</v>
      </c>
      <c r="CF626" s="125">
        <f t="shared" si="17"/>
        <v>1.2865196462649093</v>
      </c>
      <c r="CG626" s="125">
        <f t="shared" si="17"/>
        <v>1.3083904802514126</v>
      </c>
    </row>
    <row r="627" spans="1:16383">
      <c r="A627" s="3"/>
      <c r="B627" s="123">
        <v>2017</v>
      </c>
      <c r="C627" s="3"/>
      <c r="D627" s="3"/>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4">
        <v>1</v>
      </c>
      <c r="BY627" s="125">
        <f t="shared" si="19"/>
        <v>1.014</v>
      </c>
      <c r="BZ627" s="125">
        <f t="shared" si="19"/>
        <v>1.026168</v>
      </c>
      <c r="CA627" s="125">
        <f t="shared" si="19"/>
        <v>1.052848368</v>
      </c>
      <c r="CB627" s="125">
        <f t="shared" si="19"/>
        <v>1.069693941888</v>
      </c>
      <c r="CC627" s="125">
        <f t="shared" si="17"/>
        <v>1.0889484328419841</v>
      </c>
      <c r="CD627" s="125">
        <f t="shared" si="17"/>
        <v>1.1564632356781872</v>
      </c>
      <c r="CE627" s="125">
        <f t="shared" si="17"/>
        <v>1.2489802945324422</v>
      </c>
      <c r="CF627" s="125">
        <f t="shared" si="17"/>
        <v>1.2839517427793505</v>
      </c>
      <c r="CG627" s="125">
        <f t="shared" si="17"/>
        <v>1.3057789224065994</v>
      </c>
    </row>
    <row r="628" spans="1:16383">
      <c r="A628" s="3"/>
      <c r="B628" s="123">
        <v>2018</v>
      </c>
      <c r="C628" s="3"/>
      <c r="D628" s="3"/>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c r="BY628" s="124">
        <v>1</v>
      </c>
      <c r="BZ628" s="125">
        <f t="shared" si="19"/>
        <v>1.012</v>
      </c>
      <c r="CA628" s="125">
        <f t="shared" si="19"/>
        <v>1.0383120000000001</v>
      </c>
      <c r="CB628" s="125">
        <f t="shared" si="19"/>
        <v>1.0549249920000001</v>
      </c>
      <c r="CC628" s="125">
        <f t="shared" si="17"/>
        <v>1.0739136418560002</v>
      </c>
      <c r="CD628" s="125">
        <f t="shared" si="17"/>
        <v>1.1404962876510722</v>
      </c>
      <c r="CE628" s="125">
        <f t="shared" si="17"/>
        <v>1.2317359906631582</v>
      </c>
      <c r="CF628" s="125">
        <f t="shared" si="17"/>
        <v>1.2662245984017266</v>
      </c>
      <c r="CG628" s="125">
        <f t="shared" si="17"/>
        <v>1.2877504165745559</v>
      </c>
    </row>
    <row r="629" spans="1:16383">
      <c r="A629" s="3"/>
      <c r="B629" s="123">
        <v>2019</v>
      </c>
      <c r="C629" s="3"/>
      <c r="D629" s="3"/>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c r="BY629" s="126"/>
      <c r="BZ629" s="124">
        <v>1</v>
      </c>
      <c r="CA629" s="125">
        <f t="shared" si="19"/>
        <v>1.026</v>
      </c>
      <c r="CB629" s="125">
        <f t="shared" si="19"/>
        <v>1.042416</v>
      </c>
      <c r="CC629" s="125">
        <f t="shared" si="17"/>
        <v>1.0611794880000001</v>
      </c>
      <c r="CD629" s="125">
        <f t="shared" si="17"/>
        <v>1.1269726162560001</v>
      </c>
      <c r="CE629" s="125">
        <f t="shared" si="17"/>
        <v>1.2171304255564801</v>
      </c>
      <c r="CF629" s="125">
        <f t="shared" si="17"/>
        <v>1.2512100774720616</v>
      </c>
      <c r="CG629" s="125">
        <f t="shared" si="17"/>
        <v>1.2724806487890865</v>
      </c>
    </row>
    <row r="630" spans="1:16383">
      <c r="A630" s="3"/>
      <c r="B630" s="123">
        <v>2020</v>
      </c>
      <c r="C630" s="3"/>
      <c r="D630" s="3"/>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c r="BY630" s="126"/>
      <c r="BZ630" s="126"/>
      <c r="CA630" s="124">
        <v>1</v>
      </c>
      <c r="CB630" s="125">
        <f t="shared" si="19"/>
        <v>1.016</v>
      </c>
      <c r="CC630" s="125">
        <f t="shared" si="17"/>
        <v>1.0342880000000001</v>
      </c>
      <c r="CD630" s="125">
        <f t="shared" si="17"/>
        <v>1.0984138560000001</v>
      </c>
      <c r="CE630" s="125">
        <f t="shared" si="17"/>
        <v>1.1862869644800003</v>
      </c>
      <c r="CF630" s="125">
        <f t="shared" si="17"/>
        <v>1.2195029994854403</v>
      </c>
      <c r="CG630" s="125">
        <f t="shared" si="17"/>
        <v>1.2402345504766927</v>
      </c>
    </row>
    <row r="631" spans="1:16383">
      <c r="A631" s="3"/>
      <c r="B631" s="123">
        <v>2021</v>
      </c>
      <c r="C631" s="3"/>
      <c r="D631" s="3"/>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c r="BY631" s="126"/>
      <c r="BZ631" s="126"/>
      <c r="CA631" s="126"/>
      <c r="CB631" s="124">
        <v>1</v>
      </c>
      <c r="CC631" s="125">
        <f t="shared" si="17"/>
        <v>1.018</v>
      </c>
      <c r="CD631" s="125">
        <f t="shared" si="17"/>
        <v>1.081116</v>
      </c>
      <c r="CE631" s="125">
        <f t="shared" si="17"/>
        <v>1.1676052800000001</v>
      </c>
      <c r="CF631" s="125">
        <f t="shared" si="17"/>
        <v>1.2002982278400001</v>
      </c>
      <c r="CG631" s="125">
        <f t="shared" si="17"/>
        <v>1.2207032977132799</v>
      </c>
    </row>
    <row r="632" spans="1:16383">
      <c r="A632" s="3"/>
      <c r="B632" s="123">
        <v>2022</v>
      </c>
      <c r="C632" s="3"/>
      <c r="D632" s="3"/>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c r="BY632" s="126"/>
      <c r="BZ632" s="126"/>
      <c r="CA632" s="126"/>
      <c r="CB632" s="126"/>
      <c r="CC632" s="124">
        <v>1</v>
      </c>
      <c r="CD632" s="125">
        <f>CC632*CD$553</f>
        <v>1.0620000000000001</v>
      </c>
      <c r="CE632" s="125">
        <f>CD632*CE$553</f>
        <v>1.1469600000000002</v>
      </c>
      <c r="CF632" s="125">
        <f t="shared" ref="CF632:CG635" si="20">CE632*CF$553</f>
        <v>1.1790748800000002</v>
      </c>
      <c r="CG632" s="125">
        <f t="shared" si="20"/>
        <v>1.19911915296</v>
      </c>
    </row>
    <row r="633" spans="1:16383">
      <c r="A633" s="3"/>
      <c r="B633" s="123">
        <v>2023</v>
      </c>
      <c r="C633" s="3"/>
      <c r="D633" s="3"/>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c r="BY633" s="126"/>
      <c r="BZ633" s="126"/>
      <c r="CA633" s="126"/>
      <c r="CB633" s="126"/>
      <c r="CC633" s="126"/>
      <c r="CD633" s="124">
        <v>1</v>
      </c>
      <c r="CE633" s="125">
        <f>CD633*CE$553</f>
        <v>1.08</v>
      </c>
      <c r="CF633" s="125">
        <f t="shared" si="20"/>
        <v>1.1102400000000001</v>
      </c>
      <c r="CG633" s="125">
        <f t="shared" si="20"/>
        <v>1.1291140799999999</v>
      </c>
    </row>
    <row r="634" spans="1:16383">
      <c r="A634" s="3"/>
      <c r="B634" s="123">
        <v>2024</v>
      </c>
      <c r="C634" s="3"/>
      <c r="D634" s="3"/>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c r="BY634" s="126"/>
      <c r="BZ634" s="126"/>
      <c r="CA634" s="126"/>
      <c r="CB634" s="126"/>
      <c r="CC634" s="126"/>
      <c r="CD634" s="126"/>
      <c r="CE634" s="124">
        <v>1</v>
      </c>
      <c r="CF634" s="125">
        <f t="shared" si="20"/>
        <v>1.028</v>
      </c>
      <c r="CG634" s="125">
        <f t="shared" si="20"/>
        <v>1.0454759999999998</v>
      </c>
    </row>
    <row r="635" spans="1:16383" ht="13.5" customHeight="1">
      <c r="A635" s="3"/>
      <c r="B635" s="123">
        <v>2025</v>
      </c>
      <c r="C635" s="3"/>
      <c r="D635" s="3"/>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c r="BY635" s="126"/>
      <c r="BZ635" s="126"/>
      <c r="CA635" s="126"/>
      <c r="CB635" s="126"/>
      <c r="CC635" s="126"/>
      <c r="CD635" s="126"/>
      <c r="CE635" s="126"/>
      <c r="CF635" s="124">
        <v>1</v>
      </c>
      <c r="CG635" s="125">
        <f t="shared" si="20"/>
        <v>1.0169999999999999</v>
      </c>
    </row>
    <row r="636" spans="1:16383">
      <c r="A636" s="3"/>
      <c r="B636" s="123">
        <v>2026</v>
      </c>
      <c r="C636" s="3"/>
      <c r="D636" s="3"/>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c r="BY636" s="126"/>
      <c r="BZ636" s="126"/>
      <c r="CA636" s="126"/>
      <c r="CB636" s="126"/>
      <c r="CC636" s="126"/>
      <c r="CD636" s="126"/>
      <c r="CE636" s="126"/>
      <c r="CF636" s="126"/>
      <c r="CG636" s="124">
        <v>1</v>
      </c>
    </row>
    <row r="638" spans="1:16383" s="132" customFormat="1">
      <c r="A638" s="106"/>
      <c r="B638" s="39" t="s">
        <v>922</v>
      </c>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131"/>
      <c r="CT638" s="131"/>
      <c r="CU638" s="131"/>
      <c r="CV638" s="131"/>
      <c r="CW638" s="131"/>
      <c r="CX638" s="131"/>
      <c r="CY638" s="131"/>
      <c r="CZ638" s="131"/>
      <c r="DA638" s="131"/>
      <c r="DB638" s="131"/>
      <c r="DC638" s="131"/>
      <c r="DD638" s="131"/>
      <c r="DE638" s="131"/>
      <c r="DF638" s="131"/>
      <c r="DG638" s="131"/>
      <c r="DH638" s="131"/>
      <c r="DI638" s="131"/>
      <c r="DJ638" s="131"/>
      <c r="DK638" s="131"/>
      <c r="DL638" s="131"/>
      <c r="DM638" s="131"/>
      <c r="DN638" s="131"/>
      <c r="DO638" s="131"/>
      <c r="DP638" s="131"/>
      <c r="DQ638" s="131"/>
      <c r="DR638" s="131"/>
      <c r="DS638" s="131"/>
      <c r="DT638" s="131"/>
      <c r="DU638" s="131"/>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131"/>
      <c r="EQ638" s="131"/>
      <c r="ER638" s="131"/>
      <c r="ES638" s="131"/>
      <c r="ET638" s="131"/>
      <c r="EU638" s="131"/>
      <c r="EV638" s="131"/>
      <c r="EW638" s="131"/>
      <c r="EX638" s="131"/>
      <c r="EY638" s="131"/>
      <c r="EZ638" s="131"/>
      <c r="FA638" s="131"/>
      <c r="FB638" s="131"/>
      <c r="FC638" s="131"/>
      <c r="FD638" s="131"/>
      <c r="FE638" s="131"/>
      <c r="FF638" s="131"/>
      <c r="FG638" s="131"/>
      <c r="FH638" s="131"/>
      <c r="FI638" s="131"/>
      <c r="FJ638" s="131"/>
      <c r="FK638" s="131"/>
      <c r="FL638" s="131"/>
      <c r="FM638" s="131"/>
      <c r="FN638" s="131"/>
      <c r="FO638" s="131"/>
      <c r="FP638" s="131"/>
      <c r="FQ638" s="131"/>
      <c r="FR638" s="131"/>
      <c r="FS638" s="131"/>
      <c r="FT638" s="131"/>
      <c r="FU638" s="131"/>
      <c r="FV638" s="131"/>
      <c r="FW638" s="131"/>
      <c r="FX638" s="131"/>
      <c r="FY638" s="131"/>
      <c r="FZ638" s="131"/>
      <c r="GA638" s="131"/>
      <c r="GB638" s="131"/>
      <c r="GC638" s="131"/>
      <c r="GD638" s="131"/>
      <c r="GE638" s="131"/>
      <c r="GF638" s="131"/>
      <c r="GG638" s="131"/>
      <c r="GH638" s="131"/>
      <c r="GI638" s="131"/>
      <c r="GJ638" s="131"/>
      <c r="GK638" s="131"/>
      <c r="GL638" s="131"/>
      <c r="GM638" s="131"/>
      <c r="GN638" s="131"/>
      <c r="GO638" s="131"/>
      <c r="GP638" s="131"/>
      <c r="GQ638" s="131"/>
      <c r="GR638" s="131"/>
      <c r="GS638" s="131"/>
      <c r="GT638" s="131"/>
      <c r="GU638" s="131"/>
      <c r="GV638" s="131"/>
      <c r="GW638" s="131"/>
      <c r="GX638" s="131"/>
      <c r="GY638" s="131"/>
      <c r="GZ638" s="131"/>
      <c r="HA638" s="131"/>
      <c r="HB638" s="131"/>
      <c r="HC638" s="131"/>
      <c r="HD638" s="131"/>
      <c r="HE638" s="131"/>
      <c r="HF638" s="131"/>
      <c r="HG638" s="131"/>
      <c r="HH638" s="131"/>
      <c r="HI638" s="131"/>
      <c r="HJ638" s="131"/>
      <c r="HK638" s="131"/>
      <c r="HL638" s="131"/>
      <c r="HM638" s="131"/>
      <c r="HN638" s="131"/>
      <c r="HO638" s="131"/>
      <c r="HP638" s="131"/>
      <c r="HQ638" s="131"/>
      <c r="HR638" s="131"/>
      <c r="HS638" s="131"/>
      <c r="HT638" s="131"/>
      <c r="HU638" s="131"/>
      <c r="HV638" s="131"/>
      <c r="HW638" s="131"/>
      <c r="HX638" s="131"/>
      <c r="HY638" s="131"/>
      <c r="HZ638" s="131"/>
      <c r="IA638" s="131"/>
      <c r="IB638" s="131"/>
      <c r="IC638" s="131"/>
      <c r="ID638" s="131"/>
      <c r="IE638" s="131"/>
      <c r="IF638" s="131"/>
      <c r="IG638" s="131"/>
      <c r="IH638" s="131"/>
      <c r="II638" s="131"/>
      <c r="IJ638" s="131"/>
      <c r="IK638" s="131"/>
      <c r="IL638" s="131"/>
      <c r="IM638" s="131"/>
      <c r="IN638" s="131"/>
      <c r="IO638" s="131"/>
      <c r="IP638" s="131"/>
      <c r="IQ638" s="131"/>
      <c r="IR638" s="131"/>
      <c r="IS638" s="131"/>
      <c r="IT638" s="131"/>
      <c r="IU638" s="131"/>
      <c r="IV638" s="131"/>
      <c r="IW638" s="131"/>
      <c r="IX638" s="131"/>
      <c r="IY638" s="131"/>
      <c r="IZ638" s="131"/>
      <c r="JA638" s="131"/>
      <c r="JB638" s="131"/>
      <c r="JC638" s="131"/>
      <c r="JD638" s="131"/>
      <c r="JE638" s="131"/>
      <c r="JF638" s="131"/>
      <c r="JG638" s="131"/>
      <c r="JH638" s="131"/>
      <c r="JI638" s="131"/>
      <c r="JJ638" s="131"/>
      <c r="JK638" s="131"/>
      <c r="JL638" s="131"/>
      <c r="JM638" s="131"/>
      <c r="JN638" s="131"/>
      <c r="JO638" s="131"/>
      <c r="JP638" s="131"/>
      <c r="JQ638" s="131"/>
      <c r="JR638" s="131"/>
      <c r="JS638" s="131"/>
      <c r="JT638" s="131"/>
      <c r="JU638" s="131"/>
      <c r="JV638" s="131"/>
      <c r="JW638" s="131"/>
      <c r="JX638" s="131"/>
      <c r="JY638" s="131"/>
      <c r="JZ638" s="131"/>
      <c r="KA638" s="131"/>
      <c r="KB638" s="131"/>
      <c r="KC638" s="131"/>
      <c r="KD638" s="131"/>
      <c r="KE638" s="131"/>
      <c r="KF638" s="131"/>
      <c r="KG638" s="131"/>
      <c r="KH638" s="131"/>
      <c r="KI638" s="131"/>
      <c r="KJ638" s="131"/>
      <c r="KK638" s="131"/>
      <c r="KL638" s="131"/>
      <c r="KM638" s="131"/>
      <c r="KN638" s="131"/>
      <c r="KO638" s="131"/>
      <c r="KP638" s="131"/>
      <c r="KQ638" s="131"/>
      <c r="KR638" s="131"/>
      <c r="KS638" s="131"/>
      <c r="KT638" s="131"/>
      <c r="KU638" s="131"/>
      <c r="KV638" s="131"/>
      <c r="KW638" s="131"/>
      <c r="KX638" s="131"/>
      <c r="KY638" s="131"/>
      <c r="KZ638" s="131"/>
      <c r="LA638" s="131"/>
      <c r="LB638" s="131"/>
      <c r="LC638" s="131"/>
      <c r="LD638" s="131"/>
      <c r="LE638" s="131"/>
      <c r="LF638" s="131"/>
      <c r="LG638" s="131"/>
      <c r="LH638" s="131"/>
      <c r="LI638" s="131"/>
      <c r="LJ638" s="131"/>
      <c r="LK638" s="131"/>
      <c r="LL638" s="131"/>
      <c r="LM638" s="131"/>
      <c r="LN638" s="131"/>
      <c r="LO638" s="131"/>
      <c r="LP638" s="131"/>
      <c r="LQ638" s="131"/>
      <c r="LR638" s="131"/>
      <c r="LS638" s="131"/>
      <c r="LT638" s="131"/>
      <c r="LU638" s="131"/>
      <c r="LV638" s="131"/>
      <c r="LW638" s="131"/>
      <c r="LX638" s="131"/>
      <c r="LY638" s="131"/>
      <c r="LZ638" s="131"/>
      <c r="MA638" s="131"/>
      <c r="MB638" s="131"/>
      <c r="MC638" s="131"/>
      <c r="MD638" s="131"/>
      <c r="ME638" s="131"/>
      <c r="MF638" s="131"/>
      <c r="MG638" s="131"/>
      <c r="MH638" s="131"/>
      <c r="MI638" s="131"/>
      <c r="MJ638" s="131"/>
      <c r="MK638" s="131"/>
      <c r="ML638" s="131"/>
      <c r="MM638" s="131"/>
      <c r="MN638" s="131"/>
      <c r="MO638" s="131"/>
      <c r="MP638" s="131"/>
      <c r="MQ638" s="131"/>
      <c r="MR638" s="131"/>
      <c r="MS638" s="131"/>
      <c r="MT638" s="131"/>
      <c r="MU638" s="131"/>
      <c r="MV638" s="131"/>
      <c r="MW638" s="131"/>
      <c r="MX638" s="131"/>
      <c r="MY638" s="131"/>
      <c r="MZ638" s="131"/>
      <c r="NA638" s="131"/>
      <c r="NB638" s="131"/>
      <c r="NC638" s="131"/>
      <c r="ND638" s="131"/>
      <c r="NE638" s="131"/>
      <c r="NF638" s="131"/>
      <c r="NG638" s="131"/>
      <c r="NH638" s="131"/>
      <c r="NI638" s="131"/>
      <c r="NJ638" s="131"/>
      <c r="NK638" s="131"/>
      <c r="NL638" s="131"/>
      <c r="NM638" s="131"/>
      <c r="NN638" s="131"/>
      <c r="NO638" s="131"/>
      <c r="NP638" s="131"/>
      <c r="NQ638" s="131"/>
      <c r="NR638" s="131"/>
      <c r="NS638" s="131"/>
      <c r="NT638" s="131"/>
      <c r="NU638" s="131"/>
      <c r="NV638" s="131"/>
      <c r="NW638" s="131"/>
      <c r="NX638" s="131"/>
      <c r="NY638" s="131"/>
      <c r="NZ638" s="131"/>
      <c r="OA638" s="131"/>
      <c r="OB638" s="131"/>
      <c r="OC638" s="131"/>
      <c r="OD638" s="131"/>
      <c r="OE638" s="131"/>
      <c r="OF638" s="131"/>
      <c r="OG638" s="131"/>
      <c r="OH638" s="131"/>
      <c r="OI638" s="131"/>
      <c r="OJ638" s="131"/>
      <c r="OK638" s="131"/>
      <c r="OL638" s="131"/>
      <c r="OM638" s="131"/>
      <c r="ON638" s="131"/>
      <c r="OO638" s="131"/>
      <c r="OP638" s="131"/>
      <c r="OQ638" s="131"/>
      <c r="OR638" s="131"/>
      <c r="OS638" s="131"/>
      <c r="OT638" s="131"/>
      <c r="OU638" s="131"/>
      <c r="OV638" s="131"/>
      <c r="OW638" s="131"/>
      <c r="OX638" s="131"/>
      <c r="OY638" s="131"/>
      <c r="OZ638" s="131"/>
      <c r="PA638" s="131"/>
      <c r="PB638" s="131"/>
      <c r="PC638" s="131"/>
      <c r="PD638" s="131"/>
      <c r="PE638" s="131"/>
      <c r="PF638" s="131"/>
      <c r="PG638" s="131"/>
      <c r="PH638" s="131"/>
      <c r="PI638" s="131"/>
      <c r="PJ638" s="131"/>
      <c r="PK638" s="131"/>
      <c r="PL638" s="131"/>
      <c r="PM638" s="131"/>
      <c r="PN638" s="131"/>
      <c r="PO638" s="131"/>
      <c r="PP638" s="131"/>
      <c r="PQ638" s="131"/>
      <c r="PR638" s="131"/>
      <c r="PS638" s="131"/>
      <c r="PT638" s="131"/>
      <c r="PU638" s="131"/>
      <c r="PV638" s="131"/>
      <c r="PW638" s="131"/>
      <c r="PX638" s="131"/>
      <c r="PY638" s="131"/>
      <c r="PZ638" s="131"/>
      <c r="QA638" s="131"/>
      <c r="QB638" s="131"/>
      <c r="QC638" s="131"/>
      <c r="QD638" s="131"/>
      <c r="QE638" s="131"/>
      <c r="QF638" s="131"/>
      <c r="QG638" s="131"/>
      <c r="QH638" s="131"/>
      <c r="QI638" s="131"/>
      <c r="QJ638" s="131"/>
      <c r="QK638" s="131"/>
      <c r="QL638" s="131"/>
      <c r="QM638" s="131"/>
      <c r="QN638" s="131"/>
      <c r="QO638" s="131"/>
      <c r="QP638" s="131"/>
      <c r="QQ638" s="131"/>
      <c r="QR638" s="131"/>
      <c r="QS638" s="131"/>
      <c r="QT638" s="131"/>
      <c r="QU638" s="131"/>
      <c r="QV638" s="131"/>
      <c r="QW638" s="131"/>
      <c r="QX638" s="131"/>
      <c r="QY638" s="131"/>
      <c r="QZ638" s="131"/>
      <c r="RA638" s="131"/>
      <c r="RB638" s="131"/>
      <c r="RC638" s="131"/>
      <c r="RD638" s="131"/>
      <c r="RE638" s="131"/>
      <c r="RF638" s="131"/>
      <c r="RG638" s="131"/>
      <c r="RH638" s="131"/>
      <c r="RI638" s="131"/>
      <c r="RJ638" s="131"/>
      <c r="RK638" s="131"/>
      <c r="RL638" s="131"/>
      <c r="RM638" s="131"/>
      <c r="RN638" s="131"/>
      <c r="RO638" s="131"/>
      <c r="RP638" s="131"/>
      <c r="RQ638" s="131"/>
      <c r="RR638" s="131"/>
      <c r="RS638" s="131"/>
      <c r="RT638" s="131"/>
      <c r="RU638" s="131"/>
      <c r="RV638" s="131"/>
      <c r="RW638" s="131"/>
      <c r="RX638" s="131"/>
      <c r="RY638" s="131"/>
      <c r="RZ638" s="131"/>
      <c r="SA638" s="131"/>
      <c r="SB638" s="131"/>
      <c r="SC638" s="131"/>
      <c r="SD638" s="131"/>
      <c r="SE638" s="131"/>
      <c r="SF638" s="131"/>
      <c r="SG638" s="131"/>
      <c r="SH638" s="131"/>
      <c r="SI638" s="131"/>
      <c r="SJ638" s="131"/>
      <c r="SK638" s="131"/>
      <c r="SL638" s="131"/>
      <c r="SM638" s="131"/>
      <c r="SN638" s="131"/>
      <c r="SO638" s="131"/>
      <c r="SP638" s="131"/>
      <c r="SQ638" s="131"/>
      <c r="SR638" s="131"/>
      <c r="SS638" s="131"/>
      <c r="ST638" s="131"/>
      <c r="SU638" s="131"/>
      <c r="SV638" s="131"/>
      <c r="SW638" s="131"/>
      <c r="SX638" s="131"/>
      <c r="SY638" s="131"/>
      <c r="SZ638" s="131"/>
      <c r="TA638" s="131"/>
      <c r="TB638" s="131"/>
      <c r="TC638" s="131"/>
      <c r="TD638" s="131"/>
      <c r="TE638" s="131"/>
      <c r="TF638" s="131"/>
      <c r="TG638" s="131"/>
      <c r="TH638" s="131"/>
      <c r="TI638" s="131"/>
      <c r="TJ638" s="131"/>
      <c r="TK638" s="131"/>
      <c r="TL638" s="131"/>
      <c r="TM638" s="131"/>
      <c r="TN638" s="131"/>
      <c r="TO638" s="131"/>
      <c r="TP638" s="131"/>
      <c r="TQ638" s="131"/>
      <c r="TR638" s="131"/>
      <c r="TS638" s="131"/>
      <c r="TT638" s="131"/>
      <c r="TU638" s="131"/>
      <c r="TV638" s="131"/>
      <c r="TW638" s="131"/>
      <c r="TX638" s="131"/>
      <c r="TY638" s="131"/>
      <c r="TZ638" s="131"/>
      <c r="UA638" s="131"/>
      <c r="UB638" s="131"/>
      <c r="UC638" s="131"/>
      <c r="UD638" s="131"/>
      <c r="UE638" s="131"/>
      <c r="UF638" s="131"/>
      <c r="UG638" s="131"/>
      <c r="UH638" s="131"/>
      <c r="UI638" s="131"/>
      <c r="UJ638" s="131"/>
      <c r="UK638" s="131"/>
      <c r="UL638" s="131"/>
      <c r="UM638" s="131"/>
      <c r="UN638" s="131"/>
      <c r="UO638" s="131"/>
      <c r="UP638" s="131"/>
      <c r="UQ638" s="131"/>
      <c r="UR638" s="131"/>
      <c r="US638" s="131"/>
      <c r="UT638" s="131"/>
      <c r="UU638" s="131"/>
      <c r="UV638" s="131"/>
      <c r="UW638" s="131"/>
      <c r="UX638" s="131"/>
      <c r="UY638" s="131"/>
      <c r="UZ638" s="131"/>
      <c r="VA638" s="131"/>
      <c r="VB638" s="131"/>
      <c r="VC638" s="131"/>
      <c r="VD638" s="131"/>
      <c r="VE638" s="131"/>
      <c r="VF638" s="131"/>
      <c r="VG638" s="131"/>
      <c r="VH638" s="131"/>
      <c r="VI638" s="131"/>
      <c r="VJ638" s="131"/>
      <c r="VK638" s="131"/>
      <c r="VL638" s="131"/>
      <c r="VM638" s="131"/>
      <c r="VN638" s="131"/>
      <c r="VO638" s="131"/>
      <c r="VP638" s="131"/>
      <c r="VQ638" s="131"/>
      <c r="VR638" s="131"/>
      <c r="VS638" s="131"/>
      <c r="VT638" s="131"/>
      <c r="VU638" s="131"/>
      <c r="VV638" s="131"/>
      <c r="VW638" s="131"/>
      <c r="VX638" s="131"/>
      <c r="VY638" s="131"/>
      <c r="VZ638" s="131"/>
      <c r="WA638" s="131"/>
      <c r="WB638" s="131"/>
      <c r="WC638" s="131"/>
      <c r="WD638" s="131"/>
      <c r="WE638" s="131"/>
      <c r="WF638" s="131"/>
      <c r="WG638" s="131"/>
      <c r="WH638" s="131"/>
      <c r="WI638" s="131"/>
      <c r="WJ638" s="131"/>
      <c r="WK638" s="131"/>
      <c r="WL638" s="131"/>
      <c r="WM638" s="131"/>
      <c r="WN638" s="131"/>
      <c r="WO638" s="131"/>
      <c r="WP638" s="131"/>
      <c r="WQ638" s="131"/>
      <c r="WR638" s="131"/>
      <c r="WS638" s="131"/>
      <c r="WT638" s="131"/>
      <c r="WU638" s="131"/>
      <c r="WV638" s="131"/>
      <c r="WW638" s="131"/>
      <c r="WX638" s="131"/>
      <c r="WY638" s="131"/>
      <c r="WZ638" s="131"/>
      <c r="XA638" s="131"/>
      <c r="XB638" s="131"/>
      <c r="XC638" s="131"/>
      <c r="XD638" s="131"/>
      <c r="XE638" s="131"/>
      <c r="XF638" s="131"/>
      <c r="XG638" s="131"/>
      <c r="XH638" s="131"/>
      <c r="XI638" s="131"/>
      <c r="XJ638" s="131"/>
      <c r="XK638" s="131"/>
      <c r="XL638" s="131"/>
      <c r="XM638" s="131"/>
      <c r="XN638" s="131"/>
      <c r="XO638" s="131"/>
      <c r="XP638" s="131"/>
      <c r="XQ638" s="131"/>
      <c r="XR638" s="131"/>
      <c r="XS638" s="131"/>
      <c r="XT638" s="131"/>
      <c r="XU638" s="131"/>
      <c r="XV638" s="131"/>
      <c r="XW638" s="131"/>
      <c r="XX638" s="131"/>
      <c r="XY638" s="131"/>
      <c r="XZ638" s="131"/>
      <c r="YA638" s="131"/>
      <c r="YB638" s="131"/>
      <c r="YC638" s="131"/>
      <c r="YD638" s="131"/>
      <c r="YE638" s="131"/>
      <c r="YF638" s="131"/>
      <c r="YG638" s="131"/>
      <c r="YH638" s="131"/>
      <c r="YI638" s="131"/>
      <c r="YJ638" s="131"/>
      <c r="YK638" s="131"/>
      <c r="YL638" s="131"/>
      <c r="YM638" s="131"/>
      <c r="YN638" s="131"/>
      <c r="YO638" s="131"/>
      <c r="YP638" s="131"/>
      <c r="YQ638" s="131"/>
      <c r="YR638" s="131"/>
      <c r="YS638" s="131"/>
      <c r="YT638" s="131"/>
      <c r="YU638" s="131"/>
      <c r="YV638" s="131"/>
      <c r="YW638" s="131"/>
      <c r="YX638" s="131"/>
      <c r="YY638" s="131"/>
      <c r="YZ638" s="131"/>
      <c r="ZA638" s="131"/>
      <c r="ZB638" s="131"/>
      <c r="ZC638" s="131"/>
      <c r="ZD638" s="131"/>
      <c r="ZE638" s="131"/>
      <c r="ZF638" s="131"/>
      <c r="ZG638" s="131"/>
      <c r="ZH638" s="131"/>
      <c r="ZI638" s="131"/>
      <c r="ZJ638" s="131"/>
      <c r="ZK638" s="131"/>
      <c r="ZL638" s="131"/>
      <c r="ZM638" s="131"/>
      <c r="ZN638" s="131"/>
      <c r="ZO638" s="131"/>
      <c r="ZP638" s="131"/>
      <c r="ZQ638" s="131"/>
      <c r="ZR638" s="131"/>
      <c r="ZS638" s="131"/>
      <c r="ZT638" s="131"/>
      <c r="ZU638" s="131"/>
      <c r="ZV638" s="131"/>
      <c r="ZW638" s="131"/>
      <c r="ZX638" s="131"/>
      <c r="ZY638" s="131"/>
      <c r="ZZ638" s="131"/>
      <c r="AAA638" s="131"/>
      <c r="AAB638" s="131"/>
      <c r="AAC638" s="131"/>
      <c r="AAD638" s="131"/>
      <c r="AAE638" s="131"/>
      <c r="AAF638" s="131"/>
      <c r="AAG638" s="131"/>
      <c r="AAH638" s="131"/>
      <c r="AAI638" s="131"/>
      <c r="AAJ638" s="131"/>
      <c r="AAK638" s="131"/>
      <c r="AAL638" s="131"/>
      <c r="AAM638" s="131"/>
      <c r="AAN638" s="131"/>
      <c r="AAO638" s="131"/>
      <c r="AAP638" s="131"/>
      <c r="AAQ638" s="131"/>
      <c r="AAR638" s="131"/>
      <c r="AAS638" s="131"/>
      <c r="AAT638" s="131"/>
      <c r="AAU638" s="131"/>
      <c r="AAV638" s="131"/>
      <c r="AAW638" s="131"/>
      <c r="AAX638" s="131"/>
      <c r="AAY638" s="131"/>
      <c r="AAZ638" s="131"/>
      <c r="ABA638" s="131"/>
      <c r="ABB638" s="131"/>
      <c r="ABC638" s="131"/>
      <c r="ABD638" s="131"/>
      <c r="ABE638" s="131"/>
      <c r="ABF638" s="131"/>
      <c r="ABG638" s="131"/>
      <c r="ABH638" s="131"/>
      <c r="ABI638" s="131"/>
      <c r="ABJ638" s="131"/>
      <c r="ABK638" s="131"/>
      <c r="ABL638" s="131"/>
      <c r="ABM638" s="131"/>
      <c r="ABN638" s="131"/>
      <c r="ABO638" s="131"/>
      <c r="ABP638" s="131"/>
      <c r="ABQ638" s="131"/>
      <c r="ABR638" s="131"/>
      <c r="ABS638" s="131"/>
      <c r="ABT638" s="131"/>
      <c r="ABU638" s="131"/>
      <c r="ABV638" s="131"/>
      <c r="ABW638" s="131"/>
      <c r="ABX638" s="131"/>
      <c r="ABY638" s="131"/>
      <c r="ABZ638" s="131"/>
      <c r="ACA638" s="131"/>
      <c r="ACB638" s="131"/>
      <c r="ACC638" s="131"/>
      <c r="ACD638" s="131"/>
      <c r="ACE638" s="131"/>
      <c r="ACF638" s="131"/>
      <c r="ACG638" s="131"/>
      <c r="ACH638" s="131"/>
      <c r="ACI638" s="131"/>
      <c r="ACJ638" s="131"/>
      <c r="ACK638" s="131"/>
      <c r="ACL638" s="131"/>
      <c r="ACM638" s="131"/>
      <c r="ACN638" s="131"/>
      <c r="ACO638" s="131"/>
      <c r="ACP638" s="131"/>
      <c r="ACQ638" s="131"/>
      <c r="ACR638" s="131"/>
      <c r="ACS638" s="131"/>
      <c r="ACT638" s="131"/>
      <c r="ACU638" s="131"/>
      <c r="ACV638" s="131"/>
      <c r="ACW638" s="131"/>
      <c r="ACX638" s="131"/>
      <c r="ACY638" s="131"/>
      <c r="ACZ638" s="131"/>
      <c r="ADA638" s="131"/>
      <c r="ADB638" s="131"/>
      <c r="ADC638" s="131"/>
      <c r="ADD638" s="131"/>
      <c r="ADE638" s="131"/>
      <c r="ADF638" s="131"/>
      <c r="ADG638" s="131"/>
      <c r="ADH638" s="131"/>
      <c r="ADI638" s="131"/>
      <c r="ADJ638" s="131"/>
      <c r="ADK638" s="131"/>
      <c r="ADL638" s="131"/>
      <c r="ADM638" s="131"/>
      <c r="ADN638" s="131"/>
      <c r="ADO638" s="131"/>
      <c r="ADP638" s="131"/>
      <c r="ADQ638" s="131"/>
      <c r="ADR638" s="131"/>
      <c r="ADS638" s="131"/>
      <c r="ADT638" s="131"/>
      <c r="ADU638" s="131"/>
      <c r="ADV638" s="131"/>
      <c r="ADW638" s="131"/>
      <c r="ADX638" s="131"/>
      <c r="ADY638" s="131"/>
      <c r="ADZ638" s="131"/>
      <c r="AEA638" s="131"/>
      <c r="AEB638" s="131"/>
      <c r="AEC638" s="131"/>
      <c r="AED638" s="131"/>
      <c r="AEE638" s="131"/>
      <c r="AEF638" s="131"/>
      <c r="AEG638" s="131"/>
      <c r="AEH638" s="131"/>
      <c r="AEI638" s="131"/>
      <c r="AEJ638" s="131"/>
      <c r="AEK638" s="131"/>
      <c r="AEL638" s="131"/>
      <c r="AEM638" s="131"/>
      <c r="AEN638" s="131"/>
      <c r="AEO638" s="131"/>
      <c r="AEP638" s="131"/>
      <c r="AEQ638" s="131"/>
      <c r="AER638" s="131"/>
      <c r="AES638" s="131"/>
      <c r="AET638" s="131"/>
      <c r="AEU638" s="131"/>
      <c r="AEV638" s="131"/>
      <c r="AEW638" s="131"/>
      <c r="AEX638" s="131"/>
      <c r="AEY638" s="131"/>
      <c r="AEZ638" s="131"/>
      <c r="AFA638" s="131"/>
      <c r="AFB638" s="131"/>
      <c r="AFC638" s="131"/>
      <c r="AFD638" s="131"/>
      <c r="AFE638" s="131"/>
      <c r="AFF638" s="131"/>
      <c r="AFG638" s="131"/>
      <c r="AFH638" s="131"/>
      <c r="AFI638" s="131"/>
      <c r="AFJ638" s="131"/>
      <c r="AFK638" s="131"/>
      <c r="AFL638" s="131"/>
      <c r="AFM638" s="131"/>
      <c r="AFN638" s="131"/>
      <c r="AFO638" s="131"/>
      <c r="AFP638" s="131"/>
      <c r="AFQ638" s="131"/>
      <c r="AFR638" s="131"/>
      <c r="AFS638" s="131"/>
      <c r="AFT638" s="131"/>
      <c r="AFU638" s="131"/>
      <c r="AFV638" s="131"/>
      <c r="AFW638" s="131"/>
      <c r="AFX638" s="131"/>
      <c r="AFY638" s="131"/>
      <c r="AFZ638" s="131"/>
      <c r="AGA638" s="131"/>
      <c r="AGB638" s="131"/>
      <c r="AGC638" s="131"/>
      <c r="AGD638" s="131"/>
      <c r="AGE638" s="131"/>
      <c r="AGF638" s="131"/>
      <c r="AGG638" s="131"/>
      <c r="AGH638" s="131"/>
      <c r="AGI638" s="131"/>
      <c r="AGJ638" s="131"/>
      <c r="AGK638" s="131"/>
      <c r="AGL638" s="131"/>
      <c r="AGM638" s="131"/>
      <c r="AGN638" s="131"/>
      <c r="AGO638" s="131"/>
      <c r="AGP638" s="131"/>
      <c r="AGQ638" s="131"/>
      <c r="AGR638" s="131"/>
      <c r="AGS638" s="131"/>
      <c r="AGT638" s="131"/>
      <c r="AGU638" s="131"/>
      <c r="AGV638" s="131"/>
      <c r="AGW638" s="131"/>
      <c r="AGX638" s="131"/>
      <c r="AGY638" s="131"/>
      <c r="AGZ638" s="131"/>
      <c r="AHA638" s="131"/>
      <c r="AHB638" s="131"/>
      <c r="AHC638" s="131"/>
      <c r="AHD638" s="131"/>
      <c r="AHE638" s="131"/>
      <c r="AHF638" s="131"/>
      <c r="AHG638" s="131"/>
      <c r="AHH638" s="131"/>
      <c r="AHI638" s="131"/>
      <c r="AHJ638" s="131"/>
      <c r="AHK638" s="131"/>
      <c r="AHL638" s="131"/>
      <c r="AHM638" s="131"/>
      <c r="AHN638" s="131"/>
      <c r="AHO638" s="131"/>
      <c r="AHP638" s="131"/>
      <c r="AHQ638" s="131"/>
      <c r="AHR638" s="131"/>
      <c r="AHS638" s="131"/>
      <c r="AHT638" s="131"/>
      <c r="AHU638" s="131"/>
      <c r="AHV638" s="131"/>
      <c r="AHW638" s="131"/>
      <c r="AHX638" s="131"/>
      <c r="AHY638" s="131"/>
      <c r="AHZ638" s="131"/>
      <c r="AIA638" s="131"/>
      <c r="AIB638" s="131"/>
      <c r="AIC638" s="131"/>
      <c r="AID638" s="131"/>
      <c r="AIE638" s="131"/>
      <c r="AIF638" s="131"/>
      <c r="AIG638" s="131"/>
      <c r="AIH638" s="131"/>
      <c r="AII638" s="131"/>
      <c r="AIJ638" s="131"/>
      <c r="AIK638" s="131"/>
      <c r="AIL638" s="131"/>
      <c r="AIM638" s="131"/>
      <c r="AIN638" s="131"/>
      <c r="AIO638" s="131"/>
      <c r="AIP638" s="131"/>
      <c r="AIQ638" s="131"/>
      <c r="AIR638" s="131"/>
      <c r="AIS638" s="131"/>
      <c r="AIT638" s="131"/>
      <c r="AIU638" s="131"/>
      <c r="AIV638" s="131"/>
      <c r="AIW638" s="131"/>
      <c r="AIX638" s="131"/>
      <c r="AIY638" s="131"/>
      <c r="AIZ638" s="131"/>
      <c r="AJA638" s="131"/>
      <c r="AJB638" s="131"/>
      <c r="AJC638" s="131"/>
      <c r="AJD638" s="131"/>
      <c r="AJE638" s="131"/>
      <c r="AJF638" s="131"/>
      <c r="AJG638" s="131"/>
      <c r="AJH638" s="131"/>
      <c r="AJI638" s="131"/>
      <c r="AJJ638" s="131"/>
      <c r="AJK638" s="131"/>
      <c r="AJL638" s="131"/>
      <c r="AJM638" s="131"/>
      <c r="AJN638" s="131"/>
      <c r="AJO638" s="131"/>
      <c r="AJP638" s="131"/>
      <c r="AJQ638" s="131"/>
      <c r="AJR638" s="131"/>
      <c r="AJS638" s="131"/>
      <c r="AJT638" s="131"/>
      <c r="AJU638" s="131"/>
      <c r="AJV638" s="131"/>
      <c r="AJW638" s="131"/>
      <c r="AJX638" s="131"/>
      <c r="AJY638" s="131"/>
      <c r="AJZ638" s="131"/>
      <c r="AKA638" s="131"/>
      <c r="AKB638" s="131"/>
      <c r="AKC638" s="131"/>
      <c r="AKD638" s="131"/>
      <c r="AKE638" s="131"/>
      <c r="AKF638" s="131"/>
      <c r="AKG638" s="131"/>
      <c r="AKH638" s="131"/>
      <c r="AKI638" s="131"/>
      <c r="AKJ638" s="131"/>
      <c r="AKK638" s="131"/>
      <c r="AKL638" s="131"/>
      <c r="AKM638" s="131"/>
      <c r="AKN638" s="131"/>
      <c r="AKO638" s="131"/>
      <c r="AKP638" s="131"/>
      <c r="AKQ638" s="131"/>
      <c r="AKR638" s="131"/>
      <c r="AKS638" s="131"/>
      <c r="AKT638" s="131"/>
      <c r="AKU638" s="131"/>
      <c r="AKV638" s="131"/>
      <c r="AKW638" s="131"/>
      <c r="AKX638" s="131"/>
      <c r="AKY638" s="131"/>
      <c r="AKZ638" s="131"/>
      <c r="ALA638" s="131"/>
      <c r="ALB638" s="131"/>
      <c r="ALC638" s="131"/>
      <c r="ALD638" s="131"/>
      <c r="ALE638" s="131"/>
      <c r="ALF638" s="131"/>
      <c r="ALG638" s="131"/>
      <c r="ALH638" s="131"/>
      <c r="ALI638" s="131"/>
      <c r="ALJ638" s="131"/>
      <c r="ALK638" s="131"/>
      <c r="ALL638" s="131"/>
      <c r="ALM638" s="131"/>
      <c r="ALN638" s="131"/>
      <c r="ALO638" s="131"/>
      <c r="ALP638" s="131"/>
      <c r="ALQ638" s="131"/>
      <c r="ALR638" s="131"/>
      <c r="ALS638" s="131"/>
      <c r="ALT638" s="131"/>
      <c r="ALU638" s="131"/>
      <c r="ALV638" s="131"/>
      <c r="ALW638" s="131"/>
      <c r="ALX638" s="131"/>
      <c r="ALY638" s="131"/>
      <c r="ALZ638" s="131"/>
      <c r="AMA638" s="131"/>
      <c r="AMB638" s="131"/>
      <c r="AMC638" s="131"/>
      <c r="AMD638" s="131"/>
      <c r="AME638" s="131"/>
      <c r="AMF638" s="131"/>
      <c r="AMG638" s="131"/>
      <c r="AMH638" s="131"/>
      <c r="AMI638" s="131"/>
      <c r="AMJ638" s="131"/>
      <c r="AMK638" s="131"/>
      <c r="AML638" s="131"/>
      <c r="AMM638" s="131"/>
      <c r="AMN638" s="131"/>
      <c r="AMO638" s="131"/>
      <c r="AMP638" s="131"/>
      <c r="AMQ638" s="131"/>
      <c r="AMR638" s="131"/>
      <c r="AMS638" s="131"/>
      <c r="AMT638" s="131"/>
      <c r="AMU638" s="131"/>
      <c r="AMV638" s="131"/>
      <c r="AMW638" s="131"/>
      <c r="AMX638" s="131"/>
      <c r="AMY638" s="131"/>
      <c r="AMZ638" s="131"/>
      <c r="ANA638" s="131"/>
      <c r="ANB638" s="131"/>
      <c r="ANC638" s="131"/>
      <c r="AND638" s="131"/>
      <c r="ANE638" s="131"/>
      <c r="ANF638" s="131"/>
      <c r="ANG638" s="131"/>
      <c r="ANH638" s="131"/>
      <c r="ANI638" s="131"/>
      <c r="ANJ638" s="131"/>
      <c r="ANK638" s="131"/>
      <c r="ANL638" s="131"/>
      <c r="ANM638" s="131"/>
      <c r="ANN638" s="131"/>
      <c r="ANO638" s="131"/>
      <c r="ANP638" s="131"/>
      <c r="ANQ638" s="131"/>
      <c r="ANR638" s="131"/>
      <c r="ANS638" s="131"/>
      <c r="ANT638" s="131"/>
      <c r="ANU638" s="131"/>
      <c r="ANV638" s="131"/>
      <c r="ANW638" s="131"/>
      <c r="ANX638" s="131"/>
      <c r="ANY638" s="131"/>
      <c r="ANZ638" s="131"/>
      <c r="AOA638" s="131"/>
      <c r="AOB638" s="131"/>
      <c r="AOC638" s="131"/>
      <c r="AOD638" s="131"/>
      <c r="AOE638" s="131"/>
      <c r="AOF638" s="131"/>
      <c r="AOG638" s="131"/>
      <c r="AOH638" s="131"/>
      <c r="AOI638" s="131"/>
      <c r="AOJ638" s="131"/>
      <c r="AOK638" s="131"/>
      <c r="AOL638" s="131"/>
      <c r="AOM638" s="131"/>
      <c r="AON638" s="131"/>
      <c r="AOO638" s="131"/>
      <c r="AOP638" s="131"/>
      <c r="AOQ638" s="131"/>
      <c r="AOR638" s="131"/>
      <c r="AOS638" s="131"/>
      <c r="AOT638" s="131"/>
      <c r="AOU638" s="131"/>
      <c r="AOV638" s="131"/>
      <c r="AOW638" s="131"/>
      <c r="AOX638" s="131"/>
      <c r="AOY638" s="131"/>
      <c r="AOZ638" s="131"/>
      <c r="APA638" s="131"/>
      <c r="APB638" s="131"/>
      <c r="APC638" s="131"/>
      <c r="APD638" s="131"/>
      <c r="APE638" s="131"/>
      <c r="APF638" s="131"/>
      <c r="APG638" s="131"/>
      <c r="APH638" s="131"/>
      <c r="API638" s="131"/>
      <c r="APJ638" s="131"/>
      <c r="APK638" s="131"/>
      <c r="APL638" s="131"/>
      <c r="APM638" s="131"/>
      <c r="APN638" s="131"/>
      <c r="APO638" s="131"/>
      <c r="APP638" s="131"/>
      <c r="APQ638" s="131"/>
      <c r="APR638" s="131"/>
      <c r="APS638" s="131"/>
      <c r="APT638" s="131"/>
      <c r="APU638" s="131"/>
      <c r="APV638" s="131"/>
      <c r="APW638" s="131"/>
      <c r="APX638" s="131"/>
      <c r="APY638" s="131"/>
      <c r="APZ638" s="131"/>
      <c r="AQA638" s="131"/>
      <c r="AQB638" s="131"/>
      <c r="AQC638" s="131"/>
      <c r="AQD638" s="131"/>
      <c r="AQE638" s="131"/>
      <c r="AQF638" s="131"/>
      <c r="AQG638" s="131"/>
      <c r="AQH638" s="131"/>
      <c r="AQI638" s="131"/>
      <c r="AQJ638" s="131"/>
      <c r="AQK638" s="131"/>
      <c r="AQL638" s="131"/>
      <c r="AQM638" s="131"/>
      <c r="AQN638" s="131"/>
      <c r="AQO638" s="131"/>
      <c r="AQP638" s="131"/>
      <c r="AQQ638" s="131"/>
      <c r="AQR638" s="131"/>
      <c r="AQS638" s="131"/>
      <c r="AQT638" s="131"/>
      <c r="AQU638" s="131"/>
      <c r="AQV638" s="131"/>
      <c r="AQW638" s="131"/>
      <c r="AQX638" s="131"/>
      <c r="AQY638" s="131"/>
      <c r="AQZ638" s="131"/>
      <c r="ARA638" s="131"/>
      <c r="ARB638" s="131"/>
      <c r="ARC638" s="131"/>
      <c r="ARD638" s="131"/>
      <c r="ARE638" s="131"/>
      <c r="ARF638" s="131"/>
      <c r="ARG638" s="131"/>
      <c r="ARH638" s="131"/>
      <c r="ARI638" s="131"/>
      <c r="ARJ638" s="131"/>
      <c r="ARK638" s="131"/>
      <c r="ARL638" s="131"/>
      <c r="ARM638" s="131"/>
      <c r="ARN638" s="131"/>
      <c r="ARO638" s="131"/>
      <c r="ARP638" s="131"/>
      <c r="ARQ638" s="131"/>
      <c r="ARR638" s="131"/>
      <c r="ARS638" s="131"/>
      <c r="ART638" s="131"/>
      <c r="ARU638" s="131"/>
      <c r="ARV638" s="131"/>
      <c r="ARW638" s="131"/>
      <c r="ARX638" s="131"/>
      <c r="ARY638" s="131"/>
      <c r="ARZ638" s="131"/>
      <c r="ASA638" s="131"/>
      <c r="ASB638" s="131"/>
      <c r="ASC638" s="131"/>
      <c r="ASD638" s="131"/>
      <c r="ASE638" s="131"/>
      <c r="ASF638" s="131"/>
      <c r="ASG638" s="131"/>
      <c r="ASH638" s="131"/>
      <c r="ASI638" s="131"/>
      <c r="ASJ638" s="131"/>
      <c r="ASK638" s="131"/>
      <c r="ASL638" s="131"/>
      <c r="ASM638" s="131"/>
      <c r="ASN638" s="131"/>
      <c r="ASO638" s="131"/>
      <c r="ASP638" s="131"/>
      <c r="ASQ638" s="131"/>
      <c r="ASR638" s="131"/>
      <c r="ASS638" s="131"/>
      <c r="AST638" s="131"/>
      <c r="ASU638" s="131"/>
      <c r="ASV638" s="131"/>
      <c r="ASW638" s="131"/>
      <c r="ASX638" s="131"/>
      <c r="ASY638" s="131"/>
      <c r="ASZ638" s="131"/>
      <c r="ATA638" s="131"/>
      <c r="ATB638" s="131"/>
      <c r="ATC638" s="131"/>
      <c r="ATD638" s="131"/>
      <c r="ATE638" s="131"/>
      <c r="ATF638" s="131"/>
      <c r="ATG638" s="131"/>
      <c r="ATH638" s="131"/>
      <c r="ATI638" s="131"/>
      <c r="ATJ638" s="131"/>
      <c r="ATK638" s="131"/>
      <c r="ATL638" s="131"/>
      <c r="ATM638" s="131"/>
      <c r="ATN638" s="131"/>
      <c r="ATO638" s="131"/>
      <c r="ATP638" s="131"/>
      <c r="ATQ638" s="131"/>
      <c r="ATR638" s="131"/>
      <c r="ATS638" s="131"/>
      <c r="ATT638" s="131"/>
      <c r="ATU638" s="131"/>
      <c r="ATV638" s="131"/>
      <c r="ATW638" s="131"/>
      <c r="ATX638" s="131"/>
      <c r="ATY638" s="131"/>
      <c r="ATZ638" s="131"/>
      <c r="AUA638" s="131"/>
      <c r="AUB638" s="131"/>
      <c r="AUC638" s="131"/>
      <c r="AUD638" s="131"/>
      <c r="AUE638" s="131"/>
      <c r="AUF638" s="131"/>
      <c r="AUG638" s="131"/>
      <c r="AUH638" s="131"/>
      <c r="AUI638" s="131"/>
      <c r="AUJ638" s="131"/>
      <c r="AUK638" s="131"/>
      <c r="AUL638" s="131"/>
      <c r="AUM638" s="131"/>
      <c r="AUN638" s="131"/>
      <c r="AUO638" s="131"/>
      <c r="AUP638" s="131"/>
      <c r="AUQ638" s="131"/>
      <c r="AUR638" s="131"/>
      <c r="AUS638" s="131"/>
      <c r="AUT638" s="131"/>
      <c r="AUU638" s="131"/>
      <c r="AUV638" s="131"/>
      <c r="AUW638" s="131"/>
      <c r="AUX638" s="131"/>
      <c r="AUY638" s="131"/>
      <c r="AUZ638" s="131"/>
      <c r="AVA638" s="131"/>
      <c r="AVB638" s="131"/>
      <c r="AVC638" s="131"/>
      <c r="AVD638" s="131"/>
      <c r="AVE638" s="131"/>
      <c r="AVF638" s="131"/>
      <c r="AVG638" s="131"/>
      <c r="AVH638" s="131"/>
      <c r="AVI638" s="131"/>
      <c r="AVJ638" s="131"/>
      <c r="AVK638" s="131"/>
      <c r="AVL638" s="131"/>
      <c r="AVM638" s="131"/>
      <c r="AVN638" s="131"/>
      <c r="AVO638" s="131"/>
      <c r="AVP638" s="131"/>
      <c r="AVQ638" s="131"/>
      <c r="AVR638" s="131"/>
      <c r="AVS638" s="131"/>
      <c r="AVT638" s="131"/>
      <c r="AVU638" s="131"/>
      <c r="AVV638" s="131"/>
      <c r="AVW638" s="131"/>
      <c r="AVX638" s="131"/>
      <c r="AVY638" s="131"/>
      <c r="AVZ638" s="131"/>
      <c r="AWA638" s="131"/>
      <c r="AWB638" s="131"/>
      <c r="AWC638" s="131"/>
      <c r="AWD638" s="131"/>
      <c r="AWE638" s="131"/>
      <c r="AWF638" s="131"/>
      <c r="AWG638" s="131"/>
      <c r="AWH638" s="131"/>
      <c r="AWI638" s="131"/>
      <c r="AWJ638" s="131"/>
      <c r="AWK638" s="131"/>
      <c r="AWL638" s="131"/>
      <c r="AWM638" s="131"/>
      <c r="AWN638" s="131"/>
      <c r="AWO638" s="131"/>
      <c r="AWP638" s="131"/>
      <c r="AWQ638" s="131"/>
      <c r="AWR638" s="131"/>
      <c r="AWS638" s="131"/>
      <c r="AWT638" s="131"/>
      <c r="AWU638" s="131"/>
      <c r="AWV638" s="131"/>
      <c r="AWW638" s="131"/>
      <c r="AWX638" s="131"/>
      <c r="AWY638" s="131"/>
      <c r="AWZ638" s="131"/>
      <c r="AXA638" s="131"/>
      <c r="AXB638" s="131"/>
      <c r="AXC638" s="131"/>
      <c r="AXD638" s="131"/>
      <c r="AXE638" s="131"/>
      <c r="AXF638" s="131"/>
      <c r="AXG638" s="131"/>
      <c r="AXH638" s="131"/>
      <c r="AXI638" s="131"/>
      <c r="AXJ638" s="131"/>
      <c r="AXK638" s="131"/>
      <c r="AXL638" s="131"/>
      <c r="AXM638" s="131"/>
      <c r="AXN638" s="131"/>
      <c r="AXO638" s="131"/>
      <c r="AXP638" s="131"/>
      <c r="AXQ638" s="131"/>
      <c r="AXR638" s="131"/>
      <c r="AXS638" s="131"/>
      <c r="AXT638" s="131"/>
      <c r="AXU638" s="131"/>
      <c r="AXV638" s="131"/>
      <c r="AXW638" s="131"/>
      <c r="AXX638" s="131"/>
      <c r="AXY638" s="131"/>
      <c r="AXZ638" s="131"/>
      <c r="AYA638" s="131"/>
      <c r="AYB638" s="131"/>
      <c r="AYC638" s="131"/>
      <c r="AYD638" s="131"/>
      <c r="AYE638" s="131"/>
      <c r="AYF638" s="131"/>
      <c r="AYG638" s="131"/>
      <c r="AYH638" s="131"/>
      <c r="AYI638" s="131"/>
      <c r="AYJ638" s="131"/>
      <c r="AYK638" s="131"/>
      <c r="AYL638" s="131"/>
      <c r="AYM638" s="131"/>
      <c r="AYN638" s="131"/>
      <c r="AYO638" s="131"/>
      <c r="AYP638" s="131"/>
      <c r="AYQ638" s="131"/>
      <c r="AYR638" s="131"/>
      <c r="AYS638" s="131"/>
      <c r="AYT638" s="131"/>
      <c r="AYU638" s="131"/>
      <c r="AYV638" s="131"/>
      <c r="AYW638" s="131"/>
      <c r="AYX638" s="131"/>
      <c r="AYY638" s="131"/>
      <c r="AYZ638" s="131"/>
      <c r="AZA638" s="131"/>
      <c r="AZB638" s="131"/>
      <c r="AZC638" s="131"/>
      <c r="AZD638" s="131"/>
      <c r="AZE638" s="131"/>
      <c r="AZF638" s="131"/>
      <c r="AZG638" s="131"/>
      <c r="AZH638" s="131"/>
      <c r="AZI638" s="131"/>
      <c r="AZJ638" s="131"/>
      <c r="AZK638" s="131"/>
      <c r="AZL638" s="131"/>
      <c r="AZM638" s="131"/>
      <c r="AZN638" s="131"/>
      <c r="AZO638" s="131"/>
      <c r="AZP638" s="131"/>
      <c r="AZQ638" s="131"/>
      <c r="AZR638" s="131"/>
      <c r="AZS638" s="131"/>
      <c r="AZT638" s="131"/>
      <c r="AZU638" s="131"/>
      <c r="AZV638" s="131"/>
      <c r="AZW638" s="131"/>
      <c r="AZX638" s="131"/>
      <c r="AZY638" s="131"/>
      <c r="AZZ638" s="131"/>
      <c r="BAA638" s="131"/>
      <c r="BAB638" s="131"/>
      <c r="BAC638" s="131"/>
      <c r="BAD638" s="131"/>
      <c r="BAE638" s="131"/>
      <c r="BAF638" s="131"/>
      <c r="BAG638" s="131"/>
      <c r="BAH638" s="131"/>
      <c r="BAI638" s="131"/>
      <c r="BAJ638" s="131"/>
      <c r="BAK638" s="131"/>
      <c r="BAL638" s="131"/>
      <c r="BAM638" s="131"/>
      <c r="BAN638" s="131"/>
      <c r="BAO638" s="131"/>
      <c r="BAP638" s="131"/>
      <c r="BAQ638" s="131"/>
      <c r="BAR638" s="131"/>
      <c r="BAS638" s="131"/>
      <c r="BAT638" s="131"/>
      <c r="BAU638" s="131"/>
      <c r="BAV638" s="131"/>
      <c r="BAW638" s="131"/>
      <c r="BAX638" s="131"/>
      <c r="BAY638" s="131"/>
      <c r="BAZ638" s="131"/>
      <c r="BBA638" s="131"/>
      <c r="BBB638" s="131"/>
      <c r="BBC638" s="131"/>
      <c r="BBD638" s="131"/>
      <c r="BBE638" s="131"/>
      <c r="BBF638" s="131"/>
      <c r="BBG638" s="131"/>
      <c r="BBH638" s="131"/>
      <c r="BBI638" s="131"/>
      <c r="BBJ638" s="131"/>
      <c r="BBK638" s="131"/>
      <c r="BBL638" s="131"/>
      <c r="BBM638" s="131"/>
      <c r="BBN638" s="131"/>
      <c r="BBO638" s="131"/>
      <c r="BBP638" s="131"/>
      <c r="BBQ638" s="131"/>
      <c r="BBR638" s="131"/>
      <c r="BBS638" s="131"/>
      <c r="BBT638" s="131"/>
      <c r="BBU638" s="131"/>
      <c r="BBV638" s="131"/>
      <c r="BBW638" s="131"/>
      <c r="BBX638" s="131"/>
      <c r="BBY638" s="131"/>
      <c r="BBZ638" s="131"/>
      <c r="BCA638" s="131"/>
      <c r="BCB638" s="131"/>
      <c r="BCC638" s="131"/>
      <c r="BCD638" s="131"/>
      <c r="BCE638" s="131"/>
      <c r="BCF638" s="131"/>
      <c r="BCG638" s="131"/>
      <c r="BCH638" s="131"/>
      <c r="BCI638" s="131"/>
      <c r="BCJ638" s="131"/>
      <c r="BCK638" s="131"/>
      <c r="BCL638" s="131"/>
      <c r="BCM638" s="131"/>
      <c r="BCN638" s="131"/>
      <c r="BCO638" s="131"/>
      <c r="BCP638" s="131"/>
      <c r="BCQ638" s="131"/>
      <c r="BCR638" s="131"/>
      <c r="BCS638" s="131"/>
      <c r="BCT638" s="131"/>
      <c r="BCU638" s="131"/>
      <c r="BCV638" s="131"/>
      <c r="BCW638" s="131"/>
      <c r="BCX638" s="131"/>
      <c r="BCY638" s="131"/>
      <c r="BCZ638" s="131"/>
      <c r="BDA638" s="131"/>
      <c r="BDB638" s="131"/>
      <c r="BDC638" s="131"/>
      <c r="BDD638" s="131"/>
      <c r="BDE638" s="131"/>
      <c r="BDF638" s="131"/>
      <c r="BDG638" s="131"/>
      <c r="BDH638" s="131"/>
      <c r="BDI638" s="131"/>
      <c r="BDJ638" s="131"/>
      <c r="BDK638" s="131"/>
      <c r="BDL638" s="131"/>
      <c r="BDM638" s="131"/>
      <c r="BDN638" s="131"/>
      <c r="BDO638" s="131"/>
      <c r="BDP638" s="131"/>
      <c r="BDQ638" s="131"/>
      <c r="BDR638" s="131"/>
      <c r="BDS638" s="131"/>
      <c r="BDT638" s="131"/>
      <c r="BDU638" s="131"/>
      <c r="BDV638" s="131"/>
      <c r="BDW638" s="131"/>
      <c r="BDX638" s="131"/>
      <c r="BDY638" s="131"/>
      <c r="BDZ638" s="131"/>
      <c r="BEA638" s="131"/>
      <c r="BEB638" s="131"/>
      <c r="BEC638" s="131"/>
      <c r="BED638" s="131"/>
      <c r="BEE638" s="131"/>
      <c r="BEF638" s="131"/>
      <c r="BEG638" s="131"/>
      <c r="BEH638" s="131"/>
      <c r="BEI638" s="131"/>
      <c r="BEJ638" s="131"/>
      <c r="BEK638" s="131"/>
      <c r="BEL638" s="131"/>
      <c r="BEM638" s="131"/>
      <c r="BEN638" s="131"/>
      <c r="BEO638" s="131"/>
      <c r="BEP638" s="131"/>
      <c r="BEQ638" s="131"/>
      <c r="BER638" s="131"/>
      <c r="BES638" s="131"/>
      <c r="BET638" s="131"/>
      <c r="BEU638" s="131"/>
      <c r="BEV638" s="131"/>
      <c r="BEW638" s="131"/>
      <c r="BEX638" s="131"/>
      <c r="BEY638" s="131"/>
      <c r="BEZ638" s="131"/>
      <c r="BFA638" s="131"/>
      <c r="BFB638" s="131"/>
      <c r="BFC638" s="131"/>
      <c r="BFD638" s="131"/>
      <c r="BFE638" s="131"/>
      <c r="BFF638" s="131"/>
      <c r="BFG638" s="131"/>
      <c r="BFH638" s="131"/>
      <c r="BFI638" s="131"/>
      <c r="BFJ638" s="131"/>
      <c r="BFK638" s="131"/>
      <c r="BFL638" s="131"/>
      <c r="BFM638" s="131"/>
      <c r="BFN638" s="131"/>
      <c r="BFO638" s="131"/>
      <c r="BFP638" s="131"/>
      <c r="BFQ638" s="131"/>
      <c r="BFR638" s="131"/>
      <c r="BFS638" s="131"/>
      <c r="BFT638" s="131"/>
      <c r="BFU638" s="131"/>
      <c r="BFV638" s="131"/>
      <c r="BFW638" s="131"/>
      <c r="BFX638" s="131"/>
      <c r="BFY638" s="131"/>
      <c r="BFZ638" s="131"/>
      <c r="BGA638" s="131"/>
      <c r="BGB638" s="131"/>
      <c r="BGC638" s="131"/>
      <c r="BGD638" s="131"/>
      <c r="BGE638" s="131"/>
      <c r="BGF638" s="131"/>
      <c r="BGG638" s="131"/>
      <c r="BGH638" s="131"/>
      <c r="BGI638" s="131"/>
      <c r="BGJ638" s="131"/>
      <c r="BGK638" s="131"/>
      <c r="BGL638" s="131"/>
      <c r="BGM638" s="131"/>
      <c r="BGN638" s="131"/>
      <c r="BGO638" s="131"/>
      <c r="BGP638" s="131"/>
      <c r="BGQ638" s="131"/>
      <c r="BGR638" s="131"/>
      <c r="BGS638" s="131"/>
      <c r="BGT638" s="131"/>
      <c r="BGU638" s="131"/>
      <c r="BGV638" s="131"/>
      <c r="BGW638" s="131"/>
      <c r="BGX638" s="131"/>
      <c r="BGY638" s="131"/>
      <c r="BGZ638" s="131"/>
      <c r="BHA638" s="131"/>
      <c r="BHB638" s="131"/>
      <c r="BHC638" s="131"/>
      <c r="BHD638" s="131"/>
      <c r="BHE638" s="131"/>
      <c r="BHF638" s="131"/>
      <c r="BHG638" s="131"/>
      <c r="BHH638" s="131"/>
      <c r="BHI638" s="131"/>
      <c r="BHJ638" s="131"/>
      <c r="BHK638" s="131"/>
      <c r="BHL638" s="131"/>
      <c r="BHM638" s="131"/>
      <c r="BHN638" s="131"/>
      <c r="BHO638" s="131"/>
      <c r="BHP638" s="131"/>
      <c r="BHQ638" s="131"/>
      <c r="BHR638" s="131"/>
      <c r="BHS638" s="131"/>
      <c r="BHT638" s="131"/>
      <c r="BHU638" s="131"/>
      <c r="BHV638" s="131"/>
      <c r="BHW638" s="131"/>
      <c r="BHX638" s="131"/>
      <c r="BHY638" s="131"/>
      <c r="BHZ638" s="131"/>
      <c r="BIA638" s="131"/>
      <c r="BIB638" s="131"/>
      <c r="BIC638" s="131"/>
      <c r="BID638" s="131"/>
      <c r="BIE638" s="131"/>
      <c r="BIF638" s="131"/>
      <c r="BIG638" s="131"/>
      <c r="BIH638" s="131"/>
      <c r="BII638" s="131"/>
      <c r="BIJ638" s="131"/>
      <c r="BIK638" s="131"/>
      <c r="BIL638" s="131"/>
      <c r="BIM638" s="131"/>
      <c r="BIN638" s="131"/>
      <c r="BIO638" s="131"/>
      <c r="BIP638" s="131"/>
      <c r="BIQ638" s="131"/>
      <c r="BIR638" s="131"/>
      <c r="BIS638" s="131"/>
      <c r="BIT638" s="131"/>
      <c r="BIU638" s="131"/>
      <c r="BIV638" s="131"/>
      <c r="BIW638" s="131"/>
      <c r="BIX638" s="131"/>
      <c r="BIY638" s="131"/>
      <c r="BIZ638" s="131"/>
      <c r="BJA638" s="131"/>
      <c r="BJB638" s="131"/>
      <c r="BJC638" s="131"/>
      <c r="BJD638" s="131"/>
      <c r="BJE638" s="131"/>
      <c r="BJF638" s="131"/>
      <c r="BJG638" s="131"/>
      <c r="BJH638" s="131"/>
      <c r="BJI638" s="131"/>
      <c r="BJJ638" s="131"/>
      <c r="BJK638" s="131"/>
      <c r="BJL638" s="131"/>
      <c r="BJM638" s="131"/>
      <c r="BJN638" s="131"/>
      <c r="BJO638" s="131"/>
      <c r="BJP638" s="131"/>
      <c r="BJQ638" s="131"/>
      <c r="BJR638" s="131"/>
      <c r="BJS638" s="131"/>
      <c r="BJT638" s="131"/>
      <c r="BJU638" s="131"/>
      <c r="BJV638" s="131"/>
      <c r="BJW638" s="131"/>
      <c r="BJX638" s="131"/>
      <c r="BJY638" s="131"/>
      <c r="BJZ638" s="131"/>
      <c r="BKA638" s="131"/>
      <c r="BKB638" s="131"/>
      <c r="BKC638" s="131"/>
      <c r="BKD638" s="131"/>
      <c r="BKE638" s="131"/>
      <c r="BKF638" s="131"/>
      <c r="BKG638" s="131"/>
      <c r="BKH638" s="131"/>
      <c r="BKI638" s="131"/>
      <c r="BKJ638" s="131"/>
      <c r="BKK638" s="131"/>
      <c r="BKL638" s="131"/>
      <c r="BKM638" s="131"/>
      <c r="BKN638" s="131"/>
      <c r="BKO638" s="131"/>
      <c r="BKP638" s="131"/>
      <c r="BKQ638" s="131"/>
      <c r="BKR638" s="131"/>
      <c r="BKS638" s="131"/>
      <c r="BKT638" s="131"/>
      <c r="BKU638" s="131"/>
      <c r="BKV638" s="131"/>
      <c r="BKW638" s="131"/>
      <c r="BKX638" s="131"/>
      <c r="BKY638" s="131"/>
      <c r="BKZ638" s="131"/>
      <c r="BLA638" s="131"/>
      <c r="BLB638" s="131"/>
      <c r="BLC638" s="131"/>
      <c r="BLD638" s="131"/>
      <c r="BLE638" s="131"/>
      <c r="BLF638" s="131"/>
      <c r="BLG638" s="131"/>
      <c r="BLH638" s="131"/>
      <c r="BLI638" s="131"/>
      <c r="BLJ638" s="131"/>
      <c r="BLK638" s="131"/>
      <c r="BLL638" s="131"/>
      <c r="BLM638" s="131"/>
      <c r="BLN638" s="131"/>
      <c r="BLO638" s="131"/>
      <c r="BLP638" s="131"/>
      <c r="BLQ638" s="131"/>
      <c r="BLR638" s="131"/>
      <c r="BLS638" s="131"/>
      <c r="BLT638" s="131"/>
      <c r="BLU638" s="131"/>
      <c r="BLV638" s="131"/>
      <c r="BLW638" s="131"/>
      <c r="BLX638" s="131"/>
      <c r="BLY638" s="131"/>
      <c r="BLZ638" s="131"/>
      <c r="BMA638" s="131"/>
      <c r="BMB638" s="131"/>
      <c r="BMC638" s="131"/>
      <c r="BMD638" s="131"/>
      <c r="BME638" s="131"/>
      <c r="BMF638" s="131"/>
      <c r="BMG638" s="131"/>
      <c r="BMH638" s="131"/>
      <c r="BMI638" s="131"/>
      <c r="BMJ638" s="131"/>
      <c r="BMK638" s="131"/>
      <c r="BML638" s="131"/>
      <c r="BMM638" s="131"/>
      <c r="BMN638" s="131"/>
      <c r="BMO638" s="131"/>
      <c r="BMP638" s="131"/>
      <c r="BMQ638" s="131"/>
      <c r="BMR638" s="131"/>
      <c r="BMS638" s="131"/>
      <c r="BMT638" s="131"/>
      <c r="BMU638" s="131"/>
      <c r="BMV638" s="131"/>
      <c r="BMW638" s="131"/>
      <c r="BMX638" s="131"/>
      <c r="BMY638" s="131"/>
      <c r="BMZ638" s="131"/>
      <c r="BNA638" s="131"/>
      <c r="BNB638" s="131"/>
      <c r="BNC638" s="131"/>
      <c r="BND638" s="131"/>
      <c r="BNE638" s="131"/>
      <c r="BNF638" s="131"/>
      <c r="BNG638" s="131"/>
      <c r="BNH638" s="131"/>
      <c r="BNI638" s="131"/>
      <c r="BNJ638" s="131"/>
      <c r="BNK638" s="131"/>
      <c r="BNL638" s="131"/>
      <c r="BNM638" s="131"/>
      <c r="BNN638" s="131"/>
      <c r="BNO638" s="131"/>
      <c r="BNP638" s="131"/>
      <c r="BNQ638" s="131"/>
      <c r="BNR638" s="131"/>
      <c r="BNS638" s="131"/>
      <c r="BNT638" s="131"/>
      <c r="BNU638" s="131"/>
      <c r="BNV638" s="131"/>
      <c r="BNW638" s="131"/>
      <c r="BNX638" s="131"/>
      <c r="BNY638" s="131"/>
      <c r="BNZ638" s="131"/>
      <c r="BOA638" s="131"/>
      <c r="BOB638" s="131"/>
      <c r="BOC638" s="131"/>
      <c r="BOD638" s="131"/>
      <c r="BOE638" s="131"/>
      <c r="BOF638" s="131"/>
      <c r="BOG638" s="131"/>
      <c r="BOH638" s="131"/>
      <c r="BOI638" s="131"/>
      <c r="BOJ638" s="131"/>
      <c r="BOK638" s="131"/>
      <c r="BOL638" s="131"/>
      <c r="BOM638" s="131"/>
      <c r="BON638" s="131"/>
      <c r="BOO638" s="131"/>
      <c r="BOP638" s="131"/>
      <c r="BOQ638" s="131"/>
      <c r="BOR638" s="131"/>
      <c r="BOS638" s="131"/>
      <c r="BOT638" s="131"/>
      <c r="BOU638" s="131"/>
      <c r="BOV638" s="131"/>
      <c r="BOW638" s="131"/>
      <c r="BOX638" s="131"/>
      <c r="BOY638" s="131"/>
      <c r="BOZ638" s="131"/>
      <c r="BPA638" s="131"/>
      <c r="BPB638" s="131"/>
      <c r="BPC638" s="131"/>
      <c r="BPD638" s="131"/>
      <c r="BPE638" s="131"/>
      <c r="BPF638" s="131"/>
      <c r="BPG638" s="131"/>
      <c r="BPH638" s="131"/>
      <c r="BPI638" s="131"/>
      <c r="BPJ638" s="131"/>
      <c r="BPK638" s="131"/>
      <c r="BPL638" s="131"/>
      <c r="BPM638" s="131"/>
      <c r="BPN638" s="131"/>
      <c r="BPO638" s="131"/>
      <c r="BPP638" s="131"/>
      <c r="BPQ638" s="131"/>
      <c r="BPR638" s="131"/>
      <c r="BPS638" s="131"/>
      <c r="BPT638" s="131"/>
      <c r="BPU638" s="131"/>
      <c r="BPV638" s="131"/>
      <c r="BPW638" s="131"/>
      <c r="BPX638" s="131"/>
      <c r="BPY638" s="131"/>
      <c r="BPZ638" s="131"/>
      <c r="BQA638" s="131"/>
      <c r="BQB638" s="131"/>
      <c r="BQC638" s="131"/>
      <c r="BQD638" s="131"/>
      <c r="BQE638" s="131"/>
      <c r="BQF638" s="131"/>
      <c r="BQG638" s="131"/>
      <c r="BQH638" s="131"/>
      <c r="BQI638" s="131"/>
      <c r="BQJ638" s="131"/>
      <c r="BQK638" s="131"/>
      <c r="BQL638" s="131"/>
      <c r="BQM638" s="131"/>
      <c r="BQN638" s="131"/>
      <c r="BQO638" s="131"/>
      <c r="BQP638" s="131"/>
      <c r="BQQ638" s="131"/>
      <c r="BQR638" s="131"/>
      <c r="BQS638" s="131"/>
      <c r="BQT638" s="131"/>
      <c r="BQU638" s="131"/>
      <c r="BQV638" s="131"/>
      <c r="BQW638" s="131"/>
      <c r="BQX638" s="131"/>
      <c r="BQY638" s="131"/>
      <c r="BQZ638" s="131"/>
      <c r="BRA638" s="131"/>
      <c r="BRB638" s="131"/>
      <c r="BRC638" s="131"/>
      <c r="BRD638" s="131"/>
      <c r="BRE638" s="131"/>
      <c r="BRF638" s="131"/>
      <c r="BRG638" s="131"/>
      <c r="BRH638" s="131"/>
      <c r="BRI638" s="131"/>
      <c r="BRJ638" s="131"/>
      <c r="BRK638" s="131"/>
      <c r="BRL638" s="131"/>
      <c r="BRM638" s="131"/>
      <c r="BRN638" s="131"/>
      <c r="BRO638" s="131"/>
      <c r="BRP638" s="131"/>
      <c r="BRQ638" s="131"/>
      <c r="BRR638" s="131"/>
      <c r="BRS638" s="131"/>
      <c r="BRT638" s="131"/>
      <c r="BRU638" s="131"/>
      <c r="BRV638" s="131"/>
      <c r="BRW638" s="131"/>
      <c r="BRX638" s="131"/>
      <c r="BRY638" s="131"/>
      <c r="BRZ638" s="131"/>
      <c r="BSA638" s="131"/>
      <c r="BSB638" s="131"/>
      <c r="BSC638" s="131"/>
      <c r="BSD638" s="131"/>
      <c r="BSE638" s="131"/>
      <c r="BSF638" s="131"/>
      <c r="BSG638" s="131"/>
      <c r="BSH638" s="131"/>
      <c r="BSI638" s="131"/>
      <c r="BSJ638" s="131"/>
      <c r="BSK638" s="131"/>
      <c r="BSL638" s="131"/>
      <c r="BSM638" s="131"/>
      <c r="BSN638" s="131"/>
      <c r="BSO638" s="131"/>
      <c r="BSP638" s="131"/>
      <c r="BSQ638" s="131"/>
      <c r="BSR638" s="131"/>
      <c r="BSS638" s="131"/>
      <c r="BST638" s="131"/>
      <c r="BSU638" s="131"/>
      <c r="BSV638" s="131"/>
      <c r="BSW638" s="131"/>
      <c r="BSX638" s="131"/>
      <c r="BSY638" s="131"/>
      <c r="BSZ638" s="131"/>
      <c r="BTA638" s="131"/>
      <c r="BTB638" s="131"/>
      <c r="BTC638" s="131"/>
      <c r="BTD638" s="131"/>
      <c r="BTE638" s="131"/>
      <c r="BTF638" s="131"/>
      <c r="BTG638" s="131"/>
      <c r="BTH638" s="131"/>
      <c r="BTI638" s="131"/>
      <c r="BTJ638" s="131"/>
      <c r="BTK638" s="131"/>
      <c r="BTL638" s="131"/>
      <c r="BTM638" s="131"/>
      <c r="BTN638" s="131"/>
      <c r="BTO638" s="131"/>
      <c r="BTP638" s="131"/>
      <c r="BTQ638" s="131"/>
      <c r="BTR638" s="131"/>
      <c r="BTS638" s="131"/>
      <c r="BTT638" s="131"/>
      <c r="BTU638" s="131"/>
      <c r="BTV638" s="131"/>
      <c r="BTW638" s="131"/>
      <c r="BTX638" s="131"/>
      <c r="BTY638" s="131"/>
      <c r="BTZ638" s="131"/>
      <c r="BUA638" s="131"/>
      <c r="BUB638" s="131"/>
      <c r="BUC638" s="131"/>
      <c r="BUD638" s="131"/>
      <c r="BUE638" s="131"/>
      <c r="BUF638" s="131"/>
      <c r="BUG638" s="131"/>
      <c r="BUH638" s="131"/>
      <c r="BUI638" s="131"/>
      <c r="BUJ638" s="131"/>
      <c r="BUK638" s="131"/>
      <c r="BUL638" s="131"/>
      <c r="BUM638" s="131"/>
      <c r="BUN638" s="131"/>
      <c r="BUO638" s="131"/>
      <c r="BUP638" s="131"/>
      <c r="BUQ638" s="131"/>
      <c r="BUR638" s="131"/>
      <c r="BUS638" s="131"/>
      <c r="BUT638" s="131"/>
      <c r="BUU638" s="131"/>
      <c r="BUV638" s="131"/>
      <c r="BUW638" s="131"/>
      <c r="BUX638" s="131"/>
      <c r="BUY638" s="131"/>
      <c r="BUZ638" s="131"/>
      <c r="BVA638" s="131"/>
      <c r="BVB638" s="131"/>
      <c r="BVC638" s="131"/>
      <c r="BVD638" s="131"/>
      <c r="BVE638" s="131"/>
      <c r="BVF638" s="131"/>
      <c r="BVG638" s="131"/>
      <c r="BVH638" s="131"/>
      <c r="BVI638" s="131"/>
      <c r="BVJ638" s="131"/>
      <c r="BVK638" s="131"/>
      <c r="BVL638" s="131"/>
      <c r="BVM638" s="131"/>
      <c r="BVN638" s="131"/>
      <c r="BVO638" s="131"/>
      <c r="BVP638" s="131"/>
      <c r="BVQ638" s="131"/>
      <c r="BVR638" s="131"/>
      <c r="BVS638" s="131"/>
      <c r="BVT638" s="131"/>
      <c r="BVU638" s="131"/>
      <c r="BVV638" s="131"/>
      <c r="BVW638" s="131"/>
      <c r="BVX638" s="131"/>
      <c r="BVY638" s="131"/>
      <c r="BVZ638" s="131"/>
      <c r="BWA638" s="131"/>
      <c r="BWB638" s="131"/>
      <c r="BWC638" s="131"/>
      <c r="BWD638" s="131"/>
      <c r="BWE638" s="131"/>
      <c r="BWF638" s="131"/>
      <c r="BWG638" s="131"/>
      <c r="BWH638" s="131"/>
      <c r="BWI638" s="131"/>
      <c r="BWJ638" s="131"/>
      <c r="BWK638" s="131"/>
      <c r="BWL638" s="131"/>
      <c r="BWM638" s="131"/>
      <c r="BWN638" s="131"/>
      <c r="BWO638" s="131"/>
      <c r="BWP638" s="131"/>
      <c r="BWQ638" s="131"/>
      <c r="BWR638" s="131"/>
      <c r="BWS638" s="131"/>
      <c r="BWT638" s="131"/>
      <c r="BWU638" s="131"/>
      <c r="BWV638" s="131"/>
      <c r="BWW638" s="131"/>
      <c r="BWX638" s="131"/>
      <c r="BWY638" s="131"/>
      <c r="BWZ638" s="131"/>
      <c r="BXA638" s="131"/>
      <c r="BXB638" s="131"/>
      <c r="BXC638" s="131"/>
      <c r="BXD638" s="131"/>
      <c r="BXE638" s="131"/>
      <c r="BXF638" s="131"/>
      <c r="BXG638" s="131"/>
      <c r="BXH638" s="131"/>
      <c r="BXI638" s="131"/>
      <c r="BXJ638" s="131"/>
      <c r="BXK638" s="131"/>
      <c r="BXL638" s="131"/>
      <c r="BXM638" s="131"/>
      <c r="BXN638" s="131"/>
      <c r="BXO638" s="131"/>
      <c r="BXP638" s="131"/>
      <c r="BXQ638" s="131"/>
      <c r="BXR638" s="131"/>
      <c r="BXS638" s="131"/>
      <c r="BXT638" s="131"/>
      <c r="BXU638" s="131"/>
      <c r="BXV638" s="131"/>
      <c r="BXW638" s="131"/>
      <c r="BXX638" s="131"/>
      <c r="BXY638" s="131"/>
      <c r="BXZ638" s="131"/>
      <c r="BYA638" s="131"/>
      <c r="BYB638" s="131"/>
      <c r="BYC638" s="131"/>
      <c r="BYD638" s="131"/>
      <c r="BYE638" s="131"/>
      <c r="BYF638" s="131"/>
      <c r="BYG638" s="131"/>
      <c r="BYH638" s="131"/>
      <c r="BYI638" s="131"/>
      <c r="BYJ638" s="131"/>
      <c r="BYK638" s="131"/>
      <c r="BYL638" s="131"/>
      <c r="BYM638" s="131"/>
      <c r="BYN638" s="131"/>
      <c r="BYO638" s="131"/>
      <c r="BYP638" s="131"/>
      <c r="BYQ638" s="131"/>
      <c r="BYR638" s="131"/>
      <c r="BYS638" s="131"/>
      <c r="BYT638" s="131"/>
      <c r="BYU638" s="131"/>
      <c r="BYV638" s="131"/>
      <c r="BYW638" s="131"/>
      <c r="BYX638" s="131"/>
      <c r="BYY638" s="131"/>
      <c r="BYZ638" s="131"/>
      <c r="BZA638" s="131"/>
      <c r="BZB638" s="131"/>
      <c r="BZC638" s="131"/>
      <c r="BZD638" s="131"/>
      <c r="BZE638" s="131"/>
      <c r="BZF638" s="131"/>
      <c r="BZG638" s="131"/>
      <c r="BZH638" s="131"/>
      <c r="BZI638" s="131"/>
      <c r="BZJ638" s="131"/>
      <c r="BZK638" s="131"/>
      <c r="BZL638" s="131"/>
      <c r="BZM638" s="131"/>
      <c r="BZN638" s="131"/>
      <c r="BZO638" s="131"/>
      <c r="BZP638" s="131"/>
      <c r="BZQ638" s="131"/>
      <c r="BZR638" s="131"/>
      <c r="BZS638" s="131"/>
      <c r="BZT638" s="131"/>
      <c r="BZU638" s="131"/>
      <c r="BZV638" s="131"/>
      <c r="BZW638" s="131"/>
      <c r="BZX638" s="131"/>
      <c r="BZY638" s="131"/>
      <c r="BZZ638" s="131"/>
      <c r="CAA638" s="131"/>
      <c r="CAB638" s="131"/>
      <c r="CAC638" s="131"/>
      <c r="CAD638" s="131"/>
      <c r="CAE638" s="131"/>
      <c r="CAF638" s="131"/>
      <c r="CAG638" s="131"/>
      <c r="CAH638" s="131"/>
      <c r="CAI638" s="131"/>
      <c r="CAJ638" s="131"/>
      <c r="CAK638" s="131"/>
      <c r="CAL638" s="131"/>
      <c r="CAM638" s="131"/>
      <c r="CAN638" s="131"/>
      <c r="CAO638" s="131"/>
      <c r="CAP638" s="131"/>
      <c r="CAQ638" s="131"/>
      <c r="CAR638" s="131"/>
      <c r="CAS638" s="131"/>
      <c r="CAT638" s="131"/>
      <c r="CAU638" s="131"/>
      <c r="CAV638" s="131"/>
      <c r="CAW638" s="131"/>
      <c r="CAX638" s="131"/>
      <c r="CAY638" s="131"/>
      <c r="CAZ638" s="131"/>
      <c r="CBA638" s="131"/>
      <c r="CBB638" s="131"/>
      <c r="CBC638" s="131"/>
      <c r="CBD638" s="131"/>
      <c r="CBE638" s="131"/>
      <c r="CBF638" s="131"/>
      <c r="CBG638" s="131"/>
      <c r="CBH638" s="131"/>
      <c r="CBI638" s="131"/>
      <c r="CBJ638" s="131"/>
      <c r="CBK638" s="131"/>
      <c r="CBL638" s="131"/>
      <c r="CBM638" s="131"/>
      <c r="CBN638" s="131"/>
      <c r="CBO638" s="131"/>
      <c r="CBP638" s="131"/>
      <c r="CBQ638" s="131"/>
      <c r="CBR638" s="131"/>
      <c r="CBS638" s="131"/>
      <c r="CBT638" s="131"/>
      <c r="CBU638" s="131"/>
      <c r="CBV638" s="131"/>
      <c r="CBW638" s="131"/>
      <c r="CBX638" s="131"/>
      <c r="CBY638" s="131"/>
      <c r="CBZ638" s="131"/>
      <c r="CCA638" s="131"/>
      <c r="CCB638" s="131"/>
      <c r="CCC638" s="131"/>
      <c r="CCD638" s="131"/>
      <c r="CCE638" s="131"/>
      <c r="CCF638" s="131"/>
      <c r="CCG638" s="131"/>
      <c r="CCH638" s="131"/>
      <c r="CCI638" s="131"/>
      <c r="CCJ638" s="131"/>
      <c r="CCK638" s="131"/>
      <c r="CCL638" s="131"/>
      <c r="CCM638" s="131"/>
      <c r="CCN638" s="131"/>
      <c r="CCO638" s="131"/>
      <c r="CCP638" s="131"/>
      <c r="CCQ638" s="131"/>
      <c r="CCR638" s="131"/>
      <c r="CCS638" s="131"/>
      <c r="CCT638" s="131"/>
      <c r="CCU638" s="131"/>
      <c r="CCV638" s="131"/>
      <c r="CCW638" s="131"/>
      <c r="CCX638" s="131"/>
      <c r="CCY638" s="131"/>
      <c r="CCZ638" s="131"/>
      <c r="CDA638" s="131"/>
      <c r="CDB638" s="131"/>
      <c r="CDC638" s="131"/>
      <c r="CDD638" s="131"/>
      <c r="CDE638" s="131"/>
      <c r="CDF638" s="131"/>
      <c r="CDG638" s="131"/>
      <c r="CDH638" s="131"/>
      <c r="CDI638" s="131"/>
      <c r="CDJ638" s="131"/>
      <c r="CDK638" s="131"/>
      <c r="CDL638" s="131"/>
      <c r="CDM638" s="131"/>
      <c r="CDN638" s="131"/>
      <c r="CDO638" s="131"/>
      <c r="CDP638" s="131"/>
      <c r="CDQ638" s="131"/>
      <c r="CDR638" s="131"/>
      <c r="CDS638" s="131"/>
      <c r="CDT638" s="131"/>
      <c r="CDU638" s="131"/>
      <c r="CDV638" s="131"/>
      <c r="CDW638" s="131"/>
      <c r="CDX638" s="131"/>
      <c r="CDY638" s="131"/>
      <c r="CDZ638" s="131"/>
      <c r="CEA638" s="131"/>
      <c r="CEB638" s="131"/>
      <c r="CEC638" s="131"/>
      <c r="CED638" s="131"/>
      <c r="CEE638" s="131"/>
      <c r="CEF638" s="131"/>
      <c r="CEG638" s="131"/>
      <c r="CEH638" s="131"/>
      <c r="CEI638" s="131"/>
      <c r="CEJ638" s="131"/>
      <c r="CEK638" s="131"/>
      <c r="CEL638" s="131"/>
      <c r="CEM638" s="131"/>
      <c r="CEN638" s="131"/>
      <c r="CEO638" s="131"/>
      <c r="CEP638" s="131"/>
      <c r="CEQ638" s="131"/>
      <c r="CER638" s="131"/>
      <c r="CES638" s="131"/>
      <c r="CET638" s="131"/>
      <c r="CEU638" s="131"/>
      <c r="CEV638" s="131"/>
      <c r="CEW638" s="131"/>
      <c r="CEX638" s="131"/>
      <c r="CEY638" s="131"/>
      <c r="CEZ638" s="131"/>
      <c r="CFA638" s="131"/>
      <c r="CFB638" s="131"/>
      <c r="CFC638" s="131"/>
      <c r="CFD638" s="131"/>
      <c r="CFE638" s="131"/>
      <c r="CFF638" s="131"/>
      <c r="CFG638" s="131"/>
      <c r="CFH638" s="131"/>
      <c r="CFI638" s="131"/>
      <c r="CFJ638" s="131"/>
      <c r="CFK638" s="131"/>
      <c r="CFL638" s="131"/>
      <c r="CFM638" s="131"/>
      <c r="CFN638" s="131"/>
      <c r="CFO638" s="131"/>
      <c r="CFP638" s="131"/>
      <c r="CFQ638" s="131"/>
      <c r="CFR638" s="131"/>
      <c r="CFS638" s="131"/>
      <c r="CFT638" s="131"/>
      <c r="CFU638" s="131"/>
      <c r="CFV638" s="131"/>
      <c r="CFW638" s="131"/>
      <c r="CFX638" s="131"/>
      <c r="CFY638" s="131"/>
      <c r="CFZ638" s="131"/>
      <c r="CGA638" s="131"/>
      <c r="CGB638" s="131"/>
      <c r="CGC638" s="131"/>
      <c r="CGD638" s="131"/>
      <c r="CGE638" s="131"/>
      <c r="CGF638" s="131"/>
      <c r="CGG638" s="131"/>
      <c r="CGH638" s="131"/>
      <c r="CGI638" s="131"/>
      <c r="CGJ638" s="131"/>
      <c r="CGK638" s="131"/>
      <c r="CGL638" s="131"/>
      <c r="CGM638" s="131"/>
      <c r="CGN638" s="131"/>
      <c r="CGO638" s="131"/>
      <c r="CGP638" s="131"/>
      <c r="CGQ638" s="131"/>
      <c r="CGR638" s="131"/>
      <c r="CGS638" s="131"/>
      <c r="CGT638" s="131"/>
      <c r="CGU638" s="131"/>
      <c r="CGV638" s="131"/>
      <c r="CGW638" s="131"/>
      <c r="CGX638" s="131"/>
      <c r="CGY638" s="131"/>
      <c r="CGZ638" s="131"/>
      <c r="CHA638" s="131"/>
      <c r="CHB638" s="131"/>
      <c r="CHC638" s="131"/>
      <c r="CHD638" s="131"/>
      <c r="CHE638" s="131"/>
      <c r="CHF638" s="131"/>
      <c r="CHG638" s="131"/>
      <c r="CHH638" s="131"/>
      <c r="CHI638" s="131"/>
      <c r="CHJ638" s="131"/>
      <c r="CHK638" s="131"/>
      <c r="CHL638" s="131"/>
      <c r="CHM638" s="131"/>
      <c r="CHN638" s="131"/>
      <c r="CHO638" s="131"/>
      <c r="CHP638" s="131"/>
      <c r="CHQ638" s="131"/>
      <c r="CHR638" s="131"/>
      <c r="CHS638" s="131"/>
      <c r="CHT638" s="131"/>
      <c r="CHU638" s="131"/>
      <c r="CHV638" s="131"/>
      <c r="CHW638" s="131"/>
      <c r="CHX638" s="131"/>
      <c r="CHY638" s="131"/>
      <c r="CHZ638" s="131"/>
      <c r="CIA638" s="131"/>
      <c r="CIB638" s="131"/>
      <c r="CIC638" s="131"/>
      <c r="CID638" s="131"/>
      <c r="CIE638" s="131"/>
      <c r="CIF638" s="131"/>
      <c r="CIG638" s="131"/>
      <c r="CIH638" s="131"/>
      <c r="CII638" s="131"/>
      <c r="CIJ638" s="131"/>
      <c r="CIK638" s="131"/>
      <c r="CIL638" s="131"/>
      <c r="CIM638" s="131"/>
      <c r="CIN638" s="131"/>
      <c r="CIO638" s="131"/>
      <c r="CIP638" s="131"/>
      <c r="CIQ638" s="131"/>
      <c r="CIR638" s="131"/>
      <c r="CIS638" s="131"/>
      <c r="CIT638" s="131"/>
      <c r="CIU638" s="131"/>
      <c r="CIV638" s="131"/>
      <c r="CIW638" s="131"/>
      <c r="CIX638" s="131"/>
      <c r="CIY638" s="131"/>
      <c r="CIZ638" s="131"/>
      <c r="CJA638" s="131"/>
      <c r="CJB638" s="131"/>
      <c r="CJC638" s="131"/>
      <c r="CJD638" s="131"/>
      <c r="CJE638" s="131"/>
      <c r="CJF638" s="131"/>
      <c r="CJG638" s="131"/>
      <c r="CJH638" s="131"/>
      <c r="CJI638" s="131"/>
      <c r="CJJ638" s="131"/>
      <c r="CJK638" s="131"/>
      <c r="CJL638" s="131"/>
      <c r="CJM638" s="131"/>
      <c r="CJN638" s="131"/>
      <c r="CJO638" s="131"/>
      <c r="CJP638" s="131"/>
      <c r="CJQ638" s="131"/>
      <c r="CJR638" s="131"/>
      <c r="CJS638" s="131"/>
      <c r="CJT638" s="131"/>
      <c r="CJU638" s="131"/>
      <c r="CJV638" s="131"/>
      <c r="CJW638" s="131"/>
      <c r="CJX638" s="131"/>
      <c r="CJY638" s="131"/>
      <c r="CJZ638" s="131"/>
      <c r="CKA638" s="131"/>
      <c r="CKB638" s="131"/>
      <c r="CKC638" s="131"/>
      <c r="CKD638" s="131"/>
      <c r="CKE638" s="131"/>
      <c r="CKF638" s="131"/>
      <c r="CKG638" s="131"/>
      <c r="CKH638" s="131"/>
      <c r="CKI638" s="131"/>
      <c r="CKJ638" s="131"/>
      <c r="CKK638" s="131"/>
      <c r="CKL638" s="131"/>
      <c r="CKM638" s="131"/>
      <c r="CKN638" s="131"/>
      <c r="CKO638" s="131"/>
      <c r="CKP638" s="131"/>
      <c r="CKQ638" s="131"/>
      <c r="CKR638" s="131"/>
      <c r="CKS638" s="131"/>
      <c r="CKT638" s="131"/>
      <c r="CKU638" s="131"/>
      <c r="CKV638" s="131"/>
      <c r="CKW638" s="131"/>
      <c r="CKX638" s="131"/>
      <c r="CKY638" s="131"/>
      <c r="CKZ638" s="131"/>
      <c r="CLA638" s="131"/>
      <c r="CLB638" s="131"/>
      <c r="CLC638" s="131"/>
      <c r="CLD638" s="131"/>
      <c r="CLE638" s="131"/>
      <c r="CLF638" s="131"/>
      <c r="CLG638" s="131"/>
      <c r="CLH638" s="131"/>
      <c r="CLI638" s="131"/>
      <c r="CLJ638" s="131"/>
      <c r="CLK638" s="131"/>
      <c r="CLL638" s="131"/>
      <c r="CLM638" s="131"/>
      <c r="CLN638" s="131"/>
      <c r="CLO638" s="131"/>
      <c r="CLP638" s="131"/>
      <c r="CLQ638" s="131"/>
      <c r="CLR638" s="131"/>
      <c r="CLS638" s="131"/>
      <c r="CLT638" s="131"/>
      <c r="CLU638" s="131"/>
      <c r="CLV638" s="131"/>
      <c r="CLW638" s="131"/>
      <c r="CLX638" s="131"/>
      <c r="CLY638" s="131"/>
      <c r="CLZ638" s="131"/>
      <c r="CMA638" s="131"/>
      <c r="CMB638" s="131"/>
      <c r="CMC638" s="131"/>
      <c r="CMD638" s="131"/>
      <c r="CME638" s="131"/>
      <c r="CMF638" s="131"/>
      <c r="CMG638" s="131"/>
      <c r="CMH638" s="131"/>
      <c r="CMI638" s="131"/>
      <c r="CMJ638" s="131"/>
      <c r="CMK638" s="131"/>
      <c r="CML638" s="131"/>
      <c r="CMM638" s="131"/>
      <c r="CMN638" s="131"/>
      <c r="CMO638" s="131"/>
      <c r="CMP638" s="131"/>
      <c r="CMQ638" s="131"/>
      <c r="CMR638" s="131"/>
      <c r="CMS638" s="131"/>
      <c r="CMT638" s="131"/>
      <c r="CMU638" s="131"/>
      <c r="CMV638" s="131"/>
      <c r="CMW638" s="131"/>
      <c r="CMX638" s="131"/>
      <c r="CMY638" s="131"/>
      <c r="CMZ638" s="131"/>
      <c r="CNA638" s="131"/>
      <c r="CNB638" s="131"/>
      <c r="CNC638" s="131"/>
      <c r="CND638" s="131"/>
      <c r="CNE638" s="131"/>
      <c r="CNF638" s="131"/>
      <c r="CNG638" s="131"/>
      <c r="CNH638" s="131"/>
      <c r="CNI638" s="131"/>
      <c r="CNJ638" s="131"/>
      <c r="CNK638" s="131"/>
      <c r="CNL638" s="131"/>
      <c r="CNM638" s="131"/>
      <c r="CNN638" s="131"/>
      <c r="CNO638" s="131"/>
      <c r="CNP638" s="131"/>
      <c r="CNQ638" s="131"/>
      <c r="CNR638" s="131"/>
      <c r="CNS638" s="131"/>
      <c r="CNT638" s="131"/>
      <c r="CNU638" s="131"/>
      <c r="CNV638" s="131"/>
      <c r="CNW638" s="131"/>
      <c r="CNX638" s="131"/>
      <c r="CNY638" s="131"/>
      <c r="CNZ638" s="131"/>
      <c r="COA638" s="131"/>
      <c r="COB638" s="131"/>
      <c r="COC638" s="131"/>
      <c r="COD638" s="131"/>
      <c r="COE638" s="131"/>
      <c r="COF638" s="131"/>
      <c r="COG638" s="131"/>
      <c r="COH638" s="131"/>
      <c r="COI638" s="131"/>
      <c r="COJ638" s="131"/>
      <c r="COK638" s="131"/>
      <c r="COL638" s="131"/>
      <c r="COM638" s="131"/>
      <c r="CON638" s="131"/>
      <c r="COO638" s="131"/>
      <c r="COP638" s="131"/>
      <c r="COQ638" s="131"/>
      <c r="COR638" s="131"/>
      <c r="COS638" s="131"/>
      <c r="COT638" s="131"/>
      <c r="COU638" s="131"/>
      <c r="COV638" s="131"/>
      <c r="COW638" s="131"/>
      <c r="COX638" s="131"/>
      <c r="COY638" s="131"/>
      <c r="COZ638" s="131"/>
      <c r="CPA638" s="131"/>
      <c r="CPB638" s="131"/>
      <c r="CPC638" s="131"/>
      <c r="CPD638" s="131"/>
      <c r="CPE638" s="131"/>
      <c r="CPF638" s="131"/>
      <c r="CPG638" s="131"/>
      <c r="CPH638" s="131"/>
      <c r="CPI638" s="131"/>
      <c r="CPJ638" s="131"/>
      <c r="CPK638" s="131"/>
      <c r="CPL638" s="131"/>
      <c r="CPM638" s="131"/>
      <c r="CPN638" s="131"/>
      <c r="CPO638" s="131"/>
      <c r="CPP638" s="131"/>
      <c r="CPQ638" s="131"/>
      <c r="CPR638" s="131"/>
      <c r="CPS638" s="131"/>
      <c r="CPT638" s="131"/>
      <c r="CPU638" s="131"/>
      <c r="CPV638" s="131"/>
      <c r="CPW638" s="131"/>
      <c r="CPX638" s="131"/>
      <c r="CPY638" s="131"/>
      <c r="CPZ638" s="131"/>
      <c r="CQA638" s="131"/>
      <c r="CQB638" s="131"/>
      <c r="CQC638" s="131"/>
      <c r="CQD638" s="131"/>
      <c r="CQE638" s="131"/>
      <c r="CQF638" s="131"/>
      <c r="CQG638" s="131"/>
      <c r="CQH638" s="131"/>
      <c r="CQI638" s="131"/>
      <c r="CQJ638" s="131"/>
      <c r="CQK638" s="131"/>
      <c r="CQL638" s="131"/>
      <c r="CQM638" s="131"/>
      <c r="CQN638" s="131"/>
      <c r="CQO638" s="131"/>
      <c r="CQP638" s="131"/>
      <c r="CQQ638" s="131"/>
      <c r="CQR638" s="131"/>
      <c r="CQS638" s="131"/>
      <c r="CQT638" s="131"/>
      <c r="CQU638" s="131"/>
      <c r="CQV638" s="131"/>
      <c r="CQW638" s="131"/>
      <c r="CQX638" s="131"/>
      <c r="CQY638" s="131"/>
      <c r="CQZ638" s="131"/>
      <c r="CRA638" s="131"/>
      <c r="CRB638" s="131"/>
      <c r="CRC638" s="131"/>
      <c r="CRD638" s="131"/>
      <c r="CRE638" s="131"/>
      <c r="CRF638" s="131"/>
      <c r="CRG638" s="131"/>
      <c r="CRH638" s="131"/>
      <c r="CRI638" s="131"/>
      <c r="CRJ638" s="131"/>
      <c r="CRK638" s="131"/>
      <c r="CRL638" s="131"/>
      <c r="CRM638" s="131"/>
      <c r="CRN638" s="131"/>
      <c r="CRO638" s="131"/>
      <c r="CRP638" s="131"/>
      <c r="CRQ638" s="131"/>
      <c r="CRR638" s="131"/>
      <c r="CRS638" s="131"/>
      <c r="CRT638" s="131"/>
      <c r="CRU638" s="131"/>
      <c r="CRV638" s="131"/>
      <c r="CRW638" s="131"/>
      <c r="CRX638" s="131"/>
      <c r="CRY638" s="131"/>
      <c r="CRZ638" s="131"/>
      <c r="CSA638" s="131"/>
      <c r="CSB638" s="131"/>
      <c r="CSC638" s="131"/>
      <c r="CSD638" s="131"/>
      <c r="CSE638" s="131"/>
      <c r="CSF638" s="131"/>
      <c r="CSG638" s="131"/>
      <c r="CSH638" s="131"/>
      <c r="CSI638" s="131"/>
      <c r="CSJ638" s="131"/>
      <c r="CSK638" s="131"/>
      <c r="CSL638" s="131"/>
      <c r="CSM638" s="131"/>
      <c r="CSN638" s="131"/>
      <c r="CSO638" s="131"/>
      <c r="CSP638" s="131"/>
      <c r="CSQ638" s="131"/>
      <c r="CSR638" s="131"/>
      <c r="CSS638" s="131"/>
      <c r="CST638" s="131"/>
      <c r="CSU638" s="131"/>
      <c r="CSV638" s="131"/>
      <c r="CSW638" s="131"/>
      <c r="CSX638" s="131"/>
      <c r="CSY638" s="131"/>
      <c r="CSZ638" s="131"/>
      <c r="CTA638" s="131"/>
      <c r="CTB638" s="131"/>
      <c r="CTC638" s="131"/>
      <c r="CTD638" s="131"/>
      <c r="CTE638" s="131"/>
      <c r="CTF638" s="131"/>
      <c r="CTG638" s="131"/>
      <c r="CTH638" s="131"/>
      <c r="CTI638" s="131"/>
      <c r="CTJ638" s="131"/>
      <c r="CTK638" s="131"/>
      <c r="CTL638" s="131"/>
      <c r="CTM638" s="131"/>
      <c r="CTN638" s="131"/>
      <c r="CTO638" s="131"/>
      <c r="CTP638" s="131"/>
      <c r="CTQ638" s="131"/>
      <c r="CTR638" s="131"/>
      <c r="CTS638" s="131"/>
      <c r="CTT638" s="131"/>
      <c r="CTU638" s="131"/>
      <c r="CTV638" s="131"/>
      <c r="CTW638" s="131"/>
      <c r="CTX638" s="131"/>
      <c r="CTY638" s="131"/>
      <c r="CTZ638" s="131"/>
      <c r="CUA638" s="131"/>
      <c r="CUB638" s="131"/>
      <c r="CUC638" s="131"/>
      <c r="CUD638" s="131"/>
      <c r="CUE638" s="131"/>
      <c r="CUF638" s="131"/>
      <c r="CUG638" s="131"/>
      <c r="CUH638" s="131"/>
      <c r="CUI638" s="131"/>
      <c r="CUJ638" s="131"/>
      <c r="CUK638" s="131"/>
      <c r="CUL638" s="131"/>
      <c r="CUM638" s="131"/>
      <c r="CUN638" s="131"/>
      <c r="CUO638" s="131"/>
      <c r="CUP638" s="131"/>
      <c r="CUQ638" s="131"/>
      <c r="CUR638" s="131"/>
      <c r="CUS638" s="131"/>
      <c r="CUT638" s="131"/>
      <c r="CUU638" s="131"/>
      <c r="CUV638" s="131"/>
      <c r="CUW638" s="131"/>
      <c r="CUX638" s="131"/>
      <c r="CUY638" s="131"/>
      <c r="CUZ638" s="131"/>
      <c r="CVA638" s="131"/>
      <c r="CVB638" s="131"/>
      <c r="CVC638" s="131"/>
      <c r="CVD638" s="131"/>
      <c r="CVE638" s="131"/>
      <c r="CVF638" s="131"/>
      <c r="CVG638" s="131"/>
      <c r="CVH638" s="131"/>
      <c r="CVI638" s="131"/>
      <c r="CVJ638" s="131"/>
      <c r="CVK638" s="131"/>
      <c r="CVL638" s="131"/>
      <c r="CVM638" s="131"/>
      <c r="CVN638" s="131"/>
      <c r="CVO638" s="131"/>
      <c r="CVP638" s="131"/>
      <c r="CVQ638" s="131"/>
      <c r="CVR638" s="131"/>
      <c r="CVS638" s="131"/>
      <c r="CVT638" s="131"/>
      <c r="CVU638" s="131"/>
      <c r="CVV638" s="131"/>
      <c r="CVW638" s="131"/>
      <c r="CVX638" s="131"/>
      <c r="CVY638" s="131"/>
      <c r="CVZ638" s="131"/>
      <c r="CWA638" s="131"/>
      <c r="CWB638" s="131"/>
      <c r="CWC638" s="131"/>
      <c r="CWD638" s="131"/>
      <c r="CWE638" s="131"/>
      <c r="CWF638" s="131"/>
      <c r="CWG638" s="131"/>
      <c r="CWH638" s="131"/>
      <c r="CWI638" s="131"/>
      <c r="CWJ638" s="131"/>
      <c r="CWK638" s="131"/>
      <c r="CWL638" s="131"/>
      <c r="CWM638" s="131"/>
      <c r="CWN638" s="131"/>
      <c r="CWO638" s="131"/>
      <c r="CWP638" s="131"/>
      <c r="CWQ638" s="131"/>
      <c r="CWR638" s="131"/>
      <c r="CWS638" s="131"/>
      <c r="CWT638" s="131"/>
      <c r="CWU638" s="131"/>
      <c r="CWV638" s="131"/>
      <c r="CWW638" s="131"/>
      <c r="CWX638" s="131"/>
      <c r="CWY638" s="131"/>
      <c r="CWZ638" s="131"/>
      <c r="CXA638" s="131"/>
      <c r="CXB638" s="131"/>
      <c r="CXC638" s="131"/>
      <c r="CXD638" s="131"/>
      <c r="CXE638" s="131"/>
      <c r="CXF638" s="131"/>
      <c r="CXG638" s="131"/>
      <c r="CXH638" s="131"/>
      <c r="CXI638" s="131"/>
      <c r="CXJ638" s="131"/>
      <c r="CXK638" s="131"/>
      <c r="CXL638" s="131"/>
      <c r="CXM638" s="131"/>
      <c r="CXN638" s="131"/>
      <c r="CXO638" s="131"/>
      <c r="CXP638" s="131"/>
      <c r="CXQ638" s="131"/>
      <c r="CXR638" s="131"/>
      <c r="CXS638" s="131"/>
      <c r="CXT638" s="131"/>
      <c r="CXU638" s="131"/>
      <c r="CXV638" s="131"/>
      <c r="CXW638" s="131"/>
      <c r="CXX638" s="131"/>
      <c r="CXY638" s="131"/>
      <c r="CXZ638" s="131"/>
      <c r="CYA638" s="131"/>
      <c r="CYB638" s="131"/>
      <c r="CYC638" s="131"/>
      <c r="CYD638" s="131"/>
      <c r="CYE638" s="131"/>
      <c r="CYF638" s="131"/>
      <c r="CYG638" s="131"/>
      <c r="CYH638" s="131"/>
      <c r="CYI638" s="131"/>
      <c r="CYJ638" s="131"/>
      <c r="CYK638" s="131"/>
      <c r="CYL638" s="131"/>
      <c r="CYM638" s="131"/>
      <c r="CYN638" s="131"/>
      <c r="CYO638" s="131"/>
      <c r="CYP638" s="131"/>
      <c r="CYQ638" s="131"/>
      <c r="CYR638" s="131"/>
      <c r="CYS638" s="131"/>
      <c r="CYT638" s="131"/>
      <c r="CYU638" s="131"/>
      <c r="CYV638" s="131"/>
      <c r="CYW638" s="131"/>
      <c r="CYX638" s="131"/>
      <c r="CYY638" s="131"/>
      <c r="CYZ638" s="131"/>
      <c r="CZA638" s="131"/>
      <c r="CZB638" s="131"/>
      <c r="CZC638" s="131"/>
      <c r="CZD638" s="131"/>
      <c r="CZE638" s="131"/>
      <c r="CZF638" s="131"/>
      <c r="CZG638" s="131"/>
      <c r="CZH638" s="131"/>
      <c r="CZI638" s="131"/>
      <c r="CZJ638" s="131"/>
      <c r="CZK638" s="131"/>
      <c r="CZL638" s="131"/>
      <c r="CZM638" s="131"/>
      <c r="CZN638" s="131"/>
      <c r="CZO638" s="131"/>
      <c r="CZP638" s="131"/>
      <c r="CZQ638" s="131"/>
      <c r="CZR638" s="131"/>
      <c r="CZS638" s="131"/>
      <c r="CZT638" s="131"/>
      <c r="CZU638" s="131"/>
      <c r="CZV638" s="131"/>
      <c r="CZW638" s="131"/>
      <c r="CZX638" s="131"/>
      <c r="CZY638" s="131"/>
      <c r="CZZ638" s="131"/>
      <c r="DAA638" s="131"/>
      <c r="DAB638" s="131"/>
      <c r="DAC638" s="131"/>
      <c r="DAD638" s="131"/>
      <c r="DAE638" s="131"/>
      <c r="DAF638" s="131"/>
      <c r="DAG638" s="131"/>
      <c r="DAH638" s="131"/>
      <c r="DAI638" s="131"/>
      <c r="DAJ638" s="131"/>
      <c r="DAK638" s="131"/>
      <c r="DAL638" s="131"/>
      <c r="DAM638" s="131"/>
      <c r="DAN638" s="131"/>
      <c r="DAO638" s="131"/>
      <c r="DAP638" s="131"/>
      <c r="DAQ638" s="131"/>
      <c r="DAR638" s="131"/>
      <c r="DAS638" s="131"/>
      <c r="DAT638" s="131"/>
      <c r="DAU638" s="131"/>
      <c r="DAV638" s="131"/>
      <c r="DAW638" s="131"/>
      <c r="DAX638" s="131"/>
      <c r="DAY638" s="131"/>
      <c r="DAZ638" s="131"/>
      <c r="DBA638" s="131"/>
      <c r="DBB638" s="131"/>
      <c r="DBC638" s="131"/>
      <c r="DBD638" s="131"/>
      <c r="DBE638" s="131"/>
      <c r="DBF638" s="131"/>
      <c r="DBG638" s="131"/>
      <c r="DBH638" s="131"/>
      <c r="DBI638" s="131"/>
      <c r="DBJ638" s="131"/>
      <c r="DBK638" s="131"/>
      <c r="DBL638" s="131"/>
      <c r="DBM638" s="131"/>
      <c r="DBN638" s="131"/>
      <c r="DBO638" s="131"/>
      <c r="DBP638" s="131"/>
      <c r="DBQ638" s="131"/>
      <c r="DBR638" s="131"/>
      <c r="DBS638" s="131"/>
      <c r="DBT638" s="131"/>
      <c r="DBU638" s="131"/>
      <c r="DBV638" s="131"/>
      <c r="DBW638" s="131"/>
      <c r="DBX638" s="131"/>
      <c r="DBY638" s="131"/>
      <c r="DBZ638" s="131"/>
      <c r="DCA638" s="131"/>
      <c r="DCB638" s="131"/>
      <c r="DCC638" s="131"/>
      <c r="DCD638" s="131"/>
      <c r="DCE638" s="131"/>
      <c r="DCF638" s="131"/>
      <c r="DCG638" s="131"/>
      <c r="DCH638" s="131"/>
      <c r="DCI638" s="131"/>
      <c r="DCJ638" s="131"/>
      <c r="DCK638" s="131"/>
      <c r="DCL638" s="131"/>
      <c r="DCM638" s="131"/>
      <c r="DCN638" s="131"/>
      <c r="DCO638" s="131"/>
      <c r="DCP638" s="131"/>
      <c r="DCQ638" s="131"/>
      <c r="DCR638" s="131"/>
      <c r="DCS638" s="131"/>
      <c r="DCT638" s="131"/>
      <c r="DCU638" s="131"/>
      <c r="DCV638" s="131"/>
      <c r="DCW638" s="131"/>
      <c r="DCX638" s="131"/>
      <c r="DCY638" s="131"/>
      <c r="DCZ638" s="131"/>
      <c r="DDA638" s="131"/>
      <c r="DDB638" s="131"/>
      <c r="DDC638" s="131"/>
      <c r="DDD638" s="131"/>
      <c r="DDE638" s="131"/>
      <c r="DDF638" s="131"/>
      <c r="DDG638" s="131"/>
      <c r="DDH638" s="131"/>
      <c r="DDI638" s="131"/>
      <c r="DDJ638" s="131"/>
      <c r="DDK638" s="131"/>
      <c r="DDL638" s="131"/>
      <c r="DDM638" s="131"/>
      <c r="DDN638" s="131"/>
      <c r="DDO638" s="131"/>
      <c r="DDP638" s="131"/>
      <c r="DDQ638" s="131"/>
      <c r="DDR638" s="131"/>
      <c r="DDS638" s="131"/>
      <c r="DDT638" s="131"/>
      <c r="DDU638" s="131"/>
      <c r="DDV638" s="131"/>
      <c r="DDW638" s="131"/>
      <c r="DDX638" s="131"/>
      <c r="DDY638" s="131"/>
      <c r="DDZ638" s="131"/>
      <c r="DEA638" s="131"/>
      <c r="DEB638" s="131"/>
      <c r="DEC638" s="131"/>
      <c r="DED638" s="131"/>
      <c r="DEE638" s="131"/>
      <c r="DEF638" s="131"/>
      <c r="DEG638" s="131"/>
      <c r="DEH638" s="131"/>
      <c r="DEI638" s="131"/>
      <c r="DEJ638" s="131"/>
      <c r="DEK638" s="131"/>
      <c r="DEL638" s="131"/>
      <c r="DEM638" s="131"/>
      <c r="DEN638" s="131"/>
      <c r="DEO638" s="131"/>
      <c r="DEP638" s="131"/>
      <c r="DEQ638" s="131"/>
      <c r="DER638" s="131"/>
      <c r="DES638" s="131"/>
      <c r="DET638" s="131"/>
      <c r="DEU638" s="131"/>
      <c r="DEV638" s="131"/>
      <c r="DEW638" s="131"/>
      <c r="DEX638" s="131"/>
      <c r="DEY638" s="131"/>
      <c r="DEZ638" s="131"/>
      <c r="DFA638" s="131"/>
      <c r="DFB638" s="131"/>
      <c r="DFC638" s="131"/>
      <c r="DFD638" s="131"/>
      <c r="DFE638" s="131"/>
      <c r="DFF638" s="131"/>
      <c r="DFG638" s="131"/>
      <c r="DFH638" s="131"/>
      <c r="DFI638" s="131"/>
      <c r="DFJ638" s="131"/>
      <c r="DFK638" s="131"/>
      <c r="DFL638" s="131"/>
      <c r="DFM638" s="131"/>
      <c r="DFN638" s="131"/>
      <c r="DFO638" s="131"/>
      <c r="DFP638" s="131"/>
      <c r="DFQ638" s="131"/>
      <c r="DFR638" s="131"/>
      <c r="DFS638" s="131"/>
      <c r="DFT638" s="131"/>
      <c r="DFU638" s="131"/>
      <c r="DFV638" s="131"/>
      <c r="DFW638" s="131"/>
      <c r="DFX638" s="131"/>
      <c r="DFY638" s="131"/>
      <c r="DFZ638" s="131"/>
      <c r="DGA638" s="131"/>
      <c r="DGB638" s="131"/>
      <c r="DGC638" s="131"/>
      <c r="DGD638" s="131"/>
      <c r="DGE638" s="131"/>
      <c r="DGF638" s="131"/>
      <c r="DGG638" s="131"/>
      <c r="DGH638" s="131"/>
      <c r="DGI638" s="131"/>
      <c r="DGJ638" s="131"/>
      <c r="DGK638" s="131"/>
      <c r="DGL638" s="131"/>
      <c r="DGM638" s="131"/>
      <c r="DGN638" s="131"/>
      <c r="DGO638" s="131"/>
      <c r="DGP638" s="131"/>
      <c r="DGQ638" s="131"/>
      <c r="DGR638" s="131"/>
      <c r="DGS638" s="131"/>
      <c r="DGT638" s="131"/>
      <c r="DGU638" s="131"/>
      <c r="DGV638" s="131"/>
      <c r="DGW638" s="131"/>
      <c r="DGX638" s="131"/>
      <c r="DGY638" s="131"/>
      <c r="DGZ638" s="131"/>
      <c r="DHA638" s="131"/>
      <c r="DHB638" s="131"/>
      <c r="DHC638" s="131"/>
      <c r="DHD638" s="131"/>
      <c r="DHE638" s="131"/>
      <c r="DHF638" s="131"/>
      <c r="DHG638" s="131"/>
      <c r="DHH638" s="131"/>
      <c r="DHI638" s="131"/>
      <c r="DHJ638" s="131"/>
      <c r="DHK638" s="131"/>
      <c r="DHL638" s="131"/>
      <c r="DHM638" s="131"/>
      <c r="DHN638" s="131"/>
      <c r="DHO638" s="131"/>
      <c r="DHP638" s="131"/>
      <c r="DHQ638" s="131"/>
      <c r="DHR638" s="131"/>
      <c r="DHS638" s="131"/>
      <c r="DHT638" s="131"/>
      <c r="DHU638" s="131"/>
      <c r="DHV638" s="131"/>
      <c r="DHW638" s="131"/>
      <c r="DHX638" s="131"/>
      <c r="DHY638" s="131"/>
      <c r="DHZ638" s="131"/>
      <c r="DIA638" s="131"/>
      <c r="DIB638" s="131"/>
      <c r="DIC638" s="131"/>
      <c r="DID638" s="131"/>
      <c r="DIE638" s="131"/>
      <c r="DIF638" s="131"/>
      <c r="DIG638" s="131"/>
      <c r="DIH638" s="131"/>
      <c r="DII638" s="131"/>
      <c r="DIJ638" s="131"/>
      <c r="DIK638" s="131"/>
      <c r="DIL638" s="131"/>
      <c r="DIM638" s="131"/>
      <c r="DIN638" s="131"/>
      <c r="DIO638" s="131"/>
      <c r="DIP638" s="131"/>
      <c r="DIQ638" s="131"/>
      <c r="DIR638" s="131"/>
      <c r="DIS638" s="131"/>
      <c r="DIT638" s="131"/>
      <c r="DIU638" s="131"/>
      <c r="DIV638" s="131"/>
      <c r="DIW638" s="131"/>
      <c r="DIX638" s="131"/>
      <c r="DIY638" s="131"/>
      <c r="DIZ638" s="131"/>
      <c r="DJA638" s="131"/>
      <c r="DJB638" s="131"/>
      <c r="DJC638" s="131"/>
      <c r="DJD638" s="131"/>
      <c r="DJE638" s="131"/>
      <c r="DJF638" s="131"/>
      <c r="DJG638" s="131"/>
      <c r="DJH638" s="131"/>
      <c r="DJI638" s="131"/>
      <c r="DJJ638" s="131"/>
      <c r="DJK638" s="131"/>
      <c r="DJL638" s="131"/>
      <c r="DJM638" s="131"/>
      <c r="DJN638" s="131"/>
      <c r="DJO638" s="131"/>
      <c r="DJP638" s="131"/>
      <c r="DJQ638" s="131"/>
      <c r="DJR638" s="131"/>
      <c r="DJS638" s="131"/>
      <c r="DJT638" s="131"/>
      <c r="DJU638" s="131"/>
      <c r="DJV638" s="131"/>
      <c r="DJW638" s="131"/>
      <c r="DJX638" s="131"/>
      <c r="DJY638" s="131"/>
      <c r="DJZ638" s="131"/>
      <c r="DKA638" s="131"/>
      <c r="DKB638" s="131"/>
      <c r="DKC638" s="131"/>
      <c r="DKD638" s="131"/>
      <c r="DKE638" s="131"/>
      <c r="DKF638" s="131"/>
      <c r="DKG638" s="131"/>
      <c r="DKH638" s="131"/>
      <c r="DKI638" s="131"/>
      <c r="DKJ638" s="131"/>
      <c r="DKK638" s="131"/>
      <c r="DKL638" s="131"/>
      <c r="DKM638" s="131"/>
      <c r="DKN638" s="131"/>
      <c r="DKO638" s="131"/>
      <c r="DKP638" s="131"/>
      <c r="DKQ638" s="131"/>
      <c r="DKR638" s="131"/>
      <c r="DKS638" s="131"/>
      <c r="DKT638" s="131"/>
      <c r="DKU638" s="131"/>
      <c r="DKV638" s="131"/>
      <c r="DKW638" s="131"/>
      <c r="DKX638" s="131"/>
      <c r="DKY638" s="131"/>
      <c r="DKZ638" s="131"/>
      <c r="DLA638" s="131"/>
      <c r="DLB638" s="131"/>
      <c r="DLC638" s="131"/>
      <c r="DLD638" s="131"/>
      <c r="DLE638" s="131"/>
      <c r="DLF638" s="131"/>
      <c r="DLG638" s="131"/>
      <c r="DLH638" s="131"/>
      <c r="DLI638" s="131"/>
      <c r="DLJ638" s="131"/>
      <c r="DLK638" s="131"/>
      <c r="DLL638" s="131"/>
      <c r="DLM638" s="131"/>
      <c r="DLN638" s="131"/>
      <c r="DLO638" s="131"/>
      <c r="DLP638" s="131"/>
      <c r="DLQ638" s="131"/>
      <c r="DLR638" s="131"/>
      <c r="DLS638" s="131"/>
      <c r="DLT638" s="131"/>
      <c r="DLU638" s="131"/>
      <c r="DLV638" s="131"/>
      <c r="DLW638" s="131"/>
      <c r="DLX638" s="131"/>
      <c r="DLY638" s="131"/>
      <c r="DLZ638" s="131"/>
      <c r="DMA638" s="131"/>
      <c r="DMB638" s="131"/>
      <c r="DMC638" s="131"/>
      <c r="DMD638" s="131"/>
      <c r="DME638" s="131"/>
      <c r="DMF638" s="131"/>
      <c r="DMG638" s="131"/>
      <c r="DMH638" s="131"/>
      <c r="DMI638" s="131"/>
      <c r="DMJ638" s="131"/>
      <c r="DMK638" s="131"/>
      <c r="DML638" s="131"/>
      <c r="DMM638" s="131"/>
      <c r="DMN638" s="131"/>
      <c r="DMO638" s="131"/>
      <c r="DMP638" s="131"/>
      <c r="DMQ638" s="131"/>
      <c r="DMR638" s="131"/>
      <c r="DMS638" s="131"/>
      <c r="DMT638" s="131"/>
      <c r="DMU638" s="131"/>
      <c r="DMV638" s="131"/>
      <c r="DMW638" s="131"/>
      <c r="DMX638" s="131"/>
      <c r="DMY638" s="131"/>
      <c r="DMZ638" s="131"/>
      <c r="DNA638" s="131"/>
      <c r="DNB638" s="131"/>
      <c r="DNC638" s="131"/>
      <c r="DND638" s="131"/>
      <c r="DNE638" s="131"/>
      <c r="DNF638" s="131"/>
      <c r="DNG638" s="131"/>
      <c r="DNH638" s="131"/>
      <c r="DNI638" s="131"/>
      <c r="DNJ638" s="131"/>
      <c r="DNK638" s="131"/>
      <c r="DNL638" s="131"/>
      <c r="DNM638" s="131"/>
      <c r="DNN638" s="131"/>
      <c r="DNO638" s="131"/>
      <c r="DNP638" s="131"/>
      <c r="DNQ638" s="131"/>
      <c r="DNR638" s="131"/>
      <c r="DNS638" s="131"/>
      <c r="DNT638" s="131"/>
      <c r="DNU638" s="131"/>
      <c r="DNV638" s="131"/>
      <c r="DNW638" s="131"/>
      <c r="DNX638" s="131"/>
      <c r="DNY638" s="131"/>
      <c r="DNZ638" s="131"/>
      <c r="DOA638" s="131"/>
      <c r="DOB638" s="131"/>
      <c r="DOC638" s="131"/>
      <c r="DOD638" s="131"/>
      <c r="DOE638" s="131"/>
      <c r="DOF638" s="131"/>
      <c r="DOG638" s="131"/>
      <c r="DOH638" s="131"/>
      <c r="DOI638" s="131"/>
      <c r="DOJ638" s="131"/>
      <c r="DOK638" s="131"/>
      <c r="DOL638" s="131"/>
      <c r="DOM638" s="131"/>
      <c r="DON638" s="131"/>
      <c r="DOO638" s="131"/>
      <c r="DOP638" s="131"/>
      <c r="DOQ638" s="131"/>
      <c r="DOR638" s="131"/>
      <c r="DOS638" s="131"/>
      <c r="DOT638" s="131"/>
      <c r="DOU638" s="131"/>
      <c r="DOV638" s="131"/>
      <c r="DOW638" s="131"/>
      <c r="DOX638" s="131"/>
      <c r="DOY638" s="131"/>
      <c r="DOZ638" s="131"/>
      <c r="DPA638" s="131"/>
      <c r="DPB638" s="131"/>
      <c r="DPC638" s="131"/>
      <c r="DPD638" s="131"/>
      <c r="DPE638" s="131"/>
      <c r="DPF638" s="131"/>
      <c r="DPG638" s="131"/>
      <c r="DPH638" s="131"/>
      <c r="DPI638" s="131"/>
      <c r="DPJ638" s="131"/>
      <c r="DPK638" s="131"/>
      <c r="DPL638" s="131"/>
      <c r="DPM638" s="131"/>
      <c r="DPN638" s="131"/>
      <c r="DPO638" s="131"/>
      <c r="DPP638" s="131"/>
      <c r="DPQ638" s="131"/>
      <c r="DPR638" s="131"/>
      <c r="DPS638" s="131"/>
      <c r="DPT638" s="131"/>
      <c r="DPU638" s="131"/>
      <c r="DPV638" s="131"/>
      <c r="DPW638" s="131"/>
      <c r="DPX638" s="131"/>
      <c r="DPY638" s="131"/>
      <c r="DPZ638" s="131"/>
      <c r="DQA638" s="131"/>
      <c r="DQB638" s="131"/>
      <c r="DQC638" s="131"/>
      <c r="DQD638" s="131"/>
      <c r="DQE638" s="131"/>
      <c r="DQF638" s="131"/>
      <c r="DQG638" s="131"/>
      <c r="DQH638" s="131"/>
      <c r="DQI638" s="131"/>
      <c r="DQJ638" s="131"/>
      <c r="DQK638" s="131"/>
      <c r="DQL638" s="131"/>
      <c r="DQM638" s="131"/>
      <c r="DQN638" s="131"/>
      <c r="DQO638" s="131"/>
      <c r="DQP638" s="131"/>
      <c r="DQQ638" s="131"/>
      <c r="DQR638" s="131"/>
      <c r="DQS638" s="131"/>
      <c r="DQT638" s="131"/>
      <c r="DQU638" s="131"/>
      <c r="DQV638" s="131"/>
      <c r="DQW638" s="131"/>
      <c r="DQX638" s="131"/>
      <c r="DQY638" s="131"/>
      <c r="DQZ638" s="131"/>
      <c r="DRA638" s="131"/>
      <c r="DRB638" s="131"/>
      <c r="DRC638" s="131"/>
      <c r="DRD638" s="131"/>
      <c r="DRE638" s="131"/>
      <c r="DRF638" s="131"/>
      <c r="DRG638" s="131"/>
      <c r="DRH638" s="131"/>
      <c r="DRI638" s="131"/>
      <c r="DRJ638" s="131"/>
      <c r="DRK638" s="131"/>
      <c r="DRL638" s="131"/>
      <c r="DRM638" s="131"/>
      <c r="DRN638" s="131"/>
      <c r="DRO638" s="131"/>
      <c r="DRP638" s="131"/>
      <c r="DRQ638" s="131"/>
      <c r="DRR638" s="131"/>
      <c r="DRS638" s="131"/>
      <c r="DRT638" s="131"/>
      <c r="DRU638" s="131"/>
      <c r="DRV638" s="131"/>
      <c r="DRW638" s="131"/>
      <c r="DRX638" s="131"/>
      <c r="DRY638" s="131"/>
      <c r="DRZ638" s="131"/>
      <c r="DSA638" s="131"/>
      <c r="DSB638" s="131"/>
      <c r="DSC638" s="131"/>
      <c r="DSD638" s="131"/>
      <c r="DSE638" s="131"/>
      <c r="DSF638" s="131"/>
      <c r="DSG638" s="131"/>
      <c r="DSH638" s="131"/>
      <c r="DSI638" s="131"/>
      <c r="DSJ638" s="131"/>
      <c r="DSK638" s="131"/>
      <c r="DSL638" s="131"/>
      <c r="DSM638" s="131"/>
      <c r="DSN638" s="131"/>
      <c r="DSO638" s="131"/>
      <c r="DSP638" s="131"/>
      <c r="DSQ638" s="131"/>
      <c r="DSR638" s="131"/>
      <c r="DSS638" s="131"/>
      <c r="DST638" s="131"/>
      <c r="DSU638" s="131"/>
      <c r="DSV638" s="131"/>
      <c r="DSW638" s="131"/>
      <c r="DSX638" s="131"/>
      <c r="DSY638" s="131"/>
      <c r="DSZ638" s="131"/>
      <c r="DTA638" s="131"/>
      <c r="DTB638" s="131"/>
      <c r="DTC638" s="131"/>
      <c r="DTD638" s="131"/>
      <c r="DTE638" s="131"/>
      <c r="DTF638" s="131"/>
      <c r="DTG638" s="131"/>
      <c r="DTH638" s="131"/>
      <c r="DTI638" s="131"/>
      <c r="DTJ638" s="131"/>
      <c r="DTK638" s="131"/>
      <c r="DTL638" s="131"/>
      <c r="DTM638" s="131"/>
      <c r="DTN638" s="131"/>
      <c r="DTO638" s="131"/>
      <c r="DTP638" s="131"/>
      <c r="DTQ638" s="131"/>
      <c r="DTR638" s="131"/>
      <c r="DTS638" s="131"/>
      <c r="DTT638" s="131"/>
      <c r="DTU638" s="131"/>
      <c r="DTV638" s="131"/>
      <c r="DTW638" s="131"/>
      <c r="DTX638" s="131"/>
      <c r="DTY638" s="131"/>
      <c r="DTZ638" s="131"/>
      <c r="DUA638" s="131"/>
      <c r="DUB638" s="131"/>
      <c r="DUC638" s="131"/>
      <c r="DUD638" s="131"/>
      <c r="DUE638" s="131"/>
      <c r="DUF638" s="131"/>
      <c r="DUG638" s="131"/>
      <c r="DUH638" s="131"/>
      <c r="DUI638" s="131"/>
      <c r="DUJ638" s="131"/>
      <c r="DUK638" s="131"/>
      <c r="DUL638" s="131"/>
      <c r="DUM638" s="131"/>
      <c r="DUN638" s="131"/>
      <c r="DUO638" s="131"/>
      <c r="DUP638" s="131"/>
      <c r="DUQ638" s="131"/>
      <c r="DUR638" s="131"/>
      <c r="DUS638" s="131"/>
      <c r="DUT638" s="131"/>
      <c r="DUU638" s="131"/>
      <c r="DUV638" s="131"/>
      <c r="DUW638" s="131"/>
      <c r="DUX638" s="131"/>
      <c r="DUY638" s="131"/>
      <c r="DUZ638" s="131"/>
      <c r="DVA638" s="131"/>
      <c r="DVB638" s="131"/>
      <c r="DVC638" s="131"/>
      <c r="DVD638" s="131"/>
      <c r="DVE638" s="131"/>
      <c r="DVF638" s="131"/>
      <c r="DVG638" s="131"/>
      <c r="DVH638" s="131"/>
      <c r="DVI638" s="131"/>
      <c r="DVJ638" s="131"/>
      <c r="DVK638" s="131"/>
      <c r="DVL638" s="131"/>
      <c r="DVM638" s="131"/>
      <c r="DVN638" s="131"/>
      <c r="DVO638" s="131"/>
      <c r="DVP638" s="131"/>
      <c r="DVQ638" s="131"/>
      <c r="DVR638" s="131"/>
      <c r="DVS638" s="131"/>
      <c r="DVT638" s="131"/>
      <c r="DVU638" s="131"/>
      <c r="DVV638" s="131"/>
      <c r="DVW638" s="131"/>
      <c r="DVX638" s="131"/>
      <c r="DVY638" s="131"/>
      <c r="DVZ638" s="131"/>
      <c r="DWA638" s="131"/>
      <c r="DWB638" s="131"/>
      <c r="DWC638" s="131"/>
      <c r="DWD638" s="131"/>
      <c r="DWE638" s="131"/>
      <c r="DWF638" s="131"/>
      <c r="DWG638" s="131"/>
      <c r="DWH638" s="131"/>
      <c r="DWI638" s="131"/>
      <c r="DWJ638" s="131"/>
      <c r="DWK638" s="131"/>
      <c r="DWL638" s="131"/>
      <c r="DWM638" s="131"/>
      <c r="DWN638" s="131"/>
      <c r="DWO638" s="131"/>
      <c r="DWP638" s="131"/>
      <c r="DWQ638" s="131"/>
      <c r="DWR638" s="131"/>
      <c r="DWS638" s="131"/>
      <c r="DWT638" s="131"/>
      <c r="DWU638" s="131"/>
      <c r="DWV638" s="131"/>
      <c r="DWW638" s="131"/>
      <c r="DWX638" s="131"/>
      <c r="DWY638" s="131"/>
      <c r="DWZ638" s="131"/>
      <c r="DXA638" s="131"/>
      <c r="DXB638" s="131"/>
      <c r="DXC638" s="131"/>
      <c r="DXD638" s="131"/>
      <c r="DXE638" s="131"/>
      <c r="DXF638" s="131"/>
      <c r="DXG638" s="131"/>
      <c r="DXH638" s="131"/>
      <c r="DXI638" s="131"/>
      <c r="DXJ638" s="131"/>
      <c r="DXK638" s="131"/>
      <c r="DXL638" s="131"/>
      <c r="DXM638" s="131"/>
      <c r="DXN638" s="131"/>
      <c r="DXO638" s="131"/>
      <c r="DXP638" s="131"/>
      <c r="DXQ638" s="131"/>
      <c r="DXR638" s="131"/>
      <c r="DXS638" s="131"/>
      <c r="DXT638" s="131"/>
      <c r="DXU638" s="131"/>
      <c r="DXV638" s="131"/>
      <c r="DXW638" s="131"/>
      <c r="DXX638" s="131"/>
      <c r="DXY638" s="131"/>
      <c r="DXZ638" s="131"/>
      <c r="DYA638" s="131"/>
      <c r="DYB638" s="131"/>
      <c r="DYC638" s="131"/>
      <c r="DYD638" s="131"/>
      <c r="DYE638" s="131"/>
      <c r="DYF638" s="131"/>
      <c r="DYG638" s="131"/>
      <c r="DYH638" s="131"/>
      <c r="DYI638" s="131"/>
      <c r="DYJ638" s="131"/>
      <c r="DYK638" s="131"/>
      <c r="DYL638" s="131"/>
      <c r="DYM638" s="131"/>
      <c r="DYN638" s="131"/>
      <c r="DYO638" s="131"/>
      <c r="DYP638" s="131"/>
      <c r="DYQ638" s="131"/>
      <c r="DYR638" s="131"/>
      <c r="DYS638" s="131"/>
      <c r="DYT638" s="131"/>
      <c r="DYU638" s="131"/>
      <c r="DYV638" s="131"/>
      <c r="DYW638" s="131"/>
      <c r="DYX638" s="131"/>
      <c r="DYY638" s="131"/>
      <c r="DYZ638" s="131"/>
      <c r="DZA638" s="131"/>
      <c r="DZB638" s="131"/>
      <c r="DZC638" s="131"/>
      <c r="DZD638" s="131"/>
      <c r="DZE638" s="131"/>
      <c r="DZF638" s="131"/>
      <c r="DZG638" s="131"/>
      <c r="DZH638" s="131"/>
      <c r="DZI638" s="131"/>
      <c r="DZJ638" s="131"/>
      <c r="DZK638" s="131"/>
      <c r="DZL638" s="131"/>
      <c r="DZM638" s="131"/>
      <c r="DZN638" s="131"/>
      <c r="DZO638" s="131"/>
      <c r="DZP638" s="131"/>
      <c r="DZQ638" s="131"/>
      <c r="DZR638" s="131"/>
      <c r="DZS638" s="131"/>
      <c r="DZT638" s="131"/>
      <c r="DZU638" s="131"/>
      <c r="DZV638" s="131"/>
      <c r="DZW638" s="131"/>
      <c r="DZX638" s="131"/>
      <c r="DZY638" s="131"/>
      <c r="DZZ638" s="131"/>
      <c r="EAA638" s="131"/>
      <c r="EAB638" s="131"/>
      <c r="EAC638" s="131"/>
      <c r="EAD638" s="131"/>
      <c r="EAE638" s="131"/>
      <c r="EAF638" s="131"/>
      <c r="EAG638" s="131"/>
      <c r="EAH638" s="131"/>
      <c r="EAI638" s="131"/>
      <c r="EAJ638" s="131"/>
      <c r="EAK638" s="131"/>
      <c r="EAL638" s="131"/>
      <c r="EAM638" s="131"/>
      <c r="EAN638" s="131"/>
      <c r="EAO638" s="131"/>
      <c r="EAP638" s="131"/>
      <c r="EAQ638" s="131"/>
      <c r="EAR638" s="131"/>
      <c r="EAS638" s="131"/>
      <c r="EAT638" s="131"/>
      <c r="EAU638" s="131"/>
      <c r="EAV638" s="131"/>
      <c r="EAW638" s="131"/>
      <c r="EAX638" s="131"/>
      <c r="EAY638" s="131"/>
      <c r="EAZ638" s="131"/>
      <c r="EBA638" s="131"/>
      <c r="EBB638" s="131"/>
      <c r="EBC638" s="131"/>
      <c r="EBD638" s="131"/>
      <c r="EBE638" s="131"/>
      <c r="EBF638" s="131"/>
      <c r="EBG638" s="131"/>
      <c r="EBH638" s="131"/>
      <c r="EBI638" s="131"/>
      <c r="EBJ638" s="131"/>
      <c r="EBK638" s="131"/>
      <c r="EBL638" s="131"/>
      <c r="EBM638" s="131"/>
      <c r="EBN638" s="131"/>
      <c r="EBO638" s="131"/>
      <c r="EBP638" s="131"/>
      <c r="EBQ638" s="131"/>
      <c r="EBR638" s="131"/>
      <c r="EBS638" s="131"/>
      <c r="EBT638" s="131"/>
      <c r="EBU638" s="131"/>
      <c r="EBV638" s="131"/>
      <c r="EBW638" s="131"/>
      <c r="EBX638" s="131"/>
      <c r="EBY638" s="131"/>
      <c r="EBZ638" s="131"/>
      <c r="ECA638" s="131"/>
      <c r="ECB638" s="131"/>
      <c r="ECC638" s="131"/>
      <c r="ECD638" s="131"/>
      <c r="ECE638" s="131"/>
      <c r="ECF638" s="131"/>
      <c r="ECG638" s="131"/>
      <c r="ECH638" s="131"/>
      <c r="ECI638" s="131"/>
      <c r="ECJ638" s="131"/>
      <c r="ECK638" s="131"/>
      <c r="ECL638" s="131"/>
      <c r="ECM638" s="131"/>
      <c r="ECN638" s="131"/>
      <c r="ECO638" s="131"/>
      <c r="ECP638" s="131"/>
      <c r="ECQ638" s="131"/>
      <c r="ECR638" s="131"/>
      <c r="ECS638" s="131"/>
      <c r="ECT638" s="131"/>
      <c r="ECU638" s="131"/>
      <c r="ECV638" s="131"/>
      <c r="ECW638" s="131"/>
      <c r="ECX638" s="131"/>
      <c r="ECY638" s="131"/>
      <c r="ECZ638" s="131"/>
      <c r="EDA638" s="131"/>
      <c r="EDB638" s="131"/>
      <c r="EDC638" s="131"/>
      <c r="EDD638" s="131"/>
      <c r="EDE638" s="131"/>
      <c r="EDF638" s="131"/>
      <c r="EDG638" s="131"/>
      <c r="EDH638" s="131"/>
      <c r="EDI638" s="131"/>
      <c r="EDJ638" s="131"/>
      <c r="EDK638" s="131"/>
      <c r="EDL638" s="131"/>
      <c r="EDM638" s="131"/>
      <c r="EDN638" s="131"/>
      <c r="EDO638" s="131"/>
      <c r="EDP638" s="131"/>
      <c r="EDQ638" s="131"/>
      <c r="EDR638" s="131"/>
      <c r="EDS638" s="131"/>
      <c r="EDT638" s="131"/>
      <c r="EDU638" s="131"/>
      <c r="EDV638" s="131"/>
      <c r="EDW638" s="131"/>
      <c r="EDX638" s="131"/>
      <c r="EDY638" s="131"/>
      <c r="EDZ638" s="131"/>
      <c r="EEA638" s="131"/>
      <c r="EEB638" s="131"/>
      <c r="EEC638" s="131"/>
      <c r="EED638" s="131"/>
      <c r="EEE638" s="131"/>
      <c r="EEF638" s="131"/>
      <c r="EEG638" s="131"/>
      <c r="EEH638" s="131"/>
      <c r="EEI638" s="131"/>
      <c r="EEJ638" s="131"/>
      <c r="EEK638" s="131"/>
      <c r="EEL638" s="131"/>
      <c r="EEM638" s="131"/>
      <c r="EEN638" s="131"/>
      <c r="EEO638" s="131"/>
      <c r="EEP638" s="131"/>
      <c r="EEQ638" s="131"/>
      <c r="EER638" s="131"/>
      <c r="EES638" s="131"/>
      <c r="EET638" s="131"/>
      <c r="EEU638" s="131"/>
      <c r="EEV638" s="131"/>
      <c r="EEW638" s="131"/>
      <c r="EEX638" s="131"/>
      <c r="EEY638" s="131"/>
      <c r="EEZ638" s="131"/>
      <c r="EFA638" s="131"/>
      <c r="EFB638" s="131"/>
      <c r="EFC638" s="131"/>
      <c r="EFD638" s="131"/>
      <c r="EFE638" s="131"/>
      <c r="EFF638" s="131"/>
      <c r="EFG638" s="131"/>
      <c r="EFH638" s="131"/>
      <c r="EFI638" s="131"/>
      <c r="EFJ638" s="131"/>
      <c r="EFK638" s="131"/>
      <c r="EFL638" s="131"/>
      <c r="EFM638" s="131"/>
      <c r="EFN638" s="131"/>
      <c r="EFO638" s="131"/>
      <c r="EFP638" s="131"/>
      <c r="EFQ638" s="131"/>
      <c r="EFR638" s="131"/>
      <c r="EFS638" s="131"/>
      <c r="EFT638" s="131"/>
      <c r="EFU638" s="131"/>
      <c r="EFV638" s="131"/>
      <c r="EFW638" s="131"/>
      <c r="EFX638" s="131"/>
      <c r="EFY638" s="131"/>
      <c r="EFZ638" s="131"/>
      <c r="EGA638" s="131"/>
      <c r="EGB638" s="131"/>
      <c r="EGC638" s="131"/>
      <c r="EGD638" s="131"/>
      <c r="EGE638" s="131"/>
      <c r="EGF638" s="131"/>
      <c r="EGG638" s="131"/>
      <c r="EGH638" s="131"/>
      <c r="EGI638" s="131"/>
      <c r="EGJ638" s="131"/>
      <c r="EGK638" s="131"/>
      <c r="EGL638" s="131"/>
      <c r="EGM638" s="131"/>
      <c r="EGN638" s="131"/>
      <c r="EGO638" s="131"/>
      <c r="EGP638" s="131"/>
      <c r="EGQ638" s="131"/>
      <c r="EGR638" s="131"/>
      <c r="EGS638" s="131"/>
      <c r="EGT638" s="131"/>
      <c r="EGU638" s="131"/>
      <c r="EGV638" s="131"/>
      <c r="EGW638" s="131"/>
      <c r="EGX638" s="131"/>
      <c r="EGY638" s="131"/>
      <c r="EGZ638" s="131"/>
      <c r="EHA638" s="131"/>
      <c r="EHB638" s="131"/>
      <c r="EHC638" s="131"/>
      <c r="EHD638" s="131"/>
      <c r="EHE638" s="131"/>
      <c r="EHF638" s="131"/>
      <c r="EHG638" s="131"/>
      <c r="EHH638" s="131"/>
      <c r="EHI638" s="131"/>
      <c r="EHJ638" s="131"/>
      <c r="EHK638" s="131"/>
      <c r="EHL638" s="131"/>
      <c r="EHM638" s="131"/>
      <c r="EHN638" s="131"/>
      <c r="EHO638" s="131"/>
      <c r="EHP638" s="131"/>
      <c r="EHQ638" s="131"/>
      <c r="EHR638" s="131"/>
      <c r="EHS638" s="131"/>
      <c r="EHT638" s="131"/>
      <c r="EHU638" s="131"/>
      <c r="EHV638" s="131"/>
      <c r="EHW638" s="131"/>
      <c r="EHX638" s="131"/>
      <c r="EHY638" s="131"/>
      <c r="EHZ638" s="131"/>
      <c r="EIA638" s="131"/>
      <c r="EIB638" s="131"/>
      <c r="EIC638" s="131"/>
      <c r="EID638" s="131"/>
      <c r="EIE638" s="131"/>
      <c r="EIF638" s="131"/>
      <c r="EIG638" s="131"/>
      <c r="EIH638" s="131"/>
      <c r="EII638" s="131"/>
      <c r="EIJ638" s="131"/>
      <c r="EIK638" s="131"/>
      <c r="EIL638" s="131"/>
      <c r="EIM638" s="131"/>
      <c r="EIN638" s="131"/>
      <c r="EIO638" s="131"/>
      <c r="EIP638" s="131"/>
      <c r="EIQ638" s="131"/>
      <c r="EIR638" s="131"/>
      <c r="EIS638" s="131"/>
      <c r="EIT638" s="131"/>
      <c r="EIU638" s="131"/>
      <c r="EIV638" s="131"/>
      <c r="EIW638" s="131"/>
      <c r="EIX638" s="131"/>
      <c r="EIY638" s="131"/>
      <c r="EIZ638" s="131"/>
      <c r="EJA638" s="131"/>
      <c r="EJB638" s="131"/>
      <c r="EJC638" s="131"/>
      <c r="EJD638" s="131"/>
      <c r="EJE638" s="131"/>
      <c r="EJF638" s="131"/>
      <c r="EJG638" s="131"/>
      <c r="EJH638" s="131"/>
      <c r="EJI638" s="131"/>
      <c r="EJJ638" s="131"/>
      <c r="EJK638" s="131"/>
      <c r="EJL638" s="131"/>
      <c r="EJM638" s="131"/>
      <c r="EJN638" s="131"/>
      <c r="EJO638" s="131"/>
      <c r="EJP638" s="131"/>
      <c r="EJQ638" s="131"/>
      <c r="EJR638" s="131"/>
      <c r="EJS638" s="131"/>
      <c r="EJT638" s="131"/>
      <c r="EJU638" s="131"/>
      <c r="EJV638" s="131"/>
      <c r="EJW638" s="131"/>
      <c r="EJX638" s="131"/>
      <c r="EJY638" s="131"/>
      <c r="EJZ638" s="131"/>
      <c r="EKA638" s="131"/>
      <c r="EKB638" s="131"/>
      <c r="EKC638" s="131"/>
      <c r="EKD638" s="131"/>
      <c r="EKE638" s="131"/>
      <c r="EKF638" s="131"/>
      <c r="EKG638" s="131"/>
      <c r="EKH638" s="131"/>
      <c r="EKI638" s="131"/>
      <c r="EKJ638" s="131"/>
      <c r="EKK638" s="131"/>
      <c r="EKL638" s="131"/>
      <c r="EKM638" s="131"/>
      <c r="EKN638" s="131"/>
      <c r="EKO638" s="131"/>
      <c r="EKP638" s="131"/>
      <c r="EKQ638" s="131"/>
      <c r="EKR638" s="131"/>
      <c r="EKS638" s="131"/>
      <c r="EKT638" s="131"/>
      <c r="EKU638" s="131"/>
      <c r="EKV638" s="131"/>
      <c r="EKW638" s="131"/>
      <c r="EKX638" s="131"/>
      <c r="EKY638" s="131"/>
      <c r="EKZ638" s="131"/>
      <c r="ELA638" s="131"/>
      <c r="ELB638" s="131"/>
      <c r="ELC638" s="131"/>
      <c r="ELD638" s="131"/>
      <c r="ELE638" s="131"/>
      <c r="ELF638" s="131"/>
      <c r="ELG638" s="131"/>
      <c r="ELH638" s="131"/>
      <c r="ELI638" s="131"/>
      <c r="ELJ638" s="131"/>
      <c r="ELK638" s="131"/>
      <c r="ELL638" s="131"/>
      <c r="ELM638" s="131"/>
      <c r="ELN638" s="131"/>
      <c r="ELO638" s="131"/>
      <c r="ELP638" s="131"/>
      <c r="ELQ638" s="131"/>
      <c r="ELR638" s="131"/>
      <c r="ELS638" s="131"/>
      <c r="ELT638" s="131"/>
      <c r="ELU638" s="131"/>
      <c r="ELV638" s="131"/>
      <c r="ELW638" s="131"/>
      <c r="ELX638" s="131"/>
      <c r="ELY638" s="131"/>
      <c r="ELZ638" s="131"/>
      <c r="EMA638" s="131"/>
      <c r="EMB638" s="131"/>
      <c r="EMC638" s="131"/>
      <c r="EMD638" s="131"/>
      <c r="EME638" s="131"/>
      <c r="EMF638" s="131"/>
      <c r="EMG638" s="131"/>
      <c r="EMH638" s="131"/>
      <c r="EMI638" s="131"/>
      <c r="EMJ638" s="131"/>
      <c r="EMK638" s="131"/>
      <c r="EML638" s="131"/>
      <c r="EMM638" s="131"/>
      <c r="EMN638" s="131"/>
      <c r="EMO638" s="131"/>
      <c r="EMP638" s="131"/>
      <c r="EMQ638" s="131"/>
      <c r="EMR638" s="131"/>
      <c r="EMS638" s="131"/>
      <c r="EMT638" s="131"/>
      <c r="EMU638" s="131"/>
      <c r="EMV638" s="131"/>
      <c r="EMW638" s="131"/>
      <c r="EMX638" s="131"/>
      <c r="EMY638" s="131"/>
      <c r="EMZ638" s="131"/>
      <c r="ENA638" s="131"/>
      <c r="ENB638" s="131"/>
      <c r="ENC638" s="131"/>
      <c r="END638" s="131"/>
      <c r="ENE638" s="131"/>
      <c r="ENF638" s="131"/>
      <c r="ENG638" s="131"/>
      <c r="ENH638" s="131"/>
      <c r="ENI638" s="131"/>
      <c r="ENJ638" s="131"/>
      <c r="ENK638" s="131"/>
      <c r="ENL638" s="131"/>
      <c r="ENM638" s="131"/>
      <c r="ENN638" s="131"/>
      <c r="ENO638" s="131"/>
      <c r="ENP638" s="131"/>
      <c r="ENQ638" s="131"/>
      <c r="ENR638" s="131"/>
      <c r="ENS638" s="131"/>
      <c r="ENT638" s="131"/>
      <c r="ENU638" s="131"/>
      <c r="ENV638" s="131"/>
      <c r="ENW638" s="131"/>
      <c r="ENX638" s="131"/>
      <c r="ENY638" s="131"/>
      <c r="ENZ638" s="131"/>
      <c r="EOA638" s="131"/>
      <c r="EOB638" s="131"/>
      <c r="EOC638" s="131"/>
      <c r="EOD638" s="131"/>
      <c r="EOE638" s="131"/>
      <c r="EOF638" s="131"/>
      <c r="EOG638" s="131"/>
      <c r="EOH638" s="131"/>
      <c r="EOI638" s="131"/>
      <c r="EOJ638" s="131"/>
      <c r="EOK638" s="131"/>
      <c r="EOL638" s="131"/>
      <c r="EOM638" s="131"/>
      <c r="EON638" s="131"/>
      <c r="EOO638" s="131"/>
      <c r="EOP638" s="131"/>
      <c r="EOQ638" s="131"/>
      <c r="EOR638" s="131"/>
      <c r="EOS638" s="131"/>
      <c r="EOT638" s="131"/>
      <c r="EOU638" s="131"/>
      <c r="EOV638" s="131"/>
      <c r="EOW638" s="131"/>
      <c r="EOX638" s="131"/>
      <c r="EOY638" s="131"/>
      <c r="EOZ638" s="131"/>
      <c r="EPA638" s="131"/>
      <c r="EPB638" s="131"/>
      <c r="EPC638" s="131"/>
      <c r="EPD638" s="131"/>
      <c r="EPE638" s="131"/>
      <c r="EPF638" s="131"/>
      <c r="EPG638" s="131"/>
      <c r="EPH638" s="131"/>
      <c r="EPI638" s="131"/>
      <c r="EPJ638" s="131"/>
      <c r="EPK638" s="131"/>
      <c r="EPL638" s="131"/>
      <c r="EPM638" s="131"/>
      <c r="EPN638" s="131"/>
      <c r="EPO638" s="131"/>
      <c r="EPP638" s="131"/>
      <c r="EPQ638" s="131"/>
      <c r="EPR638" s="131"/>
      <c r="EPS638" s="131"/>
      <c r="EPT638" s="131"/>
      <c r="EPU638" s="131"/>
      <c r="EPV638" s="131"/>
      <c r="EPW638" s="131"/>
      <c r="EPX638" s="131"/>
      <c r="EPY638" s="131"/>
      <c r="EPZ638" s="131"/>
      <c r="EQA638" s="131"/>
      <c r="EQB638" s="131"/>
      <c r="EQC638" s="131"/>
      <c r="EQD638" s="131"/>
      <c r="EQE638" s="131"/>
      <c r="EQF638" s="131"/>
      <c r="EQG638" s="131"/>
      <c r="EQH638" s="131"/>
      <c r="EQI638" s="131"/>
      <c r="EQJ638" s="131"/>
      <c r="EQK638" s="131"/>
      <c r="EQL638" s="131"/>
      <c r="EQM638" s="131"/>
      <c r="EQN638" s="131"/>
      <c r="EQO638" s="131"/>
      <c r="EQP638" s="131"/>
      <c r="EQQ638" s="131"/>
      <c r="EQR638" s="131"/>
      <c r="EQS638" s="131"/>
      <c r="EQT638" s="131"/>
      <c r="EQU638" s="131"/>
      <c r="EQV638" s="131"/>
      <c r="EQW638" s="131"/>
      <c r="EQX638" s="131"/>
      <c r="EQY638" s="131"/>
      <c r="EQZ638" s="131"/>
      <c r="ERA638" s="131"/>
      <c r="ERB638" s="131"/>
      <c r="ERC638" s="131"/>
      <c r="ERD638" s="131"/>
      <c r="ERE638" s="131"/>
      <c r="ERF638" s="131"/>
      <c r="ERG638" s="131"/>
      <c r="ERH638" s="131"/>
      <c r="ERI638" s="131"/>
      <c r="ERJ638" s="131"/>
      <c r="ERK638" s="131"/>
      <c r="ERL638" s="131"/>
      <c r="ERM638" s="131"/>
      <c r="ERN638" s="131"/>
      <c r="ERO638" s="131"/>
      <c r="ERP638" s="131"/>
      <c r="ERQ638" s="131"/>
      <c r="ERR638" s="131"/>
      <c r="ERS638" s="131"/>
      <c r="ERT638" s="131"/>
      <c r="ERU638" s="131"/>
      <c r="ERV638" s="131"/>
      <c r="ERW638" s="131"/>
      <c r="ERX638" s="131"/>
      <c r="ERY638" s="131"/>
      <c r="ERZ638" s="131"/>
      <c r="ESA638" s="131"/>
      <c r="ESB638" s="131"/>
      <c r="ESC638" s="131"/>
      <c r="ESD638" s="131"/>
      <c r="ESE638" s="131"/>
      <c r="ESF638" s="131"/>
      <c r="ESG638" s="131"/>
      <c r="ESH638" s="131"/>
      <c r="ESI638" s="131"/>
      <c r="ESJ638" s="131"/>
      <c r="ESK638" s="131"/>
      <c r="ESL638" s="131"/>
      <c r="ESM638" s="131"/>
      <c r="ESN638" s="131"/>
      <c r="ESO638" s="131"/>
      <c r="ESP638" s="131"/>
      <c r="ESQ638" s="131"/>
      <c r="ESR638" s="131"/>
      <c r="ESS638" s="131"/>
      <c r="EST638" s="131"/>
      <c r="ESU638" s="131"/>
      <c r="ESV638" s="131"/>
      <c r="ESW638" s="131"/>
      <c r="ESX638" s="131"/>
      <c r="ESY638" s="131"/>
      <c r="ESZ638" s="131"/>
      <c r="ETA638" s="131"/>
      <c r="ETB638" s="131"/>
      <c r="ETC638" s="131"/>
      <c r="ETD638" s="131"/>
      <c r="ETE638" s="131"/>
      <c r="ETF638" s="131"/>
      <c r="ETG638" s="131"/>
      <c r="ETH638" s="131"/>
      <c r="ETI638" s="131"/>
      <c r="ETJ638" s="131"/>
      <c r="ETK638" s="131"/>
      <c r="ETL638" s="131"/>
      <c r="ETM638" s="131"/>
      <c r="ETN638" s="131"/>
      <c r="ETO638" s="131"/>
      <c r="ETP638" s="131"/>
      <c r="ETQ638" s="131"/>
      <c r="ETR638" s="131"/>
      <c r="ETS638" s="131"/>
      <c r="ETT638" s="131"/>
      <c r="ETU638" s="131"/>
      <c r="ETV638" s="131"/>
      <c r="ETW638" s="131"/>
      <c r="ETX638" s="131"/>
      <c r="ETY638" s="131"/>
      <c r="ETZ638" s="131"/>
      <c r="EUA638" s="131"/>
      <c r="EUB638" s="131"/>
      <c r="EUC638" s="131"/>
      <c r="EUD638" s="131"/>
      <c r="EUE638" s="131"/>
      <c r="EUF638" s="131"/>
      <c r="EUG638" s="131"/>
      <c r="EUH638" s="131"/>
      <c r="EUI638" s="131"/>
      <c r="EUJ638" s="131"/>
      <c r="EUK638" s="131"/>
      <c r="EUL638" s="131"/>
      <c r="EUM638" s="131"/>
      <c r="EUN638" s="131"/>
      <c r="EUO638" s="131"/>
      <c r="EUP638" s="131"/>
      <c r="EUQ638" s="131"/>
      <c r="EUR638" s="131"/>
      <c r="EUS638" s="131"/>
      <c r="EUT638" s="131"/>
      <c r="EUU638" s="131"/>
      <c r="EUV638" s="131"/>
      <c r="EUW638" s="131"/>
      <c r="EUX638" s="131"/>
      <c r="EUY638" s="131"/>
      <c r="EUZ638" s="131"/>
      <c r="EVA638" s="131"/>
      <c r="EVB638" s="131"/>
      <c r="EVC638" s="131"/>
      <c r="EVD638" s="131"/>
      <c r="EVE638" s="131"/>
      <c r="EVF638" s="131"/>
      <c r="EVG638" s="131"/>
      <c r="EVH638" s="131"/>
      <c r="EVI638" s="131"/>
      <c r="EVJ638" s="131"/>
      <c r="EVK638" s="131"/>
      <c r="EVL638" s="131"/>
      <c r="EVM638" s="131"/>
      <c r="EVN638" s="131"/>
      <c r="EVO638" s="131"/>
      <c r="EVP638" s="131"/>
      <c r="EVQ638" s="131"/>
      <c r="EVR638" s="131"/>
      <c r="EVS638" s="131"/>
      <c r="EVT638" s="131"/>
      <c r="EVU638" s="131"/>
      <c r="EVV638" s="131"/>
      <c r="EVW638" s="131"/>
      <c r="EVX638" s="131"/>
      <c r="EVY638" s="131"/>
      <c r="EVZ638" s="131"/>
      <c r="EWA638" s="131"/>
      <c r="EWB638" s="131"/>
      <c r="EWC638" s="131"/>
      <c r="EWD638" s="131"/>
      <c r="EWE638" s="131"/>
      <c r="EWF638" s="131"/>
      <c r="EWG638" s="131"/>
      <c r="EWH638" s="131"/>
      <c r="EWI638" s="131"/>
      <c r="EWJ638" s="131"/>
      <c r="EWK638" s="131"/>
      <c r="EWL638" s="131"/>
      <c r="EWM638" s="131"/>
      <c r="EWN638" s="131"/>
      <c r="EWO638" s="131"/>
      <c r="EWP638" s="131"/>
      <c r="EWQ638" s="131"/>
      <c r="EWR638" s="131"/>
      <c r="EWS638" s="131"/>
      <c r="EWT638" s="131"/>
      <c r="EWU638" s="131"/>
      <c r="EWV638" s="131"/>
      <c r="EWW638" s="131"/>
      <c r="EWX638" s="131"/>
      <c r="EWY638" s="131"/>
      <c r="EWZ638" s="131"/>
      <c r="EXA638" s="131"/>
      <c r="EXB638" s="131"/>
      <c r="EXC638" s="131"/>
      <c r="EXD638" s="131"/>
      <c r="EXE638" s="131"/>
      <c r="EXF638" s="131"/>
      <c r="EXG638" s="131"/>
      <c r="EXH638" s="131"/>
      <c r="EXI638" s="131"/>
      <c r="EXJ638" s="131"/>
      <c r="EXK638" s="131"/>
      <c r="EXL638" s="131"/>
      <c r="EXM638" s="131"/>
      <c r="EXN638" s="131"/>
      <c r="EXO638" s="131"/>
      <c r="EXP638" s="131"/>
      <c r="EXQ638" s="131"/>
      <c r="EXR638" s="131"/>
      <c r="EXS638" s="131"/>
      <c r="EXT638" s="131"/>
      <c r="EXU638" s="131"/>
      <c r="EXV638" s="131"/>
      <c r="EXW638" s="131"/>
      <c r="EXX638" s="131"/>
      <c r="EXY638" s="131"/>
      <c r="EXZ638" s="131"/>
      <c r="EYA638" s="131"/>
      <c r="EYB638" s="131"/>
      <c r="EYC638" s="131"/>
      <c r="EYD638" s="131"/>
      <c r="EYE638" s="131"/>
      <c r="EYF638" s="131"/>
      <c r="EYG638" s="131"/>
      <c r="EYH638" s="131"/>
      <c r="EYI638" s="131"/>
      <c r="EYJ638" s="131"/>
      <c r="EYK638" s="131"/>
      <c r="EYL638" s="131"/>
      <c r="EYM638" s="131"/>
      <c r="EYN638" s="131"/>
      <c r="EYO638" s="131"/>
      <c r="EYP638" s="131"/>
      <c r="EYQ638" s="131"/>
      <c r="EYR638" s="131"/>
      <c r="EYS638" s="131"/>
      <c r="EYT638" s="131"/>
      <c r="EYU638" s="131"/>
      <c r="EYV638" s="131"/>
      <c r="EYW638" s="131"/>
      <c r="EYX638" s="131"/>
      <c r="EYY638" s="131"/>
      <c r="EYZ638" s="131"/>
      <c r="EZA638" s="131"/>
      <c r="EZB638" s="131"/>
      <c r="EZC638" s="131"/>
      <c r="EZD638" s="131"/>
      <c r="EZE638" s="131"/>
      <c r="EZF638" s="131"/>
      <c r="EZG638" s="131"/>
      <c r="EZH638" s="131"/>
      <c r="EZI638" s="131"/>
      <c r="EZJ638" s="131"/>
      <c r="EZK638" s="131"/>
      <c r="EZL638" s="131"/>
      <c r="EZM638" s="131"/>
      <c r="EZN638" s="131"/>
      <c r="EZO638" s="131"/>
      <c r="EZP638" s="131"/>
      <c r="EZQ638" s="131"/>
      <c r="EZR638" s="131"/>
      <c r="EZS638" s="131"/>
      <c r="EZT638" s="131"/>
      <c r="EZU638" s="131"/>
      <c r="EZV638" s="131"/>
      <c r="EZW638" s="131"/>
      <c r="EZX638" s="131"/>
      <c r="EZY638" s="131"/>
      <c r="EZZ638" s="131"/>
      <c r="FAA638" s="131"/>
      <c r="FAB638" s="131"/>
      <c r="FAC638" s="131"/>
      <c r="FAD638" s="131"/>
      <c r="FAE638" s="131"/>
      <c r="FAF638" s="131"/>
      <c r="FAG638" s="131"/>
      <c r="FAH638" s="131"/>
      <c r="FAI638" s="131"/>
      <c r="FAJ638" s="131"/>
      <c r="FAK638" s="131"/>
      <c r="FAL638" s="131"/>
      <c r="FAM638" s="131"/>
      <c r="FAN638" s="131"/>
      <c r="FAO638" s="131"/>
      <c r="FAP638" s="131"/>
      <c r="FAQ638" s="131"/>
      <c r="FAR638" s="131"/>
      <c r="FAS638" s="131"/>
      <c r="FAT638" s="131"/>
      <c r="FAU638" s="131"/>
      <c r="FAV638" s="131"/>
      <c r="FAW638" s="131"/>
      <c r="FAX638" s="131"/>
      <c r="FAY638" s="131"/>
      <c r="FAZ638" s="131"/>
      <c r="FBA638" s="131"/>
      <c r="FBB638" s="131"/>
      <c r="FBC638" s="131"/>
      <c r="FBD638" s="131"/>
      <c r="FBE638" s="131"/>
      <c r="FBF638" s="131"/>
      <c r="FBG638" s="131"/>
      <c r="FBH638" s="131"/>
      <c r="FBI638" s="131"/>
      <c r="FBJ638" s="131"/>
      <c r="FBK638" s="131"/>
      <c r="FBL638" s="131"/>
      <c r="FBM638" s="131"/>
      <c r="FBN638" s="131"/>
      <c r="FBO638" s="131"/>
      <c r="FBP638" s="131"/>
      <c r="FBQ638" s="131"/>
      <c r="FBR638" s="131"/>
      <c r="FBS638" s="131"/>
      <c r="FBT638" s="131"/>
      <c r="FBU638" s="131"/>
      <c r="FBV638" s="131"/>
      <c r="FBW638" s="131"/>
      <c r="FBX638" s="131"/>
      <c r="FBY638" s="131"/>
      <c r="FBZ638" s="131"/>
      <c r="FCA638" s="131"/>
      <c r="FCB638" s="131"/>
      <c r="FCC638" s="131"/>
      <c r="FCD638" s="131"/>
      <c r="FCE638" s="131"/>
      <c r="FCF638" s="131"/>
      <c r="FCG638" s="131"/>
      <c r="FCH638" s="131"/>
      <c r="FCI638" s="131"/>
      <c r="FCJ638" s="131"/>
      <c r="FCK638" s="131"/>
      <c r="FCL638" s="131"/>
      <c r="FCM638" s="131"/>
      <c r="FCN638" s="131"/>
      <c r="FCO638" s="131"/>
      <c r="FCP638" s="131"/>
      <c r="FCQ638" s="131"/>
      <c r="FCR638" s="131"/>
      <c r="FCS638" s="131"/>
      <c r="FCT638" s="131"/>
      <c r="FCU638" s="131"/>
      <c r="FCV638" s="131"/>
      <c r="FCW638" s="131"/>
      <c r="FCX638" s="131"/>
      <c r="FCY638" s="131"/>
      <c r="FCZ638" s="131"/>
      <c r="FDA638" s="131"/>
      <c r="FDB638" s="131"/>
      <c r="FDC638" s="131"/>
      <c r="FDD638" s="131"/>
      <c r="FDE638" s="131"/>
      <c r="FDF638" s="131"/>
      <c r="FDG638" s="131"/>
      <c r="FDH638" s="131"/>
      <c r="FDI638" s="131"/>
      <c r="FDJ638" s="131"/>
      <c r="FDK638" s="131"/>
      <c r="FDL638" s="131"/>
      <c r="FDM638" s="131"/>
      <c r="FDN638" s="131"/>
      <c r="FDO638" s="131"/>
      <c r="FDP638" s="131"/>
      <c r="FDQ638" s="131"/>
      <c r="FDR638" s="131"/>
      <c r="FDS638" s="131"/>
      <c r="FDT638" s="131"/>
      <c r="FDU638" s="131"/>
      <c r="FDV638" s="131"/>
      <c r="FDW638" s="131"/>
      <c r="FDX638" s="131"/>
      <c r="FDY638" s="131"/>
      <c r="FDZ638" s="131"/>
      <c r="FEA638" s="131"/>
      <c r="FEB638" s="131"/>
      <c r="FEC638" s="131"/>
      <c r="FED638" s="131"/>
      <c r="FEE638" s="131"/>
      <c r="FEF638" s="131"/>
      <c r="FEG638" s="131"/>
      <c r="FEH638" s="131"/>
      <c r="FEI638" s="131"/>
      <c r="FEJ638" s="131"/>
      <c r="FEK638" s="131"/>
      <c r="FEL638" s="131"/>
      <c r="FEM638" s="131"/>
      <c r="FEN638" s="131"/>
      <c r="FEO638" s="131"/>
      <c r="FEP638" s="131"/>
      <c r="FEQ638" s="131"/>
      <c r="FER638" s="131"/>
      <c r="FES638" s="131"/>
      <c r="FET638" s="131"/>
      <c r="FEU638" s="131"/>
      <c r="FEV638" s="131"/>
      <c r="FEW638" s="131"/>
      <c r="FEX638" s="131"/>
      <c r="FEY638" s="131"/>
      <c r="FEZ638" s="131"/>
      <c r="FFA638" s="131"/>
      <c r="FFB638" s="131"/>
      <c r="FFC638" s="131"/>
      <c r="FFD638" s="131"/>
      <c r="FFE638" s="131"/>
      <c r="FFF638" s="131"/>
      <c r="FFG638" s="131"/>
      <c r="FFH638" s="131"/>
      <c r="FFI638" s="131"/>
      <c r="FFJ638" s="131"/>
      <c r="FFK638" s="131"/>
      <c r="FFL638" s="131"/>
      <c r="FFM638" s="131"/>
      <c r="FFN638" s="131"/>
      <c r="FFO638" s="131"/>
      <c r="FFP638" s="131"/>
      <c r="FFQ638" s="131"/>
      <c r="FFR638" s="131"/>
      <c r="FFS638" s="131"/>
      <c r="FFT638" s="131"/>
      <c r="FFU638" s="131"/>
      <c r="FFV638" s="131"/>
      <c r="FFW638" s="131"/>
      <c r="FFX638" s="131"/>
      <c r="FFY638" s="131"/>
      <c r="FFZ638" s="131"/>
      <c r="FGA638" s="131"/>
      <c r="FGB638" s="131"/>
      <c r="FGC638" s="131"/>
      <c r="FGD638" s="131"/>
      <c r="FGE638" s="131"/>
      <c r="FGF638" s="131"/>
      <c r="FGG638" s="131"/>
      <c r="FGH638" s="131"/>
      <c r="FGI638" s="131"/>
      <c r="FGJ638" s="131"/>
      <c r="FGK638" s="131"/>
      <c r="FGL638" s="131"/>
      <c r="FGM638" s="131"/>
      <c r="FGN638" s="131"/>
      <c r="FGO638" s="131"/>
      <c r="FGP638" s="131"/>
      <c r="FGQ638" s="131"/>
      <c r="FGR638" s="131"/>
      <c r="FGS638" s="131"/>
      <c r="FGT638" s="131"/>
      <c r="FGU638" s="131"/>
      <c r="FGV638" s="131"/>
      <c r="FGW638" s="131"/>
      <c r="FGX638" s="131"/>
      <c r="FGY638" s="131"/>
      <c r="FGZ638" s="131"/>
      <c r="FHA638" s="131"/>
      <c r="FHB638" s="131"/>
      <c r="FHC638" s="131"/>
      <c r="FHD638" s="131"/>
      <c r="FHE638" s="131"/>
      <c r="FHF638" s="131"/>
      <c r="FHG638" s="131"/>
      <c r="FHH638" s="131"/>
      <c r="FHI638" s="131"/>
      <c r="FHJ638" s="131"/>
      <c r="FHK638" s="131"/>
      <c r="FHL638" s="131"/>
      <c r="FHM638" s="131"/>
      <c r="FHN638" s="131"/>
      <c r="FHO638" s="131"/>
      <c r="FHP638" s="131"/>
      <c r="FHQ638" s="131"/>
      <c r="FHR638" s="131"/>
      <c r="FHS638" s="131"/>
      <c r="FHT638" s="131"/>
      <c r="FHU638" s="131"/>
      <c r="FHV638" s="131"/>
      <c r="FHW638" s="131"/>
      <c r="FHX638" s="131"/>
      <c r="FHY638" s="131"/>
      <c r="FHZ638" s="131"/>
      <c r="FIA638" s="131"/>
      <c r="FIB638" s="131"/>
      <c r="FIC638" s="131"/>
      <c r="FID638" s="131"/>
      <c r="FIE638" s="131"/>
      <c r="FIF638" s="131"/>
      <c r="FIG638" s="131"/>
      <c r="FIH638" s="131"/>
      <c r="FII638" s="131"/>
      <c r="FIJ638" s="131"/>
      <c r="FIK638" s="131"/>
      <c r="FIL638" s="131"/>
      <c r="FIM638" s="131"/>
      <c r="FIN638" s="131"/>
      <c r="FIO638" s="131"/>
      <c r="FIP638" s="131"/>
      <c r="FIQ638" s="131"/>
      <c r="FIR638" s="131"/>
      <c r="FIS638" s="131"/>
      <c r="FIT638" s="131"/>
      <c r="FIU638" s="131"/>
      <c r="FIV638" s="131"/>
      <c r="FIW638" s="131"/>
      <c r="FIX638" s="131"/>
      <c r="FIY638" s="131"/>
      <c r="FIZ638" s="131"/>
      <c r="FJA638" s="131"/>
      <c r="FJB638" s="131"/>
      <c r="FJC638" s="131"/>
      <c r="FJD638" s="131"/>
      <c r="FJE638" s="131"/>
      <c r="FJF638" s="131"/>
      <c r="FJG638" s="131"/>
      <c r="FJH638" s="131"/>
      <c r="FJI638" s="131"/>
      <c r="FJJ638" s="131"/>
      <c r="FJK638" s="131"/>
      <c r="FJL638" s="131"/>
      <c r="FJM638" s="131"/>
      <c r="FJN638" s="131"/>
      <c r="FJO638" s="131"/>
      <c r="FJP638" s="131"/>
      <c r="FJQ638" s="131"/>
      <c r="FJR638" s="131"/>
      <c r="FJS638" s="131"/>
      <c r="FJT638" s="131"/>
      <c r="FJU638" s="131"/>
      <c r="FJV638" s="131"/>
      <c r="FJW638" s="131"/>
      <c r="FJX638" s="131"/>
      <c r="FJY638" s="131"/>
      <c r="FJZ638" s="131"/>
      <c r="FKA638" s="131"/>
      <c r="FKB638" s="131"/>
      <c r="FKC638" s="131"/>
      <c r="FKD638" s="131"/>
      <c r="FKE638" s="131"/>
      <c r="FKF638" s="131"/>
      <c r="FKG638" s="131"/>
      <c r="FKH638" s="131"/>
      <c r="FKI638" s="131"/>
      <c r="FKJ638" s="131"/>
      <c r="FKK638" s="131"/>
      <c r="FKL638" s="131"/>
      <c r="FKM638" s="131"/>
      <c r="FKN638" s="131"/>
      <c r="FKO638" s="131"/>
      <c r="FKP638" s="131"/>
      <c r="FKQ638" s="131"/>
      <c r="FKR638" s="131"/>
      <c r="FKS638" s="131"/>
      <c r="FKT638" s="131"/>
      <c r="FKU638" s="131"/>
      <c r="FKV638" s="131"/>
      <c r="FKW638" s="131"/>
      <c r="FKX638" s="131"/>
      <c r="FKY638" s="131"/>
      <c r="FKZ638" s="131"/>
      <c r="FLA638" s="131"/>
      <c r="FLB638" s="131"/>
      <c r="FLC638" s="131"/>
      <c r="FLD638" s="131"/>
      <c r="FLE638" s="131"/>
      <c r="FLF638" s="131"/>
      <c r="FLG638" s="131"/>
      <c r="FLH638" s="131"/>
      <c r="FLI638" s="131"/>
      <c r="FLJ638" s="131"/>
      <c r="FLK638" s="131"/>
      <c r="FLL638" s="131"/>
      <c r="FLM638" s="131"/>
      <c r="FLN638" s="131"/>
      <c r="FLO638" s="131"/>
      <c r="FLP638" s="131"/>
      <c r="FLQ638" s="131"/>
      <c r="FLR638" s="131"/>
      <c r="FLS638" s="131"/>
      <c r="FLT638" s="131"/>
      <c r="FLU638" s="131"/>
      <c r="FLV638" s="131"/>
      <c r="FLW638" s="131"/>
      <c r="FLX638" s="131"/>
      <c r="FLY638" s="131"/>
      <c r="FLZ638" s="131"/>
      <c r="FMA638" s="131"/>
      <c r="FMB638" s="131"/>
      <c r="FMC638" s="131"/>
      <c r="FMD638" s="131"/>
      <c r="FME638" s="131"/>
      <c r="FMF638" s="131"/>
      <c r="FMG638" s="131"/>
      <c r="FMH638" s="131"/>
      <c r="FMI638" s="131"/>
      <c r="FMJ638" s="131"/>
      <c r="FMK638" s="131"/>
      <c r="FML638" s="131"/>
      <c r="FMM638" s="131"/>
      <c r="FMN638" s="131"/>
      <c r="FMO638" s="131"/>
      <c r="FMP638" s="131"/>
      <c r="FMQ638" s="131"/>
      <c r="FMR638" s="131"/>
      <c r="FMS638" s="131"/>
      <c r="FMT638" s="131"/>
      <c r="FMU638" s="131"/>
      <c r="FMV638" s="131"/>
      <c r="FMW638" s="131"/>
      <c r="FMX638" s="131"/>
      <c r="FMY638" s="131"/>
      <c r="FMZ638" s="131"/>
      <c r="FNA638" s="131"/>
      <c r="FNB638" s="131"/>
      <c r="FNC638" s="131"/>
      <c r="FND638" s="131"/>
      <c r="FNE638" s="131"/>
      <c r="FNF638" s="131"/>
      <c r="FNG638" s="131"/>
      <c r="FNH638" s="131"/>
      <c r="FNI638" s="131"/>
      <c r="FNJ638" s="131"/>
      <c r="FNK638" s="131"/>
      <c r="FNL638" s="131"/>
      <c r="FNM638" s="131"/>
      <c r="FNN638" s="131"/>
      <c r="FNO638" s="131"/>
      <c r="FNP638" s="131"/>
      <c r="FNQ638" s="131"/>
      <c r="FNR638" s="131"/>
      <c r="FNS638" s="131"/>
      <c r="FNT638" s="131"/>
      <c r="FNU638" s="131"/>
      <c r="FNV638" s="131"/>
      <c r="FNW638" s="131"/>
      <c r="FNX638" s="131"/>
      <c r="FNY638" s="131"/>
      <c r="FNZ638" s="131"/>
      <c r="FOA638" s="131"/>
      <c r="FOB638" s="131"/>
      <c r="FOC638" s="131"/>
      <c r="FOD638" s="131"/>
      <c r="FOE638" s="131"/>
      <c r="FOF638" s="131"/>
      <c r="FOG638" s="131"/>
      <c r="FOH638" s="131"/>
      <c r="FOI638" s="131"/>
      <c r="FOJ638" s="131"/>
      <c r="FOK638" s="131"/>
      <c r="FOL638" s="131"/>
      <c r="FOM638" s="131"/>
      <c r="FON638" s="131"/>
      <c r="FOO638" s="131"/>
      <c r="FOP638" s="131"/>
      <c r="FOQ638" s="131"/>
      <c r="FOR638" s="131"/>
      <c r="FOS638" s="131"/>
      <c r="FOT638" s="131"/>
      <c r="FOU638" s="131"/>
      <c r="FOV638" s="131"/>
      <c r="FOW638" s="131"/>
      <c r="FOX638" s="131"/>
      <c r="FOY638" s="131"/>
      <c r="FOZ638" s="131"/>
      <c r="FPA638" s="131"/>
      <c r="FPB638" s="131"/>
      <c r="FPC638" s="131"/>
      <c r="FPD638" s="131"/>
      <c r="FPE638" s="131"/>
      <c r="FPF638" s="131"/>
      <c r="FPG638" s="131"/>
      <c r="FPH638" s="131"/>
      <c r="FPI638" s="131"/>
      <c r="FPJ638" s="131"/>
      <c r="FPK638" s="131"/>
      <c r="FPL638" s="131"/>
      <c r="FPM638" s="131"/>
      <c r="FPN638" s="131"/>
      <c r="FPO638" s="131"/>
      <c r="FPP638" s="131"/>
      <c r="FPQ638" s="131"/>
      <c r="FPR638" s="131"/>
      <c r="FPS638" s="131"/>
      <c r="FPT638" s="131"/>
      <c r="FPU638" s="131"/>
      <c r="FPV638" s="131"/>
      <c r="FPW638" s="131"/>
      <c r="FPX638" s="131"/>
      <c r="FPY638" s="131"/>
      <c r="FPZ638" s="131"/>
      <c r="FQA638" s="131"/>
      <c r="FQB638" s="131"/>
      <c r="FQC638" s="131"/>
      <c r="FQD638" s="131"/>
      <c r="FQE638" s="131"/>
      <c r="FQF638" s="131"/>
      <c r="FQG638" s="131"/>
      <c r="FQH638" s="131"/>
      <c r="FQI638" s="131"/>
      <c r="FQJ638" s="131"/>
      <c r="FQK638" s="131"/>
      <c r="FQL638" s="131"/>
      <c r="FQM638" s="131"/>
      <c r="FQN638" s="131"/>
      <c r="FQO638" s="131"/>
      <c r="FQP638" s="131"/>
      <c r="FQQ638" s="131"/>
      <c r="FQR638" s="131"/>
      <c r="FQS638" s="131"/>
      <c r="FQT638" s="131"/>
      <c r="FQU638" s="131"/>
      <c r="FQV638" s="131"/>
      <c r="FQW638" s="131"/>
      <c r="FQX638" s="131"/>
      <c r="FQY638" s="131"/>
      <c r="FQZ638" s="131"/>
      <c r="FRA638" s="131"/>
      <c r="FRB638" s="131"/>
      <c r="FRC638" s="131"/>
      <c r="FRD638" s="131"/>
      <c r="FRE638" s="131"/>
      <c r="FRF638" s="131"/>
      <c r="FRG638" s="131"/>
      <c r="FRH638" s="131"/>
      <c r="FRI638" s="131"/>
      <c r="FRJ638" s="131"/>
      <c r="FRK638" s="131"/>
      <c r="FRL638" s="131"/>
      <c r="FRM638" s="131"/>
      <c r="FRN638" s="131"/>
      <c r="FRO638" s="131"/>
      <c r="FRP638" s="131"/>
      <c r="FRQ638" s="131"/>
      <c r="FRR638" s="131"/>
      <c r="FRS638" s="131"/>
      <c r="FRT638" s="131"/>
      <c r="FRU638" s="131"/>
      <c r="FRV638" s="131"/>
      <c r="FRW638" s="131"/>
      <c r="FRX638" s="131"/>
      <c r="FRY638" s="131"/>
      <c r="FRZ638" s="131"/>
      <c r="FSA638" s="131"/>
      <c r="FSB638" s="131"/>
      <c r="FSC638" s="131"/>
      <c r="FSD638" s="131"/>
      <c r="FSE638" s="131"/>
      <c r="FSF638" s="131"/>
      <c r="FSG638" s="131"/>
      <c r="FSH638" s="131"/>
      <c r="FSI638" s="131"/>
      <c r="FSJ638" s="131"/>
      <c r="FSK638" s="131"/>
      <c r="FSL638" s="131"/>
      <c r="FSM638" s="131"/>
      <c r="FSN638" s="131"/>
      <c r="FSO638" s="131"/>
      <c r="FSP638" s="131"/>
      <c r="FSQ638" s="131"/>
      <c r="FSR638" s="131"/>
      <c r="FSS638" s="131"/>
      <c r="FST638" s="131"/>
      <c r="FSU638" s="131"/>
      <c r="FSV638" s="131"/>
      <c r="FSW638" s="131"/>
      <c r="FSX638" s="131"/>
      <c r="FSY638" s="131"/>
      <c r="FSZ638" s="131"/>
      <c r="FTA638" s="131"/>
      <c r="FTB638" s="131"/>
      <c r="FTC638" s="131"/>
      <c r="FTD638" s="131"/>
      <c r="FTE638" s="131"/>
      <c r="FTF638" s="131"/>
      <c r="FTG638" s="131"/>
      <c r="FTH638" s="131"/>
      <c r="FTI638" s="131"/>
      <c r="FTJ638" s="131"/>
      <c r="FTK638" s="131"/>
      <c r="FTL638" s="131"/>
      <c r="FTM638" s="131"/>
      <c r="FTN638" s="131"/>
      <c r="FTO638" s="131"/>
      <c r="FTP638" s="131"/>
      <c r="FTQ638" s="131"/>
      <c r="FTR638" s="131"/>
      <c r="FTS638" s="131"/>
      <c r="FTT638" s="131"/>
      <c r="FTU638" s="131"/>
      <c r="FTV638" s="131"/>
      <c r="FTW638" s="131"/>
      <c r="FTX638" s="131"/>
      <c r="FTY638" s="131"/>
      <c r="FTZ638" s="131"/>
      <c r="FUA638" s="131"/>
      <c r="FUB638" s="131"/>
      <c r="FUC638" s="131"/>
      <c r="FUD638" s="131"/>
      <c r="FUE638" s="131"/>
      <c r="FUF638" s="131"/>
      <c r="FUG638" s="131"/>
      <c r="FUH638" s="131"/>
      <c r="FUI638" s="131"/>
      <c r="FUJ638" s="131"/>
      <c r="FUK638" s="131"/>
      <c r="FUL638" s="131"/>
      <c r="FUM638" s="131"/>
      <c r="FUN638" s="131"/>
      <c r="FUO638" s="131"/>
      <c r="FUP638" s="131"/>
      <c r="FUQ638" s="131"/>
      <c r="FUR638" s="131"/>
      <c r="FUS638" s="131"/>
      <c r="FUT638" s="131"/>
      <c r="FUU638" s="131"/>
      <c r="FUV638" s="131"/>
      <c r="FUW638" s="131"/>
      <c r="FUX638" s="131"/>
      <c r="FUY638" s="131"/>
      <c r="FUZ638" s="131"/>
      <c r="FVA638" s="131"/>
      <c r="FVB638" s="131"/>
      <c r="FVC638" s="131"/>
      <c r="FVD638" s="131"/>
      <c r="FVE638" s="131"/>
      <c r="FVF638" s="131"/>
      <c r="FVG638" s="131"/>
      <c r="FVH638" s="131"/>
      <c r="FVI638" s="131"/>
      <c r="FVJ638" s="131"/>
      <c r="FVK638" s="131"/>
      <c r="FVL638" s="131"/>
      <c r="FVM638" s="131"/>
      <c r="FVN638" s="131"/>
      <c r="FVO638" s="131"/>
      <c r="FVP638" s="131"/>
      <c r="FVQ638" s="131"/>
      <c r="FVR638" s="131"/>
      <c r="FVS638" s="131"/>
      <c r="FVT638" s="131"/>
      <c r="FVU638" s="131"/>
      <c r="FVV638" s="131"/>
      <c r="FVW638" s="131"/>
      <c r="FVX638" s="131"/>
      <c r="FVY638" s="131"/>
      <c r="FVZ638" s="131"/>
      <c r="FWA638" s="131"/>
      <c r="FWB638" s="131"/>
      <c r="FWC638" s="131"/>
      <c r="FWD638" s="131"/>
      <c r="FWE638" s="131"/>
      <c r="FWF638" s="131"/>
      <c r="FWG638" s="131"/>
      <c r="FWH638" s="131"/>
      <c r="FWI638" s="131"/>
      <c r="FWJ638" s="131"/>
      <c r="FWK638" s="131"/>
      <c r="FWL638" s="131"/>
      <c r="FWM638" s="131"/>
      <c r="FWN638" s="131"/>
      <c r="FWO638" s="131"/>
      <c r="FWP638" s="131"/>
      <c r="FWQ638" s="131"/>
      <c r="FWR638" s="131"/>
      <c r="FWS638" s="131"/>
      <c r="FWT638" s="131"/>
      <c r="FWU638" s="131"/>
      <c r="FWV638" s="131"/>
      <c r="FWW638" s="131"/>
      <c r="FWX638" s="131"/>
      <c r="FWY638" s="131"/>
      <c r="FWZ638" s="131"/>
      <c r="FXA638" s="131"/>
      <c r="FXB638" s="131"/>
      <c r="FXC638" s="131"/>
      <c r="FXD638" s="131"/>
      <c r="FXE638" s="131"/>
      <c r="FXF638" s="131"/>
      <c r="FXG638" s="131"/>
      <c r="FXH638" s="131"/>
      <c r="FXI638" s="131"/>
      <c r="FXJ638" s="131"/>
      <c r="FXK638" s="131"/>
      <c r="FXL638" s="131"/>
      <c r="FXM638" s="131"/>
      <c r="FXN638" s="131"/>
      <c r="FXO638" s="131"/>
      <c r="FXP638" s="131"/>
      <c r="FXQ638" s="131"/>
      <c r="FXR638" s="131"/>
      <c r="FXS638" s="131"/>
      <c r="FXT638" s="131"/>
      <c r="FXU638" s="131"/>
      <c r="FXV638" s="131"/>
      <c r="FXW638" s="131"/>
      <c r="FXX638" s="131"/>
      <c r="FXY638" s="131"/>
      <c r="FXZ638" s="131"/>
      <c r="FYA638" s="131"/>
      <c r="FYB638" s="131"/>
      <c r="FYC638" s="131"/>
      <c r="FYD638" s="131"/>
      <c r="FYE638" s="131"/>
      <c r="FYF638" s="131"/>
      <c r="FYG638" s="131"/>
      <c r="FYH638" s="131"/>
      <c r="FYI638" s="131"/>
      <c r="FYJ638" s="131"/>
      <c r="FYK638" s="131"/>
      <c r="FYL638" s="131"/>
      <c r="FYM638" s="131"/>
      <c r="FYN638" s="131"/>
      <c r="FYO638" s="131"/>
      <c r="FYP638" s="131"/>
      <c r="FYQ638" s="131"/>
      <c r="FYR638" s="131"/>
      <c r="FYS638" s="131"/>
      <c r="FYT638" s="131"/>
      <c r="FYU638" s="131"/>
      <c r="FYV638" s="131"/>
      <c r="FYW638" s="131"/>
      <c r="FYX638" s="131"/>
      <c r="FYY638" s="131"/>
      <c r="FYZ638" s="131"/>
      <c r="FZA638" s="131"/>
      <c r="FZB638" s="131"/>
      <c r="FZC638" s="131"/>
      <c r="FZD638" s="131"/>
      <c r="FZE638" s="131"/>
      <c r="FZF638" s="131"/>
      <c r="FZG638" s="131"/>
      <c r="FZH638" s="131"/>
      <c r="FZI638" s="131"/>
      <c r="FZJ638" s="131"/>
      <c r="FZK638" s="131"/>
      <c r="FZL638" s="131"/>
      <c r="FZM638" s="131"/>
      <c r="FZN638" s="131"/>
      <c r="FZO638" s="131"/>
      <c r="FZP638" s="131"/>
      <c r="FZQ638" s="131"/>
      <c r="FZR638" s="131"/>
      <c r="FZS638" s="131"/>
      <c r="FZT638" s="131"/>
      <c r="FZU638" s="131"/>
      <c r="FZV638" s="131"/>
      <c r="FZW638" s="131"/>
      <c r="FZX638" s="131"/>
      <c r="FZY638" s="131"/>
      <c r="FZZ638" s="131"/>
      <c r="GAA638" s="131"/>
      <c r="GAB638" s="131"/>
      <c r="GAC638" s="131"/>
      <c r="GAD638" s="131"/>
      <c r="GAE638" s="131"/>
      <c r="GAF638" s="131"/>
      <c r="GAG638" s="131"/>
      <c r="GAH638" s="131"/>
      <c r="GAI638" s="131"/>
      <c r="GAJ638" s="131"/>
      <c r="GAK638" s="131"/>
      <c r="GAL638" s="131"/>
      <c r="GAM638" s="131"/>
      <c r="GAN638" s="131"/>
      <c r="GAO638" s="131"/>
      <c r="GAP638" s="131"/>
      <c r="GAQ638" s="131"/>
      <c r="GAR638" s="131"/>
      <c r="GAS638" s="131"/>
      <c r="GAT638" s="131"/>
      <c r="GAU638" s="131"/>
      <c r="GAV638" s="131"/>
      <c r="GAW638" s="131"/>
      <c r="GAX638" s="131"/>
      <c r="GAY638" s="131"/>
      <c r="GAZ638" s="131"/>
      <c r="GBA638" s="131"/>
      <c r="GBB638" s="131"/>
      <c r="GBC638" s="131"/>
      <c r="GBD638" s="131"/>
      <c r="GBE638" s="131"/>
      <c r="GBF638" s="131"/>
      <c r="GBG638" s="131"/>
      <c r="GBH638" s="131"/>
      <c r="GBI638" s="131"/>
      <c r="GBJ638" s="131"/>
      <c r="GBK638" s="131"/>
      <c r="GBL638" s="131"/>
      <c r="GBM638" s="131"/>
      <c r="GBN638" s="131"/>
      <c r="GBO638" s="131"/>
      <c r="GBP638" s="131"/>
      <c r="GBQ638" s="131"/>
      <c r="GBR638" s="131"/>
      <c r="GBS638" s="131"/>
      <c r="GBT638" s="131"/>
      <c r="GBU638" s="131"/>
      <c r="GBV638" s="131"/>
      <c r="GBW638" s="131"/>
      <c r="GBX638" s="131"/>
      <c r="GBY638" s="131"/>
      <c r="GBZ638" s="131"/>
      <c r="GCA638" s="131"/>
      <c r="GCB638" s="131"/>
      <c r="GCC638" s="131"/>
      <c r="GCD638" s="131"/>
      <c r="GCE638" s="131"/>
      <c r="GCF638" s="131"/>
      <c r="GCG638" s="131"/>
      <c r="GCH638" s="131"/>
      <c r="GCI638" s="131"/>
      <c r="GCJ638" s="131"/>
      <c r="GCK638" s="131"/>
      <c r="GCL638" s="131"/>
      <c r="GCM638" s="131"/>
      <c r="GCN638" s="131"/>
      <c r="GCO638" s="131"/>
      <c r="GCP638" s="131"/>
      <c r="GCQ638" s="131"/>
      <c r="GCR638" s="131"/>
      <c r="GCS638" s="131"/>
      <c r="GCT638" s="131"/>
      <c r="GCU638" s="131"/>
      <c r="GCV638" s="131"/>
      <c r="GCW638" s="131"/>
      <c r="GCX638" s="131"/>
      <c r="GCY638" s="131"/>
      <c r="GCZ638" s="131"/>
      <c r="GDA638" s="131"/>
      <c r="GDB638" s="131"/>
      <c r="GDC638" s="131"/>
      <c r="GDD638" s="131"/>
      <c r="GDE638" s="131"/>
      <c r="GDF638" s="131"/>
      <c r="GDG638" s="131"/>
      <c r="GDH638" s="131"/>
      <c r="GDI638" s="131"/>
      <c r="GDJ638" s="131"/>
      <c r="GDK638" s="131"/>
      <c r="GDL638" s="131"/>
      <c r="GDM638" s="131"/>
      <c r="GDN638" s="131"/>
      <c r="GDO638" s="131"/>
      <c r="GDP638" s="131"/>
      <c r="GDQ638" s="131"/>
      <c r="GDR638" s="131"/>
      <c r="GDS638" s="131"/>
      <c r="GDT638" s="131"/>
      <c r="GDU638" s="131"/>
      <c r="GDV638" s="131"/>
      <c r="GDW638" s="131"/>
      <c r="GDX638" s="131"/>
      <c r="GDY638" s="131"/>
      <c r="GDZ638" s="131"/>
      <c r="GEA638" s="131"/>
      <c r="GEB638" s="131"/>
      <c r="GEC638" s="131"/>
      <c r="GED638" s="131"/>
      <c r="GEE638" s="131"/>
      <c r="GEF638" s="131"/>
      <c r="GEG638" s="131"/>
      <c r="GEH638" s="131"/>
      <c r="GEI638" s="131"/>
      <c r="GEJ638" s="131"/>
      <c r="GEK638" s="131"/>
      <c r="GEL638" s="131"/>
      <c r="GEM638" s="131"/>
      <c r="GEN638" s="131"/>
      <c r="GEO638" s="131"/>
      <c r="GEP638" s="131"/>
      <c r="GEQ638" s="131"/>
      <c r="GER638" s="131"/>
      <c r="GES638" s="131"/>
      <c r="GET638" s="131"/>
      <c r="GEU638" s="131"/>
      <c r="GEV638" s="131"/>
      <c r="GEW638" s="131"/>
      <c r="GEX638" s="131"/>
      <c r="GEY638" s="131"/>
      <c r="GEZ638" s="131"/>
      <c r="GFA638" s="131"/>
      <c r="GFB638" s="131"/>
      <c r="GFC638" s="131"/>
      <c r="GFD638" s="131"/>
      <c r="GFE638" s="131"/>
      <c r="GFF638" s="131"/>
      <c r="GFG638" s="131"/>
      <c r="GFH638" s="131"/>
      <c r="GFI638" s="131"/>
      <c r="GFJ638" s="131"/>
      <c r="GFK638" s="131"/>
      <c r="GFL638" s="131"/>
      <c r="GFM638" s="131"/>
      <c r="GFN638" s="131"/>
      <c r="GFO638" s="131"/>
      <c r="GFP638" s="131"/>
      <c r="GFQ638" s="131"/>
      <c r="GFR638" s="131"/>
      <c r="GFS638" s="131"/>
      <c r="GFT638" s="131"/>
      <c r="GFU638" s="131"/>
      <c r="GFV638" s="131"/>
      <c r="GFW638" s="131"/>
      <c r="GFX638" s="131"/>
      <c r="GFY638" s="131"/>
      <c r="GFZ638" s="131"/>
      <c r="GGA638" s="131"/>
      <c r="GGB638" s="131"/>
      <c r="GGC638" s="131"/>
      <c r="GGD638" s="131"/>
      <c r="GGE638" s="131"/>
      <c r="GGF638" s="131"/>
      <c r="GGG638" s="131"/>
      <c r="GGH638" s="131"/>
      <c r="GGI638" s="131"/>
      <c r="GGJ638" s="131"/>
      <c r="GGK638" s="131"/>
      <c r="GGL638" s="131"/>
      <c r="GGM638" s="131"/>
      <c r="GGN638" s="131"/>
      <c r="GGO638" s="131"/>
      <c r="GGP638" s="131"/>
      <c r="GGQ638" s="131"/>
      <c r="GGR638" s="131"/>
      <c r="GGS638" s="131"/>
      <c r="GGT638" s="131"/>
      <c r="GGU638" s="131"/>
      <c r="GGV638" s="131"/>
      <c r="GGW638" s="131"/>
      <c r="GGX638" s="131"/>
      <c r="GGY638" s="131"/>
      <c r="GGZ638" s="131"/>
      <c r="GHA638" s="131"/>
      <c r="GHB638" s="131"/>
      <c r="GHC638" s="131"/>
      <c r="GHD638" s="131"/>
      <c r="GHE638" s="131"/>
      <c r="GHF638" s="131"/>
      <c r="GHG638" s="131"/>
      <c r="GHH638" s="131"/>
      <c r="GHI638" s="131"/>
      <c r="GHJ638" s="131"/>
      <c r="GHK638" s="131"/>
      <c r="GHL638" s="131"/>
      <c r="GHM638" s="131"/>
      <c r="GHN638" s="131"/>
      <c r="GHO638" s="131"/>
      <c r="GHP638" s="131"/>
      <c r="GHQ638" s="131"/>
      <c r="GHR638" s="131"/>
      <c r="GHS638" s="131"/>
      <c r="GHT638" s="131"/>
      <c r="GHU638" s="131"/>
      <c r="GHV638" s="131"/>
      <c r="GHW638" s="131"/>
      <c r="GHX638" s="131"/>
      <c r="GHY638" s="131"/>
      <c r="GHZ638" s="131"/>
      <c r="GIA638" s="131"/>
      <c r="GIB638" s="131"/>
      <c r="GIC638" s="131"/>
      <c r="GID638" s="131"/>
      <c r="GIE638" s="131"/>
      <c r="GIF638" s="131"/>
      <c r="GIG638" s="131"/>
      <c r="GIH638" s="131"/>
      <c r="GII638" s="131"/>
      <c r="GIJ638" s="131"/>
      <c r="GIK638" s="131"/>
      <c r="GIL638" s="131"/>
      <c r="GIM638" s="131"/>
      <c r="GIN638" s="131"/>
      <c r="GIO638" s="131"/>
      <c r="GIP638" s="131"/>
      <c r="GIQ638" s="131"/>
      <c r="GIR638" s="131"/>
      <c r="GIS638" s="131"/>
      <c r="GIT638" s="131"/>
      <c r="GIU638" s="131"/>
      <c r="GIV638" s="131"/>
      <c r="GIW638" s="131"/>
      <c r="GIX638" s="131"/>
      <c r="GIY638" s="131"/>
      <c r="GIZ638" s="131"/>
      <c r="GJA638" s="131"/>
      <c r="GJB638" s="131"/>
      <c r="GJC638" s="131"/>
      <c r="GJD638" s="131"/>
      <c r="GJE638" s="131"/>
      <c r="GJF638" s="131"/>
      <c r="GJG638" s="131"/>
      <c r="GJH638" s="131"/>
      <c r="GJI638" s="131"/>
      <c r="GJJ638" s="131"/>
      <c r="GJK638" s="131"/>
      <c r="GJL638" s="131"/>
      <c r="GJM638" s="131"/>
      <c r="GJN638" s="131"/>
      <c r="GJO638" s="131"/>
      <c r="GJP638" s="131"/>
      <c r="GJQ638" s="131"/>
      <c r="GJR638" s="131"/>
      <c r="GJS638" s="131"/>
      <c r="GJT638" s="131"/>
      <c r="GJU638" s="131"/>
      <c r="GJV638" s="131"/>
      <c r="GJW638" s="131"/>
      <c r="GJX638" s="131"/>
      <c r="GJY638" s="131"/>
      <c r="GJZ638" s="131"/>
      <c r="GKA638" s="131"/>
      <c r="GKB638" s="131"/>
      <c r="GKC638" s="131"/>
      <c r="GKD638" s="131"/>
      <c r="GKE638" s="131"/>
      <c r="GKF638" s="131"/>
      <c r="GKG638" s="131"/>
      <c r="GKH638" s="131"/>
      <c r="GKI638" s="131"/>
      <c r="GKJ638" s="131"/>
      <c r="GKK638" s="131"/>
      <c r="GKL638" s="131"/>
      <c r="GKM638" s="131"/>
      <c r="GKN638" s="131"/>
      <c r="GKO638" s="131"/>
      <c r="GKP638" s="131"/>
      <c r="GKQ638" s="131"/>
      <c r="GKR638" s="131"/>
      <c r="GKS638" s="131"/>
      <c r="GKT638" s="131"/>
      <c r="GKU638" s="131"/>
      <c r="GKV638" s="131"/>
      <c r="GKW638" s="131"/>
      <c r="GKX638" s="131"/>
      <c r="GKY638" s="131"/>
      <c r="GKZ638" s="131"/>
      <c r="GLA638" s="131"/>
      <c r="GLB638" s="131"/>
      <c r="GLC638" s="131"/>
      <c r="GLD638" s="131"/>
      <c r="GLE638" s="131"/>
      <c r="GLF638" s="131"/>
      <c r="GLG638" s="131"/>
      <c r="GLH638" s="131"/>
      <c r="GLI638" s="131"/>
      <c r="GLJ638" s="131"/>
      <c r="GLK638" s="131"/>
      <c r="GLL638" s="131"/>
      <c r="GLM638" s="131"/>
      <c r="GLN638" s="131"/>
      <c r="GLO638" s="131"/>
      <c r="GLP638" s="131"/>
      <c r="GLQ638" s="131"/>
      <c r="GLR638" s="131"/>
      <c r="GLS638" s="131"/>
      <c r="GLT638" s="131"/>
      <c r="GLU638" s="131"/>
      <c r="GLV638" s="131"/>
      <c r="GLW638" s="131"/>
      <c r="GLX638" s="131"/>
      <c r="GLY638" s="131"/>
      <c r="GLZ638" s="131"/>
      <c r="GMA638" s="131"/>
      <c r="GMB638" s="131"/>
      <c r="GMC638" s="131"/>
      <c r="GMD638" s="131"/>
      <c r="GME638" s="131"/>
      <c r="GMF638" s="131"/>
      <c r="GMG638" s="131"/>
      <c r="GMH638" s="131"/>
      <c r="GMI638" s="131"/>
      <c r="GMJ638" s="131"/>
      <c r="GMK638" s="131"/>
      <c r="GML638" s="131"/>
      <c r="GMM638" s="131"/>
      <c r="GMN638" s="131"/>
      <c r="GMO638" s="131"/>
      <c r="GMP638" s="131"/>
      <c r="GMQ638" s="131"/>
      <c r="GMR638" s="131"/>
      <c r="GMS638" s="131"/>
      <c r="GMT638" s="131"/>
      <c r="GMU638" s="131"/>
      <c r="GMV638" s="131"/>
      <c r="GMW638" s="131"/>
      <c r="GMX638" s="131"/>
      <c r="GMY638" s="131"/>
      <c r="GMZ638" s="131"/>
      <c r="GNA638" s="131"/>
      <c r="GNB638" s="131"/>
      <c r="GNC638" s="131"/>
      <c r="GND638" s="131"/>
      <c r="GNE638" s="131"/>
      <c r="GNF638" s="131"/>
      <c r="GNG638" s="131"/>
      <c r="GNH638" s="131"/>
      <c r="GNI638" s="131"/>
      <c r="GNJ638" s="131"/>
      <c r="GNK638" s="131"/>
      <c r="GNL638" s="131"/>
      <c r="GNM638" s="131"/>
      <c r="GNN638" s="131"/>
      <c r="GNO638" s="131"/>
      <c r="GNP638" s="131"/>
      <c r="GNQ638" s="131"/>
      <c r="GNR638" s="131"/>
      <c r="GNS638" s="131"/>
      <c r="GNT638" s="131"/>
      <c r="GNU638" s="131"/>
      <c r="GNV638" s="131"/>
      <c r="GNW638" s="131"/>
      <c r="GNX638" s="131"/>
      <c r="GNY638" s="131"/>
      <c r="GNZ638" s="131"/>
      <c r="GOA638" s="131"/>
      <c r="GOB638" s="131"/>
      <c r="GOC638" s="131"/>
      <c r="GOD638" s="131"/>
      <c r="GOE638" s="131"/>
      <c r="GOF638" s="131"/>
      <c r="GOG638" s="131"/>
      <c r="GOH638" s="131"/>
      <c r="GOI638" s="131"/>
      <c r="GOJ638" s="131"/>
      <c r="GOK638" s="131"/>
      <c r="GOL638" s="131"/>
      <c r="GOM638" s="131"/>
      <c r="GON638" s="131"/>
      <c r="GOO638" s="131"/>
      <c r="GOP638" s="131"/>
      <c r="GOQ638" s="131"/>
      <c r="GOR638" s="131"/>
      <c r="GOS638" s="131"/>
      <c r="GOT638" s="131"/>
      <c r="GOU638" s="131"/>
      <c r="GOV638" s="131"/>
      <c r="GOW638" s="131"/>
      <c r="GOX638" s="131"/>
      <c r="GOY638" s="131"/>
      <c r="GOZ638" s="131"/>
      <c r="GPA638" s="131"/>
      <c r="GPB638" s="131"/>
      <c r="GPC638" s="131"/>
      <c r="GPD638" s="131"/>
      <c r="GPE638" s="131"/>
      <c r="GPF638" s="131"/>
      <c r="GPG638" s="131"/>
      <c r="GPH638" s="131"/>
      <c r="GPI638" s="131"/>
      <c r="GPJ638" s="131"/>
      <c r="GPK638" s="131"/>
      <c r="GPL638" s="131"/>
      <c r="GPM638" s="131"/>
      <c r="GPN638" s="131"/>
      <c r="GPO638" s="131"/>
      <c r="GPP638" s="131"/>
      <c r="GPQ638" s="131"/>
      <c r="GPR638" s="131"/>
      <c r="GPS638" s="131"/>
      <c r="GPT638" s="131"/>
      <c r="GPU638" s="131"/>
      <c r="GPV638" s="131"/>
      <c r="GPW638" s="131"/>
      <c r="GPX638" s="131"/>
      <c r="GPY638" s="131"/>
      <c r="GPZ638" s="131"/>
      <c r="GQA638" s="131"/>
      <c r="GQB638" s="131"/>
      <c r="GQC638" s="131"/>
      <c r="GQD638" s="131"/>
      <c r="GQE638" s="131"/>
      <c r="GQF638" s="131"/>
      <c r="GQG638" s="131"/>
      <c r="GQH638" s="131"/>
      <c r="GQI638" s="131"/>
      <c r="GQJ638" s="131"/>
      <c r="GQK638" s="131"/>
      <c r="GQL638" s="131"/>
      <c r="GQM638" s="131"/>
      <c r="GQN638" s="131"/>
      <c r="GQO638" s="131"/>
      <c r="GQP638" s="131"/>
      <c r="GQQ638" s="131"/>
      <c r="GQR638" s="131"/>
      <c r="GQS638" s="131"/>
      <c r="GQT638" s="131"/>
      <c r="GQU638" s="131"/>
      <c r="GQV638" s="131"/>
      <c r="GQW638" s="131"/>
      <c r="GQX638" s="131"/>
      <c r="GQY638" s="131"/>
      <c r="GQZ638" s="131"/>
      <c r="GRA638" s="131"/>
      <c r="GRB638" s="131"/>
      <c r="GRC638" s="131"/>
      <c r="GRD638" s="131"/>
      <c r="GRE638" s="131"/>
      <c r="GRF638" s="131"/>
      <c r="GRG638" s="131"/>
      <c r="GRH638" s="131"/>
      <c r="GRI638" s="131"/>
      <c r="GRJ638" s="131"/>
      <c r="GRK638" s="131"/>
      <c r="GRL638" s="131"/>
      <c r="GRM638" s="131"/>
      <c r="GRN638" s="131"/>
      <c r="GRO638" s="131"/>
      <c r="GRP638" s="131"/>
      <c r="GRQ638" s="131"/>
      <c r="GRR638" s="131"/>
      <c r="GRS638" s="131"/>
      <c r="GRT638" s="131"/>
      <c r="GRU638" s="131"/>
      <c r="GRV638" s="131"/>
      <c r="GRW638" s="131"/>
      <c r="GRX638" s="131"/>
      <c r="GRY638" s="131"/>
      <c r="GRZ638" s="131"/>
      <c r="GSA638" s="131"/>
      <c r="GSB638" s="131"/>
      <c r="GSC638" s="131"/>
      <c r="GSD638" s="131"/>
      <c r="GSE638" s="131"/>
      <c r="GSF638" s="131"/>
      <c r="GSG638" s="131"/>
      <c r="GSH638" s="131"/>
      <c r="GSI638" s="131"/>
      <c r="GSJ638" s="131"/>
      <c r="GSK638" s="131"/>
      <c r="GSL638" s="131"/>
      <c r="GSM638" s="131"/>
      <c r="GSN638" s="131"/>
      <c r="GSO638" s="131"/>
      <c r="GSP638" s="131"/>
      <c r="GSQ638" s="131"/>
      <c r="GSR638" s="131"/>
      <c r="GSS638" s="131"/>
      <c r="GST638" s="131"/>
      <c r="GSU638" s="131"/>
      <c r="GSV638" s="131"/>
      <c r="GSW638" s="131"/>
      <c r="GSX638" s="131"/>
      <c r="GSY638" s="131"/>
      <c r="GSZ638" s="131"/>
      <c r="GTA638" s="131"/>
      <c r="GTB638" s="131"/>
      <c r="GTC638" s="131"/>
      <c r="GTD638" s="131"/>
      <c r="GTE638" s="131"/>
      <c r="GTF638" s="131"/>
      <c r="GTG638" s="131"/>
      <c r="GTH638" s="131"/>
      <c r="GTI638" s="131"/>
      <c r="GTJ638" s="131"/>
      <c r="GTK638" s="131"/>
      <c r="GTL638" s="131"/>
      <c r="GTM638" s="131"/>
      <c r="GTN638" s="131"/>
      <c r="GTO638" s="131"/>
      <c r="GTP638" s="131"/>
      <c r="GTQ638" s="131"/>
      <c r="GTR638" s="131"/>
      <c r="GTS638" s="131"/>
      <c r="GTT638" s="131"/>
      <c r="GTU638" s="131"/>
      <c r="GTV638" s="131"/>
      <c r="GTW638" s="131"/>
      <c r="GTX638" s="131"/>
      <c r="GTY638" s="131"/>
      <c r="GTZ638" s="131"/>
      <c r="GUA638" s="131"/>
      <c r="GUB638" s="131"/>
      <c r="GUC638" s="131"/>
      <c r="GUD638" s="131"/>
      <c r="GUE638" s="131"/>
      <c r="GUF638" s="131"/>
      <c r="GUG638" s="131"/>
      <c r="GUH638" s="131"/>
      <c r="GUI638" s="131"/>
      <c r="GUJ638" s="131"/>
      <c r="GUK638" s="131"/>
      <c r="GUL638" s="131"/>
      <c r="GUM638" s="131"/>
      <c r="GUN638" s="131"/>
      <c r="GUO638" s="131"/>
      <c r="GUP638" s="131"/>
      <c r="GUQ638" s="131"/>
      <c r="GUR638" s="131"/>
      <c r="GUS638" s="131"/>
      <c r="GUT638" s="131"/>
      <c r="GUU638" s="131"/>
      <c r="GUV638" s="131"/>
      <c r="GUW638" s="131"/>
      <c r="GUX638" s="131"/>
      <c r="GUY638" s="131"/>
      <c r="GUZ638" s="131"/>
      <c r="GVA638" s="131"/>
      <c r="GVB638" s="131"/>
      <c r="GVC638" s="131"/>
      <c r="GVD638" s="131"/>
      <c r="GVE638" s="131"/>
      <c r="GVF638" s="131"/>
      <c r="GVG638" s="131"/>
      <c r="GVH638" s="131"/>
      <c r="GVI638" s="131"/>
      <c r="GVJ638" s="131"/>
      <c r="GVK638" s="131"/>
      <c r="GVL638" s="131"/>
      <c r="GVM638" s="131"/>
      <c r="GVN638" s="131"/>
      <c r="GVO638" s="131"/>
      <c r="GVP638" s="131"/>
      <c r="GVQ638" s="131"/>
      <c r="GVR638" s="131"/>
      <c r="GVS638" s="131"/>
      <c r="GVT638" s="131"/>
      <c r="GVU638" s="131"/>
      <c r="GVV638" s="131"/>
      <c r="GVW638" s="131"/>
      <c r="GVX638" s="131"/>
      <c r="GVY638" s="131"/>
      <c r="GVZ638" s="131"/>
      <c r="GWA638" s="131"/>
      <c r="GWB638" s="131"/>
      <c r="GWC638" s="131"/>
      <c r="GWD638" s="131"/>
      <c r="GWE638" s="131"/>
      <c r="GWF638" s="131"/>
      <c r="GWG638" s="131"/>
      <c r="GWH638" s="131"/>
      <c r="GWI638" s="131"/>
      <c r="GWJ638" s="131"/>
      <c r="GWK638" s="131"/>
      <c r="GWL638" s="131"/>
      <c r="GWM638" s="131"/>
      <c r="GWN638" s="131"/>
      <c r="GWO638" s="131"/>
      <c r="GWP638" s="131"/>
      <c r="GWQ638" s="131"/>
      <c r="GWR638" s="131"/>
      <c r="GWS638" s="131"/>
      <c r="GWT638" s="131"/>
      <c r="GWU638" s="131"/>
      <c r="GWV638" s="131"/>
      <c r="GWW638" s="131"/>
      <c r="GWX638" s="131"/>
      <c r="GWY638" s="131"/>
      <c r="GWZ638" s="131"/>
      <c r="GXA638" s="131"/>
      <c r="GXB638" s="131"/>
      <c r="GXC638" s="131"/>
      <c r="GXD638" s="131"/>
      <c r="GXE638" s="131"/>
      <c r="GXF638" s="131"/>
      <c r="GXG638" s="131"/>
      <c r="GXH638" s="131"/>
      <c r="GXI638" s="131"/>
      <c r="GXJ638" s="131"/>
      <c r="GXK638" s="131"/>
      <c r="GXL638" s="131"/>
      <c r="GXM638" s="131"/>
      <c r="GXN638" s="131"/>
      <c r="GXO638" s="131"/>
      <c r="GXP638" s="131"/>
      <c r="GXQ638" s="131"/>
      <c r="GXR638" s="131"/>
      <c r="GXS638" s="131"/>
      <c r="GXT638" s="131"/>
      <c r="GXU638" s="131"/>
      <c r="GXV638" s="131"/>
      <c r="GXW638" s="131"/>
      <c r="GXX638" s="131"/>
      <c r="GXY638" s="131"/>
      <c r="GXZ638" s="131"/>
      <c r="GYA638" s="131"/>
      <c r="GYB638" s="131"/>
      <c r="GYC638" s="131"/>
      <c r="GYD638" s="131"/>
      <c r="GYE638" s="131"/>
      <c r="GYF638" s="131"/>
      <c r="GYG638" s="131"/>
      <c r="GYH638" s="131"/>
      <c r="GYI638" s="131"/>
      <c r="GYJ638" s="131"/>
      <c r="GYK638" s="131"/>
      <c r="GYL638" s="131"/>
      <c r="GYM638" s="131"/>
      <c r="GYN638" s="131"/>
      <c r="GYO638" s="131"/>
      <c r="GYP638" s="131"/>
      <c r="GYQ638" s="131"/>
      <c r="GYR638" s="131"/>
      <c r="GYS638" s="131"/>
      <c r="GYT638" s="131"/>
      <c r="GYU638" s="131"/>
      <c r="GYV638" s="131"/>
      <c r="GYW638" s="131"/>
      <c r="GYX638" s="131"/>
      <c r="GYY638" s="131"/>
      <c r="GYZ638" s="131"/>
      <c r="GZA638" s="131"/>
      <c r="GZB638" s="131"/>
      <c r="GZC638" s="131"/>
      <c r="GZD638" s="131"/>
      <c r="GZE638" s="131"/>
      <c r="GZF638" s="131"/>
      <c r="GZG638" s="131"/>
      <c r="GZH638" s="131"/>
      <c r="GZI638" s="131"/>
      <c r="GZJ638" s="131"/>
      <c r="GZK638" s="131"/>
      <c r="GZL638" s="131"/>
      <c r="GZM638" s="131"/>
      <c r="GZN638" s="131"/>
      <c r="GZO638" s="131"/>
      <c r="GZP638" s="131"/>
      <c r="GZQ638" s="131"/>
      <c r="GZR638" s="131"/>
      <c r="GZS638" s="131"/>
      <c r="GZT638" s="131"/>
      <c r="GZU638" s="131"/>
      <c r="GZV638" s="131"/>
      <c r="GZW638" s="131"/>
      <c r="GZX638" s="131"/>
      <c r="GZY638" s="131"/>
      <c r="GZZ638" s="131"/>
      <c r="HAA638" s="131"/>
      <c r="HAB638" s="131"/>
      <c r="HAC638" s="131"/>
      <c r="HAD638" s="131"/>
      <c r="HAE638" s="131"/>
      <c r="HAF638" s="131"/>
      <c r="HAG638" s="131"/>
      <c r="HAH638" s="131"/>
      <c r="HAI638" s="131"/>
      <c r="HAJ638" s="131"/>
      <c r="HAK638" s="131"/>
      <c r="HAL638" s="131"/>
      <c r="HAM638" s="131"/>
      <c r="HAN638" s="131"/>
      <c r="HAO638" s="131"/>
      <c r="HAP638" s="131"/>
      <c r="HAQ638" s="131"/>
      <c r="HAR638" s="131"/>
      <c r="HAS638" s="131"/>
      <c r="HAT638" s="131"/>
      <c r="HAU638" s="131"/>
      <c r="HAV638" s="131"/>
      <c r="HAW638" s="131"/>
      <c r="HAX638" s="131"/>
      <c r="HAY638" s="131"/>
      <c r="HAZ638" s="131"/>
      <c r="HBA638" s="131"/>
      <c r="HBB638" s="131"/>
      <c r="HBC638" s="131"/>
      <c r="HBD638" s="131"/>
      <c r="HBE638" s="131"/>
      <c r="HBF638" s="131"/>
      <c r="HBG638" s="131"/>
      <c r="HBH638" s="131"/>
      <c r="HBI638" s="131"/>
      <c r="HBJ638" s="131"/>
      <c r="HBK638" s="131"/>
      <c r="HBL638" s="131"/>
      <c r="HBM638" s="131"/>
      <c r="HBN638" s="131"/>
      <c r="HBO638" s="131"/>
      <c r="HBP638" s="131"/>
      <c r="HBQ638" s="131"/>
      <c r="HBR638" s="131"/>
      <c r="HBS638" s="131"/>
      <c r="HBT638" s="131"/>
      <c r="HBU638" s="131"/>
      <c r="HBV638" s="131"/>
      <c r="HBW638" s="131"/>
      <c r="HBX638" s="131"/>
      <c r="HBY638" s="131"/>
      <c r="HBZ638" s="131"/>
      <c r="HCA638" s="131"/>
      <c r="HCB638" s="131"/>
      <c r="HCC638" s="131"/>
      <c r="HCD638" s="131"/>
      <c r="HCE638" s="131"/>
      <c r="HCF638" s="131"/>
      <c r="HCG638" s="131"/>
      <c r="HCH638" s="131"/>
      <c r="HCI638" s="131"/>
      <c r="HCJ638" s="131"/>
      <c r="HCK638" s="131"/>
      <c r="HCL638" s="131"/>
      <c r="HCM638" s="131"/>
      <c r="HCN638" s="131"/>
      <c r="HCO638" s="131"/>
      <c r="HCP638" s="131"/>
      <c r="HCQ638" s="131"/>
      <c r="HCR638" s="131"/>
      <c r="HCS638" s="131"/>
      <c r="HCT638" s="131"/>
      <c r="HCU638" s="131"/>
      <c r="HCV638" s="131"/>
      <c r="HCW638" s="131"/>
      <c r="HCX638" s="131"/>
      <c r="HCY638" s="131"/>
      <c r="HCZ638" s="131"/>
      <c r="HDA638" s="131"/>
      <c r="HDB638" s="131"/>
      <c r="HDC638" s="131"/>
      <c r="HDD638" s="131"/>
      <c r="HDE638" s="131"/>
      <c r="HDF638" s="131"/>
      <c r="HDG638" s="131"/>
      <c r="HDH638" s="131"/>
      <c r="HDI638" s="131"/>
      <c r="HDJ638" s="131"/>
      <c r="HDK638" s="131"/>
      <c r="HDL638" s="131"/>
      <c r="HDM638" s="131"/>
      <c r="HDN638" s="131"/>
      <c r="HDO638" s="131"/>
      <c r="HDP638" s="131"/>
      <c r="HDQ638" s="131"/>
      <c r="HDR638" s="131"/>
      <c r="HDS638" s="131"/>
      <c r="HDT638" s="131"/>
      <c r="HDU638" s="131"/>
      <c r="HDV638" s="131"/>
      <c r="HDW638" s="131"/>
      <c r="HDX638" s="131"/>
      <c r="HDY638" s="131"/>
      <c r="HDZ638" s="131"/>
      <c r="HEA638" s="131"/>
      <c r="HEB638" s="131"/>
      <c r="HEC638" s="131"/>
      <c r="HED638" s="131"/>
      <c r="HEE638" s="131"/>
      <c r="HEF638" s="131"/>
      <c r="HEG638" s="131"/>
      <c r="HEH638" s="131"/>
      <c r="HEI638" s="131"/>
      <c r="HEJ638" s="131"/>
      <c r="HEK638" s="131"/>
      <c r="HEL638" s="131"/>
      <c r="HEM638" s="131"/>
      <c r="HEN638" s="131"/>
      <c r="HEO638" s="131"/>
      <c r="HEP638" s="131"/>
      <c r="HEQ638" s="131"/>
      <c r="HER638" s="131"/>
      <c r="HES638" s="131"/>
      <c r="HET638" s="131"/>
      <c r="HEU638" s="131"/>
      <c r="HEV638" s="131"/>
      <c r="HEW638" s="131"/>
      <c r="HEX638" s="131"/>
      <c r="HEY638" s="131"/>
      <c r="HEZ638" s="131"/>
      <c r="HFA638" s="131"/>
      <c r="HFB638" s="131"/>
      <c r="HFC638" s="131"/>
      <c r="HFD638" s="131"/>
      <c r="HFE638" s="131"/>
      <c r="HFF638" s="131"/>
      <c r="HFG638" s="131"/>
      <c r="HFH638" s="131"/>
      <c r="HFI638" s="131"/>
      <c r="HFJ638" s="131"/>
      <c r="HFK638" s="131"/>
      <c r="HFL638" s="131"/>
      <c r="HFM638" s="131"/>
      <c r="HFN638" s="131"/>
      <c r="HFO638" s="131"/>
      <c r="HFP638" s="131"/>
      <c r="HFQ638" s="131"/>
      <c r="HFR638" s="131"/>
      <c r="HFS638" s="131"/>
      <c r="HFT638" s="131"/>
      <c r="HFU638" s="131"/>
      <c r="HFV638" s="131"/>
      <c r="HFW638" s="131"/>
      <c r="HFX638" s="131"/>
      <c r="HFY638" s="131"/>
      <c r="HFZ638" s="131"/>
      <c r="HGA638" s="131"/>
      <c r="HGB638" s="131"/>
      <c r="HGC638" s="131"/>
      <c r="HGD638" s="131"/>
      <c r="HGE638" s="131"/>
      <c r="HGF638" s="131"/>
      <c r="HGG638" s="131"/>
      <c r="HGH638" s="131"/>
      <c r="HGI638" s="131"/>
      <c r="HGJ638" s="131"/>
      <c r="HGK638" s="131"/>
      <c r="HGL638" s="131"/>
      <c r="HGM638" s="131"/>
      <c r="HGN638" s="131"/>
      <c r="HGO638" s="131"/>
      <c r="HGP638" s="131"/>
      <c r="HGQ638" s="131"/>
      <c r="HGR638" s="131"/>
      <c r="HGS638" s="131"/>
      <c r="HGT638" s="131"/>
      <c r="HGU638" s="131"/>
      <c r="HGV638" s="131"/>
      <c r="HGW638" s="131"/>
      <c r="HGX638" s="131"/>
      <c r="HGY638" s="131"/>
      <c r="HGZ638" s="131"/>
      <c r="HHA638" s="131"/>
      <c r="HHB638" s="131"/>
      <c r="HHC638" s="131"/>
      <c r="HHD638" s="131"/>
      <c r="HHE638" s="131"/>
      <c r="HHF638" s="131"/>
      <c r="HHG638" s="131"/>
      <c r="HHH638" s="131"/>
      <c r="HHI638" s="131"/>
      <c r="HHJ638" s="131"/>
      <c r="HHK638" s="131"/>
      <c r="HHL638" s="131"/>
      <c r="HHM638" s="131"/>
      <c r="HHN638" s="131"/>
      <c r="HHO638" s="131"/>
      <c r="HHP638" s="131"/>
      <c r="HHQ638" s="131"/>
      <c r="HHR638" s="131"/>
      <c r="HHS638" s="131"/>
      <c r="HHT638" s="131"/>
      <c r="HHU638" s="131"/>
      <c r="HHV638" s="131"/>
      <c r="HHW638" s="131"/>
      <c r="HHX638" s="131"/>
      <c r="HHY638" s="131"/>
      <c r="HHZ638" s="131"/>
      <c r="HIA638" s="131"/>
      <c r="HIB638" s="131"/>
      <c r="HIC638" s="131"/>
      <c r="HID638" s="131"/>
      <c r="HIE638" s="131"/>
      <c r="HIF638" s="131"/>
      <c r="HIG638" s="131"/>
      <c r="HIH638" s="131"/>
      <c r="HII638" s="131"/>
      <c r="HIJ638" s="131"/>
      <c r="HIK638" s="131"/>
      <c r="HIL638" s="131"/>
      <c r="HIM638" s="131"/>
      <c r="HIN638" s="131"/>
      <c r="HIO638" s="131"/>
      <c r="HIP638" s="131"/>
      <c r="HIQ638" s="131"/>
      <c r="HIR638" s="131"/>
      <c r="HIS638" s="131"/>
      <c r="HIT638" s="131"/>
      <c r="HIU638" s="131"/>
      <c r="HIV638" s="131"/>
      <c r="HIW638" s="131"/>
      <c r="HIX638" s="131"/>
      <c r="HIY638" s="131"/>
      <c r="HIZ638" s="131"/>
      <c r="HJA638" s="131"/>
      <c r="HJB638" s="131"/>
      <c r="HJC638" s="131"/>
      <c r="HJD638" s="131"/>
      <c r="HJE638" s="131"/>
      <c r="HJF638" s="131"/>
      <c r="HJG638" s="131"/>
      <c r="HJH638" s="131"/>
      <c r="HJI638" s="131"/>
      <c r="HJJ638" s="131"/>
      <c r="HJK638" s="131"/>
      <c r="HJL638" s="131"/>
      <c r="HJM638" s="131"/>
      <c r="HJN638" s="131"/>
      <c r="HJO638" s="131"/>
      <c r="HJP638" s="131"/>
      <c r="HJQ638" s="131"/>
      <c r="HJR638" s="131"/>
      <c r="HJS638" s="131"/>
      <c r="HJT638" s="131"/>
      <c r="HJU638" s="131"/>
      <c r="HJV638" s="131"/>
      <c r="HJW638" s="131"/>
      <c r="HJX638" s="131"/>
      <c r="HJY638" s="131"/>
      <c r="HJZ638" s="131"/>
      <c r="HKA638" s="131"/>
      <c r="HKB638" s="131"/>
      <c r="HKC638" s="131"/>
      <c r="HKD638" s="131"/>
      <c r="HKE638" s="131"/>
      <c r="HKF638" s="131"/>
      <c r="HKG638" s="131"/>
      <c r="HKH638" s="131"/>
      <c r="HKI638" s="131"/>
      <c r="HKJ638" s="131"/>
      <c r="HKK638" s="131"/>
      <c r="HKL638" s="131"/>
      <c r="HKM638" s="131"/>
      <c r="HKN638" s="131"/>
      <c r="HKO638" s="131"/>
      <c r="HKP638" s="131"/>
      <c r="HKQ638" s="131"/>
      <c r="HKR638" s="131"/>
      <c r="HKS638" s="131"/>
      <c r="HKT638" s="131"/>
      <c r="HKU638" s="131"/>
      <c r="HKV638" s="131"/>
      <c r="HKW638" s="131"/>
      <c r="HKX638" s="131"/>
      <c r="HKY638" s="131"/>
      <c r="HKZ638" s="131"/>
      <c r="HLA638" s="131"/>
      <c r="HLB638" s="131"/>
      <c r="HLC638" s="131"/>
      <c r="HLD638" s="131"/>
      <c r="HLE638" s="131"/>
      <c r="HLF638" s="131"/>
      <c r="HLG638" s="131"/>
      <c r="HLH638" s="131"/>
      <c r="HLI638" s="131"/>
      <c r="HLJ638" s="131"/>
      <c r="HLK638" s="131"/>
      <c r="HLL638" s="131"/>
      <c r="HLM638" s="131"/>
      <c r="HLN638" s="131"/>
      <c r="HLO638" s="131"/>
      <c r="HLP638" s="131"/>
      <c r="HLQ638" s="131"/>
      <c r="HLR638" s="131"/>
      <c r="HLS638" s="131"/>
      <c r="HLT638" s="131"/>
      <c r="HLU638" s="131"/>
      <c r="HLV638" s="131"/>
      <c r="HLW638" s="131"/>
      <c r="HLX638" s="131"/>
      <c r="HLY638" s="131"/>
      <c r="HLZ638" s="131"/>
      <c r="HMA638" s="131"/>
      <c r="HMB638" s="131"/>
      <c r="HMC638" s="131"/>
      <c r="HMD638" s="131"/>
      <c r="HME638" s="131"/>
      <c r="HMF638" s="131"/>
      <c r="HMG638" s="131"/>
      <c r="HMH638" s="131"/>
      <c r="HMI638" s="131"/>
      <c r="HMJ638" s="131"/>
      <c r="HMK638" s="131"/>
      <c r="HML638" s="131"/>
      <c r="HMM638" s="131"/>
      <c r="HMN638" s="131"/>
      <c r="HMO638" s="131"/>
      <c r="HMP638" s="131"/>
      <c r="HMQ638" s="131"/>
      <c r="HMR638" s="131"/>
      <c r="HMS638" s="131"/>
      <c r="HMT638" s="131"/>
      <c r="HMU638" s="131"/>
      <c r="HMV638" s="131"/>
      <c r="HMW638" s="131"/>
      <c r="HMX638" s="131"/>
      <c r="HMY638" s="131"/>
      <c r="HMZ638" s="131"/>
      <c r="HNA638" s="131"/>
      <c r="HNB638" s="131"/>
      <c r="HNC638" s="131"/>
      <c r="HND638" s="131"/>
      <c r="HNE638" s="131"/>
      <c r="HNF638" s="131"/>
      <c r="HNG638" s="131"/>
      <c r="HNH638" s="131"/>
      <c r="HNI638" s="131"/>
      <c r="HNJ638" s="131"/>
      <c r="HNK638" s="131"/>
      <c r="HNL638" s="131"/>
      <c r="HNM638" s="131"/>
      <c r="HNN638" s="131"/>
      <c r="HNO638" s="131"/>
      <c r="HNP638" s="131"/>
      <c r="HNQ638" s="131"/>
      <c r="HNR638" s="131"/>
      <c r="HNS638" s="131"/>
      <c r="HNT638" s="131"/>
      <c r="HNU638" s="131"/>
      <c r="HNV638" s="131"/>
      <c r="HNW638" s="131"/>
      <c r="HNX638" s="131"/>
      <c r="HNY638" s="131"/>
      <c r="HNZ638" s="131"/>
      <c r="HOA638" s="131"/>
      <c r="HOB638" s="131"/>
      <c r="HOC638" s="131"/>
      <c r="HOD638" s="131"/>
      <c r="HOE638" s="131"/>
      <c r="HOF638" s="131"/>
      <c r="HOG638" s="131"/>
      <c r="HOH638" s="131"/>
      <c r="HOI638" s="131"/>
      <c r="HOJ638" s="131"/>
      <c r="HOK638" s="131"/>
      <c r="HOL638" s="131"/>
      <c r="HOM638" s="131"/>
      <c r="HON638" s="131"/>
      <c r="HOO638" s="131"/>
      <c r="HOP638" s="131"/>
      <c r="HOQ638" s="131"/>
      <c r="HOR638" s="131"/>
      <c r="HOS638" s="131"/>
      <c r="HOT638" s="131"/>
      <c r="HOU638" s="131"/>
      <c r="HOV638" s="131"/>
      <c r="HOW638" s="131"/>
      <c r="HOX638" s="131"/>
      <c r="HOY638" s="131"/>
      <c r="HOZ638" s="131"/>
      <c r="HPA638" s="131"/>
      <c r="HPB638" s="131"/>
      <c r="HPC638" s="131"/>
      <c r="HPD638" s="131"/>
      <c r="HPE638" s="131"/>
      <c r="HPF638" s="131"/>
      <c r="HPG638" s="131"/>
      <c r="HPH638" s="131"/>
      <c r="HPI638" s="131"/>
      <c r="HPJ638" s="131"/>
      <c r="HPK638" s="131"/>
      <c r="HPL638" s="131"/>
      <c r="HPM638" s="131"/>
      <c r="HPN638" s="131"/>
      <c r="HPO638" s="131"/>
      <c r="HPP638" s="131"/>
      <c r="HPQ638" s="131"/>
      <c r="HPR638" s="131"/>
      <c r="HPS638" s="131"/>
      <c r="HPT638" s="131"/>
      <c r="HPU638" s="131"/>
      <c r="HPV638" s="131"/>
      <c r="HPW638" s="131"/>
      <c r="HPX638" s="131"/>
      <c r="HPY638" s="131"/>
      <c r="HPZ638" s="131"/>
      <c r="HQA638" s="131"/>
      <c r="HQB638" s="131"/>
      <c r="HQC638" s="131"/>
      <c r="HQD638" s="131"/>
      <c r="HQE638" s="131"/>
      <c r="HQF638" s="131"/>
      <c r="HQG638" s="131"/>
      <c r="HQH638" s="131"/>
      <c r="HQI638" s="131"/>
      <c r="HQJ638" s="131"/>
      <c r="HQK638" s="131"/>
      <c r="HQL638" s="131"/>
      <c r="HQM638" s="131"/>
      <c r="HQN638" s="131"/>
      <c r="HQO638" s="131"/>
      <c r="HQP638" s="131"/>
      <c r="HQQ638" s="131"/>
      <c r="HQR638" s="131"/>
      <c r="HQS638" s="131"/>
      <c r="HQT638" s="131"/>
      <c r="HQU638" s="131"/>
      <c r="HQV638" s="131"/>
      <c r="HQW638" s="131"/>
      <c r="HQX638" s="131"/>
      <c r="HQY638" s="131"/>
      <c r="HQZ638" s="131"/>
      <c r="HRA638" s="131"/>
      <c r="HRB638" s="131"/>
      <c r="HRC638" s="131"/>
      <c r="HRD638" s="131"/>
      <c r="HRE638" s="131"/>
      <c r="HRF638" s="131"/>
      <c r="HRG638" s="131"/>
      <c r="HRH638" s="131"/>
      <c r="HRI638" s="131"/>
      <c r="HRJ638" s="131"/>
      <c r="HRK638" s="131"/>
      <c r="HRL638" s="131"/>
      <c r="HRM638" s="131"/>
      <c r="HRN638" s="131"/>
      <c r="HRO638" s="131"/>
      <c r="HRP638" s="131"/>
      <c r="HRQ638" s="131"/>
      <c r="HRR638" s="131"/>
      <c r="HRS638" s="131"/>
      <c r="HRT638" s="131"/>
      <c r="HRU638" s="131"/>
      <c r="HRV638" s="131"/>
      <c r="HRW638" s="131"/>
      <c r="HRX638" s="131"/>
      <c r="HRY638" s="131"/>
      <c r="HRZ638" s="131"/>
      <c r="HSA638" s="131"/>
      <c r="HSB638" s="131"/>
      <c r="HSC638" s="131"/>
      <c r="HSD638" s="131"/>
      <c r="HSE638" s="131"/>
      <c r="HSF638" s="131"/>
      <c r="HSG638" s="131"/>
      <c r="HSH638" s="131"/>
      <c r="HSI638" s="131"/>
      <c r="HSJ638" s="131"/>
      <c r="HSK638" s="131"/>
      <c r="HSL638" s="131"/>
      <c r="HSM638" s="131"/>
      <c r="HSN638" s="131"/>
      <c r="HSO638" s="131"/>
      <c r="HSP638" s="131"/>
      <c r="HSQ638" s="131"/>
      <c r="HSR638" s="131"/>
      <c r="HSS638" s="131"/>
      <c r="HST638" s="131"/>
      <c r="HSU638" s="131"/>
      <c r="HSV638" s="131"/>
      <c r="HSW638" s="131"/>
      <c r="HSX638" s="131"/>
      <c r="HSY638" s="131"/>
      <c r="HSZ638" s="131"/>
      <c r="HTA638" s="131"/>
      <c r="HTB638" s="131"/>
      <c r="HTC638" s="131"/>
      <c r="HTD638" s="131"/>
      <c r="HTE638" s="131"/>
      <c r="HTF638" s="131"/>
      <c r="HTG638" s="131"/>
      <c r="HTH638" s="131"/>
      <c r="HTI638" s="131"/>
      <c r="HTJ638" s="131"/>
      <c r="HTK638" s="131"/>
      <c r="HTL638" s="131"/>
      <c r="HTM638" s="131"/>
      <c r="HTN638" s="131"/>
      <c r="HTO638" s="131"/>
      <c r="HTP638" s="131"/>
      <c r="HTQ638" s="131"/>
      <c r="HTR638" s="131"/>
      <c r="HTS638" s="131"/>
      <c r="HTT638" s="131"/>
      <c r="HTU638" s="131"/>
      <c r="HTV638" s="131"/>
      <c r="HTW638" s="131"/>
      <c r="HTX638" s="131"/>
      <c r="HTY638" s="131"/>
      <c r="HTZ638" s="131"/>
      <c r="HUA638" s="131"/>
      <c r="HUB638" s="131"/>
      <c r="HUC638" s="131"/>
      <c r="HUD638" s="131"/>
      <c r="HUE638" s="131"/>
      <c r="HUF638" s="131"/>
      <c r="HUG638" s="131"/>
      <c r="HUH638" s="131"/>
      <c r="HUI638" s="131"/>
      <c r="HUJ638" s="131"/>
      <c r="HUK638" s="131"/>
      <c r="HUL638" s="131"/>
      <c r="HUM638" s="131"/>
      <c r="HUN638" s="131"/>
      <c r="HUO638" s="131"/>
      <c r="HUP638" s="131"/>
      <c r="HUQ638" s="131"/>
      <c r="HUR638" s="131"/>
      <c r="HUS638" s="131"/>
      <c r="HUT638" s="131"/>
      <c r="HUU638" s="131"/>
      <c r="HUV638" s="131"/>
      <c r="HUW638" s="131"/>
      <c r="HUX638" s="131"/>
      <c r="HUY638" s="131"/>
      <c r="HUZ638" s="131"/>
      <c r="HVA638" s="131"/>
      <c r="HVB638" s="131"/>
      <c r="HVC638" s="131"/>
      <c r="HVD638" s="131"/>
      <c r="HVE638" s="131"/>
      <c r="HVF638" s="131"/>
      <c r="HVG638" s="131"/>
      <c r="HVH638" s="131"/>
      <c r="HVI638" s="131"/>
      <c r="HVJ638" s="131"/>
      <c r="HVK638" s="131"/>
      <c r="HVL638" s="131"/>
      <c r="HVM638" s="131"/>
      <c r="HVN638" s="131"/>
      <c r="HVO638" s="131"/>
      <c r="HVP638" s="131"/>
      <c r="HVQ638" s="131"/>
      <c r="HVR638" s="131"/>
      <c r="HVS638" s="131"/>
      <c r="HVT638" s="131"/>
      <c r="HVU638" s="131"/>
      <c r="HVV638" s="131"/>
      <c r="HVW638" s="131"/>
      <c r="HVX638" s="131"/>
      <c r="HVY638" s="131"/>
      <c r="HVZ638" s="131"/>
      <c r="HWA638" s="131"/>
      <c r="HWB638" s="131"/>
      <c r="HWC638" s="131"/>
      <c r="HWD638" s="131"/>
      <c r="HWE638" s="131"/>
      <c r="HWF638" s="131"/>
      <c r="HWG638" s="131"/>
      <c r="HWH638" s="131"/>
      <c r="HWI638" s="131"/>
      <c r="HWJ638" s="131"/>
      <c r="HWK638" s="131"/>
      <c r="HWL638" s="131"/>
      <c r="HWM638" s="131"/>
      <c r="HWN638" s="131"/>
      <c r="HWO638" s="131"/>
      <c r="HWP638" s="131"/>
      <c r="HWQ638" s="131"/>
      <c r="HWR638" s="131"/>
      <c r="HWS638" s="131"/>
      <c r="HWT638" s="131"/>
      <c r="HWU638" s="131"/>
      <c r="HWV638" s="131"/>
      <c r="HWW638" s="131"/>
      <c r="HWX638" s="131"/>
      <c r="HWY638" s="131"/>
      <c r="HWZ638" s="131"/>
      <c r="HXA638" s="131"/>
      <c r="HXB638" s="131"/>
      <c r="HXC638" s="131"/>
      <c r="HXD638" s="131"/>
      <c r="HXE638" s="131"/>
      <c r="HXF638" s="131"/>
      <c r="HXG638" s="131"/>
      <c r="HXH638" s="131"/>
      <c r="HXI638" s="131"/>
      <c r="HXJ638" s="131"/>
      <c r="HXK638" s="131"/>
      <c r="HXL638" s="131"/>
      <c r="HXM638" s="131"/>
      <c r="HXN638" s="131"/>
      <c r="HXO638" s="131"/>
      <c r="HXP638" s="131"/>
      <c r="HXQ638" s="131"/>
      <c r="HXR638" s="131"/>
      <c r="HXS638" s="131"/>
      <c r="HXT638" s="131"/>
      <c r="HXU638" s="131"/>
      <c r="HXV638" s="131"/>
      <c r="HXW638" s="131"/>
      <c r="HXX638" s="131"/>
      <c r="HXY638" s="131"/>
      <c r="HXZ638" s="131"/>
      <c r="HYA638" s="131"/>
      <c r="HYB638" s="131"/>
      <c r="HYC638" s="131"/>
      <c r="HYD638" s="131"/>
      <c r="HYE638" s="131"/>
      <c r="HYF638" s="131"/>
      <c r="HYG638" s="131"/>
      <c r="HYH638" s="131"/>
      <c r="HYI638" s="131"/>
      <c r="HYJ638" s="131"/>
      <c r="HYK638" s="131"/>
      <c r="HYL638" s="131"/>
      <c r="HYM638" s="131"/>
      <c r="HYN638" s="131"/>
      <c r="HYO638" s="131"/>
      <c r="HYP638" s="131"/>
      <c r="HYQ638" s="131"/>
      <c r="HYR638" s="131"/>
      <c r="HYS638" s="131"/>
      <c r="HYT638" s="131"/>
      <c r="HYU638" s="131"/>
      <c r="HYV638" s="131"/>
      <c r="HYW638" s="131"/>
      <c r="HYX638" s="131"/>
      <c r="HYY638" s="131"/>
      <c r="HYZ638" s="131"/>
      <c r="HZA638" s="131"/>
      <c r="HZB638" s="131"/>
      <c r="HZC638" s="131"/>
      <c r="HZD638" s="131"/>
      <c r="HZE638" s="131"/>
      <c r="HZF638" s="131"/>
      <c r="HZG638" s="131"/>
      <c r="HZH638" s="131"/>
      <c r="HZI638" s="131"/>
      <c r="HZJ638" s="131"/>
      <c r="HZK638" s="131"/>
      <c r="HZL638" s="131"/>
      <c r="HZM638" s="131"/>
      <c r="HZN638" s="131"/>
      <c r="HZO638" s="131"/>
      <c r="HZP638" s="131"/>
      <c r="HZQ638" s="131"/>
      <c r="HZR638" s="131"/>
      <c r="HZS638" s="131"/>
      <c r="HZT638" s="131"/>
      <c r="HZU638" s="131"/>
      <c r="HZV638" s="131"/>
      <c r="HZW638" s="131"/>
      <c r="HZX638" s="131"/>
      <c r="HZY638" s="131"/>
      <c r="HZZ638" s="131"/>
      <c r="IAA638" s="131"/>
      <c r="IAB638" s="131"/>
      <c r="IAC638" s="131"/>
      <c r="IAD638" s="131"/>
      <c r="IAE638" s="131"/>
      <c r="IAF638" s="131"/>
      <c r="IAG638" s="131"/>
      <c r="IAH638" s="131"/>
      <c r="IAI638" s="131"/>
      <c r="IAJ638" s="131"/>
      <c r="IAK638" s="131"/>
      <c r="IAL638" s="131"/>
      <c r="IAM638" s="131"/>
      <c r="IAN638" s="131"/>
      <c r="IAO638" s="131"/>
      <c r="IAP638" s="131"/>
      <c r="IAQ638" s="131"/>
      <c r="IAR638" s="131"/>
      <c r="IAS638" s="131"/>
      <c r="IAT638" s="131"/>
      <c r="IAU638" s="131"/>
      <c r="IAV638" s="131"/>
      <c r="IAW638" s="131"/>
      <c r="IAX638" s="131"/>
      <c r="IAY638" s="131"/>
      <c r="IAZ638" s="131"/>
      <c r="IBA638" s="131"/>
      <c r="IBB638" s="131"/>
      <c r="IBC638" s="131"/>
      <c r="IBD638" s="131"/>
      <c r="IBE638" s="131"/>
      <c r="IBF638" s="131"/>
      <c r="IBG638" s="131"/>
      <c r="IBH638" s="131"/>
      <c r="IBI638" s="131"/>
      <c r="IBJ638" s="131"/>
      <c r="IBK638" s="131"/>
      <c r="IBL638" s="131"/>
      <c r="IBM638" s="131"/>
      <c r="IBN638" s="131"/>
      <c r="IBO638" s="131"/>
      <c r="IBP638" s="131"/>
      <c r="IBQ638" s="131"/>
      <c r="IBR638" s="131"/>
      <c r="IBS638" s="131"/>
      <c r="IBT638" s="131"/>
      <c r="IBU638" s="131"/>
      <c r="IBV638" s="131"/>
      <c r="IBW638" s="131"/>
      <c r="IBX638" s="131"/>
      <c r="IBY638" s="131"/>
      <c r="IBZ638" s="131"/>
      <c r="ICA638" s="131"/>
      <c r="ICB638" s="131"/>
      <c r="ICC638" s="131"/>
      <c r="ICD638" s="131"/>
      <c r="ICE638" s="131"/>
      <c r="ICF638" s="131"/>
      <c r="ICG638" s="131"/>
      <c r="ICH638" s="131"/>
      <c r="ICI638" s="131"/>
      <c r="ICJ638" s="131"/>
      <c r="ICK638" s="131"/>
      <c r="ICL638" s="131"/>
      <c r="ICM638" s="131"/>
      <c r="ICN638" s="131"/>
      <c r="ICO638" s="131"/>
      <c r="ICP638" s="131"/>
      <c r="ICQ638" s="131"/>
      <c r="ICR638" s="131"/>
      <c r="ICS638" s="131"/>
      <c r="ICT638" s="131"/>
      <c r="ICU638" s="131"/>
      <c r="ICV638" s="131"/>
      <c r="ICW638" s="131"/>
      <c r="ICX638" s="131"/>
      <c r="ICY638" s="131"/>
      <c r="ICZ638" s="131"/>
      <c r="IDA638" s="131"/>
      <c r="IDB638" s="131"/>
      <c r="IDC638" s="131"/>
      <c r="IDD638" s="131"/>
      <c r="IDE638" s="131"/>
      <c r="IDF638" s="131"/>
      <c r="IDG638" s="131"/>
      <c r="IDH638" s="131"/>
      <c r="IDI638" s="131"/>
      <c r="IDJ638" s="131"/>
      <c r="IDK638" s="131"/>
      <c r="IDL638" s="131"/>
      <c r="IDM638" s="131"/>
      <c r="IDN638" s="131"/>
      <c r="IDO638" s="131"/>
      <c r="IDP638" s="131"/>
      <c r="IDQ638" s="131"/>
      <c r="IDR638" s="131"/>
      <c r="IDS638" s="131"/>
      <c r="IDT638" s="131"/>
      <c r="IDU638" s="131"/>
      <c r="IDV638" s="131"/>
      <c r="IDW638" s="131"/>
      <c r="IDX638" s="131"/>
      <c r="IDY638" s="131"/>
      <c r="IDZ638" s="131"/>
      <c r="IEA638" s="131"/>
      <c r="IEB638" s="131"/>
      <c r="IEC638" s="131"/>
      <c r="IED638" s="131"/>
      <c r="IEE638" s="131"/>
      <c r="IEF638" s="131"/>
      <c r="IEG638" s="131"/>
      <c r="IEH638" s="131"/>
      <c r="IEI638" s="131"/>
      <c r="IEJ638" s="131"/>
      <c r="IEK638" s="131"/>
      <c r="IEL638" s="131"/>
      <c r="IEM638" s="131"/>
      <c r="IEN638" s="131"/>
      <c r="IEO638" s="131"/>
      <c r="IEP638" s="131"/>
      <c r="IEQ638" s="131"/>
      <c r="IER638" s="131"/>
      <c r="IES638" s="131"/>
      <c r="IET638" s="131"/>
      <c r="IEU638" s="131"/>
      <c r="IEV638" s="131"/>
      <c r="IEW638" s="131"/>
      <c r="IEX638" s="131"/>
      <c r="IEY638" s="131"/>
      <c r="IEZ638" s="131"/>
      <c r="IFA638" s="131"/>
      <c r="IFB638" s="131"/>
      <c r="IFC638" s="131"/>
      <c r="IFD638" s="131"/>
      <c r="IFE638" s="131"/>
      <c r="IFF638" s="131"/>
      <c r="IFG638" s="131"/>
      <c r="IFH638" s="131"/>
      <c r="IFI638" s="131"/>
      <c r="IFJ638" s="131"/>
      <c r="IFK638" s="131"/>
      <c r="IFL638" s="131"/>
      <c r="IFM638" s="131"/>
      <c r="IFN638" s="131"/>
      <c r="IFO638" s="131"/>
      <c r="IFP638" s="131"/>
      <c r="IFQ638" s="131"/>
      <c r="IFR638" s="131"/>
      <c r="IFS638" s="131"/>
      <c r="IFT638" s="131"/>
      <c r="IFU638" s="131"/>
      <c r="IFV638" s="131"/>
      <c r="IFW638" s="131"/>
      <c r="IFX638" s="131"/>
      <c r="IFY638" s="131"/>
      <c r="IFZ638" s="131"/>
      <c r="IGA638" s="131"/>
      <c r="IGB638" s="131"/>
      <c r="IGC638" s="131"/>
      <c r="IGD638" s="131"/>
      <c r="IGE638" s="131"/>
      <c r="IGF638" s="131"/>
      <c r="IGG638" s="131"/>
      <c r="IGH638" s="131"/>
      <c r="IGI638" s="131"/>
      <c r="IGJ638" s="131"/>
      <c r="IGK638" s="131"/>
      <c r="IGL638" s="131"/>
      <c r="IGM638" s="131"/>
      <c r="IGN638" s="131"/>
      <c r="IGO638" s="131"/>
      <c r="IGP638" s="131"/>
      <c r="IGQ638" s="131"/>
      <c r="IGR638" s="131"/>
      <c r="IGS638" s="131"/>
      <c r="IGT638" s="131"/>
      <c r="IGU638" s="131"/>
      <c r="IGV638" s="131"/>
      <c r="IGW638" s="131"/>
      <c r="IGX638" s="131"/>
      <c r="IGY638" s="131"/>
      <c r="IGZ638" s="131"/>
      <c r="IHA638" s="131"/>
      <c r="IHB638" s="131"/>
      <c r="IHC638" s="131"/>
      <c r="IHD638" s="131"/>
      <c r="IHE638" s="131"/>
      <c r="IHF638" s="131"/>
      <c r="IHG638" s="131"/>
      <c r="IHH638" s="131"/>
      <c r="IHI638" s="131"/>
      <c r="IHJ638" s="131"/>
      <c r="IHK638" s="131"/>
      <c r="IHL638" s="131"/>
      <c r="IHM638" s="131"/>
      <c r="IHN638" s="131"/>
      <c r="IHO638" s="131"/>
      <c r="IHP638" s="131"/>
      <c r="IHQ638" s="131"/>
      <c r="IHR638" s="131"/>
      <c r="IHS638" s="131"/>
      <c r="IHT638" s="131"/>
      <c r="IHU638" s="131"/>
      <c r="IHV638" s="131"/>
      <c r="IHW638" s="131"/>
      <c r="IHX638" s="131"/>
      <c r="IHY638" s="131"/>
      <c r="IHZ638" s="131"/>
      <c r="IIA638" s="131"/>
      <c r="IIB638" s="131"/>
      <c r="IIC638" s="131"/>
      <c r="IID638" s="131"/>
      <c r="IIE638" s="131"/>
      <c r="IIF638" s="131"/>
      <c r="IIG638" s="131"/>
      <c r="IIH638" s="131"/>
      <c r="III638" s="131"/>
      <c r="IIJ638" s="131"/>
      <c r="IIK638" s="131"/>
      <c r="IIL638" s="131"/>
      <c r="IIM638" s="131"/>
      <c r="IIN638" s="131"/>
      <c r="IIO638" s="131"/>
      <c r="IIP638" s="131"/>
      <c r="IIQ638" s="131"/>
      <c r="IIR638" s="131"/>
      <c r="IIS638" s="131"/>
      <c r="IIT638" s="131"/>
      <c r="IIU638" s="131"/>
      <c r="IIV638" s="131"/>
      <c r="IIW638" s="131"/>
      <c r="IIX638" s="131"/>
      <c r="IIY638" s="131"/>
      <c r="IIZ638" s="131"/>
      <c r="IJA638" s="131"/>
      <c r="IJB638" s="131"/>
      <c r="IJC638" s="131"/>
      <c r="IJD638" s="131"/>
      <c r="IJE638" s="131"/>
      <c r="IJF638" s="131"/>
      <c r="IJG638" s="131"/>
      <c r="IJH638" s="131"/>
      <c r="IJI638" s="131"/>
      <c r="IJJ638" s="131"/>
      <c r="IJK638" s="131"/>
      <c r="IJL638" s="131"/>
      <c r="IJM638" s="131"/>
      <c r="IJN638" s="131"/>
      <c r="IJO638" s="131"/>
      <c r="IJP638" s="131"/>
      <c r="IJQ638" s="131"/>
      <c r="IJR638" s="131"/>
      <c r="IJS638" s="131"/>
      <c r="IJT638" s="131"/>
      <c r="IJU638" s="131"/>
      <c r="IJV638" s="131"/>
      <c r="IJW638" s="131"/>
      <c r="IJX638" s="131"/>
      <c r="IJY638" s="131"/>
      <c r="IJZ638" s="131"/>
      <c r="IKA638" s="131"/>
      <c r="IKB638" s="131"/>
      <c r="IKC638" s="131"/>
      <c r="IKD638" s="131"/>
      <c r="IKE638" s="131"/>
      <c r="IKF638" s="131"/>
      <c r="IKG638" s="131"/>
      <c r="IKH638" s="131"/>
      <c r="IKI638" s="131"/>
      <c r="IKJ638" s="131"/>
      <c r="IKK638" s="131"/>
      <c r="IKL638" s="131"/>
      <c r="IKM638" s="131"/>
      <c r="IKN638" s="131"/>
      <c r="IKO638" s="131"/>
      <c r="IKP638" s="131"/>
      <c r="IKQ638" s="131"/>
      <c r="IKR638" s="131"/>
      <c r="IKS638" s="131"/>
      <c r="IKT638" s="131"/>
      <c r="IKU638" s="131"/>
      <c r="IKV638" s="131"/>
      <c r="IKW638" s="131"/>
      <c r="IKX638" s="131"/>
      <c r="IKY638" s="131"/>
      <c r="IKZ638" s="131"/>
      <c r="ILA638" s="131"/>
      <c r="ILB638" s="131"/>
      <c r="ILC638" s="131"/>
      <c r="ILD638" s="131"/>
      <c r="ILE638" s="131"/>
      <c r="ILF638" s="131"/>
      <c r="ILG638" s="131"/>
      <c r="ILH638" s="131"/>
      <c r="ILI638" s="131"/>
      <c r="ILJ638" s="131"/>
      <c r="ILK638" s="131"/>
      <c r="ILL638" s="131"/>
      <c r="ILM638" s="131"/>
      <c r="ILN638" s="131"/>
      <c r="ILO638" s="131"/>
      <c r="ILP638" s="131"/>
      <c r="ILQ638" s="131"/>
      <c r="ILR638" s="131"/>
      <c r="ILS638" s="131"/>
      <c r="ILT638" s="131"/>
      <c r="ILU638" s="131"/>
      <c r="ILV638" s="131"/>
      <c r="ILW638" s="131"/>
      <c r="ILX638" s="131"/>
      <c r="ILY638" s="131"/>
      <c r="ILZ638" s="131"/>
      <c r="IMA638" s="131"/>
      <c r="IMB638" s="131"/>
      <c r="IMC638" s="131"/>
      <c r="IMD638" s="131"/>
      <c r="IME638" s="131"/>
      <c r="IMF638" s="131"/>
      <c r="IMG638" s="131"/>
      <c r="IMH638" s="131"/>
      <c r="IMI638" s="131"/>
      <c r="IMJ638" s="131"/>
      <c r="IMK638" s="131"/>
      <c r="IML638" s="131"/>
      <c r="IMM638" s="131"/>
      <c r="IMN638" s="131"/>
      <c r="IMO638" s="131"/>
      <c r="IMP638" s="131"/>
      <c r="IMQ638" s="131"/>
      <c r="IMR638" s="131"/>
      <c r="IMS638" s="131"/>
      <c r="IMT638" s="131"/>
      <c r="IMU638" s="131"/>
      <c r="IMV638" s="131"/>
      <c r="IMW638" s="131"/>
      <c r="IMX638" s="131"/>
      <c r="IMY638" s="131"/>
      <c r="IMZ638" s="131"/>
      <c r="INA638" s="131"/>
      <c r="INB638" s="131"/>
      <c r="INC638" s="131"/>
      <c r="IND638" s="131"/>
      <c r="INE638" s="131"/>
      <c r="INF638" s="131"/>
      <c r="ING638" s="131"/>
      <c r="INH638" s="131"/>
      <c r="INI638" s="131"/>
      <c r="INJ638" s="131"/>
      <c r="INK638" s="131"/>
      <c r="INL638" s="131"/>
      <c r="INM638" s="131"/>
      <c r="INN638" s="131"/>
      <c r="INO638" s="131"/>
      <c r="INP638" s="131"/>
      <c r="INQ638" s="131"/>
      <c r="INR638" s="131"/>
      <c r="INS638" s="131"/>
      <c r="INT638" s="131"/>
      <c r="INU638" s="131"/>
      <c r="INV638" s="131"/>
      <c r="INW638" s="131"/>
      <c r="INX638" s="131"/>
      <c r="INY638" s="131"/>
      <c r="INZ638" s="131"/>
      <c r="IOA638" s="131"/>
      <c r="IOB638" s="131"/>
      <c r="IOC638" s="131"/>
      <c r="IOD638" s="131"/>
      <c r="IOE638" s="131"/>
      <c r="IOF638" s="131"/>
      <c r="IOG638" s="131"/>
      <c r="IOH638" s="131"/>
      <c r="IOI638" s="131"/>
      <c r="IOJ638" s="131"/>
      <c r="IOK638" s="131"/>
      <c r="IOL638" s="131"/>
      <c r="IOM638" s="131"/>
      <c r="ION638" s="131"/>
      <c r="IOO638" s="131"/>
      <c r="IOP638" s="131"/>
      <c r="IOQ638" s="131"/>
      <c r="IOR638" s="131"/>
      <c r="IOS638" s="131"/>
      <c r="IOT638" s="131"/>
      <c r="IOU638" s="131"/>
      <c r="IOV638" s="131"/>
      <c r="IOW638" s="131"/>
      <c r="IOX638" s="131"/>
      <c r="IOY638" s="131"/>
      <c r="IOZ638" s="131"/>
      <c r="IPA638" s="131"/>
      <c r="IPB638" s="131"/>
      <c r="IPC638" s="131"/>
      <c r="IPD638" s="131"/>
      <c r="IPE638" s="131"/>
      <c r="IPF638" s="131"/>
      <c r="IPG638" s="131"/>
      <c r="IPH638" s="131"/>
      <c r="IPI638" s="131"/>
      <c r="IPJ638" s="131"/>
      <c r="IPK638" s="131"/>
      <c r="IPL638" s="131"/>
      <c r="IPM638" s="131"/>
      <c r="IPN638" s="131"/>
      <c r="IPO638" s="131"/>
      <c r="IPP638" s="131"/>
      <c r="IPQ638" s="131"/>
      <c r="IPR638" s="131"/>
      <c r="IPS638" s="131"/>
      <c r="IPT638" s="131"/>
      <c r="IPU638" s="131"/>
      <c r="IPV638" s="131"/>
      <c r="IPW638" s="131"/>
      <c r="IPX638" s="131"/>
      <c r="IPY638" s="131"/>
      <c r="IPZ638" s="131"/>
      <c r="IQA638" s="131"/>
      <c r="IQB638" s="131"/>
      <c r="IQC638" s="131"/>
      <c r="IQD638" s="131"/>
      <c r="IQE638" s="131"/>
      <c r="IQF638" s="131"/>
      <c r="IQG638" s="131"/>
      <c r="IQH638" s="131"/>
      <c r="IQI638" s="131"/>
      <c r="IQJ638" s="131"/>
      <c r="IQK638" s="131"/>
      <c r="IQL638" s="131"/>
      <c r="IQM638" s="131"/>
      <c r="IQN638" s="131"/>
      <c r="IQO638" s="131"/>
      <c r="IQP638" s="131"/>
      <c r="IQQ638" s="131"/>
      <c r="IQR638" s="131"/>
      <c r="IQS638" s="131"/>
      <c r="IQT638" s="131"/>
      <c r="IQU638" s="131"/>
      <c r="IQV638" s="131"/>
      <c r="IQW638" s="131"/>
      <c r="IQX638" s="131"/>
      <c r="IQY638" s="131"/>
      <c r="IQZ638" s="131"/>
      <c r="IRA638" s="131"/>
      <c r="IRB638" s="131"/>
      <c r="IRC638" s="131"/>
      <c r="IRD638" s="131"/>
      <c r="IRE638" s="131"/>
      <c r="IRF638" s="131"/>
      <c r="IRG638" s="131"/>
      <c r="IRH638" s="131"/>
      <c r="IRI638" s="131"/>
      <c r="IRJ638" s="131"/>
      <c r="IRK638" s="131"/>
      <c r="IRL638" s="131"/>
      <c r="IRM638" s="131"/>
      <c r="IRN638" s="131"/>
      <c r="IRO638" s="131"/>
      <c r="IRP638" s="131"/>
      <c r="IRQ638" s="131"/>
      <c r="IRR638" s="131"/>
      <c r="IRS638" s="131"/>
      <c r="IRT638" s="131"/>
      <c r="IRU638" s="131"/>
      <c r="IRV638" s="131"/>
      <c r="IRW638" s="131"/>
      <c r="IRX638" s="131"/>
      <c r="IRY638" s="131"/>
      <c r="IRZ638" s="131"/>
      <c r="ISA638" s="131"/>
      <c r="ISB638" s="131"/>
      <c r="ISC638" s="131"/>
      <c r="ISD638" s="131"/>
      <c r="ISE638" s="131"/>
      <c r="ISF638" s="131"/>
      <c r="ISG638" s="131"/>
      <c r="ISH638" s="131"/>
      <c r="ISI638" s="131"/>
      <c r="ISJ638" s="131"/>
      <c r="ISK638" s="131"/>
      <c r="ISL638" s="131"/>
      <c r="ISM638" s="131"/>
      <c r="ISN638" s="131"/>
      <c r="ISO638" s="131"/>
      <c r="ISP638" s="131"/>
      <c r="ISQ638" s="131"/>
      <c r="ISR638" s="131"/>
      <c r="ISS638" s="131"/>
      <c r="IST638" s="131"/>
      <c r="ISU638" s="131"/>
      <c r="ISV638" s="131"/>
      <c r="ISW638" s="131"/>
      <c r="ISX638" s="131"/>
      <c r="ISY638" s="131"/>
      <c r="ISZ638" s="131"/>
      <c r="ITA638" s="131"/>
      <c r="ITB638" s="131"/>
      <c r="ITC638" s="131"/>
      <c r="ITD638" s="131"/>
      <c r="ITE638" s="131"/>
      <c r="ITF638" s="131"/>
      <c r="ITG638" s="131"/>
      <c r="ITH638" s="131"/>
      <c r="ITI638" s="131"/>
      <c r="ITJ638" s="131"/>
      <c r="ITK638" s="131"/>
      <c r="ITL638" s="131"/>
      <c r="ITM638" s="131"/>
      <c r="ITN638" s="131"/>
      <c r="ITO638" s="131"/>
      <c r="ITP638" s="131"/>
      <c r="ITQ638" s="131"/>
      <c r="ITR638" s="131"/>
      <c r="ITS638" s="131"/>
      <c r="ITT638" s="131"/>
      <c r="ITU638" s="131"/>
      <c r="ITV638" s="131"/>
      <c r="ITW638" s="131"/>
      <c r="ITX638" s="131"/>
      <c r="ITY638" s="131"/>
      <c r="ITZ638" s="131"/>
      <c r="IUA638" s="131"/>
      <c r="IUB638" s="131"/>
      <c r="IUC638" s="131"/>
      <c r="IUD638" s="131"/>
      <c r="IUE638" s="131"/>
      <c r="IUF638" s="131"/>
      <c r="IUG638" s="131"/>
      <c r="IUH638" s="131"/>
      <c r="IUI638" s="131"/>
      <c r="IUJ638" s="131"/>
      <c r="IUK638" s="131"/>
      <c r="IUL638" s="131"/>
      <c r="IUM638" s="131"/>
      <c r="IUN638" s="131"/>
      <c r="IUO638" s="131"/>
      <c r="IUP638" s="131"/>
      <c r="IUQ638" s="131"/>
      <c r="IUR638" s="131"/>
      <c r="IUS638" s="131"/>
      <c r="IUT638" s="131"/>
      <c r="IUU638" s="131"/>
      <c r="IUV638" s="131"/>
      <c r="IUW638" s="131"/>
      <c r="IUX638" s="131"/>
      <c r="IUY638" s="131"/>
      <c r="IUZ638" s="131"/>
      <c r="IVA638" s="131"/>
      <c r="IVB638" s="131"/>
      <c r="IVC638" s="131"/>
      <c r="IVD638" s="131"/>
      <c r="IVE638" s="131"/>
      <c r="IVF638" s="131"/>
      <c r="IVG638" s="131"/>
      <c r="IVH638" s="131"/>
      <c r="IVI638" s="131"/>
      <c r="IVJ638" s="131"/>
      <c r="IVK638" s="131"/>
      <c r="IVL638" s="131"/>
      <c r="IVM638" s="131"/>
      <c r="IVN638" s="131"/>
      <c r="IVO638" s="131"/>
      <c r="IVP638" s="131"/>
      <c r="IVQ638" s="131"/>
      <c r="IVR638" s="131"/>
      <c r="IVS638" s="131"/>
      <c r="IVT638" s="131"/>
      <c r="IVU638" s="131"/>
      <c r="IVV638" s="131"/>
      <c r="IVW638" s="131"/>
      <c r="IVX638" s="131"/>
      <c r="IVY638" s="131"/>
      <c r="IVZ638" s="131"/>
      <c r="IWA638" s="131"/>
      <c r="IWB638" s="131"/>
      <c r="IWC638" s="131"/>
      <c r="IWD638" s="131"/>
      <c r="IWE638" s="131"/>
      <c r="IWF638" s="131"/>
      <c r="IWG638" s="131"/>
      <c r="IWH638" s="131"/>
      <c r="IWI638" s="131"/>
      <c r="IWJ638" s="131"/>
      <c r="IWK638" s="131"/>
      <c r="IWL638" s="131"/>
      <c r="IWM638" s="131"/>
      <c r="IWN638" s="131"/>
      <c r="IWO638" s="131"/>
      <c r="IWP638" s="131"/>
      <c r="IWQ638" s="131"/>
      <c r="IWR638" s="131"/>
      <c r="IWS638" s="131"/>
      <c r="IWT638" s="131"/>
      <c r="IWU638" s="131"/>
      <c r="IWV638" s="131"/>
      <c r="IWW638" s="131"/>
      <c r="IWX638" s="131"/>
      <c r="IWY638" s="131"/>
      <c r="IWZ638" s="131"/>
      <c r="IXA638" s="131"/>
      <c r="IXB638" s="131"/>
      <c r="IXC638" s="131"/>
      <c r="IXD638" s="131"/>
      <c r="IXE638" s="131"/>
      <c r="IXF638" s="131"/>
      <c r="IXG638" s="131"/>
      <c r="IXH638" s="131"/>
      <c r="IXI638" s="131"/>
      <c r="IXJ638" s="131"/>
      <c r="IXK638" s="131"/>
      <c r="IXL638" s="131"/>
      <c r="IXM638" s="131"/>
      <c r="IXN638" s="131"/>
      <c r="IXO638" s="131"/>
      <c r="IXP638" s="131"/>
      <c r="IXQ638" s="131"/>
      <c r="IXR638" s="131"/>
      <c r="IXS638" s="131"/>
      <c r="IXT638" s="131"/>
      <c r="IXU638" s="131"/>
      <c r="IXV638" s="131"/>
      <c r="IXW638" s="131"/>
      <c r="IXX638" s="131"/>
      <c r="IXY638" s="131"/>
      <c r="IXZ638" s="131"/>
      <c r="IYA638" s="131"/>
      <c r="IYB638" s="131"/>
      <c r="IYC638" s="131"/>
      <c r="IYD638" s="131"/>
      <c r="IYE638" s="131"/>
      <c r="IYF638" s="131"/>
      <c r="IYG638" s="131"/>
      <c r="IYH638" s="131"/>
      <c r="IYI638" s="131"/>
      <c r="IYJ638" s="131"/>
      <c r="IYK638" s="131"/>
      <c r="IYL638" s="131"/>
      <c r="IYM638" s="131"/>
      <c r="IYN638" s="131"/>
      <c r="IYO638" s="131"/>
      <c r="IYP638" s="131"/>
      <c r="IYQ638" s="131"/>
      <c r="IYR638" s="131"/>
      <c r="IYS638" s="131"/>
      <c r="IYT638" s="131"/>
      <c r="IYU638" s="131"/>
      <c r="IYV638" s="131"/>
      <c r="IYW638" s="131"/>
      <c r="IYX638" s="131"/>
      <c r="IYY638" s="131"/>
      <c r="IYZ638" s="131"/>
      <c r="IZA638" s="131"/>
      <c r="IZB638" s="131"/>
      <c r="IZC638" s="131"/>
      <c r="IZD638" s="131"/>
      <c r="IZE638" s="131"/>
      <c r="IZF638" s="131"/>
      <c r="IZG638" s="131"/>
      <c r="IZH638" s="131"/>
      <c r="IZI638" s="131"/>
      <c r="IZJ638" s="131"/>
      <c r="IZK638" s="131"/>
      <c r="IZL638" s="131"/>
      <c r="IZM638" s="131"/>
      <c r="IZN638" s="131"/>
      <c r="IZO638" s="131"/>
      <c r="IZP638" s="131"/>
      <c r="IZQ638" s="131"/>
      <c r="IZR638" s="131"/>
      <c r="IZS638" s="131"/>
      <c r="IZT638" s="131"/>
      <c r="IZU638" s="131"/>
      <c r="IZV638" s="131"/>
      <c r="IZW638" s="131"/>
      <c r="IZX638" s="131"/>
      <c r="IZY638" s="131"/>
      <c r="IZZ638" s="131"/>
      <c r="JAA638" s="131"/>
      <c r="JAB638" s="131"/>
      <c r="JAC638" s="131"/>
      <c r="JAD638" s="131"/>
      <c r="JAE638" s="131"/>
      <c r="JAF638" s="131"/>
      <c r="JAG638" s="131"/>
      <c r="JAH638" s="131"/>
      <c r="JAI638" s="131"/>
      <c r="JAJ638" s="131"/>
      <c r="JAK638" s="131"/>
      <c r="JAL638" s="131"/>
      <c r="JAM638" s="131"/>
      <c r="JAN638" s="131"/>
      <c r="JAO638" s="131"/>
      <c r="JAP638" s="131"/>
      <c r="JAQ638" s="131"/>
      <c r="JAR638" s="131"/>
      <c r="JAS638" s="131"/>
      <c r="JAT638" s="131"/>
      <c r="JAU638" s="131"/>
      <c r="JAV638" s="131"/>
      <c r="JAW638" s="131"/>
      <c r="JAX638" s="131"/>
      <c r="JAY638" s="131"/>
      <c r="JAZ638" s="131"/>
      <c r="JBA638" s="131"/>
      <c r="JBB638" s="131"/>
      <c r="JBC638" s="131"/>
      <c r="JBD638" s="131"/>
      <c r="JBE638" s="131"/>
      <c r="JBF638" s="131"/>
      <c r="JBG638" s="131"/>
      <c r="JBH638" s="131"/>
      <c r="JBI638" s="131"/>
      <c r="JBJ638" s="131"/>
      <c r="JBK638" s="131"/>
      <c r="JBL638" s="131"/>
      <c r="JBM638" s="131"/>
      <c r="JBN638" s="131"/>
      <c r="JBO638" s="131"/>
      <c r="JBP638" s="131"/>
      <c r="JBQ638" s="131"/>
      <c r="JBR638" s="131"/>
      <c r="JBS638" s="131"/>
      <c r="JBT638" s="131"/>
      <c r="JBU638" s="131"/>
      <c r="JBV638" s="131"/>
      <c r="JBW638" s="131"/>
      <c r="JBX638" s="131"/>
      <c r="JBY638" s="131"/>
      <c r="JBZ638" s="131"/>
      <c r="JCA638" s="131"/>
      <c r="JCB638" s="131"/>
      <c r="JCC638" s="131"/>
      <c r="JCD638" s="131"/>
      <c r="JCE638" s="131"/>
      <c r="JCF638" s="131"/>
      <c r="JCG638" s="131"/>
      <c r="JCH638" s="131"/>
      <c r="JCI638" s="131"/>
      <c r="JCJ638" s="131"/>
      <c r="JCK638" s="131"/>
      <c r="JCL638" s="131"/>
      <c r="JCM638" s="131"/>
      <c r="JCN638" s="131"/>
      <c r="JCO638" s="131"/>
      <c r="JCP638" s="131"/>
      <c r="JCQ638" s="131"/>
      <c r="JCR638" s="131"/>
      <c r="JCS638" s="131"/>
      <c r="JCT638" s="131"/>
      <c r="JCU638" s="131"/>
      <c r="JCV638" s="131"/>
      <c r="JCW638" s="131"/>
      <c r="JCX638" s="131"/>
      <c r="JCY638" s="131"/>
      <c r="JCZ638" s="131"/>
      <c r="JDA638" s="131"/>
      <c r="JDB638" s="131"/>
      <c r="JDC638" s="131"/>
      <c r="JDD638" s="131"/>
      <c r="JDE638" s="131"/>
      <c r="JDF638" s="131"/>
      <c r="JDG638" s="131"/>
      <c r="JDH638" s="131"/>
      <c r="JDI638" s="131"/>
      <c r="JDJ638" s="131"/>
      <c r="JDK638" s="131"/>
      <c r="JDL638" s="131"/>
      <c r="JDM638" s="131"/>
      <c r="JDN638" s="131"/>
      <c r="JDO638" s="131"/>
      <c r="JDP638" s="131"/>
      <c r="JDQ638" s="131"/>
      <c r="JDR638" s="131"/>
      <c r="JDS638" s="131"/>
      <c r="JDT638" s="131"/>
      <c r="JDU638" s="131"/>
      <c r="JDV638" s="131"/>
      <c r="JDW638" s="131"/>
      <c r="JDX638" s="131"/>
      <c r="JDY638" s="131"/>
      <c r="JDZ638" s="131"/>
      <c r="JEA638" s="131"/>
      <c r="JEB638" s="131"/>
      <c r="JEC638" s="131"/>
      <c r="JED638" s="131"/>
      <c r="JEE638" s="131"/>
      <c r="JEF638" s="131"/>
      <c r="JEG638" s="131"/>
      <c r="JEH638" s="131"/>
      <c r="JEI638" s="131"/>
      <c r="JEJ638" s="131"/>
      <c r="JEK638" s="131"/>
      <c r="JEL638" s="131"/>
      <c r="JEM638" s="131"/>
      <c r="JEN638" s="131"/>
      <c r="JEO638" s="131"/>
      <c r="JEP638" s="131"/>
      <c r="JEQ638" s="131"/>
      <c r="JER638" s="131"/>
      <c r="JES638" s="131"/>
      <c r="JET638" s="131"/>
      <c r="JEU638" s="131"/>
      <c r="JEV638" s="131"/>
      <c r="JEW638" s="131"/>
      <c r="JEX638" s="131"/>
      <c r="JEY638" s="131"/>
      <c r="JEZ638" s="131"/>
      <c r="JFA638" s="131"/>
      <c r="JFB638" s="131"/>
      <c r="JFC638" s="131"/>
      <c r="JFD638" s="131"/>
      <c r="JFE638" s="131"/>
      <c r="JFF638" s="131"/>
      <c r="JFG638" s="131"/>
      <c r="JFH638" s="131"/>
      <c r="JFI638" s="131"/>
      <c r="JFJ638" s="131"/>
      <c r="JFK638" s="131"/>
      <c r="JFL638" s="131"/>
      <c r="JFM638" s="131"/>
      <c r="JFN638" s="131"/>
      <c r="JFO638" s="131"/>
      <c r="JFP638" s="131"/>
      <c r="JFQ638" s="131"/>
      <c r="JFR638" s="131"/>
      <c r="JFS638" s="131"/>
      <c r="JFT638" s="131"/>
      <c r="JFU638" s="131"/>
      <c r="JFV638" s="131"/>
      <c r="JFW638" s="131"/>
      <c r="JFX638" s="131"/>
      <c r="JFY638" s="131"/>
      <c r="JFZ638" s="131"/>
      <c r="JGA638" s="131"/>
      <c r="JGB638" s="131"/>
      <c r="JGC638" s="131"/>
      <c r="JGD638" s="131"/>
      <c r="JGE638" s="131"/>
      <c r="JGF638" s="131"/>
      <c r="JGG638" s="131"/>
      <c r="JGH638" s="131"/>
      <c r="JGI638" s="131"/>
      <c r="JGJ638" s="131"/>
      <c r="JGK638" s="131"/>
      <c r="JGL638" s="131"/>
      <c r="JGM638" s="131"/>
      <c r="JGN638" s="131"/>
      <c r="JGO638" s="131"/>
      <c r="JGP638" s="131"/>
      <c r="JGQ638" s="131"/>
      <c r="JGR638" s="131"/>
      <c r="JGS638" s="131"/>
      <c r="JGT638" s="131"/>
      <c r="JGU638" s="131"/>
      <c r="JGV638" s="131"/>
      <c r="JGW638" s="131"/>
      <c r="JGX638" s="131"/>
      <c r="JGY638" s="131"/>
      <c r="JGZ638" s="131"/>
      <c r="JHA638" s="131"/>
      <c r="JHB638" s="131"/>
      <c r="JHC638" s="131"/>
      <c r="JHD638" s="131"/>
      <c r="JHE638" s="131"/>
      <c r="JHF638" s="131"/>
      <c r="JHG638" s="131"/>
      <c r="JHH638" s="131"/>
      <c r="JHI638" s="131"/>
      <c r="JHJ638" s="131"/>
      <c r="JHK638" s="131"/>
      <c r="JHL638" s="131"/>
      <c r="JHM638" s="131"/>
      <c r="JHN638" s="131"/>
      <c r="JHO638" s="131"/>
      <c r="JHP638" s="131"/>
      <c r="JHQ638" s="131"/>
      <c r="JHR638" s="131"/>
      <c r="JHS638" s="131"/>
      <c r="JHT638" s="131"/>
      <c r="JHU638" s="131"/>
      <c r="JHV638" s="131"/>
      <c r="JHW638" s="131"/>
      <c r="JHX638" s="131"/>
      <c r="JHY638" s="131"/>
      <c r="JHZ638" s="131"/>
      <c r="JIA638" s="131"/>
      <c r="JIB638" s="131"/>
      <c r="JIC638" s="131"/>
      <c r="JID638" s="131"/>
      <c r="JIE638" s="131"/>
      <c r="JIF638" s="131"/>
      <c r="JIG638" s="131"/>
      <c r="JIH638" s="131"/>
      <c r="JII638" s="131"/>
      <c r="JIJ638" s="131"/>
      <c r="JIK638" s="131"/>
      <c r="JIL638" s="131"/>
      <c r="JIM638" s="131"/>
      <c r="JIN638" s="131"/>
      <c r="JIO638" s="131"/>
      <c r="JIP638" s="131"/>
      <c r="JIQ638" s="131"/>
      <c r="JIR638" s="131"/>
      <c r="JIS638" s="131"/>
      <c r="JIT638" s="131"/>
      <c r="JIU638" s="131"/>
      <c r="JIV638" s="131"/>
      <c r="JIW638" s="131"/>
      <c r="JIX638" s="131"/>
      <c r="JIY638" s="131"/>
      <c r="JIZ638" s="131"/>
      <c r="JJA638" s="131"/>
      <c r="JJB638" s="131"/>
      <c r="JJC638" s="131"/>
      <c r="JJD638" s="131"/>
      <c r="JJE638" s="131"/>
      <c r="JJF638" s="131"/>
      <c r="JJG638" s="131"/>
      <c r="JJH638" s="131"/>
      <c r="JJI638" s="131"/>
      <c r="JJJ638" s="131"/>
      <c r="JJK638" s="131"/>
      <c r="JJL638" s="131"/>
      <c r="JJM638" s="131"/>
      <c r="JJN638" s="131"/>
      <c r="JJO638" s="131"/>
      <c r="JJP638" s="131"/>
      <c r="JJQ638" s="131"/>
      <c r="JJR638" s="131"/>
      <c r="JJS638" s="131"/>
      <c r="JJT638" s="131"/>
      <c r="JJU638" s="131"/>
      <c r="JJV638" s="131"/>
      <c r="JJW638" s="131"/>
      <c r="JJX638" s="131"/>
      <c r="JJY638" s="131"/>
      <c r="JJZ638" s="131"/>
      <c r="JKA638" s="131"/>
      <c r="JKB638" s="131"/>
      <c r="JKC638" s="131"/>
      <c r="JKD638" s="131"/>
      <c r="JKE638" s="131"/>
      <c r="JKF638" s="131"/>
      <c r="JKG638" s="131"/>
      <c r="JKH638" s="131"/>
      <c r="JKI638" s="131"/>
      <c r="JKJ638" s="131"/>
      <c r="JKK638" s="131"/>
      <c r="JKL638" s="131"/>
      <c r="JKM638" s="131"/>
      <c r="JKN638" s="131"/>
      <c r="JKO638" s="131"/>
      <c r="JKP638" s="131"/>
      <c r="JKQ638" s="131"/>
      <c r="JKR638" s="131"/>
      <c r="JKS638" s="131"/>
      <c r="JKT638" s="131"/>
      <c r="JKU638" s="131"/>
      <c r="JKV638" s="131"/>
      <c r="JKW638" s="131"/>
      <c r="JKX638" s="131"/>
      <c r="JKY638" s="131"/>
      <c r="JKZ638" s="131"/>
      <c r="JLA638" s="131"/>
      <c r="JLB638" s="131"/>
      <c r="JLC638" s="131"/>
      <c r="JLD638" s="131"/>
      <c r="JLE638" s="131"/>
      <c r="JLF638" s="131"/>
      <c r="JLG638" s="131"/>
      <c r="JLH638" s="131"/>
      <c r="JLI638" s="131"/>
      <c r="JLJ638" s="131"/>
      <c r="JLK638" s="131"/>
      <c r="JLL638" s="131"/>
      <c r="JLM638" s="131"/>
      <c r="JLN638" s="131"/>
      <c r="JLO638" s="131"/>
      <c r="JLP638" s="131"/>
      <c r="JLQ638" s="131"/>
      <c r="JLR638" s="131"/>
      <c r="JLS638" s="131"/>
      <c r="JLT638" s="131"/>
      <c r="JLU638" s="131"/>
      <c r="JLV638" s="131"/>
      <c r="JLW638" s="131"/>
      <c r="JLX638" s="131"/>
      <c r="JLY638" s="131"/>
      <c r="JLZ638" s="131"/>
      <c r="JMA638" s="131"/>
      <c r="JMB638" s="131"/>
      <c r="JMC638" s="131"/>
      <c r="JMD638" s="131"/>
      <c r="JME638" s="131"/>
      <c r="JMF638" s="131"/>
      <c r="JMG638" s="131"/>
      <c r="JMH638" s="131"/>
      <c r="JMI638" s="131"/>
      <c r="JMJ638" s="131"/>
      <c r="JMK638" s="131"/>
      <c r="JML638" s="131"/>
      <c r="JMM638" s="131"/>
      <c r="JMN638" s="131"/>
      <c r="JMO638" s="131"/>
      <c r="JMP638" s="131"/>
      <c r="JMQ638" s="131"/>
      <c r="JMR638" s="131"/>
      <c r="JMS638" s="131"/>
      <c r="JMT638" s="131"/>
      <c r="JMU638" s="131"/>
      <c r="JMV638" s="131"/>
      <c r="JMW638" s="131"/>
      <c r="JMX638" s="131"/>
      <c r="JMY638" s="131"/>
      <c r="JMZ638" s="131"/>
      <c r="JNA638" s="131"/>
      <c r="JNB638" s="131"/>
      <c r="JNC638" s="131"/>
      <c r="JND638" s="131"/>
      <c r="JNE638" s="131"/>
      <c r="JNF638" s="131"/>
      <c r="JNG638" s="131"/>
      <c r="JNH638" s="131"/>
      <c r="JNI638" s="131"/>
      <c r="JNJ638" s="131"/>
      <c r="JNK638" s="131"/>
      <c r="JNL638" s="131"/>
      <c r="JNM638" s="131"/>
      <c r="JNN638" s="131"/>
      <c r="JNO638" s="131"/>
      <c r="JNP638" s="131"/>
      <c r="JNQ638" s="131"/>
      <c r="JNR638" s="131"/>
      <c r="JNS638" s="131"/>
      <c r="JNT638" s="131"/>
      <c r="JNU638" s="131"/>
      <c r="JNV638" s="131"/>
      <c r="JNW638" s="131"/>
      <c r="JNX638" s="131"/>
      <c r="JNY638" s="131"/>
      <c r="JNZ638" s="131"/>
      <c r="JOA638" s="131"/>
      <c r="JOB638" s="131"/>
      <c r="JOC638" s="131"/>
      <c r="JOD638" s="131"/>
      <c r="JOE638" s="131"/>
      <c r="JOF638" s="131"/>
      <c r="JOG638" s="131"/>
      <c r="JOH638" s="131"/>
      <c r="JOI638" s="131"/>
      <c r="JOJ638" s="131"/>
      <c r="JOK638" s="131"/>
      <c r="JOL638" s="131"/>
      <c r="JOM638" s="131"/>
      <c r="JON638" s="131"/>
      <c r="JOO638" s="131"/>
      <c r="JOP638" s="131"/>
      <c r="JOQ638" s="131"/>
      <c r="JOR638" s="131"/>
      <c r="JOS638" s="131"/>
      <c r="JOT638" s="131"/>
      <c r="JOU638" s="131"/>
      <c r="JOV638" s="131"/>
      <c r="JOW638" s="131"/>
      <c r="JOX638" s="131"/>
      <c r="JOY638" s="131"/>
      <c r="JOZ638" s="131"/>
      <c r="JPA638" s="131"/>
      <c r="JPB638" s="131"/>
      <c r="JPC638" s="131"/>
      <c r="JPD638" s="131"/>
      <c r="JPE638" s="131"/>
      <c r="JPF638" s="131"/>
      <c r="JPG638" s="131"/>
      <c r="JPH638" s="131"/>
      <c r="JPI638" s="131"/>
      <c r="JPJ638" s="131"/>
      <c r="JPK638" s="131"/>
      <c r="JPL638" s="131"/>
      <c r="JPM638" s="131"/>
      <c r="JPN638" s="131"/>
      <c r="JPO638" s="131"/>
      <c r="JPP638" s="131"/>
      <c r="JPQ638" s="131"/>
      <c r="JPR638" s="131"/>
      <c r="JPS638" s="131"/>
      <c r="JPT638" s="131"/>
      <c r="JPU638" s="131"/>
      <c r="JPV638" s="131"/>
      <c r="JPW638" s="131"/>
      <c r="JPX638" s="131"/>
      <c r="JPY638" s="131"/>
      <c r="JPZ638" s="131"/>
      <c r="JQA638" s="131"/>
      <c r="JQB638" s="131"/>
      <c r="JQC638" s="131"/>
      <c r="JQD638" s="131"/>
      <c r="JQE638" s="131"/>
      <c r="JQF638" s="131"/>
      <c r="JQG638" s="131"/>
      <c r="JQH638" s="131"/>
      <c r="JQI638" s="131"/>
      <c r="JQJ638" s="131"/>
      <c r="JQK638" s="131"/>
      <c r="JQL638" s="131"/>
      <c r="JQM638" s="131"/>
      <c r="JQN638" s="131"/>
      <c r="JQO638" s="131"/>
      <c r="JQP638" s="131"/>
      <c r="JQQ638" s="131"/>
      <c r="JQR638" s="131"/>
      <c r="JQS638" s="131"/>
      <c r="JQT638" s="131"/>
      <c r="JQU638" s="131"/>
      <c r="JQV638" s="131"/>
      <c r="JQW638" s="131"/>
      <c r="JQX638" s="131"/>
      <c r="JQY638" s="131"/>
      <c r="JQZ638" s="131"/>
      <c r="JRA638" s="131"/>
      <c r="JRB638" s="131"/>
      <c r="JRC638" s="131"/>
      <c r="JRD638" s="131"/>
      <c r="JRE638" s="131"/>
      <c r="JRF638" s="131"/>
      <c r="JRG638" s="131"/>
      <c r="JRH638" s="131"/>
      <c r="JRI638" s="131"/>
      <c r="JRJ638" s="131"/>
      <c r="JRK638" s="131"/>
      <c r="JRL638" s="131"/>
      <c r="JRM638" s="131"/>
      <c r="JRN638" s="131"/>
      <c r="JRO638" s="131"/>
      <c r="JRP638" s="131"/>
      <c r="JRQ638" s="131"/>
      <c r="JRR638" s="131"/>
      <c r="JRS638" s="131"/>
      <c r="JRT638" s="131"/>
      <c r="JRU638" s="131"/>
      <c r="JRV638" s="131"/>
      <c r="JRW638" s="131"/>
      <c r="JRX638" s="131"/>
      <c r="JRY638" s="131"/>
      <c r="JRZ638" s="131"/>
      <c r="JSA638" s="131"/>
      <c r="JSB638" s="131"/>
      <c r="JSC638" s="131"/>
      <c r="JSD638" s="131"/>
      <c r="JSE638" s="131"/>
      <c r="JSF638" s="131"/>
      <c r="JSG638" s="131"/>
      <c r="JSH638" s="131"/>
      <c r="JSI638" s="131"/>
      <c r="JSJ638" s="131"/>
      <c r="JSK638" s="131"/>
      <c r="JSL638" s="131"/>
      <c r="JSM638" s="131"/>
      <c r="JSN638" s="131"/>
      <c r="JSO638" s="131"/>
      <c r="JSP638" s="131"/>
      <c r="JSQ638" s="131"/>
      <c r="JSR638" s="131"/>
      <c r="JSS638" s="131"/>
      <c r="JST638" s="131"/>
      <c r="JSU638" s="131"/>
      <c r="JSV638" s="131"/>
      <c r="JSW638" s="131"/>
      <c r="JSX638" s="131"/>
      <c r="JSY638" s="131"/>
      <c r="JSZ638" s="131"/>
      <c r="JTA638" s="131"/>
      <c r="JTB638" s="131"/>
      <c r="JTC638" s="131"/>
      <c r="JTD638" s="131"/>
      <c r="JTE638" s="131"/>
      <c r="JTF638" s="131"/>
      <c r="JTG638" s="131"/>
      <c r="JTH638" s="131"/>
      <c r="JTI638" s="131"/>
      <c r="JTJ638" s="131"/>
      <c r="JTK638" s="131"/>
      <c r="JTL638" s="131"/>
      <c r="JTM638" s="131"/>
      <c r="JTN638" s="131"/>
      <c r="JTO638" s="131"/>
      <c r="JTP638" s="131"/>
      <c r="JTQ638" s="131"/>
      <c r="JTR638" s="131"/>
      <c r="JTS638" s="131"/>
      <c r="JTT638" s="131"/>
      <c r="JTU638" s="131"/>
      <c r="JTV638" s="131"/>
      <c r="JTW638" s="131"/>
      <c r="JTX638" s="131"/>
      <c r="JTY638" s="131"/>
      <c r="JTZ638" s="131"/>
      <c r="JUA638" s="131"/>
      <c r="JUB638" s="131"/>
      <c r="JUC638" s="131"/>
      <c r="JUD638" s="131"/>
      <c r="JUE638" s="131"/>
      <c r="JUF638" s="131"/>
      <c r="JUG638" s="131"/>
      <c r="JUH638" s="131"/>
      <c r="JUI638" s="131"/>
      <c r="JUJ638" s="131"/>
      <c r="JUK638" s="131"/>
      <c r="JUL638" s="131"/>
      <c r="JUM638" s="131"/>
      <c r="JUN638" s="131"/>
      <c r="JUO638" s="131"/>
      <c r="JUP638" s="131"/>
      <c r="JUQ638" s="131"/>
      <c r="JUR638" s="131"/>
      <c r="JUS638" s="131"/>
      <c r="JUT638" s="131"/>
      <c r="JUU638" s="131"/>
      <c r="JUV638" s="131"/>
      <c r="JUW638" s="131"/>
      <c r="JUX638" s="131"/>
      <c r="JUY638" s="131"/>
      <c r="JUZ638" s="131"/>
      <c r="JVA638" s="131"/>
      <c r="JVB638" s="131"/>
      <c r="JVC638" s="131"/>
      <c r="JVD638" s="131"/>
      <c r="JVE638" s="131"/>
      <c r="JVF638" s="131"/>
      <c r="JVG638" s="131"/>
      <c r="JVH638" s="131"/>
      <c r="JVI638" s="131"/>
      <c r="JVJ638" s="131"/>
      <c r="JVK638" s="131"/>
      <c r="JVL638" s="131"/>
      <c r="JVM638" s="131"/>
      <c r="JVN638" s="131"/>
      <c r="JVO638" s="131"/>
      <c r="JVP638" s="131"/>
      <c r="JVQ638" s="131"/>
      <c r="JVR638" s="131"/>
      <c r="JVS638" s="131"/>
      <c r="JVT638" s="131"/>
      <c r="JVU638" s="131"/>
      <c r="JVV638" s="131"/>
      <c r="JVW638" s="131"/>
      <c r="JVX638" s="131"/>
      <c r="JVY638" s="131"/>
      <c r="JVZ638" s="131"/>
      <c r="JWA638" s="131"/>
      <c r="JWB638" s="131"/>
      <c r="JWC638" s="131"/>
      <c r="JWD638" s="131"/>
      <c r="JWE638" s="131"/>
      <c r="JWF638" s="131"/>
      <c r="JWG638" s="131"/>
      <c r="JWH638" s="131"/>
      <c r="JWI638" s="131"/>
      <c r="JWJ638" s="131"/>
      <c r="JWK638" s="131"/>
      <c r="JWL638" s="131"/>
      <c r="JWM638" s="131"/>
      <c r="JWN638" s="131"/>
      <c r="JWO638" s="131"/>
      <c r="JWP638" s="131"/>
      <c r="JWQ638" s="131"/>
      <c r="JWR638" s="131"/>
      <c r="JWS638" s="131"/>
      <c r="JWT638" s="131"/>
      <c r="JWU638" s="131"/>
      <c r="JWV638" s="131"/>
      <c r="JWW638" s="131"/>
      <c r="JWX638" s="131"/>
      <c r="JWY638" s="131"/>
      <c r="JWZ638" s="131"/>
      <c r="JXA638" s="131"/>
      <c r="JXB638" s="131"/>
      <c r="JXC638" s="131"/>
      <c r="JXD638" s="131"/>
      <c r="JXE638" s="131"/>
      <c r="JXF638" s="131"/>
      <c r="JXG638" s="131"/>
      <c r="JXH638" s="131"/>
      <c r="JXI638" s="131"/>
      <c r="JXJ638" s="131"/>
      <c r="JXK638" s="131"/>
      <c r="JXL638" s="131"/>
      <c r="JXM638" s="131"/>
      <c r="JXN638" s="131"/>
      <c r="JXO638" s="131"/>
      <c r="JXP638" s="131"/>
      <c r="JXQ638" s="131"/>
      <c r="JXR638" s="131"/>
      <c r="JXS638" s="131"/>
      <c r="JXT638" s="131"/>
      <c r="JXU638" s="131"/>
      <c r="JXV638" s="131"/>
      <c r="JXW638" s="131"/>
      <c r="JXX638" s="131"/>
      <c r="JXY638" s="131"/>
      <c r="JXZ638" s="131"/>
      <c r="JYA638" s="131"/>
      <c r="JYB638" s="131"/>
      <c r="JYC638" s="131"/>
      <c r="JYD638" s="131"/>
      <c r="JYE638" s="131"/>
      <c r="JYF638" s="131"/>
      <c r="JYG638" s="131"/>
      <c r="JYH638" s="131"/>
      <c r="JYI638" s="131"/>
      <c r="JYJ638" s="131"/>
      <c r="JYK638" s="131"/>
      <c r="JYL638" s="131"/>
      <c r="JYM638" s="131"/>
      <c r="JYN638" s="131"/>
      <c r="JYO638" s="131"/>
      <c r="JYP638" s="131"/>
      <c r="JYQ638" s="131"/>
      <c r="JYR638" s="131"/>
      <c r="JYS638" s="131"/>
      <c r="JYT638" s="131"/>
      <c r="JYU638" s="131"/>
      <c r="JYV638" s="131"/>
      <c r="JYW638" s="131"/>
      <c r="JYX638" s="131"/>
      <c r="JYY638" s="131"/>
      <c r="JYZ638" s="131"/>
      <c r="JZA638" s="131"/>
      <c r="JZB638" s="131"/>
      <c r="JZC638" s="131"/>
      <c r="JZD638" s="131"/>
      <c r="JZE638" s="131"/>
      <c r="JZF638" s="131"/>
      <c r="JZG638" s="131"/>
      <c r="JZH638" s="131"/>
      <c r="JZI638" s="131"/>
      <c r="JZJ638" s="131"/>
      <c r="JZK638" s="131"/>
      <c r="JZL638" s="131"/>
      <c r="JZM638" s="131"/>
      <c r="JZN638" s="131"/>
      <c r="JZO638" s="131"/>
      <c r="JZP638" s="131"/>
      <c r="JZQ638" s="131"/>
      <c r="JZR638" s="131"/>
      <c r="JZS638" s="131"/>
      <c r="JZT638" s="131"/>
      <c r="JZU638" s="131"/>
      <c r="JZV638" s="131"/>
      <c r="JZW638" s="131"/>
      <c r="JZX638" s="131"/>
      <c r="JZY638" s="131"/>
      <c r="JZZ638" s="131"/>
      <c r="KAA638" s="131"/>
      <c r="KAB638" s="131"/>
      <c r="KAC638" s="131"/>
      <c r="KAD638" s="131"/>
      <c r="KAE638" s="131"/>
      <c r="KAF638" s="131"/>
      <c r="KAG638" s="131"/>
      <c r="KAH638" s="131"/>
      <c r="KAI638" s="131"/>
      <c r="KAJ638" s="131"/>
      <c r="KAK638" s="131"/>
      <c r="KAL638" s="131"/>
      <c r="KAM638" s="131"/>
      <c r="KAN638" s="131"/>
      <c r="KAO638" s="131"/>
      <c r="KAP638" s="131"/>
      <c r="KAQ638" s="131"/>
      <c r="KAR638" s="131"/>
      <c r="KAS638" s="131"/>
      <c r="KAT638" s="131"/>
      <c r="KAU638" s="131"/>
      <c r="KAV638" s="131"/>
      <c r="KAW638" s="131"/>
      <c r="KAX638" s="131"/>
      <c r="KAY638" s="131"/>
      <c r="KAZ638" s="131"/>
      <c r="KBA638" s="131"/>
      <c r="KBB638" s="131"/>
      <c r="KBC638" s="131"/>
      <c r="KBD638" s="131"/>
      <c r="KBE638" s="131"/>
      <c r="KBF638" s="131"/>
      <c r="KBG638" s="131"/>
      <c r="KBH638" s="131"/>
      <c r="KBI638" s="131"/>
      <c r="KBJ638" s="131"/>
      <c r="KBK638" s="131"/>
      <c r="KBL638" s="131"/>
      <c r="KBM638" s="131"/>
      <c r="KBN638" s="131"/>
      <c r="KBO638" s="131"/>
      <c r="KBP638" s="131"/>
      <c r="KBQ638" s="131"/>
      <c r="KBR638" s="131"/>
      <c r="KBS638" s="131"/>
      <c r="KBT638" s="131"/>
      <c r="KBU638" s="131"/>
      <c r="KBV638" s="131"/>
      <c r="KBW638" s="131"/>
      <c r="KBX638" s="131"/>
      <c r="KBY638" s="131"/>
      <c r="KBZ638" s="131"/>
      <c r="KCA638" s="131"/>
      <c r="KCB638" s="131"/>
      <c r="KCC638" s="131"/>
      <c r="KCD638" s="131"/>
      <c r="KCE638" s="131"/>
      <c r="KCF638" s="131"/>
      <c r="KCG638" s="131"/>
      <c r="KCH638" s="131"/>
      <c r="KCI638" s="131"/>
      <c r="KCJ638" s="131"/>
      <c r="KCK638" s="131"/>
      <c r="KCL638" s="131"/>
      <c r="KCM638" s="131"/>
      <c r="KCN638" s="131"/>
      <c r="KCO638" s="131"/>
      <c r="KCP638" s="131"/>
      <c r="KCQ638" s="131"/>
      <c r="KCR638" s="131"/>
      <c r="KCS638" s="131"/>
      <c r="KCT638" s="131"/>
      <c r="KCU638" s="131"/>
      <c r="KCV638" s="131"/>
      <c r="KCW638" s="131"/>
      <c r="KCX638" s="131"/>
      <c r="KCY638" s="131"/>
      <c r="KCZ638" s="131"/>
      <c r="KDA638" s="131"/>
      <c r="KDB638" s="131"/>
      <c r="KDC638" s="131"/>
      <c r="KDD638" s="131"/>
      <c r="KDE638" s="131"/>
      <c r="KDF638" s="131"/>
      <c r="KDG638" s="131"/>
      <c r="KDH638" s="131"/>
      <c r="KDI638" s="131"/>
      <c r="KDJ638" s="131"/>
      <c r="KDK638" s="131"/>
      <c r="KDL638" s="131"/>
      <c r="KDM638" s="131"/>
      <c r="KDN638" s="131"/>
      <c r="KDO638" s="131"/>
      <c r="KDP638" s="131"/>
      <c r="KDQ638" s="131"/>
      <c r="KDR638" s="131"/>
      <c r="KDS638" s="131"/>
      <c r="KDT638" s="131"/>
      <c r="KDU638" s="131"/>
      <c r="KDV638" s="131"/>
      <c r="KDW638" s="131"/>
      <c r="KDX638" s="131"/>
      <c r="KDY638" s="131"/>
      <c r="KDZ638" s="131"/>
      <c r="KEA638" s="131"/>
      <c r="KEB638" s="131"/>
      <c r="KEC638" s="131"/>
      <c r="KED638" s="131"/>
      <c r="KEE638" s="131"/>
      <c r="KEF638" s="131"/>
      <c r="KEG638" s="131"/>
      <c r="KEH638" s="131"/>
      <c r="KEI638" s="131"/>
      <c r="KEJ638" s="131"/>
      <c r="KEK638" s="131"/>
      <c r="KEL638" s="131"/>
      <c r="KEM638" s="131"/>
      <c r="KEN638" s="131"/>
      <c r="KEO638" s="131"/>
      <c r="KEP638" s="131"/>
      <c r="KEQ638" s="131"/>
      <c r="KER638" s="131"/>
      <c r="KES638" s="131"/>
      <c r="KET638" s="131"/>
      <c r="KEU638" s="131"/>
      <c r="KEV638" s="131"/>
      <c r="KEW638" s="131"/>
      <c r="KEX638" s="131"/>
      <c r="KEY638" s="131"/>
      <c r="KEZ638" s="131"/>
      <c r="KFA638" s="131"/>
      <c r="KFB638" s="131"/>
      <c r="KFC638" s="131"/>
      <c r="KFD638" s="131"/>
      <c r="KFE638" s="131"/>
      <c r="KFF638" s="131"/>
      <c r="KFG638" s="131"/>
      <c r="KFH638" s="131"/>
      <c r="KFI638" s="131"/>
      <c r="KFJ638" s="131"/>
      <c r="KFK638" s="131"/>
      <c r="KFL638" s="131"/>
      <c r="KFM638" s="131"/>
      <c r="KFN638" s="131"/>
      <c r="KFO638" s="131"/>
      <c r="KFP638" s="131"/>
      <c r="KFQ638" s="131"/>
      <c r="KFR638" s="131"/>
      <c r="KFS638" s="131"/>
      <c r="KFT638" s="131"/>
      <c r="KFU638" s="131"/>
      <c r="KFV638" s="131"/>
      <c r="KFW638" s="131"/>
      <c r="KFX638" s="131"/>
      <c r="KFY638" s="131"/>
      <c r="KFZ638" s="131"/>
      <c r="KGA638" s="131"/>
      <c r="KGB638" s="131"/>
      <c r="KGC638" s="131"/>
      <c r="KGD638" s="131"/>
      <c r="KGE638" s="131"/>
      <c r="KGF638" s="131"/>
      <c r="KGG638" s="131"/>
      <c r="KGH638" s="131"/>
      <c r="KGI638" s="131"/>
      <c r="KGJ638" s="131"/>
      <c r="KGK638" s="131"/>
      <c r="KGL638" s="131"/>
      <c r="KGM638" s="131"/>
      <c r="KGN638" s="131"/>
      <c r="KGO638" s="131"/>
      <c r="KGP638" s="131"/>
      <c r="KGQ638" s="131"/>
      <c r="KGR638" s="131"/>
      <c r="KGS638" s="131"/>
      <c r="KGT638" s="131"/>
      <c r="KGU638" s="131"/>
      <c r="KGV638" s="131"/>
      <c r="KGW638" s="131"/>
      <c r="KGX638" s="131"/>
      <c r="KGY638" s="131"/>
      <c r="KGZ638" s="131"/>
      <c r="KHA638" s="131"/>
      <c r="KHB638" s="131"/>
      <c r="KHC638" s="131"/>
      <c r="KHD638" s="131"/>
      <c r="KHE638" s="131"/>
      <c r="KHF638" s="131"/>
      <c r="KHG638" s="131"/>
      <c r="KHH638" s="131"/>
      <c r="KHI638" s="131"/>
      <c r="KHJ638" s="131"/>
      <c r="KHK638" s="131"/>
      <c r="KHL638" s="131"/>
      <c r="KHM638" s="131"/>
      <c r="KHN638" s="131"/>
      <c r="KHO638" s="131"/>
      <c r="KHP638" s="131"/>
      <c r="KHQ638" s="131"/>
      <c r="KHR638" s="131"/>
      <c r="KHS638" s="131"/>
      <c r="KHT638" s="131"/>
      <c r="KHU638" s="131"/>
      <c r="KHV638" s="131"/>
      <c r="KHW638" s="131"/>
      <c r="KHX638" s="131"/>
      <c r="KHY638" s="131"/>
      <c r="KHZ638" s="131"/>
      <c r="KIA638" s="131"/>
      <c r="KIB638" s="131"/>
      <c r="KIC638" s="131"/>
      <c r="KID638" s="131"/>
      <c r="KIE638" s="131"/>
      <c r="KIF638" s="131"/>
      <c r="KIG638" s="131"/>
      <c r="KIH638" s="131"/>
      <c r="KII638" s="131"/>
      <c r="KIJ638" s="131"/>
      <c r="KIK638" s="131"/>
      <c r="KIL638" s="131"/>
      <c r="KIM638" s="131"/>
      <c r="KIN638" s="131"/>
      <c r="KIO638" s="131"/>
      <c r="KIP638" s="131"/>
      <c r="KIQ638" s="131"/>
      <c r="KIR638" s="131"/>
      <c r="KIS638" s="131"/>
      <c r="KIT638" s="131"/>
      <c r="KIU638" s="131"/>
      <c r="KIV638" s="131"/>
      <c r="KIW638" s="131"/>
      <c r="KIX638" s="131"/>
      <c r="KIY638" s="131"/>
      <c r="KIZ638" s="131"/>
      <c r="KJA638" s="131"/>
      <c r="KJB638" s="131"/>
      <c r="KJC638" s="131"/>
      <c r="KJD638" s="131"/>
      <c r="KJE638" s="131"/>
      <c r="KJF638" s="131"/>
      <c r="KJG638" s="131"/>
      <c r="KJH638" s="131"/>
      <c r="KJI638" s="131"/>
      <c r="KJJ638" s="131"/>
      <c r="KJK638" s="131"/>
      <c r="KJL638" s="131"/>
      <c r="KJM638" s="131"/>
      <c r="KJN638" s="131"/>
      <c r="KJO638" s="131"/>
      <c r="KJP638" s="131"/>
      <c r="KJQ638" s="131"/>
      <c r="KJR638" s="131"/>
      <c r="KJS638" s="131"/>
      <c r="KJT638" s="131"/>
      <c r="KJU638" s="131"/>
      <c r="KJV638" s="131"/>
      <c r="KJW638" s="131"/>
      <c r="KJX638" s="131"/>
      <c r="KJY638" s="131"/>
      <c r="KJZ638" s="131"/>
      <c r="KKA638" s="131"/>
      <c r="KKB638" s="131"/>
      <c r="KKC638" s="131"/>
      <c r="KKD638" s="131"/>
      <c r="KKE638" s="131"/>
      <c r="KKF638" s="131"/>
      <c r="KKG638" s="131"/>
      <c r="KKH638" s="131"/>
      <c r="KKI638" s="131"/>
      <c r="KKJ638" s="131"/>
      <c r="KKK638" s="131"/>
      <c r="KKL638" s="131"/>
      <c r="KKM638" s="131"/>
      <c r="KKN638" s="131"/>
      <c r="KKO638" s="131"/>
      <c r="KKP638" s="131"/>
      <c r="KKQ638" s="131"/>
      <c r="KKR638" s="131"/>
      <c r="KKS638" s="131"/>
      <c r="KKT638" s="131"/>
      <c r="KKU638" s="131"/>
      <c r="KKV638" s="131"/>
      <c r="KKW638" s="131"/>
      <c r="KKX638" s="131"/>
      <c r="KKY638" s="131"/>
      <c r="KKZ638" s="131"/>
      <c r="KLA638" s="131"/>
      <c r="KLB638" s="131"/>
      <c r="KLC638" s="131"/>
      <c r="KLD638" s="131"/>
      <c r="KLE638" s="131"/>
      <c r="KLF638" s="131"/>
      <c r="KLG638" s="131"/>
      <c r="KLH638" s="131"/>
      <c r="KLI638" s="131"/>
      <c r="KLJ638" s="131"/>
      <c r="KLK638" s="131"/>
      <c r="KLL638" s="131"/>
      <c r="KLM638" s="131"/>
      <c r="KLN638" s="131"/>
      <c r="KLO638" s="131"/>
      <c r="KLP638" s="131"/>
      <c r="KLQ638" s="131"/>
      <c r="KLR638" s="131"/>
      <c r="KLS638" s="131"/>
      <c r="KLT638" s="131"/>
      <c r="KLU638" s="131"/>
      <c r="KLV638" s="131"/>
      <c r="KLW638" s="131"/>
      <c r="KLX638" s="131"/>
      <c r="KLY638" s="131"/>
      <c r="KLZ638" s="131"/>
      <c r="KMA638" s="131"/>
      <c r="KMB638" s="131"/>
      <c r="KMC638" s="131"/>
      <c r="KMD638" s="131"/>
      <c r="KME638" s="131"/>
      <c r="KMF638" s="131"/>
      <c r="KMG638" s="131"/>
      <c r="KMH638" s="131"/>
      <c r="KMI638" s="131"/>
      <c r="KMJ638" s="131"/>
      <c r="KMK638" s="131"/>
      <c r="KML638" s="131"/>
      <c r="KMM638" s="131"/>
      <c r="KMN638" s="131"/>
      <c r="KMO638" s="131"/>
      <c r="KMP638" s="131"/>
      <c r="KMQ638" s="131"/>
      <c r="KMR638" s="131"/>
      <c r="KMS638" s="131"/>
      <c r="KMT638" s="131"/>
      <c r="KMU638" s="131"/>
      <c r="KMV638" s="131"/>
      <c r="KMW638" s="131"/>
      <c r="KMX638" s="131"/>
      <c r="KMY638" s="131"/>
      <c r="KMZ638" s="131"/>
      <c r="KNA638" s="131"/>
      <c r="KNB638" s="131"/>
      <c r="KNC638" s="131"/>
      <c r="KND638" s="131"/>
      <c r="KNE638" s="131"/>
      <c r="KNF638" s="131"/>
      <c r="KNG638" s="131"/>
      <c r="KNH638" s="131"/>
      <c r="KNI638" s="131"/>
      <c r="KNJ638" s="131"/>
      <c r="KNK638" s="131"/>
      <c r="KNL638" s="131"/>
      <c r="KNM638" s="131"/>
      <c r="KNN638" s="131"/>
      <c r="KNO638" s="131"/>
      <c r="KNP638" s="131"/>
      <c r="KNQ638" s="131"/>
      <c r="KNR638" s="131"/>
      <c r="KNS638" s="131"/>
      <c r="KNT638" s="131"/>
      <c r="KNU638" s="131"/>
      <c r="KNV638" s="131"/>
      <c r="KNW638" s="131"/>
      <c r="KNX638" s="131"/>
      <c r="KNY638" s="131"/>
      <c r="KNZ638" s="131"/>
      <c r="KOA638" s="131"/>
      <c r="KOB638" s="131"/>
      <c r="KOC638" s="131"/>
      <c r="KOD638" s="131"/>
      <c r="KOE638" s="131"/>
      <c r="KOF638" s="131"/>
      <c r="KOG638" s="131"/>
      <c r="KOH638" s="131"/>
      <c r="KOI638" s="131"/>
      <c r="KOJ638" s="131"/>
      <c r="KOK638" s="131"/>
      <c r="KOL638" s="131"/>
      <c r="KOM638" s="131"/>
      <c r="KON638" s="131"/>
      <c r="KOO638" s="131"/>
      <c r="KOP638" s="131"/>
      <c r="KOQ638" s="131"/>
      <c r="KOR638" s="131"/>
      <c r="KOS638" s="131"/>
      <c r="KOT638" s="131"/>
      <c r="KOU638" s="131"/>
      <c r="KOV638" s="131"/>
      <c r="KOW638" s="131"/>
      <c r="KOX638" s="131"/>
      <c r="KOY638" s="131"/>
      <c r="KOZ638" s="131"/>
      <c r="KPA638" s="131"/>
      <c r="KPB638" s="131"/>
      <c r="KPC638" s="131"/>
      <c r="KPD638" s="131"/>
      <c r="KPE638" s="131"/>
      <c r="KPF638" s="131"/>
      <c r="KPG638" s="131"/>
      <c r="KPH638" s="131"/>
      <c r="KPI638" s="131"/>
      <c r="KPJ638" s="131"/>
      <c r="KPK638" s="131"/>
      <c r="KPL638" s="131"/>
      <c r="KPM638" s="131"/>
      <c r="KPN638" s="131"/>
      <c r="KPO638" s="131"/>
      <c r="KPP638" s="131"/>
      <c r="KPQ638" s="131"/>
      <c r="KPR638" s="131"/>
      <c r="KPS638" s="131"/>
      <c r="KPT638" s="131"/>
      <c r="KPU638" s="131"/>
      <c r="KPV638" s="131"/>
      <c r="KPW638" s="131"/>
      <c r="KPX638" s="131"/>
      <c r="KPY638" s="131"/>
      <c r="KPZ638" s="131"/>
      <c r="KQA638" s="131"/>
      <c r="KQB638" s="131"/>
      <c r="KQC638" s="131"/>
      <c r="KQD638" s="131"/>
      <c r="KQE638" s="131"/>
      <c r="KQF638" s="131"/>
      <c r="KQG638" s="131"/>
      <c r="KQH638" s="131"/>
      <c r="KQI638" s="131"/>
      <c r="KQJ638" s="131"/>
      <c r="KQK638" s="131"/>
      <c r="KQL638" s="131"/>
      <c r="KQM638" s="131"/>
      <c r="KQN638" s="131"/>
      <c r="KQO638" s="131"/>
      <c r="KQP638" s="131"/>
      <c r="KQQ638" s="131"/>
      <c r="KQR638" s="131"/>
      <c r="KQS638" s="131"/>
      <c r="KQT638" s="131"/>
      <c r="KQU638" s="131"/>
      <c r="KQV638" s="131"/>
      <c r="KQW638" s="131"/>
      <c r="KQX638" s="131"/>
      <c r="KQY638" s="131"/>
      <c r="KQZ638" s="131"/>
      <c r="KRA638" s="131"/>
      <c r="KRB638" s="131"/>
      <c r="KRC638" s="131"/>
      <c r="KRD638" s="131"/>
      <c r="KRE638" s="131"/>
      <c r="KRF638" s="131"/>
      <c r="KRG638" s="131"/>
      <c r="KRH638" s="131"/>
      <c r="KRI638" s="131"/>
      <c r="KRJ638" s="131"/>
      <c r="KRK638" s="131"/>
      <c r="KRL638" s="131"/>
      <c r="KRM638" s="131"/>
      <c r="KRN638" s="131"/>
      <c r="KRO638" s="131"/>
      <c r="KRP638" s="131"/>
      <c r="KRQ638" s="131"/>
      <c r="KRR638" s="131"/>
      <c r="KRS638" s="131"/>
      <c r="KRT638" s="131"/>
      <c r="KRU638" s="131"/>
      <c r="KRV638" s="131"/>
      <c r="KRW638" s="131"/>
      <c r="KRX638" s="131"/>
      <c r="KRY638" s="131"/>
      <c r="KRZ638" s="131"/>
      <c r="KSA638" s="131"/>
      <c r="KSB638" s="131"/>
      <c r="KSC638" s="131"/>
      <c r="KSD638" s="131"/>
      <c r="KSE638" s="131"/>
      <c r="KSF638" s="131"/>
      <c r="KSG638" s="131"/>
      <c r="KSH638" s="131"/>
      <c r="KSI638" s="131"/>
      <c r="KSJ638" s="131"/>
      <c r="KSK638" s="131"/>
      <c r="KSL638" s="131"/>
      <c r="KSM638" s="131"/>
      <c r="KSN638" s="131"/>
      <c r="KSO638" s="131"/>
      <c r="KSP638" s="131"/>
      <c r="KSQ638" s="131"/>
      <c r="KSR638" s="131"/>
      <c r="KSS638" s="131"/>
      <c r="KST638" s="131"/>
      <c r="KSU638" s="131"/>
      <c r="KSV638" s="131"/>
      <c r="KSW638" s="131"/>
      <c r="KSX638" s="131"/>
      <c r="KSY638" s="131"/>
      <c r="KSZ638" s="131"/>
      <c r="KTA638" s="131"/>
      <c r="KTB638" s="131"/>
      <c r="KTC638" s="131"/>
      <c r="KTD638" s="131"/>
      <c r="KTE638" s="131"/>
      <c r="KTF638" s="131"/>
      <c r="KTG638" s="131"/>
      <c r="KTH638" s="131"/>
      <c r="KTI638" s="131"/>
      <c r="KTJ638" s="131"/>
      <c r="KTK638" s="131"/>
      <c r="KTL638" s="131"/>
      <c r="KTM638" s="131"/>
      <c r="KTN638" s="131"/>
      <c r="KTO638" s="131"/>
      <c r="KTP638" s="131"/>
      <c r="KTQ638" s="131"/>
      <c r="KTR638" s="131"/>
      <c r="KTS638" s="131"/>
      <c r="KTT638" s="131"/>
      <c r="KTU638" s="131"/>
      <c r="KTV638" s="131"/>
      <c r="KTW638" s="131"/>
      <c r="KTX638" s="131"/>
      <c r="KTY638" s="131"/>
      <c r="KTZ638" s="131"/>
      <c r="KUA638" s="131"/>
      <c r="KUB638" s="131"/>
      <c r="KUC638" s="131"/>
      <c r="KUD638" s="131"/>
      <c r="KUE638" s="131"/>
      <c r="KUF638" s="131"/>
      <c r="KUG638" s="131"/>
      <c r="KUH638" s="131"/>
      <c r="KUI638" s="131"/>
      <c r="KUJ638" s="131"/>
      <c r="KUK638" s="131"/>
      <c r="KUL638" s="131"/>
      <c r="KUM638" s="131"/>
      <c r="KUN638" s="131"/>
      <c r="KUO638" s="131"/>
      <c r="KUP638" s="131"/>
      <c r="KUQ638" s="131"/>
      <c r="KUR638" s="131"/>
      <c r="KUS638" s="131"/>
      <c r="KUT638" s="131"/>
      <c r="KUU638" s="131"/>
      <c r="KUV638" s="131"/>
      <c r="KUW638" s="131"/>
      <c r="KUX638" s="131"/>
      <c r="KUY638" s="131"/>
      <c r="KUZ638" s="131"/>
      <c r="KVA638" s="131"/>
      <c r="KVB638" s="131"/>
      <c r="KVC638" s="131"/>
      <c r="KVD638" s="131"/>
      <c r="KVE638" s="131"/>
      <c r="KVF638" s="131"/>
      <c r="KVG638" s="131"/>
      <c r="KVH638" s="131"/>
      <c r="KVI638" s="131"/>
      <c r="KVJ638" s="131"/>
      <c r="KVK638" s="131"/>
      <c r="KVL638" s="131"/>
      <c r="KVM638" s="131"/>
      <c r="KVN638" s="131"/>
      <c r="KVO638" s="131"/>
      <c r="KVP638" s="131"/>
      <c r="KVQ638" s="131"/>
      <c r="KVR638" s="131"/>
      <c r="KVS638" s="131"/>
      <c r="KVT638" s="131"/>
      <c r="KVU638" s="131"/>
      <c r="KVV638" s="131"/>
      <c r="KVW638" s="131"/>
      <c r="KVX638" s="131"/>
      <c r="KVY638" s="131"/>
      <c r="KVZ638" s="131"/>
      <c r="KWA638" s="131"/>
      <c r="KWB638" s="131"/>
      <c r="KWC638" s="131"/>
      <c r="KWD638" s="131"/>
      <c r="KWE638" s="131"/>
      <c r="KWF638" s="131"/>
      <c r="KWG638" s="131"/>
      <c r="KWH638" s="131"/>
      <c r="KWI638" s="131"/>
      <c r="KWJ638" s="131"/>
      <c r="KWK638" s="131"/>
      <c r="KWL638" s="131"/>
      <c r="KWM638" s="131"/>
      <c r="KWN638" s="131"/>
      <c r="KWO638" s="131"/>
      <c r="KWP638" s="131"/>
      <c r="KWQ638" s="131"/>
      <c r="KWR638" s="131"/>
      <c r="KWS638" s="131"/>
      <c r="KWT638" s="131"/>
      <c r="KWU638" s="131"/>
      <c r="KWV638" s="131"/>
      <c r="KWW638" s="131"/>
      <c r="KWX638" s="131"/>
      <c r="KWY638" s="131"/>
      <c r="KWZ638" s="131"/>
      <c r="KXA638" s="131"/>
      <c r="KXB638" s="131"/>
      <c r="KXC638" s="131"/>
      <c r="KXD638" s="131"/>
      <c r="KXE638" s="131"/>
      <c r="KXF638" s="131"/>
      <c r="KXG638" s="131"/>
      <c r="KXH638" s="131"/>
      <c r="KXI638" s="131"/>
      <c r="KXJ638" s="131"/>
      <c r="KXK638" s="131"/>
      <c r="KXL638" s="131"/>
      <c r="KXM638" s="131"/>
      <c r="KXN638" s="131"/>
      <c r="KXO638" s="131"/>
      <c r="KXP638" s="131"/>
      <c r="KXQ638" s="131"/>
      <c r="KXR638" s="131"/>
      <c r="KXS638" s="131"/>
      <c r="KXT638" s="131"/>
      <c r="KXU638" s="131"/>
      <c r="KXV638" s="131"/>
      <c r="KXW638" s="131"/>
      <c r="KXX638" s="131"/>
      <c r="KXY638" s="131"/>
      <c r="KXZ638" s="131"/>
      <c r="KYA638" s="131"/>
      <c r="KYB638" s="131"/>
      <c r="KYC638" s="131"/>
      <c r="KYD638" s="131"/>
      <c r="KYE638" s="131"/>
      <c r="KYF638" s="131"/>
      <c r="KYG638" s="131"/>
      <c r="KYH638" s="131"/>
      <c r="KYI638" s="131"/>
      <c r="KYJ638" s="131"/>
      <c r="KYK638" s="131"/>
      <c r="KYL638" s="131"/>
      <c r="KYM638" s="131"/>
      <c r="KYN638" s="131"/>
      <c r="KYO638" s="131"/>
      <c r="KYP638" s="131"/>
      <c r="KYQ638" s="131"/>
      <c r="KYR638" s="131"/>
      <c r="KYS638" s="131"/>
      <c r="KYT638" s="131"/>
      <c r="KYU638" s="131"/>
      <c r="KYV638" s="131"/>
      <c r="KYW638" s="131"/>
      <c r="KYX638" s="131"/>
      <c r="KYY638" s="131"/>
      <c r="KYZ638" s="131"/>
      <c r="KZA638" s="131"/>
      <c r="KZB638" s="131"/>
      <c r="KZC638" s="131"/>
      <c r="KZD638" s="131"/>
      <c r="KZE638" s="131"/>
      <c r="KZF638" s="131"/>
      <c r="KZG638" s="131"/>
      <c r="KZH638" s="131"/>
      <c r="KZI638" s="131"/>
      <c r="KZJ638" s="131"/>
      <c r="KZK638" s="131"/>
      <c r="KZL638" s="131"/>
      <c r="KZM638" s="131"/>
      <c r="KZN638" s="131"/>
      <c r="KZO638" s="131"/>
      <c r="KZP638" s="131"/>
      <c r="KZQ638" s="131"/>
      <c r="KZR638" s="131"/>
      <c r="KZS638" s="131"/>
      <c r="KZT638" s="131"/>
      <c r="KZU638" s="131"/>
      <c r="KZV638" s="131"/>
      <c r="KZW638" s="131"/>
      <c r="KZX638" s="131"/>
      <c r="KZY638" s="131"/>
      <c r="KZZ638" s="131"/>
      <c r="LAA638" s="131"/>
      <c r="LAB638" s="131"/>
      <c r="LAC638" s="131"/>
      <c r="LAD638" s="131"/>
      <c r="LAE638" s="131"/>
      <c r="LAF638" s="131"/>
      <c r="LAG638" s="131"/>
      <c r="LAH638" s="131"/>
      <c r="LAI638" s="131"/>
      <c r="LAJ638" s="131"/>
      <c r="LAK638" s="131"/>
      <c r="LAL638" s="131"/>
      <c r="LAM638" s="131"/>
      <c r="LAN638" s="131"/>
      <c r="LAO638" s="131"/>
      <c r="LAP638" s="131"/>
      <c r="LAQ638" s="131"/>
      <c r="LAR638" s="131"/>
      <c r="LAS638" s="131"/>
      <c r="LAT638" s="131"/>
      <c r="LAU638" s="131"/>
      <c r="LAV638" s="131"/>
      <c r="LAW638" s="131"/>
      <c r="LAX638" s="131"/>
      <c r="LAY638" s="131"/>
      <c r="LAZ638" s="131"/>
      <c r="LBA638" s="131"/>
      <c r="LBB638" s="131"/>
      <c r="LBC638" s="131"/>
      <c r="LBD638" s="131"/>
      <c r="LBE638" s="131"/>
      <c r="LBF638" s="131"/>
      <c r="LBG638" s="131"/>
      <c r="LBH638" s="131"/>
      <c r="LBI638" s="131"/>
      <c r="LBJ638" s="131"/>
      <c r="LBK638" s="131"/>
      <c r="LBL638" s="131"/>
      <c r="LBM638" s="131"/>
      <c r="LBN638" s="131"/>
      <c r="LBO638" s="131"/>
      <c r="LBP638" s="131"/>
      <c r="LBQ638" s="131"/>
      <c r="LBR638" s="131"/>
      <c r="LBS638" s="131"/>
      <c r="LBT638" s="131"/>
      <c r="LBU638" s="131"/>
      <c r="LBV638" s="131"/>
      <c r="LBW638" s="131"/>
      <c r="LBX638" s="131"/>
      <c r="LBY638" s="131"/>
      <c r="LBZ638" s="131"/>
      <c r="LCA638" s="131"/>
      <c r="LCB638" s="131"/>
      <c r="LCC638" s="131"/>
      <c r="LCD638" s="131"/>
      <c r="LCE638" s="131"/>
      <c r="LCF638" s="131"/>
      <c r="LCG638" s="131"/>
      <c r="LCH638" s="131"/>
      <c r="LCI638" s="131"/>
      <c r="LCJ638" s="131"/>
      <c r="LCK638" s="131"/>
      <c r="LCL638" s="131"/>
      <c r="LCM638" s="131"/>
      <c r="LCN638" s="131"/>
      <c r="LCO638" s="131"/>
      <c r="LCP638" s="131"/>
      <c r="LCQ638" s="131"/>
      <c r="LCR638" s="131"/>
      <c r="LCS638" s="131"/>
      <c r="LCT638" s="131"/>
      <c r="LCU638" s="131"/>
      <c r="LCV638" s="131"/>
      <c r="LCW638" s="131"/>
      <c r="LCX638" s="131"/>
      <c r="LCY638" s="131"/>
      <c r="LCZ638" s="131"/>
      <c r="LDA638" s="131"/>
      <c r="LDB638" s="131"/>
      <c r="LDC638" s="131"/>
      <c r="LDD638" s="131"/>
      <c r="LDE638" s="131"/>
      <c r="LDF638" s="131"/>
      <c r="LDG638" s="131"/>
      <c r="LDH638" s="131"/>
      <c r="LDI638" s="131"/>
      <c r="LDJ638" s="131"/>
      <c r="LDK638" s="131"/>
      <c r="LDL638" s="131"/>
      <c r="LDM638" s="131"/>
      <c r="LDN638" s="131"/>
      <c r="LDO638" s="131"/>
      <c r="LDP638" s="131"/>
      <c r="LDQ638" s="131"/>
      <c r="LDR638" s="131"/>
      <c r="LDS638" s="131"/>
      <c r="LDT638" s="131"/>
      <c r="LDU638" s="131"/>
      <c r="LDV638" s="131"/>
      <c r="LDW638" s="131"/>
      <c r="LDX638" s="131"/>
      <c r="LDY638" s="131"/>
      <c r="LDZ638" s="131"/>
      <c r="LEA638" s="131"/>
      <c r="LEB638" s="131"/>
      <c r="LEC638" s="131"/>
      <c r="LED638" s="131"/>
      <c r="LEE638" s="131"/>
      <c r="LEF638" s="131"/>
      <c r="LEG638" s="131"/>
      <c r="LEH638" s="131"/>
      <c r="LEI638" s="131"/>
      <c r="LEJ638" s="131"/>
      <c r="LEK638" s="131"/>
      <c r="LEL638" s="131"/>
      <c r="LEM638" s="131"/>
      <c r="LEN638" s="131"/>
      <c r="LEO638" s="131"/>
      <c r="LEP638" s="131"/>
      <c r="LEQ638" s="131"/>
      <c r="LER638" s="131"/>
      <c r="LES638" s="131"/>
      <c r="LET638" s="131"/>
      <c r="LEU638" s="131"/>
      <c r="LEV638" s="131"/>
      <c r="LEW638" s="131"/>
      <c r="LEX638" s="131"/>
      <c r="LEY638" s="131"/>
      <c r="LEZ638" s="131"/>
      <c r="LFA638" s="131"/>
      <c r="LFB638" s="131"/>
      <c r="LFC638" s="131"/>
      <c r="LFD638" s="131"/>
      <c r="LFE638" s="131"/>
      <c r="LFF638" s="131"/>
      <c r="LFG638" s="131"/>
      <c r="LFH638" s="131"/>
      <c r="LFI638" s="131"/>
      <c r="LFJ638" s="131"/>
      <c r="LFK638" s="131"/>
      <c r="LFL638" s="131"/>
      <c r="LFM638" s="131"/>
      <c r="LFN638" s="131"/>
      <c r="LFO638" s="131"/>
      <c r="LFP638" s="131"/>
      <c r="LFQ638" s="131"/>
      <c r="LFR638" s="131"/>
      <c r="LFS638" s="131"/>
      <c r="LFT638" s="131"/>
      <c r="LFU638" s="131"/>
      <c r="LFV638" s="131"/>
      <c r="LFW638" s="131"/>
      <c r="LFX638" s="131"/>
      <c r="LFY638" s="131"/>
      <c r="LFZ638" s="131"/>
      <c r="LGA638" s="131"/>
      <c r="LGB638" s="131"/>
      <c r="LGC638" s="131"/>
      <c r="LGD638" s="131"/>
      <c r="LGE638" s="131"/>
      <c r="LGF638" s="131"/>
      <c r="LGG638" s="131"/>
      <c r="LGH638" s="131"/>
      <c r="LGI638" s="131"/>
      <c r="LGJ638" s="131"/>
      <c r="LGK638" s="131"/>
      <c r="LGL638" s="131"/>
      <c r="LGM638" s="131"/>
      <c r="LGN638" s="131"/>
      <c r="LGO638" s="131"/>
      <c r="LGP638" s="131"/>
      <c r="LGQ638" s="131"/>
      <c r="LGR638" s="131"/>
      <c r="LGS638" s="131"/>
      <c r="LGT638" s="131"/>
      <c r="LGU638" s="131"/>
      <c r="LGV638" s="131"/>
      <c r="LGW638" s="131"/>
      <c r="LGX638" s="131"/>
      <c r="LGY638" s="131"/>
      <c r="LGZ638" s="131"/>
      <c r="LHA638" s="131"/>
      <c r="LHB638" s="131"/>
      <c r="LHC638" s="131"/>
      <c r="LHD638" s="131"/>
      <c r="LHE638" s="131"/>
      <c r="LHF638" s="131"/>
      <c r="LHG638" s="131"/>
      <c r="LHH638" s="131"/>
      <c r="LHI638" s="131"/>
      <c r="LHJ638" s="131"/>
      <c r="LHK638" s="131"/>
      <c r="LHL638" s="131"/>
      <c r="LHM638" s="131"/>
      <c r="LHN638" s="131"/>
      <c r="LHO638" s="131"/>
      <c r="LHP638" s="131"/>
      <c r="LHQ638" s="131"/>
      <c r="LHR638" s="131"/>
      <c r="LHS638" s="131"/>
      <c r="LHT638" s="131"/>
      <c r="LHU638" s="131"/>
      <c r="LHV638" s="131"/>
      <c r="LHW638" s="131"/>
      <c r="LHX638" s="131"/>
      <c r="LHY638" s="131"/>
      <c r="LHZ638" s="131"/>
      <c r="LIA638" s="131"/>
      <c r="LIB638" s="131"/>
      <c r="LIC638" s="131"/>
      <c r="LID638" s="131"/>
      <c r="LIE638" s="131"/>
      <c r="LIF638" s="131"/>
      <c r="LIG638" s="131"/>
      <c r="LIH638" s="131"/>
      <c r="LII638" s="131"/>
      <c r="LIJ638" s="131"/>
      <c r="LIK638" s="131"/>
      <c r="LIL638" s="131"/>
      <c r="LIM638" s="131"/>
      <c r="LIN638" s="131"/>
      <c r="LIO638" s="131"/>
      <c r="LIP638" s="131"/>
      <c r="LIQ638" s="131"/>
      <c r="LIR638" s="131"/>
      <c r="LIS638" s="131"/>
      <c r="LIT638" s="131"/>
      <c r="LIU638" s="131"/>
      <c r="LIV638" s="131"/>
      <c r="LIW638" s="131"/>
      <c r="LIX638" s="131"/>
      <c r="LIY638" s="131"/>
      <c r="LIZ638" s="131"/>
      <c r="LJA638" s="131"/>
      <c r="LJB638" s="131"/>
      <c r="LJC638" s="131"/>
      <c r="LJD638" s="131"/>
      <c r="LJE638" s="131"/>
      <c r="LJF638" s="131"/>
      <c r="LJG638" s="131"/>
      <c r="LJH638" s="131"/>
      <c r="LJI638" s="131"/>
      <c r="LJJ638" s="131"/>
      <c r="LJK638" s="131"/>
      <c r="LJL638" s="131"/>
      <c r="LJM638" s="131"/>
      <c r="LJN638" s="131"/>
      <c r="LJO638" s="131"/>
      <c r="LJP638" s="131"/>
      <c r="LJQ638" s="131"/>
      <c r="LJR638" s="131"/>
      <c r="LJS638" s="131"/>
      <c r="LJT638" s="131"/>
      <c r="LJU638" s="131"/>
      <c r="LJV638" s="131"/>
      <c r="LJW638" s="131"/>
      <c r="LJX638" s="131"/>
      <c r="LJY638" s="131"/>
      <c r="LJZ638" s="131"/>
      <c r="LKA638" s="131"/>
      <c r="LKB638" s="131"/>
      <c r="LKC638" s="131"/>
      <c r="LKD638" s="131"/>
      <c r="LKE638" s="131"/>
      <c r="LKF638" s="131"/>
      <c r="LKG638" s="131"/>
      <c r="LKH638" s="131"/>
      <c r="LKI638" s="131"/>
      <c r="LKJ638" s="131"/>
      <c r="LKK638" s="131"/>
      <c r="LKL638" s="131"/>
      <c r="LKM638" s="131"/>
      <c r="LKN638" s="131"/>
      <c r="LKO638" s="131"/>
      <c r="LKP638" s="131"/>
      <c r="LKQ638" s="131"/>
      <c r="LKR638" s="131"/>
      <c r="LKS638" s="131"/>
      <c r="LKT638" s="131"/>
      <c r="LKU638" s="131"/>
      <c r="LKV638" s="131"/>
      <c r="LKW638" s="131"/>
      <c r="LKX638" s="131"/>
      <c r="LKY638" s="131"/>
      <c r="LKZ638" s="131"/>
      <c r="LLA638" s="131"/>
      <c r="LLB638" s="131"/>
      <c r="LLC638" s="131"/>
      <c r="LLD638" s="131"/>
      <c r="LLE638" s="131"/>
      <c r="LLF638" s="131"/>
      <c r="LLG638" s="131"/>
      <c r="LLH638" s="131"/>
      <c r="LLI638" s="131"/>
      <c r="LLJ638" s="131"/>
      <c r="LLK638" s="131"/>
      <c r="LLL638" s="131"/>
      <c r="LLM638" s="131"/>
      <c r="LLN638" s="131"/>
      <c r="LLO638" s="131"/>
      <c r="LLP638" s="131"/>
      <c r="LLQ638" s="131"/>
      <c r="LLR638" s="131"/>
      <c r="LLS638" s="131"/>
      <c r="LLT638" s="131"/>
      <c r="LLU638" s="131"/>
      <c r="LLV638" s="131"/>
      <c r="LLW638" s="131"/>
      <c r="LLX638" s="131"/>
      <c r="LLY638" s="131"/>
      <c r="LLZ638" s="131"/>
      <c r="LMA638" s="131"/>
      <c r="LMB638" s="131"/>
      <c r="LMC638" s="131"/>
      <c r="LMD638" s="131"/>
      <c r="LME638" s="131"/>
      <c r="LMF638" s="131"/>
      <c r="LMG638" s="131"/>
      <c r="LMH638" s="131"/>
      <c r="LMI638" s="131"/>
      <c r="LMJ638" s="131"/>
      <c r="LMK638" s="131"/>
      <c r="LML638" s="131"/>
      <c r="LMM638" s="131"/>
      <c r="LMN638" s="131"/>
      <c r="LMO638" s="131"/>
      <c r="LMP638" s="131"/>
      <c r="LMQ638" s="131"/>
      <c r="LMR638" s="131"/>
      <c r="LMS638" s="131"/>
      <c r="LMT638" s="131"/>
      <c r="LMU638" s="131"/>
      <c r="LMV638" s="131"/>
      <c r="LMW638" s="131"/>
      <c r="LMX638" s="131"/>
      <c r="LMY638" s="131"/>
      <c r="LMZ638" s="131"/>
      <c r="LNA638" s="131"/>
      <c r="LNB638" s="131"/>
      <c r="LNC638" s="131"/>
      <c r="LND638" s="131"/>
      <c r="LNE638" s="131"/>
      <c r="LNF638" s="131"/>
      <c r="LNG638" s="131"/>
      <c r="LNH638" s="131"/>
      <c r="LNI638" s="131"/>
      <c r="LNJ638" s="131"/>
      <c r="LNK638" s="131"/>
      <c r="LNL638" s="131"/>
      <c r="LNM638" s="131"/>
      <c r="LNN638" s="131"/>
      <c r="LNO638" s="131"/>
      <c r="LNP638" s="131"/>
      <c r="LNQ638" s="131"/>
      <c r="LNR638" s="131"/>
      <c r="LNS638" s="131"/>
      <c r="LNT638" s="131"/>
      <c r="LNU638" s="131"/>
      <c r="LNV638" s="131"/>
      <c r="LNW638" s="131"/>
      <c r="LNX638" s="131"/>
      <c r="LNY638" s="131"/>
      <c r="LNZ638" s="131"/>
      <c r="LOA638" s="131"/>
      <c r="LOB638" s="131"/>
      <c r="LOC638" s="131"/>
      <c r="LOD638" s="131"/>
      <c r="LOE638" s="131"/>
      <c r="LOF638" s="131"/>
      <c r="LOG638" s="131"/>
      <c r="LOH638" s="131"/>
      <c r="LOI638" s="131"/>
      <c r="LOJ638" s="131"/>
      <c r="LOK638" s="131"/>
      <c r="LOL638" s="131"/>
      <c r="LOM638" s="131"/>
      <c r="LON638" s="131"/>
      <c r="LOO638" s="131"/>
      <c r="LOP638" s="131"/>
      <c r="LOQ638" s="131"/>
      <c r="LOR638" s="131"/>
      <c r="LOS638" s="131"/>
      <c r="LOT638" s="131"/>
      <c r="LOU638" s="131"/>
      <c r="LOV638" s="131"/>
      <c r="LOW638" s="131"/>
      <c r="LOX638" s="131"/>
      <c r="LOY638" s="131"/>
      <c r="LOZ638" s="131"/>
      <c r="LPA638" s="131"/>
      <c r="LPB638" s="131"/>
      <c r="LPC638" s="131"/>
      <c r="LPD638" s="131"/>
      <c r="LPE638" s="131"/>
      <c r="LPF638" s="131"/>
      <c r="LPG638" s="131"/>
      <c r="LPH638" s="131"/>
      <c r="LPI638" s="131"/>
      <c r="LPJ638" s="131"/>
      <c r="LPK638" s="131"/>
      <c r="LPL638" s="131"/>
      <c r="LPM638" s="131"/>
      <c r="LPN638" s="131"/>
      <c r="LPO638" s="131"/>
      <c r="LPP638" s="131"/>
      <c r="LPQ638" s="131"/>
      <c r="LPR638" s="131"/>
      <c r="LPS638" s="131"/>
      <c r="LPT638" s="131"/>
      <c r="LPU638" s="131"/>
      <c r="LPV638" s="131"/>
      <c r="LPW638" s="131"/>
      <c r="LPX638" s="131"/>
      <c r="LPY638" s="131"/>
      <c r="LPZ638" s="131"/>
      <c r="LQA638" s="131"/>
      <c r="LQB638" s="131"/>
      <c r="LQC638" s="131"/>
      <c r="LQD638" s="131"/>
      <c r="LQE638" s="131"/>
      <c r="LQF638" s="131"/>
      <c r="LQG638" s="131"/>
      <c r="LQH638" s="131"/>
      <c r="LQI638" s="131"/>
      <c r="LQJ638" s="131"/>
      <c r="LQK638" s="131"/>
      <c r="LQL638" s="131"/>
      <c r="LQM638" s="131"/>
      <c r="LQN638" s="131"/>
      <c r="LQO638" s="131"/>
      <c r="LQP638" s="131"/>
      <c r="LQQ638" s="131"/>
      <c r="LQR638" s="131"/>
      <c r="LQS638" s="131"/>
      <c r="LQT638" s="131"/>
      <c r="LQU638" s="131"/>
      <c r="LQV638" s="131"/>
      <c r="LQW638" s="131"/>
      <c r="LQX638" s="131"/>
      <c r="LQY638" s="131"/>
      <c r="LQZ638" s="131"/>
      <c r="LRA638" s="131"/>
      <c r="LRB638" s="131"/>
      <c r="LRC638" s="131"/>
      <c r="LRD638" s="131"/>
      <c r="LRE638" s="131"/>
      <c r="LRF638" s="131"/>
      <c r="LRG638" s="131"/>
      <c r="LRH638" s="131"/>
      <c r="LRI638" s="131"/>
      <c r="LRJ638" s="131"/>
      <c r="LRK638" s="131"/>
      <c r="LRL638" s="131"/>
      <c r="LRM638" s="131"/>
      <c r="LRN638" s="131"/>
      <c r="LRO638" s="131"/>
      <c r="LRP638" s="131"/>
      <c r="LRQ638" s="131"/>
      <c r="LRR638" s="131"/>
      <c r="LRS638" s="131"/>
      <c r="LRT638" s="131"/>
      <c r="LRU638" s="131"/>
      <c r="LRV638" s="131"/>
      <c r="LRW638" s="131"/>
      <c r="LRX638" s="131"/>
      <c r="LRY638" s="131"/>
      <c r="LRZ638" s="131"/>
      <c r="LSA638" s="131"/>
      <c r="LSB638" s="131"/>
      <c r="LSC638" s="131"/>
      <c r="LSD638" s="131"/>
      <c r="LSE638" s="131"/>
      <c r="LSF638" s="131"/>
      <c r="LSG638" s="131"/>
      <c r="LSH638" s="131"/>
      <c r="LSI638" s="131"/>
      <c r="LSJ638" s="131"/>
      <c r="LSK638" s="131"/>
      <c r="LSL638" s="131"/>
      <c r="LSM638" s="131"/>
      <c r="LSN638" s="131"/>
      <c r="LSO638" s="131"/>
      <c r="LSP638" s="131"/>
      <c r="LSQ638" s="131"/>
      <c r="LSR638" s="131"/>
      <c r="LSS638" s="131"/>
      <c r="LST638" s="131"/>
      <c r="LSU638" s="131"/>
      <c r="LSV638" s="131"/>
      <c r="LSW638" s="131"/>
      <c r="LSX638" s="131"/>
      <c r="LSY638" s="131"/>
      <c r="LSZ638" s="131"/>
      <c r="LTA638" s="131"/>
      <c r="LTB638" s="131"/>
      <c r="LTC638" s="131"/>
      <c r="LTD638" s="131"/>
      <c r="LTE638" s="131"/>
      <c r="LTF638" s="131"/>
      <c r="LTG638" s="131"/>
      <c r="LTH638" s="131"/>
      <c r="LTI638" s="131"/>
      <c r="LTJ638" s="131"/>
      <c r="LTK638" s="131"/>
      <c r="LTL638" s="131"/>
      <c r="LTM638" s="131"/>
      <c r="LTN638" s="131"/>
      <c r="LTO638" s="131"/>
      <c r="LTP638" s="131"/>
      <c r="LTQ638" s="131"/>
      <c r="LTR638" s="131"/>
      <c r="LTS638" s="131"/>
      <c r="LTT638" s="131"/>
      <c r="LTU638" s="131"/>
      <c r="LTV638" s="131"/>
      <c r="LTW638" s="131"/>
      <c r="LTX638" s="131"/>
      <c r="LTY638" s="131"/>
      <c r="LTZ638" s="131"/>
      <c r="LUA638" s="131"/>
      <c r="LUB638" s="131"/>
      <c r="LUC638" s="131"/>
      <c r="LUD638" s="131"/>
      <c r="LUE638" s="131"/>
      <c r="LUF638" s="131"/>
      <c r="LUG638" s="131"/>
      <c r="LUH638" s="131"/>
      <c r="LUI638" s="131"/>
      <c r="LUJ638" s="131"/>
      <c r="LUK638" s="131"/>
      <c r="LUL638" s="131"/>
      <c r="LUM638" s="131"/>
      <c r="LUN638" s="131"/>
      <c r="LUO638" s="131"/>
      <c r="LUP638" s="131"/>
      <c r="LUQ638" s="131"/>
      <c r="LUR638" s="131"/>
      <c r="LUS638" s="131"/>
      <c r="LUT638" s="131"/>
      <c r="LUU638" s="131"/>
      <c r="LUV638" s="131"/>
      <c r="LUW638" s="131"/>
      <c r="LUX638" s="131"/>
      <c r="LUY638" s="131"/>
      <c r="LUZ638" s="131"/>
      <c r="LVA638" s="131"/>
      <c r="LVB638" s="131"/>
      <c r="LVC638" s="131"/>
      <c r="LVD638" s="131"/>
      <c r="LVE638" s="131"/>
      <c r="LVF638" s="131"/>
      <c r="LVG638" s="131"/>
      <c r="LVH638" s="131"/>
      <c r="LVI638" s="131"/>
      <c r="LVJ638" s="131"/>
      <c r="LVK638" s="131"/>
      <c r="LVL638" s="131"/>
      <c r="LVM638" s="131"/>
      <c r="LVN638" s="131"/>
      <c r="LVO638" s="131"/>
      <c r="LVP638" s="131"/>
      <c r="LVQ638" s="131"/>
      <c r="LVR638" s="131"/>
      <c r="LVS638" s="131"/>
      <c r="LVT638" s="131"/>
      <c r="LVU638" s="131"/>
      <c r="LVV638" s="131"/>
      <c r="LVW638" s="131"/>
      <c r="LVX638" s="131"/>
      <c r="LVY638" s="131"/>
      <c r="LVZ638" s="131"/>
      <c r="LWA638" s="131"/>
      <c r="LWB638" s="131"/>
      <c r="LWC638" s="131"/>
      <c r="LWD638" s="131"/>
      <c r="LWE638" s="131"/>
      <c r="LWF638" s="131"/>
      <c r="LWG638" s="131"/>
      <c r="LWH638" s="131"/>
      <c r="LWI638" s="131"/>
      <c r="LWJ638" s="131"/>
      <c r="LWK638" s="131"/>
      <c r="LWL638" s="131"/>
      <c r="LWM638" s="131"/>
      <c r="LWN638" s="131"/>
      <c r="LWO638" s="131"/>
      <c r="LWP638" s="131"/>
      <c r="LWQ638" s="131"/>
      <c r="LWR638" s="131"/>
      <c r="LWS638" s="131"/>
      <c r="LWT638" s="131"/>
      <c r="LWU638" s="131"/>
      <c r="LWV638" s="131"/>
      <c r="LWW638" s="131"/>
      <c r="LWX638" s="131"/>
      <c r="LWY638" s="131"/>
      <c r="LWZ638" s="131"/>
      <c r="LXA638" s="131"/>
      <c r="LXB638" s="131"/>
      <c r="LXC638" s="131"/>
      <c r="LXD638" s="131"/>
      <c r="LXE638" s="131"/>
      <c r="LXF638" s="131"/>
      <c r="LXG638" s="131"/>
      <c r="LXH638" s="131"/>
      <c r="LXI638" s="131"/>
      <c r="LXJ638" s="131"/>
      <c r="LXK638" s="131"/>
      <c r="LXL638" s="131"/>
      <c r="LXM638" s="131"/>
      <c r="LXN638" s="131"/>
      <c r="LXO638" s="131"/>
      <c r="LXP638" s="131"/>
      <c r="LXQ638" s="131"/>
      <c r="LXR638" s="131"/>
      <c r="LXS638" s="131"/>
      <c r="LXT638" s="131"/>
      <c r="LXU638" s="131"/>
      <c r="LXV638" s="131"/>
      <c r="LXW638" s="131"/>
      <c r="LXX638" s="131"/>
      <c r="LXY638" s="131"/>
      <c r="LXZ638" s="131"/>
      <c r="LYA638" s="131"/>
      <c r="LYB638" s="131"/>
      <c r="LYC638" s="131"/>
      <c r="LYD638" s="131"/>
      <c r="LYE638" s="131"/>
      <c r="LYF638" s="131"/>
      <c r="LYG638" s="131"/>
      <c r="LYH638" s="131"/>
      <c r="LYI638" s="131"/>
      <c r="LYJ638" s="131"/>
      <c r="LYK638" s="131"/>
      <c r="LYL638" s="131"/>
      <c r="LYM638" s="131"/>
      <c r="LYN638" s="131"/>
      <c r="LYO638" s="131"/>
      <c r="LYP638" s="131"/>
      <c r="LYQ638" s="131"/>
      <c r="LYR638" s="131"/>
      <c r="LYS638" s="131"/>
      <c r="LYT638" s="131"/>
      <c r="LYU638" s="131"/>
      <c r="LYV638" s="131"/>
      <c r="LYW638" s="131"/>
      <c r="LYX638" s="131"/>
      <c r="LYY638" s="131"/>
      <c r="LYZ638" s="131"/>
      <c r="LZA638" s="131"/>
      <c r="LZB638" s="131"/>
      <c r="LZC638" s="131"/>
      <c r="LZD638" s="131"/>
      <c r="LZE638" s="131"/>
      <c r="LZF638" s="131"/>
      <c r="LZG638" s="131"/>
      <c r="LZH638" s="131"/>
      <c r="LZI638" s="131"/>
      <c r="LZJ638" s="131"/>
      <c r="LZK638" s="131"/>
      <c r="LZL638" s="131"/>
      <c r="LZM638" s="131"/>
      <c r="LZN638" s="131"/>
      <c r="LZO638" s="131"/>
      <c r="LZP638" s="131"/>
      <c r="LZQ638" s="131"/>
      <c r="LZR638" s="131"/>
      <c r="LZS638" s="131"/>
      <c r="LZT638" s="131"/>
      <c r="LZU638" s="131"/>
      <c r="LZV638" s="131"/>
      <c r="LZW638" s="131"/>
      <c r="LZX638" s="131"/>
      <c r="LZY638" s="131"/>
      <c r="LZZ638" s="131"/>
      <c r="MAA638" s="131"/>
      <c r="MAB638" s="131"/>
      <c r="MAC638" s="131"/>
      <c r="MAD638" s="131"/>
      <c r="MAE638" s="131"/>
      <c r="MAF638" s="131"/>
      <c r="MAG638" s="131"/>
      <c r="MAH638" s="131"/>
      <c r="MAI638" s="131"/>
      <c r="MAJ638" s="131"/>
      <c r="MAK638" s="131"/>
      <c r="MAL638" s="131"/>
      <c r="MAM638" s="131"/>
      <c r="MAN638" s="131"/>
      <c r="MAO638" s="131"/>
      <c r="MAP638" s="131"/>
      <c r="MAQ638" s="131"/>
      <c r="MAR638" s="131"/>
      <c r="MAS638" s="131"/>
      <c r="MAT638" s="131"/>
      <c r="MAU638" s="131"/>
      <c r="MAV638" s="131"/>
      <c r="MAW638" s="131"/>
      <c r="MAX638" s="131"/>
      <c r="MAY638" s="131"/>
      <c r="MAZ638" s="131"/>
      <c r="MBA638" s="131"/>
      <c r="MBB638" s="131"/>
      <c r="MBC638" s="131"/>
      <c r="MBD638" s="131"/>
      <c r="MBE638" s="131"/>
      <c r="MBF638" s="131"/>
      <c r="MBG638" s="131"/>
      <c r="MBH638" s="131"/>
      <c r="MBI638" s="131"/>
      <c r="MBJ638" s="131"/>
      <c r="MBK638" s="131"/>
      <c r="MBL638" s="131"/>
      <c r="MBM638" s="131"/>
      <c r="MBN638" s="131"/>
      <c r="MBO638" s="131"/>
      <c r="MBP638" s="131"/>
      <c r="MBQ638" s="131"/>
      <c r="MBR638" s="131"/>
      <c r="MBS638" s="131"/>
      <c r="MBT638" s="131"/>
      <c r="MBU638" s="131"/>
      <c r="MBV638" s="131"/>
      <c r="MBW638" s="131"/>
      <c r="MBX638" s="131"/>
      <c r="MBY638" s="131"/>
      <c r="MBZ638" s="131"/>
      <c r="MCA638" s="131"/>
      <c r="MCB638" s="131"/>
      <c r="MCC638" s="131"/>
      <c r="MCD638" s="131"/>
      <c r="MCE638" s="131"/>
      <c r="MCF638" s="131"/>
      <c r="MCG638" s="131"/>
      <c r="MCH638" s="131"/>
      <c r="MCI638" s="131"/>
      <c r="MCJ638" s="131"/>
      <c r="MCK638" s="131"/>
      <c r="MCL638" s="131"/>
      <c r="MCM638" s="131"/>
      <c r="MCN638" s="131"/>
      <c r="MCO638" s="131"/>
      <c r="MCP638" s="131"/>
      <c r="MCQ638" s="131"/>
      <c r="MCR638" s="131"/>
      <c r="MCS638" s="131"/>
      <c r="MCT638" s="131"/>
      <c r="MCU638" s="131"/>
      <c r="MCV638" s="131"/>
      <c r="MCW638" s="131"/>
      <c r="MCX638" s="131"/>
      <c r="MCY638" s="131"/>
      <c r="MCZ638" s="131"/>
      <c r="MDA638" s="131"/>
      <c r="MDB638" s="131"/>
      <c r="MDC638" s="131"/>
      <c r="MDD638" s="131"/>
      <c r="MDE638" s="131"/>
      <c r="MDF638" s="131"/>
      <c r="MDG638" s="131"/>
      <c r="MDH638" s="131"/>
      <c r="MDI638" s="131"/>
      <c r="MDJ638" s="131"/>
      <c r="MDK638" s="131"/>
      <c r="MDL638" s="131"/>
      <c r="MDM638" s="131"/>
      <c r="MDN638" s="131"/>
      <c r="MDO638" s="131"/>
      <c r="MDP638" s="131"/>
      <c r="MDQ638" s="131"/>
      <c r="MDR638" s="131"/>
      <c r="MDS638" s="131"/>
      <c r="MDT638" s="131"/>
      <c r="MDU638" s="131"/>
      <c r="MDV638" s="131"/>
      <c r="MDW638" s="131"/>
      <c r="MDX638" s="131"/>
      <c r="MDY638" s="131"/>
      <c r="MDZ638" s="131"/>
      <c r="MEA638" s="131"/>
      <c r="MEB638" s="131"/>
      <c r="MEC638" s="131"/>
      <c r="MED638" s="131"/>
      <c r="MEE638" s="131"/>
      <c r="MEF638" s="131"/>
      <c r="MEG638" s="131"/>
      <c r="MEH638" s="131"/>
      <c r="MEI638" s="131"/>
      <c r="MEJ638" s="131"/>
      <c r="MEK638" s="131"/>
      <c r="MEL638" s="131"/>
      <c r="MEM638" s="131"/>
      <c r="MEN638" s="131"/>
      <c r="MEO638" s="131"/>
      <c r="MEP638" s="131"/>
      <c r="MEQ638" s="131"/>
      <c r="MER638" s="131"/>
      <c r="MES638" s="131"/>
      <c r="MET638" s="131"/>
      <c r="MEU638" s="131"/>
      <c r="MEV638" s="131"/>
      <c r="MEW638" s="131"/>
      <c r="MEX638" s="131"/>
      <c r="MEY638" s="131"/>
      <c r="MEZ638" s="131"/>
      <c r="MFA638" s="131"/>
      <c r="MFB638" s="131"/>
      <c r="MFC638" s="131"/>
      <c r="MFD638" s="131"/>
      <c r="MFE638" s="131"/>
      <c r="MFF638" s="131"/>
      <c r="MFG638" s="131"/>
      <c r="MFH638" s="131"/>
      <c r="MFI638" s="131"/>
      <c r="MFJ638" s="131"/>
      <c r="MFK638" s="131"/>
      <c r="MFL638" s="131"/>
      <c r="MFM638" s="131"/>
      <c r="MFN638" s="131"/>
      <c r="MFO638" s="131"/>
      <c r="MFP638" s="131"/>
      <c r="MFQ638" s="131"/>
      <c r="MFR638" s="131"/>
      <c r="MFS638" s="131"/>
      <c r="MFT638" s="131"/>
      <c r="MFU638" s="131"/>
      <c r="MFV638" s="131"/>
      <c r="MFW638" s="131"/>
      <c r="MFX638" s="131"/>
      <c r="MFY638" s="131"/>
      <c r="MFZ638" s="131"/>
      <c r="MGA638" s="131"/>
      <c r="MGB638" s="131"/>
      <c r="MGC638" s="131"/>
      <c r="MGD638" s="131"/>
      <c r="MGE638" s="131"/>
      <c r="MGF638" s="131"/>
      <c r="MGG638" s="131"/>
      <c r="MGH638" s="131"/>
      <c r="MGI638" s="131"/>
      <c r="MGJ638" s="131"/>
      <c r="MGK638" s="131"/>
      <c r="MGL638" s="131"/>
      <c r="MGM638" s="131"/>
      <c r="MGN638" s="131"/>
      <c r="MGO638" s="131"/>
      <c r="MGP638" s="131"/>
      <c r="MGQ638" s="131"/>
      <c r="MGR638" s="131"/>
      <c r="MGS638" s="131"/>
      <c r="MGT638" s="131"/>
      <c r="MGU638" s="131"/>
      <c r="MGV638" s="131"/>
      <c r="MGW638" s="131"/>
      <c r="MGX638" s="131"/>
      <c r="MGY638" s="131"/>
      <c r="MGZ638" s="131"/>
      <c r="MHA638" s="131"/>
      <c r="MHB638" s="131"/>
      <c r="MHC638" s="131"/>
      <c r="MHD638" s="131"/>
      <c r="MHE638" s="131"/>
      <c r="MHF638" s="131"/>
      <c r="MHG638" s="131"/>
      <c r="MHH638" s="131"/>
      <c r="MHI638" s="131"/>
      <c r="MHJ638" s="131"/>
      <c r="MHK638" s="131"/>
      <c r="MHL638" s="131"/>
      <c r="MHM638" s="131"/>
      <c r="MHN638" s="131"/>
      <c r="MHO638" s="131"/>
      <c r="MHP638" s="131"/>
      <c r="MHQ638" s="131"/>
      <c r="MHR638" s="131"/>
      <c r="MHS638" s="131"/>
      <c r="MHT638" s="131"/>
      <c r="MHU638" s="131"/>
      <c r="MHV638" s="131"/>
      <c r="MHW638" s="131"/>
      <c r="MHX638" s="131"/>
      <c r="MHY638" s="131"/>
      <c r="MHZ638" s="131"/>
      <c r="MIA638" s="131"/>
      <c r="MIB638" s="131"/>
      <c r="MIC638" s="131"/>
      <c r="MID638" s="131"/>
      <c r="MIE638" s="131"/>
      <c r="MIF638" s="131"/>
      <c r="MIG638" s="131"/>
      <c r="MIH638" s="131"/>
      <c r="MII638" s="131"/>
      <c r="MIJ638" s="131"/>
      <c r="MIK638" s="131"/>
      <c r="MIL638" s="131"/>
      <c r="MIM638" s="131"/>
      <c r="MIN638" s="131"/>
      <c r="MIO638" s="131"/>
      <c r="MIP638" s="131"/>
      <c r="MIQ638" s="131"/>
      <c r="MIR638" s="131"/>
      <c r="MIS638" s="131"/>
      <c r="MIT638" s="131"/>
      <c r="MIU638" s="131"/>
      <c r="MIV638" s="131"/>
      <c r="MIW638" s="131"/>
      <c r="MIX638" s="131"/>
      <c r="MIY638" s="131"/>
      <c r="MIZ638" s="131"/>
      <c r="MJA638" s="131"/>
      <c r="MJB638" s="131"/>
      <c r="MJC638" s="131"/>
      <c r="MJD638" s="131"/>
      <c r="MJE638" s="131"/>
      <c r="MJF638" s="131"/>
      <c r="MJG638" s="131"/>
      <c r="MJH638" s="131"/>
      <c r="MJI638" s="131"/>
      <c r="MJJ638" s="131"/>
      <c r="MJK638" s="131"/>
      <c r="MJL638" s="131"/>
      <c r="MJM638" s="131"/>
      <c r="MJN638" s="131"/>
      <c r="MJO638" s="131"/>
      <c r="MJP638" s="131"/>
      <c r="MJQ638" s="131"/>
      <c r="MJR638" s="131"/>
      <c r="MJS638" s="131"/>
      <c r="MJT638" s="131"/>
      <c r="MJU638" s="131"/>
      <c r="MJV638" s="131"/>
      <c r="MJW638" s="131"/>
      <c r="MJX638" s="131"/>
      <c r="MJY638" s="131"/>
      <c r="MJZ638" s="131"/>
      <c r="MKA638" s="131"/>
      <c r="MKB638" s="131"/>
      <c r="MKC638" s="131"/>
      <c r="MKD638" s="131"/>
      <c r="MKE638" s="131"/>
      <c r="MKF638" s="131"/>
      <c r="MKG638" s="131"/>
      <c r="MKH638" s="131"/>
      <c r="MKI638" s="131"/>
      <c r="MKJ638" s="131"/>
      <c r="MKK638" s="131"/>
      <c r="MKL638" s="131"/>
      <c r="MKM638" s="131"/>
      <c r="MKN638" s="131"/>
      <c r="MKO638" s="131"/>
      <c r="MKP638" s="131"/>
      <c r="MKQ638" s="131"/>
      <c r="MKR638" s="131"/>
      <c r="MKS638" s="131"/>
      <c r="MKT638" s="131"/>
      <c r="MKU638" s="131"/>
      <c r="MKV638" s="131"/>
      <c r="MKW638" s="131"/>
      <c r="MKX638" s="131"/>
      <c r="MKY638" s="131"/>
      <c r="MKZ638" s="131"/>
      <c r="MLA638" s="131"/>
      <c r="MLB638" s="131"/>
      <c r="MLC638" s="131"/>
      <c r="MLD638" s="131"/>
      <c r="MLE638" s="131"/>
      <c r="MLF638" s="131"/>
      <c r="MLG638" s="131"/>
      <c r="MLH638" s="131"/>
      <c r="MLI638" s="131"/>
      <c r="MLJ638" s="131"/>
      <c r="MLK638" s="131"/>
      <c r="MLL638" s="131"/>
      <c r="MLM638" s="131"/>
      <c r="MLN638" s="131"/>
      <c r="MLO638" s="131"/>
      <c r="MLP638" s="131"/>
      <c r="MLQ638" s="131"/>
      <c r="MLR638" s="131"/>
      <c r="MLS638" s="131"/>
      <c r="MLT638" s="131"/>
      <c r="MLU638" s="131"/>
      <c r="MLV638" s="131"/>
      <c r="MLW638" s="131"/>
      <c r="MLX638" s="131"/>
      <c r="MLY638" s="131"/>
      <c r="MLZ638" s="131"/>
      <c r="MMA638" s="131"/>
      <c r="MMB638" s="131"/>
      <c r="MMC638" s="131"/>
      <c r="MMD638" s="131"/>
      <c r="MME638" s="131"/>
      <c r="MMF638" s="131"/>
      <c r="MMG638" s="131"/>
      <c r="MMH638" s="131"/>
      <c r="MMI638" s="131"/>
      <c r="MMJ638" s="131"/>
      <c r="MMK638" s="131"/>
      <c r="MML638" s="131"/>
      <c r="MMM638" s="131"/>
      <c r="MMN638" s="131"/>
      <c r="MMO638" s="131"/>
      <c r="MMP638" s="131"/>
      <c r="MMQ638" s="131"/>
      <c r="MMR638" s="131"/>
      <c r="MMS638" s="131"/>
      <c r="MMT638" s="131"/>
      <c r="MMU638" s="131"/>
      <c r="MMV638" s="131"/>
      <c r="MMW638" s="131"/>
      <c r="MMX638" s="131"/>
      <c r="MMY638" s="131"/>
      <c r="MMZ638" s="131"/>
      <c r="MNA638" s="131"/>
      <c r="MNB638" s="131"/>
      <c r="MNC638" s="131"/>
      <c r="MND638" s="131"/>
      <c r="MNE638" s="131"/>
      <c r="MNF638" s="131"/>
      <c r="MNG638" s="131"/>
      <c r="MNH638" s="131"/>
      <c r="MNI638" s="131"/>
      <c r="MNJ638" s="131"/>
      <c r="MNK638" s="131"/>
      <c r="MNL638" s="131"/>
      <c r="MNM638" s="131"/>
      <c r="MNN638" s="131"/>
      <c r="MNO638" s="131"/>
      <c r="MNP638" s="131"/>
      <c r="MNQ638" s="131"/>
      <c r="MNR638" s="131"/>
      <c r="MNS638" s="131"/>
      <c r="MNT638" s="131"/>
      <c r="MNU638" s="131"/>
      <c r="MNV638" s="131"/>
      <c r="MNW638" s="131"/>
      <c r="MNX638" s="131"/>
      <c r="MNY638" s="131"/>
      <c r="MNZ638" s="131"/>
      <c r="MOA638" s="131"/>
      <c r="MOB638" s="131"/>
      <c r="MOC638" s="131"/>
      <c r="MOD638" s="131"/>
      <c r="MOE638" s="131"/>
      <c r="MOF638" s="131"/>
      <c r="MOG638" s="131"/>
      <c r="MOH638" s="131"/>
      <c r="MOI638" s="131"/>
      <c r="MOJ638" s="131"/>
      <c r="MOK638" s="131"/>
      <c r="MOL638" s="131"/>
      <c r="MOM638" s="131"/>
      <c r="MON638" s="131"/>
      <c r="MOO638" s="131"/>
      <c r="MOP638" s="131"/>
      <c r="MOQ638" s="131"/>
      <c r="MOR638" s="131"/>
      <c r="MOS638" s="131"/>
      <c r="MOT638" s="131"/>
      <c r="MOU638" s="131"/>
      <c r="MOV638" s="131"/>
      <c r="MOW638" s="131"/>
      <c r="MOX638" s="131"/>
      <c r="MOY638" s="131"/>
      <c r="MOZ638" s="131"/>
      <c r="MPA638" s="131"/>
      <c r="MPB638" s="131"/>
      <c r="MPC638" s="131"/>
      <c r="MPD638" s="131"/>
      <c r="MPE638" s="131"/>
      <c r="MPF638" s="131"/>
      <c r="MPG638" s="131"/>
      <c r="MPH638" s="131"/>
      <c r="MPI638" s="131"/>
      <c r="MPJ638" s="131"/>
      <c r="MPK638" s="131"/>
      <c r="MPL638" s="131"/>
      <c r="MPM638" s="131"/>
      <c r="MPN638" s="131"/>
      <c r="MPO638" s="131"/>
      <c r="MPP638" s="131"/>
      <c r="MPQ638" s="131"/>
      <c r="MPR638" s="131"/>
      <c r="MPS638" s="131"/>
      <c r="MPT638" s="131"/>
      <c r="MPU638" s="131"/>
      <c r="MPV638" s="131"/>
      <c r="MPW638" s="131"/>
      <c r="MPX638" s="131"/>
      <c r="MPY638" s="131"/>
      <c r="MPZ638" s="131"/>
      <c r="MQA638" s="131"/>
      <c r="MQB638" s="131"/>
      <c r="MQC638" s="131"/>
      <c r="MQD638" s="131"/>
      <c r="MQE638" s="131"/>
      <c r="MQF638" s="131"/>
      <c r="MQG638" s="131"/>
      <c r="MQH638" s="131"/>
      <c r="MQI638" s="131"/>
      <c r="MQJ638" s="131"/>
      <c r="MQK638" s="131"/>
      <c r="MQL638" s="131"/>
      <c r="MQM638" s="131"/>
      <c r="MQN638" s="131"/>
      <c r="MQO638" s="131"/>
      <c r="MQP638" s="131"/>
      <c r="MQQ638" s="131"/>
      <c r="MQR638" s="131"/>
      <c r="MQS638" s="131"/>
      <c r="MQT638" s="131"/>
      <c r="MQU638" s="131"/>
      <c r="MQV638" s="131"/>
      <c r="MQW638" s="131"/>
      <c r="MQX638" s="131"/>
      <c r="MQY638" s="131"/>
      <c r="MQZ638" s="131"/>
      <c r="MRA638" s="131"/>
      <c r="MRB638" s="131"/>
      <c r="MRC638" s="131"/>
      <c r="MRD638" s="131"/>
      <c r="MRE638" s="131"/>
      <c r="MRF638" s="131"/>
      <c r="MRG638" s="131"/>
      <c r="MRH638" s="131"/>
      <c r="MRI638" s="131"/>
      <c r="MRJ638" s="131"/>
      <c r="MRK638" s="131"/>
      <c r="MRL638" s="131"/>
      <c r="MRM638" s="131"/>
      <c r="MRN638" s="131"/>
      <c r="MRO638" s="131"/>
      <c r="MRP638" s="131"/>
      <c r="MRQ638" s="131"/>
      <c r="MRR638" s="131"/>
      <c r="MRS638" s="131"/>
      <c r="MRT638" s="131"/>
      <c r="MRU638" s="131"/>
      <c r="MRV638" s="131"/>
      <c r="MRW638" s="131"/>
      <c r="MRX638" s="131"/>
      <c r="MRY638" s="131"/>
      <c r="MRZ638" s="131"/>
      <c r="MSA638" s="131"/>
      <c r="MSB638" s="131"/>
      <c r="MSC638" s="131"/>
      <c r="MSD638" s="131"/>
      <c r="MSE638" s="131"/>
      <c r="MSF638" s="131"/>
      <c r="MSG638" s="131"/>
      <c r="MSH638" s="131"/>
      <c r="MSI638" s="131"/>
      <c r="MSJ638" s="131"/>
      <c r="MSK638" s="131"/>
      <c r="MSL638" s="131"/>
      <c r="MSM638" s="131"/>
      <c r="MSN638" s="131"/>
      <c r="MSO638" s="131"/>
      <c r="MSP638" s="131"/>
      <c r="MSQ638" s="131"/>
      <c r="MSR638" s="131"/>
      <c r="MSS638" s="131"/>
      <c r="MST638" s="131"/>
      <c r="MSU638" s="131"/>
      <c r="MSV638" s="131"/>
      <c r="MSW638" s="131"/>
      <c r="MSX638" s="131"/>
      <c r="MSY638" s="131"/>
      <c r="MSZ638" s="131"/>
      <c r="MTA638" s="131"/>
      <c r="MTB638" s="131"/>
      <c r="MTC638" s="131"/>
      <c r="MTD638" s="131"/>
      <c r="MTE638" s="131"/>
      <c r="MTF638" s="131"/>
      <c r="MTG638" s="131"/>
      <c r="MTH638" s="131"/>
      <c r="MTI638" s="131"/>
      <c r="MTJ638" s="131"/>
      <c r="MTK638" s="131"/>
      <c r="MTL638" s="131"/>
      <c r="MTM638" s="131"/>
      <c r="MTN638" s="131"/>
      <c r="MTO638" s="131"/>
      <c r="MTP638" s="131"/>
      <c r="MTQ638" s="131"/>
      <c r="MTR638" s="131"/>
      <c r="MTS638" s="131"/>
      <c r="MTT638" s="131"/>
      <c r="MTU638" s="131"/>
      <c r="MTV638" s="131"/>
      <c r="MTW638" s="131"/>
      <c r="MTX638" s="131"/>
      <c r="MTY638" s="131"/>
      <c r="MTZ638" s="131"/>
      <c r="MUA638" s="131"/>
      <c r="MUB638" s="131"/>
      <c r="MUC638" s="131"/>
      <c r="MUD638" s="131"/>
      <c r="MUE638" s="131"/>
      <c r="MUF638" s="131"/>
      <c r="MUG638" s="131"/>
      <c r="MUH638" s="131"/>
      <c r="MUI638" s="131"/>
      <c r="MUJ638" s="131"/>
      <c r="MUK638" s="131"/>
      <c r="MUL638" s="131"/>
      <c r="MUM638" s="131"/>
      <c r="MUN638" s="131"/>
      <c r="MUO638" s="131"/>
      <c r="MUP638" s="131"/>
      <c r="MUQ638" s="131"/>
      <c r="MUR638" s="131"/>
      <c r="MUS638" s="131"/>
      <c r="MUT638" s="131"/>
      <c r="MUU638" s="131"/>
      <c r="MUV638" s="131"/>
      <c r="MUW638" s="131"/>
      <c r="MUX638" s="131"/>
      <c r="MUY638" s="131"/>
      <c r="MUZ638" s="131"/>
      <c r="MVA638" s="131"/>
      <c r="MVB638" s="131"/>
      <c r="MVC638" s="131"/>
      <c r="MVD638" s="131"/>
      <c r="MVE638" s="131"/>
      <c r="MVF638" s="131"/>
      <c r="MVG638" s="131"/>
      <c r="MVH638" s="131"/>
      <c r="MVI638" s="131"/>
      <c r="MVJ638" s="131"/>
      <c r="MVK638" s="131"/>
      <c r="MVL638" s="131"/>
      <c r="MVM638" s="131"/>
      <c r="MVN638" s="131"/>
      <c r="MVO638" s="131"/>
      <c r="MVP638" s="131"/>
      <c r="MVQ638" s="131"/>
      <c r="MVR638" s="131"/>
      <c r="MVS638" s="131"/>
      <c r="MVT638" s="131"/>
      <c r="MVU638" s="131"/>
      <c r="MVV638" s="131"/>
      <c r="MVW638" s="131"/>
      <c r="MVX638" s="131"/>
      <c r="MVY638" s="131"/>
      <c r="MVZ638" s="131"/>
      <c r="MWA638" s="131"/>
      <c r="MWB638" s="131"/>
      <c r="MWC638" s="131"/>
      <c r="MWD638" s="131"/>
      <c r="MWE638" s="131"/>
      <c r="MWF638" s="131"/>
      <c r="MWG638" s="131"/>
      <c r="MWH638" s="131"/>
      <c r="MWI638" s="131"/>
      <c r="MWJ638" s="131"/>
      <c r="MWK638" s="131"/>
      <c r="MWL638" s="131"/>
      <c r="MWM638" s="131"/>
      <c r="MWN638" s="131"/>
      <c r="MWO638" s="131"/>
      <c r="MWP638" s="131"/>
      <c r="MWQ638" s="131"/>
      <c r="MWR638" s="131"/>
      <c r="MWS638" s="131"/>
      <c r="MWT638" s="131"/>
      <c r="MWU638" s="131"/>
      <c r="MWV638" s="131"/>
      <c r="MWW638" s="131"/>
      <c r="MWX638" s="131"/>
      <c r="MWY638" s="131"/>
      <c r="MWZ638" s="131"/>
      <c r="MXA638" s="131"/>
      <c r="MXB638" s="131"/>
      <c r="MXC638" s="131"/>
      <c r="MXD638" s="131"/>
      <c r="MXE638" s="131"/>
      <c r="MXF638" s="131"/>
      <c r="MXG638" s="131"/>
      <c r="MXH638" s="131"/>
      <c r="MXI638" s="131"/>
      <c r="MXJ638" s="131"/>
      <c r="MXK638" s="131"/>
      <c r="MXL638" s="131"/>
      <c r="MXM638" s="131"/>
      <c r="MXN638" s="131"/>
      <c r="MXO638" s="131"/>
      <c r="MXP638" s="131"/>
      <c r="MXQ638" s="131"/>
      <c r="MXR638" s="131"/>
      <c r="MXS638" s="131"/>
      <c r="MXT638" s="131"/>
      <c r="MXU638" s="131"/>
      <c r="MXV638" s="131"/>
      <c r="MXW638" s="131"/>
      <c r="MXX638" s="131"/>
      <c r="MXY638" s="131"/>
      <c r="MXZ638" s="131"/>
      <c r="MYA638" s="131"/>
      <c r="MYB638" s="131"/>
      <c r="MYC638" s="131"/>
      <c r="MYD638" s="131"/>
      <c r="MYE638" s="131"/>
      <c r="MYF638" s="131"/>
      <c r="MYG638" s="131"/>
      <c r="MYH638" s="131"/>
      <c r="MYI638" s="131"/>
      <c r="MYJ638" s="131"/>
      <c r="MYK638" s="131"/>
      <c r="MYL638" s="131"/>
      <c r="MYM638" s="131"/>
      <c r="MYN638" s="131"/>
      <c r="MYO638" s="131"/>
      <c r="MYP638" s="131"/>
      <c r="MYQ638" s="131"/>
      <c r="MYR638" s="131"/>
      <c r="MYS638" s="131"/>
      <c r="MYT638" s="131"/>
      <c r="MYU638" s="131"/>
      <c r="MYV638" s="131"/>
      <c r="MYW638" s="131"/>
      <c r="MYX638" s="131"/>
      <c r="MYY638" s="131"/>
      <c r="MYZ638" s="131"/>
      <c r="MZA638" s="131"/>
      <c r="MZB638" s="131"/>
      <c r="MZC638" s="131"/>
      <c r="MZD638" s="131"/>
      <c r="MZE638" s="131"/>
      <c r="MZF638" s="131"/>
      <c r="MZG638" s="131"/>
      <c r="MZH638" s="131"/>
      <c r="MZI638" s="131"/>
      <c r="MZJ638" s="131"/>
      <c r="MZK638" s="131"/>
      <c r="MZL638" s="131"/>
      <c r="MZM638" s="131"/>
      <c r="MZN638" s="131"/>
      <c r="MZO638" s="131"/>
      <c r="MZP638" s="131"/>
      <c r="MZQ638" s="131"/>
      <c r="MZR638" s="131"/>
      <c r="MZS638" s="131"/>
      <c r="MZT638" s="131"/>
      <c r="MZU638" s="131"/>
      <c r="MZV638" s="131"/>
      <c r="MZW638" s="131"/>
      <c r="MZX638" s="131"/>
      <c r="MZY638" s="131"/>
      <c r="MZZ638" s="131"/>
      <c r="NAA638" s="131"/>
      <c r="NAB638" s="131"/>
      <c r="NAC638" s="131"/>
      <c r="NAD638" s="131"/>
      <c r="NAE638" s="131"/>
      <c r="NAF638" s="131"/>
      <c r="NAG638" s="131"/>
      <c r="NAH638" s="131"/>
      <c r="NAI638" s="131"/>
      <c r="NAJ638" s="131"/>
      <c r="NAK638" s="131"/>
      <c r="NAL638" s="131"/>
      <c r="NAM638" s="131"/>
      <c r="NAN638" s="131"/>
      <c r="NAO638" s="131"/>
      <c r="NAP638" s="131"/>
      <c r="NAQ638" s="131"/>
      <c r="NAR638" s="131"/>
      <c r="NAS638" s="131"/>
      <c r="NAT638" s="131"/>
      <c r="NAU638" s="131"/>
      <c r="NAV638" s="131"/>
      <c r="NAW638" s="131"/>
      <c r="NAX638" s="131"/>
      <c r="NAY638" s="131"/>
      <c r="NAZ638" s="131"/>
      <c r="NBA638" s="131"/>
      <c r="NBB638" s="131"/>
      <c r="NBC638" s="131"/>
      <c r="NBD638" s="131"/>
      <c r="NBE638" s="131"/>
      <c r="NBF638" s="131"/>
      <c r="NBG638" s="131"/>
      <c r="NBH638" s="131"/>
      <c r="NBI638" s="131"/>
      <c r="NBJ638" s="131"/>
      <c r="NBK638" s="131"/>
      <c r="NBL638" s="131"/>
      <c r="NBM638" s="131"/>
      <c r="NBN638" s="131"/>
      <c r="NBO638" s="131"/>
      <c r="NBP638" s="131"/>
      <c r="NBQ638" s="131"/>
      <c r="NBR638" s="131"/>
      <c r="NBS638" s="131"/>
      <c r="NBT638" s="131"/>
      <c r="NBU638" s="131"/>
      <c r="NBV638" s="131"/>
      <c r="NBW638" s="131"/>
      <c r="NBX638" s="131"/>
      <c r="NBY638" s="131"/>
      <c r="NBZ638" s="131"/>
      <c r="NCA638" s="131"/>
      <c r="NCB638" s="131"/>
      <c r="NCC638" s="131"/>
      <c r="NCD638" s="131"/>
      <c r="NCE638" s="131"/>
      <c r="NCF638" s="131"/>
      <c r="NCG638" s="131"/>
      <c r="NCH638" s="131"/>
      <c r="NCI638" s="131"/>
      <c r="NCJ638" s="131"/>
      <c r="NCK638" s="131"/>
      <c r="NCL638" s="131"/>
      <c r="NCM638" s="131"/>
      <c r="NCN638" s="131"/>
      <c r="NCO638" s="131"/>
      <c r="NCP638" s="131"/>
      <c r="NCQ638" s="131"/>
      <c r="NCR638" s="131"/>
      <c r="NCS638" s="131"/>
      <c r="NCT638" s="131"/>
      <c r="NCU638" s="131"/>
      <c r="NCV638" s="131"/>
      <c r="NCW638" s="131"/>
      <c r="NCX638" s="131"/>
      <c r="NCY638" s="131"/>
      <c r="NCZ638" s="131"/>
      <c r="NDA638" s="131"/>
      <c r="NDB638" s="131"/>
      <c r="NDC638" s="131"/>
      <c r="NDD638" s="131"/>
      <c r="NDE638" s="131"/>
      <c r="NDF638" s="131"/>
      <c r="NDG638" s="131"/>
      <c r="NDH638" s="131"/>
      <c r="NDI638" s="131"/>
      <c r="NDJ638" s="131"/>
      <c r="NDK638" s="131"/>
      <c r="NDL638" s="131"/>
      <c r="NDM638" s="131"/>
      <c r="NDN638" s="131"/>
      <c r="NDO638" s="131"/>
      <c r="NDP638" s="131"/>
      <c r="NDQ638" s="131"/>
      <c r="NDR638" s="131"/>
      <c r="NDS638" s="131"/>
      <c r="NDT638" s="131"/>
      <c r="NDU638" s="131"/>
      <c r="NDV638" s="131"/>
      <c r="NDW638" s="131"/>
      <c r="NDX638" s="131"/>
      <c r="NDY638" s="131"/>
      <c r="NDZ638" s="131"/>
      <c r="NEA638" s="131"/>
      <c r="NEB638" s="131"/>
      <c r="NEC638" s="131"/>
      <c r="NED638" s="131"/>
      <c r="NEE638" s="131"/>
      <c r="NEF638" s="131"/>
      <c r="NEG638" s="131"/>
      <c r="NEH638" s="131"/>
      <c r="NEI638" s="131"/>
      <c r="NEJ638" s="131"/>
      <c r="NEK638" s="131"/>
      <c r="NEL638" s="131"/>
      <c r="NEM638" s="131"/>
      <c r="NEN638" s="131"/>
      <c r="NEO638" s="131"/>
      <c r="NEP638" s="131"/>
      <c r="NEQ638" s="131"/>
      <c r="NER638" s="131"/>
      <c r="NES638" s="131"/>
      <c r="NET638" s="131"/>
      <c r="NEU638" s="131"/>
      <c r="NEV638" s="131"/>
      <c r="NEW638" s="131"/>
      <c r="NEX638" s="131"/>
      <c r="NEY638" s="131"/>
      <c r="NEZ638" s="131"/>
      <c r="NFA638" s="131"/>
      <c r="NFB638" s="131"/>
      <c r="NFC638" s="131"/>
      <c r="NFD638" s="131"/>
      <c r="NFE638" s="131"/>
      <c r="NFF638" s="131"/>
      <c r="NFG638" s="131"/>
      <c r="NFH638" s="131"/>
      <c r="NFI638" s="131"/>
      <c r="NFJ638" s="131"/>
      <c r="NFK638" s="131"/>
      <c r="NFL638" s="131"/>
      <c r="NFM638" s="131"/>
      <c r="NFN638" s="131"/>
      <c r="NFO638" s="131"/>
      <c r="NFP638" s="131"/>
      <c r="NFQ638" s="131"/>
      <c r="NFR638" s="131"/>
      <c r="NFS638" s="131"/>
      <c r="NFT638" s="131"/>
      <c r="NFU638" s="131"/>
      <c r="NFV638" s="131"/>
      <c r="NFW638" s="131"/>
      <c r="NFX638" s="131"/>
      <c r="NFY638" s="131"/>
      <c r="NFZ638" s="131"/>
      <c r="NGA638" s="131"/>
      <c r="NGB638" s="131"/>
      <c r="NGC638" s="131"/>
      <c r="NGD638" s="131"/>
      <c r="NGE638" s="131"/>
      <c r="NGF638" s="131"/>
      <c r="NGG638" s="131"/>
      <c r="NGH638" s="131"/>
      <c r="NGI638" s="131"/>
      <c r="NGJ638" s="131"/>
      <c r="NGK638" s="131"/>
      <c r="NGL638" s="131"/>
      <c r="NGM638" s="131"/>
      <c r="NGN638" s="131"/>
      <c r="NGO638" s="131"/>
      <c r="NGP638" s="131"/>
      <c r="NGQ638" s="131"/>
      <c r="NGR638" s="131"/>
      <c r="NGS638" s="131"/>
      <c r="NGT638" s="131"/>
      <c r="NGU638" s="131"/>
      <c r="NGV638" s="131"/>
      <c r="NGW638" s="131"/>
      <c r="NGX638" s="131"/>
      <c r="NGY638" s="131"/>
      <c r="NGZ638" s="131"/>
      <c r="NHA638" s="131"/>
      <c r="NHB638" s="131"/>
      <c r="NHC638" s="131"/>
      <c r="NHD638" s="131"/>
      <c r="NHE638" s="131"/>
      <c r="NHF638" s="131"/>
      <c r="NHG638" s="131"/>
      <c r="NHH638" s="131"/>
      <c r="NHI638" s="131"/>
      <c r="NHJ638" s="131"/>
      <c r="NHK638" s="131"/>
      <c r="NHL638" s="131"/>
      <c r="NHM638" s="131"/>
      <c r="NHN638" s="131"/>
      <c r="NHO638" s="131"/>
      <c r="NHP638" s="131"/>
      <c r="NHQ638" s="131"/>
      <c r="NHR638" s="131"/>
      <c r="NHS638" s="131"/>
      <c r="NHT638" s="131"/>
      <c r="NHU638" s="131"/>
      <c r="NHV638" s="131"/>
      <c r="NHW638" s="131"/>
      <c r="NHX638" s="131"/>
      <c r="NHY638" s="131"/>
      <c r="NHZ638" s="131"/>
      <c r="NIA638" s="131"/>
      <c r="NIB638" s="131"/>
      <c r="NIC638" s="131"/>
      <c r="NID638" s="131"/>
      <c r="NIE638" s="131"/>
      <c r="NIF638" s="131"/>
      <c r="NIG638" s="131"/>
      <c r="NIH638" s="131"/>
      <c r="NII638" s="131"/>
      <c r="NIJ638" s="131"/>
      <c r="NIK638" s="131"/>
      <c r="NIL638" s="131"/>
      <c r="NIM638" s="131"/>
      <c r="NIN638" s="131"/>
      <c r="NIO638" s="131"/>
      <c r="NIP638" s="131"/>
      <c r="NIQ638" s="131"/>
      <c r="NIR638" s="131"/>
      <c r="NIS638" s="131"/>
      <c r="NIT638" s="131"/>
      <c r="NIU638" s="131"/>
      <c r="NIV638" s="131"/>
      <c r="NIW638" s="131"/>
      <c r="NIX638" s="131"/>
      <c r="NIY638" s="131"/>
      <c r="NIZ638" s="131"/>
      <c r="NJA638" s="131"/>
      <c r="NJB638" s="131"/>
      <c r="NJC638" s="131"/>
      <c r="NJD638" s="131"/>
      <c r="NJE638" s="131"/>
      <c r="NJF638" s="131"/>
      <c r="NJG638" s="131"/>
      <c r="NJH638" s="131"/>
      <c r="NJI638" s="131"/>
      <c r="NJJ638" s="131"/>
      <c r="NJK638" s="131"/>
      <c r="NJL638" s="131"/>
      <c r="NJM638" s="131"/>
      <c r="NJN638" s="131"/>
      <c r="NJO638" s="131"/>
      <c r="NJP638" s="131"/>
      <c r="NJQ638" s="131"/>
      <c r="NJR638" s="131"/>
      <c r="NJS638" s="131"/>
      <c r="NJT638" s="131"/>
      <c r="NJU638" s="131"/>
      <c r="NJV638" s="131"/>
      <c r="NJW638" s="131"/>
      <c r="NJX638" s="131"/>
      <c r="NJY638" s="131"/>
      <c r="NJZ638" s="131"/>
      <c r="NKA638" s="131"/>
      <c r="NKB638" s="131"/>
      <c r="NKC638" s="131"/>
      <c r="NKD638" s="131"/>
      <c r="NKE638" s="131"/>
      <c r="NKF638" s="131"/>
      <c r="NKG638" s="131"/>
      <c r="NKH638" s="131"/>
      <c r="NKI638" s="131"/>
      <c r="NKJ638" s="131"/>
      <c r="NKK638" s="131"/>
      <c r="NKL638" s="131"/>
      <c r="NKM638" s="131"/>
      <c r="NKN638" s="131"/>
      <c r="NKO638" s="131"/>
      <c r="NKP638" s="131"/>
      <c r="NKQ638" s="131"/>
      <c r="NKR638" s="131"/>
      <c r="NKS638" s="131"/>
      <c r="NKT638" s="131"/>
      <c r="NKU638" s="131"/>
      <c r="NKV638" s="131"/>
      <c r="NKW638" s="131"/>
      <c r="NKX638" s="131"/>
      <c r="NKY638" s="131"/>
      <c r="NKZ638" s="131"/>
      <c r="NLA638" s="131"/>
      <c r="NLB638" s="131"/>
      <c r="NLC638" s="131"/>
      <c r="NLD638" s="131"/>
      <c r="NLE638" s="131"/>
      <c r="NLF638" s="131"/>
      <c r="NLG638" s="131"/>
      <c r="NLH638" s="131"/>
      <c r="NLI638" s="131"/>
      <c r="NLJ638" s="131"/>
      <c r="NLK638" s="131"/>
      <c r="NLL638" s="131"/>
      <c r="NLM638" s="131"/>
      <c r="NLN638" s="131"/>
      <c r="NLO638" s="131"/>
      <c r="NLP638" s="131"/>
      <c r="NLQ638" s="131"/>
      <c r="NLR638" s="131"/>
      <c r="NLS638" s="131"/>
      <c r="NLT638" s="131"/>
      <c r="NLU638" s="131"/>
      <c r="NLV638" s="131"/>
      <c r="NLW638" s="131"/>
      <c r="NLX638" s="131"/>
      <c r="NLY638" s="131"/>
      <c r="NLZ638" s="131"/>
      <c r="NMA638" s="131"/>
      <c r="NMB638" s="131"/>
      <c r="NMC638" s="131"/>
      <c r="NMD638" s="131"/>
      <c r="NME638" s="131"/>
      <c r="NMF638" s="131"/>
      <c r="NMG638" s="131"/>
      <c r="NMH638" s="131"/>
      <c r="NMI638" s="131"/>
      <c r="NMJ638" s="131"/>
      <c r="NMK638" s="131"/>
      <c r="NML638" s="131"/>
      <c r="NMM638" s="131"/>
      <c r="NMN638" s="131"/>
      <c r="NMO638" s="131"/>
      <c r="NMP638" s="131"/>
      <c r="NMQ638" s="131"/>
      <c r="NMR638" s="131"/>
      <c r="NMS638" s="131"/>
      <c r="NMT638" s="131"/>
      <c r="NMU638" s="131"/>
      <c r="NMV638" s="131"/>
      <c r="NMW638" s="131"/>
      <c r="NMX638" s="131"/>
      <c r="NMY638" s="131"/>
      <c r="NMZ638" s="131"/>
      <c r="NNA638" s="131"/>
      <c r="NNB638" s="131"/>
      <c r="NNC638" s="131"/>
      <c r="NND638" s="131"/>
      <c r="NNE638" s="131"/>
      <c r="NNF638" s="131"/>
      <c r="NNG638" s="131"/>
      <c r="NNH638" s="131"/>
      <c r="NNI638" s="131"/>
      <c r="NNJ638" s="131"/>
      <c r="NNK638" s="131"/>
      <c r="NNL638" s="131"/>
      <c r="NNM638" s="131"/>
      <c r="NNN638" s="131"/>
      <c r="NNO638" s="131"/>
      <c r="NNP638" s="131"/>
      <c r="NNQ638" s="131"/>
      <c r="NNR638" s="131"/>
      <c r="NNS638" s="131"/>
      <c r="NNT638" s="131"/>
      <c r="NNU638" s="131"/>
      <c r="NNV638" s="131"/>
      <c r="NNW638" s="131"/>
      <c r="NNX638" s="131"/>
      <c r="NNY638" s="131"/>
      <c r="NNZ638" s="131"/>
      <c r="NOA638" s="131"/>
      <c r="NOB638" s="131"/>
      <c r="NOC638" s="131"/>
      <c r="NOD638" s="131"/>
      <c r="NOE638" s="131"/>
      <c r="NOF638" s="131"/>
      <c r="NOG638" s="131"/>
      <c r="NOH638" s="131"/>
      <c r="NOI638" s="131"/>
      <c r="NOJ638" s="131"/>
      <c r="NOK638" s="131"/>
      <c r="NOL638" s="131"/>
      <c r="NOM638" s="131"/>
      <c r="NON638" s="131"/>
      <c r="NOO638" s="131"/>
      <c r="NOP638" s="131"/>
      <c r="NOQ638" s="131"/>
      <c r="NOR638" s="131"/>
      <c r="NOS638" s="131"/>
      <c r="NOT638" s="131"/>
      <c r="NOU638" s="131"/>
      <c r="NOV638" s="131"/>
      <c r="NOW638" s="131"/>
      <c r="NOX638" s="131"/>
      <c r="NOY638" s="131"/>
      <c r="NOZ638" s="131"/>
      <c r="NPA638" s="131"/>
      <c r="NPB638" s="131"/>
      <c r="NPC638" s="131"/>
      <c r="NPD638" s="131"/>
      <c r="NPE638" s="131"/>
      <c r="NPF638" s="131"/>
      <c r="NPG638" s="131"/>
      <c r="NPH638" s="131"/>
      <c r="NPI638" s="131"/>
      <c r="NPJ638" s="131"/>
      <c r="NPK638" s="131"/>
      <c r="NPL638" s="131"/>
      <c r="NPM638" s="131"/>
      <c r="NPN638" s="131"/>
      <c r="NPO638" s="131"/>
      <c r="NPP638" s="131"/>
      <c r="NPQ638" s="131"/>
      <c r="NPR638" s="131"/>
      <c r="NPS638" s="131"/>
      <c r="NPT638" s="131"/>
      <c r="NPU638" s="131"/>
      <c r="NPV638" s="131"/>
      <c r="NPW638" s="131"/>
      <c r="NPX638" s="131"/>
      <c r="NPY638" s="131"/>
      <c r="NPZ638" s="131"/>
      <c r="NQA638" s="131"/>
      <c r="NQB638" s="131"/>
      <c r="NQC638" s="131"/>
      <c r="NQD638" s="131"/>
      <c r="NQE638" s="131"/>
      <c r="NQF638" s="131"/>
      <c r="NQG638" s="131"/>
      <c r="NQH638" s="131"/>
      <c r="NQI638" s="131"/>
      <c r="NQJ638" s="131"/>
      <c r="NQK638" s="131"/>
      <c r="NQL638" s="131"/>
      <c r="NQM638" s="131"/>
      <c r="NQN638" s="131"/>
      <c r="NQO638" s="131"/>
      <c r="NQP638" s="131"/>
      <c r="NQQ638" s="131"/>
      <c r="NQR638" s="131"/>
      <c r="NQS638" s="131"/>
      <c r="NQT638" s="131"/>
      <c r="NQU638" s="131"/>
      <c r="NQV638" s="131"/>
      <c r="NQW638" s="131"/>
      <c r="NQX638" s="131"/>
      <c r="NQY638" s="131"/>
      <c r="NQZ638" s="131"/>
      <c r="NRA638" s="131"/>
      <c r="NRB638" s="131"/>
      <c r="NRC638" s="131"/>
      <c r="NRD638" s="131"/>
      <c r="NRE638" s="131"/>
      <c r="NRF638" s="131"/>
      <c r="NRG638" s="131"/>
      <c r="NRH638" s="131"/>
      <c r="NRI638" s="131"/>
      <c r="NRJ638" s="131"/>
      <c r="NRK638" s="131"/>
      <c r="NRL638" s="131"/>
      <c r="NRM638" s="131"/>
      <c r="NRN638" s="131"/>
      <c r="NRO638" s="131"/>
      <c r="NRP638" s="131"/>
      <c r="NRQ638" s="131"/>
      <c r="NRR638" s="131"/>
      <c r="NRS638" s="131"/>
      <c r="NRT638" s="131"/>
      <c r="NRU638" s="131"/>
      <c r="NRV638" s="131"/>
      <c r="NRW638" s="131"/>
      <c r="NRX638" s="131"/>
      <c r="NRY638" s="131"/>
      <c r="NRZ638" s="131"/>
      <c r="NSA638" s="131"/>
      <c r="NSB638" s="131"/>
      <c r="NSC638" s="131"/>
      <c r="NSD638" s="131"/>
      <c r="NSE638" s="131"/>
      <c r="NSF638" s="131"/>
      <c r="NSG638" s="131"/>
      <c r="NSH638" s="131"/>
      <c r="NSI638" s="131"/>
      <c r="NSJ638" s="131"/>
      <c r="NSK638" s="131"/>
      <c r="NSL638" s="131"/>
      <c r="NSM638" s="131"/>
      <c r="NSN638" s="131"/>
      <c r="NSO638" s="131"/>
      <c r="NSP638" s="131"/>
      <c r="NSQ638" s="131"/>
      <c r="NSR638" s="131"/>
      <c r="NSS638" s="131"/>
      <c r="NST638" s="131"/>
      <c r="NSU638" s="131"/>
      <c r="NSV638" s="131"/>
      <c r="NSW638" s="131"/>
      <c r="NSX638" s="131"/>
      <c r="NSY638" s="131"/>
      <c r="NSZ638" s="131"/>
      <c r="NTA638" s="131"/>
      <c r="NTB638" s="131"/>
      <c r="NTC638" s="131"/>
      <c r="NTD638" s="131"/>
      <c r="NTE638" s="131"/>
      <c r="NTF638" s="131"/>
      <c r="NTG638" s="131"/>
      <c r="NTH638" s="131"/>
      <c r="NTI638" s="131"/>
      <c r="NTJ638" s="131"/>
      <c r="NTK638" s="131"/>
      <c r="NTL638" s="131"/>
      <c r="NTM638" s="131"/>
      <c r="NTN638" s="131"/>
      <c r="NTO638" s="131"/>
      <c r="NTP638" s="131"/>
      <c r="NTQ638" s="131"/>
      <c r="NTR638" s="131"/>
      <c r="NTS638" s="131"/>
      <c r="NTT638" s="131"/>
      <c r="NTU638" s="131"/>
      <c r="NTV638" s="131"/>
      <c r="NTW638" s="131"/>
      <c r="NTX638" s="131"/>
      <c r="NTY638" s="131"/>
      <c r="NTZ638" s="131"/>
      <c r="NUA638" s="131"/>
      <c r="NUB638" s="131"/>
      <c r="NUC638" s="131"/>
      <c r="NUD638" s="131"/>
      <c r="NUE638" s="131"/>
      <c r="NUF638" s="131"/>
      <c r="NUG638" s="131"/>
      <c r="NUH638" s="131"/>
      <c r="NUI638" s="131"/>
      <c r="NUJ638" s="131"/>
      <c r="NUK638" s="131"/>
      <c r="NUL638" s="131"/>
      <c r="NUM638" s="131"/>
      <c r="NUN638" s="131"/>
      <c r="NUO638" s="131"/>
      <c r="NUP638" s="131"/>
      <c r="NUQ638" s="131"/>
      <c r="NUR638" s="131"/>
      <c r="NUS638" s="131"/>
      <c r="NUT638" s="131"/>
      <c r="NUU638" s="131"/>
      <c r="NUV638" s="131"/>
      <c r="NUW638" s="131"/>
      <c r="NUX638" s="131"/>
      <c r="NUY638" s="131"/>
      <c r="NUZ638" s="131"/>
      <c r="NVA638" s="131"/>
      <c r="NVB638" s="131"/>
      <c r="NVC638" s="131"/>
      <c r="NVD638" s="131"/>
      <c r="NVE638" s="131"/>
      <c r="NVF638" s="131"/>
      <c r="NVG638" s="131"/>
      <c r="NVH638" s="131"/>
      <c r="NVI638" s="131"/>
      <c r="NVJ638" s="131"/>
      <c r="NVK638" s="131"/>
      <c r="NVL638" s="131"/>
      <c r="NVM638" s="131"/>
      <c r="NVN638" s="131"/>
      <c r="NVO638" s="131"/>
      <c r="NVP638" s="131"/>
      <c r="NVQ638" s="131"/>
      <c r="NVR638" s="131"/>
      <c r="NVS638" s="131"/>
      <c r="NVT638" s="131"/>
      <c r="NVU638" s="131"/>
      <c r="NVV638" s="131"/>
      <c r="NVW638" s="131"/>
      <c r="NVX638" s="131"/>
      <c r="NVY638" s="131"/>
      <c r="NVZ638" s="131"/>
      <c r="NWA638" s="131"/>
      <c r="NWB638" s="131"/>
      <c r="NWC638" s="131"/>
      <c r="NWD638" s="131"/>
      <c r="NWE638" s="131"/>
      <c r="NWF638" s="131"/>
      <c r="NWG638" s="131"/>
      <c r="NWH638" s="131"/>
      <c r="NWI638" s="131"/>
      <c r="NWJ638" s="131"/>
      <c r="NWK638" s="131"/>
      <c r="NWL638" s="131"/>
      <c r="NWM638" s="131"/>
      <c r="NWN638" s="131"/>
      <c r="NWO638" s="131"/>
      <c r="NWP638" s="131"/>
      <c r="NWQ638" s="131"/>
      <c r="NWR638" s="131"/>
      <c r="NWS638" s="131"/>
      <c r="NWT638" s="131"/>
      <c r="NWU638" s="131"/>
      <c r="NWV638" s="131"/>
      <c r="NWW638" s="131"/>
      <c r="NWX638" s="131"/>
      <c r="NWY638" s="131"/>
      <c r="NWZ638" s="131"/>
      <c r="NXA638" s="131"/>
      <c r="NXB638" s="131"/>
      <c r="NXC638" s="131"/>
      <c r="NXD638" s="131"/>
      <c r="NXE638" s="131"/>
      <c r="NXF638" s="131"/>
      <c r="NXG638" s="131"/>
      <c r="NXH638" s="131"/>
      <c r="NXI638" s="131"/>
      <c r="NXJ638" s="131"/>
      <c r="NXK638" s="131"/>
      <c r="NXL638" s="131"/>
      <c r="NXM638" s="131"/>
      <c r="NXN638" s="131"/>
      <c r="NXO638" s="131"/>
      <c r="NXP638" s="131"/>
      <c r="NXQ638" s="131"/>
      <c r="NXR638" s="131"/>
      <c r="NXS638" s="131"/>
      <c r="NXT638" s="131"/>
      <c r="NXU638" s="131"/>
      <c r="NXV638" s="131"/>
      <c r="NXW638" s="131"/>
      <c r="NXX638" s="131"/>
      <c r="NXY638" s="131"/>
      <c r="NXZ638" s="131"/>
      <c r="NYA638" s="131"/>
      <c r="NYB638" s="131"/>
      <c r="NYC638" s="131"/>
      <c r="NYD638" s="131"/>
      <c r="NYE638" s="131"/>
      <c r="NYF638" s="131"/>
      <c r="NYG638" s="131"/>
      <c r="NYH638" s="131"/>
      <c r="NYI638" s="131"/>
      <c r="NYJ638" s="131"/>
      <c r="NYK638" s="131"/>
      <c r="NYL638" s="131"/>
      <c r="NYM638" s="131"/>
      <c r="NYN638" s="131"/>
      <c r="NYO638" s="131"/>
      <c r="NYP638" s="131"/>
      <c r="NYQ638" s="131"/>
      <c r="NYR638" s="131"/>
      <c r="NYS638" s="131"/>
      <c r="NYT638" s="131"/>
      <c r="NYU638" s="131"/>
      <c r="NYV638" s="131"/>
      <c r="NYW638" s="131"/>
      <c r="NYX638" s="131"/>
      <c r="NYY638" s="131"/>
      <c r="NYZ638" s="131"/>
      <c r="NZA638" s="131"/>
      <c r="NZB638" s="131"/>
      <c r="NZC638" s="131"/>
      <c r="NZD638" s="131"/>
      <c r="NZE638" s="131"/>
      <c r="NZF638" s="131"/>
      <c r="NZG638" s="131"/>
      <c r="NZH638" s="131"/>
      <c r="NZI638" s="131"/>
      <c r="NZJ638" s="131"/>
      <c r="NZK638" s="131"/>
      <c r="NZL638" s="131"/>
      <c r="NZM638" s="131"/>
      <c r="NZN638" s="131"/>
      <c r="NZO638" s="131"/>
      <c r="NZP638" s="131"/>
      <c r="NZQ638" s="131"/>
      <c r="NZR638" s="131"/>
      <c r="NZS638" s="131"/>
      <c r="NZT638" s="131"/>
      <c r="NZU638" s="131"/>
      <c r="NZV638" s="131"/>
      <c r="NZW638" s="131"/>
      <c r="NZX638" s="131"/>
      <c r="NZY638" s="131"/>
      <c r="NZZ638" s="131"/>
      <c r="OAA638" s="131"/>
      <c r="OAB638" s="131"/>
      <c r="OAC638" s="131"/>
      <c r="OAD638" s="131"/>
      <c r="OAE638" s="131"/>
      <c r="OAF638" s="131"/>
      <c r="OAG638" s="131"/>
      <c r="OAH638" s="131"/>
      <c r="OAI638" s="131"/>
      <c r="OAJ638" s="131"/>
      <c r="OAK638" s="131"/>
      <c r="OAL638" s="131"/>
      <c r="OAM638" s="131"/>
      <c r="OAN638" s="131"/>
      <c r="OAO638" s="131"/>
      <c r="OAP638" s="131"/>
      <c r="OAQ638" s="131"/>
      <c r="OAR638" s="131"/>
      <c r="OAS638" s="131"/>
      <c r="OAT638" s="131"/>
      <c r="OAU638" s="131"/>
      <c r="OAV638" s="131"/>
      <c r="OAW638" s="131"/>
      <c r="OAX638" s="131"/>
      <c r="OAY638" s="131"/>
      <c r="OAZ638" s="131"/>
      <c r="OBA638" s="131"/>
      <c r="OBB638" s="131"/>
      <c r="OBC638" s="131"/>
      <c r="OBD638" s="131"/>
      <c r="OBE638" s="131"/>
      <c r="OBF638" s="131"/>
      <c r="OBG638" s="131"/>
      <c r="OBH638" s="131"/>
      <c r="OBI638" s="131"/>
      <c r="OBJ638" s="131"/>
      <c r="OBK638" s="131"/>
      <c r="OBL638" s="131"/>
      <c r="OBM638" s="131"/>
      <c r="OBN638" s="131"/>
      <c r="OBO638" s="131"/>
      <c r="OBP638" s="131"/>
      <c r="OBQ638" s="131"/>
      <c r="OBR638" s="131"/>
      <c r="OBS638" s="131"/>
      <c r="OBT638" s="131"/>
      <c r="OBU638" s="131"/>
      <c r="OBV638" s="131"/>
      <c r="OBW638" s="131"/>
      <c r="OBX638" s="131"/>
      <c r="OBY638" s="131"/>
      <c r="OBZ638" s="131"/>
      <c r="OCA638" s="131"/>
      <c r="OCB638" s="131"/>
      <c r="OCC638" s="131"/>
      <c r="OCD638" s="131"/>
      <c r="OCE638" s="131"/>
      <c r="OCF638" s="131"/>
      <c r="OCG638" s="131"/>
      <c r="OCH638" s="131"/>
      <c r="OCI638" s="131"/>
      <c r="OCJ638" s="131"/>
      <c r="OCK638" s="131"/>
      <c r="OCL638" s="131"/>
      <c r="OCM638" s="131"/>
      <c r="OCN638" s="131"/>
      <c r="OCO638" s="131"/>
      <c r="OCP638" s="131"/>
      <c r="OCQ638" s="131"/>
      <c r="OCR638" s="131"/>
      <c r="OCS638" s="131"/>
      <c r="OCT638" s="131"/>
      <c r="OCU638" s="131"/>
      <c r="OCV638" s="131"/>
      <c r="OCW638" s="131"/>
      <c r="OCX638" s="131"/>
      <c r="OCY638" s="131"/>
      <c r="OCZ638" s="131"/>
      <c r="ODA638" s="131"/>
      <c r="ODB638" s="131"/>
      <c r="ODC638" s="131"/>
      <c r="ODD638" s="131"/>
      <c r="ODE638" s="131"/>
      <c r="ODF638" s="131"/>
      <c r="ODG638" s="131"/>
      <c r="ODH638" s="131"/>
      <c r="ODI638" s="131"/>
      <c r="ODJ638" s="131"/>
      <c r="ODK638" s="131"/>
      <c r="ODL638" s="131"/>
      <c r="ODM638" s="131"/>
      <c r="ODN638" s="131"/>
      <c r="ODO638" s="131"/>
      <c r="ODP638" s="131"/>
      <c r="ODQ638" s="131"/>
      <c r="ODR638" s="131"/>
      <c r="ODS638" s="131"/>
      <c r="ODT638" s="131"/>
      <c r="ODU638" s="131"/>
      <c r="ODV638" s="131"/>
      <c r="ODW638" s="131"/>
      <c r="ODX638" s="131"/>
      <c r="ODY638" s="131"/>
      <c r="ODZ638" s="131"/>
      <c r="OEA638" s="131"/>
      <c r="OEB638" s="131"/>
      <c r="OEC638" s="131"/>
      <c r="OED638" s="131"/>
      <c r="OEE638" s="131"/>
      <c r="OEF638" s="131"/>
      <c r="OEG638" s="131"/>
      <c r="OEH638" s="131"/>
      <c r="OEI638" s="131"/>
      <c r="OEJ638" s="131"/>
      <c r="OEK638" s="131"/>
      <c r="OEL638" s="131"/>
      <c r="OEM638" s="131"/>
      <c r="OEN638" s="131"/>
      <c r="OEO638" s="131"/>
      <c r="OEP638" s="131"/>
      <c r="OEQ638" s="131"/>
      <c r="OER638" s="131"/>
      <c r="OES638" s="131"/>
      <c r="OET638" s="131"/>
      <c r="OEU638" s="131"/>
      <c r="OEV638" s="131"/>
      <c r="OEW638" s="131"/>
      <c r="OEX638" s="131"/>
      <c r="OEY638" s="131"/>
      <c r="OEZ638" s="131"/>
      <c r="OFA638" s="131"/>
      <c r="OFB638" s="131"/>
      <c r="OFC638" s="131"/>
      <c r="OFD638" s="131"/>
      <c r="OFE638" s="131"/>
      <c r="OFF638" s="131"/>
      <c r="OFG638" s="131"/>
      <c r="OFH638" s="131"/>
      <c r="OFI638" s="131"/>
      <c r="OFJ638" s="131"/>
      <c r="OFK638" s="131"/>
      <c r="OFL638" s="131"/>
      <c r="OFM638" s="131"/>
      <c r="OFN638" s="131"/>
      <c r="OFO638" s="131"/>
      <c r="OFP638" s="131"/>
      <c r="OFQ638" s="131"/>
      <c r="OFR638" s="131"/>
      <c r="OFS638" s="131"/>
      <c r="OFT638" s="131"/>
      <c r="OFU638" s="131"/>
      <c r="OFV638" s="131"/>
      <c r="OFW638" s="131"/>
      <c r="OFX638" s="131"/>
      <c r="OFY638" s="131"/>
      <c r="OFZ638" s="131"/>
      <c r="OGA638" s="131"/>
      <c r="OGB638" s="131"/>
      <c r="OGC638" s="131"/>
      <c r="OGD638" s="131"/>
      <c r="OGE638" s="131"/>
      <c r="OGF638" s="131"/>
      <c r="OGG638" s="131"/>
      <c r="OGH638" s="131"/>
      <c r="OGI638" s="131"/>
      <c r="OGJ638" s="131"/>
      <c r="OGK638" s="131"/>
      <c r="OGL638" s="131"/>
      <c r="OGM638" s="131"/>
      <c r="OGN638" s="131"/>
      <c r="OGO638" s="131"/>
      <c r="OGP638" s="131"/>
      <c r="OGQ638" s="131"/>
      <c r="OGR638" s="131"/>
      <c r="OGS638" s="131"/>
      <c r="OGT638" s="131"/>
      <c r="OGU638" s="131"/>
      <c r="OGV638" s="131"/>
      <c r="OGW638" s="131"/>
      <c r="OGX638" s="131"/>
      <c r="OGY638" s="131"/>
      <c r="OGZ638" s="131"/>
      <c r="OHA638" s="131"/>
      <c r="OHB638" s="131"/>
      <c r="OHC638" s="131"/>
      <c r="OHD638" s="131"/>
      <c r="OHE638" s="131"/>
      <c r="OHF638" s="131"/>
      <c r="OHG638" s="131"/>
      <c r="OHH638" s="131"/>
      <c r="OHI638" s="131"/>
      <c r="OHJ638" s="131"/>
      <c r="OHK638" s="131"/>
      <c r="OHL638" s="131"/>
      <c r="OHM638" s="131"/>
      <c r="OHN638" s="131"/>
      <c r="OHO638" s="131"/>
      <c r="OHP638" s="131"/>
      <c r="OHQ638" s="131"/>
      <c r="OHR638" s="131"/>
      <c r="OHS638" s="131"/>
      <c r="OHT638" s="131"/>
      <c r="OHU638" s="131"/>
      <c r="OHV638" s="131"/>
      <c r="OHW638" s="131"/>
      <c r="OHX638" s="131"/>
      <c r="OHY638" s="131"/>
      <c r="OHZ638" s="131"/>
      <c r="OIA638" s="131"/>
      <c r="OIB638" s="131"/>
      <c r="OIC638" s="131"/>
      <c r="OID638" s="131"/>
      <c r="OIE638" s="131"/>
      <c r="OIF638" s="131"/>
      <c r="OIG638" s="131"/>
      <c r="OIH638" s="131"/>
      <c r="OII638" s="131"/>
      <c r="OIJ638" s="131"/>
      <c r="OIK638" s="131"/>
      <c r="OIL638" s="131"/>
      <c r="OIM638" s="131"/>
      <c r="OIN638" s="131"/>
      <c r="OIO638" s="131"/>
      <c r="OIP638" s="131"/>
      <c r="OIQ638" s="131"/>
      <c r="OIR638" s="131"/>
      <c r="OIS638" s="131"/>
      <c r="OIT638" s="131"/>
      <c r="OIU638" s="131"/>
      <c r="OIV638" s="131"/>
      <c r="OIW638" s="131"/>
      <c r="OIX638" s="131"/>
      <c r="OIY638" s="131"/>
      <c r="OIZ638" s="131"/>
      <c r="OJA638" s="131"/>
      <c r="OJB638" s="131"/>
      <c r="OJC638" s="131"/>
      <c r="OJD638" s="131"/>
      <c r="OJE638" s="131"/>
      <c r="OJF638" s="131"/>
      <c r="OJG638" s="131"/>
      <c r="OJH638" s="131"/>
      <c r="OJI638" s="131"/>
      <c r="OJJ638" s="131"/>
      <c r="OJK638" s="131"/>
      <c r="OJL638" s="131"/>
      <c r="OJM638" s="131"/>
      <c r="OJN638" s="131"/>
      <c r="OJO638" s="131"/>
      <c r="OJP638" s="131"/>
      <c r="OJQ638" s="131"/>
      <c r="OJR638" s="131"/>
      <c r="OJS638" s="131"/>
      <c r="OJT638" s="131"/>
      <c r="OJU638" s="131"/>
      <c r="OJV638" s="131"/>
      <c r="OJW638" s="131"/>
      <c r="OJX638" s="131"/>
      <c r="OJY638" s="131"/>
      <c r="OJZ638" s="131"/>
      <c r="OKA638" s="131"/>
      <c r="OKB638" s="131"/>
      <c r="OKC638" s="131"/>
      <c r="OKD638" s="131"/>
      <c r="OKE638" s="131"/>
      <c r="OKF638" s="131"/>
      <c r="OKG638" s="131"/>
      <c r="OKH638" s="131"/>
      <c r="OKI638" s="131"/>
      <c r="OKJ638" s="131"/>
      <c r="OKK638" s="131"/>
      <c r="OKL638" s="131"/>
      <c r="OKM638" s="131"/>
      <c r="OKN638" s="131"/>
      <c r="OKO638" s="131"/>
      <c r="OKP638" s="131"/>
      <c r="OKQ638" s="131"/>
      <c r="OKR638" s="131"/>
      <c r="OKS638" s="131"/>
      <c r="OKT638" s="131"/>
      <c r="OKU638" s="131"/>
      <c r="OKV638" s="131"/>
      <c r="OKW638" s="131"/>
      <c r="OKX638" s="131"/>
      <c r="OKY638" s="131"/>
      <c r="OKZ638" s="131"/>
      <c r="OLA638" s="131"/>
      <c r="OLB638" s="131"/>
      <c r="OLC638" s="131"/>
      <c r="OLD638" s="131"/>
      <c r="OLE638" s="131"/>
      <c r="OLF638" s="131"/>
      <c r="OLG638" s="131"/>
      <c r="OLH638" s="131"/>
      <c r="OLI638" s="131"/>
      <c r="OLJ638" s="131"/>
      <c r="OLK638" s="131"/>
      <c r="OLL638" s="131"/>
      <c r="OLM638" s="131"/>
      <c r="OLN638" s="131"/>
      <c r="OLO638" s="131"/>
      <c r="OLP638" s="131"/>
      <c r="OLQ638" s="131"/>
      <c r="OLR638" s="131"/>
      <c r="OLS638" s="131"/>
      <c r="OLT638" s="131"/>
      <c r="OLU638" s="131"/>
      <c r="OLV638" s="131"/>
      <c r="OLW638" s="131"/>
      <c r="OLX638" s="131"/>
      <c r="OLY638" s="131"/>
      <c r="OLZ638" s="131"/>
      <c r="OMA638" s="131"/>
      <c r="OMB638" s="131"/>
      <c r="OMC638" s="131"/>
      <c r="OMD638" s="131"/>
      <c r="OME638" s="131"/>
      <c r="OMF638" s="131"/>
      <c r="OMG638" s="131"/>
      <c r="OMH638" s="131"/>
      <c r="OMI638" s="131"/>
      <c r="OMJ638" s="131"/>
      <c r="OMK638" s="131"/>
      <c r="OML638" s="131"/>
      <c r="OMM638" s="131"/>
      <c r="OMN638" s="131"/>
      <c r="OMO638" s="131"/>
      <c r="OMP638" s="131"/>
      <c r="OMQ638" s="131"/>
      <c r="OMR638" s="131"/>
      <c r="OMS638" s="131"/>
      <c r="OMT638" s="131"/>
      <c r="OMU638" s="131"/>
      <c r="OMV638" s="131"/>
      <c r="OMW638" s="131"/>
      <c r="OMX638" s="131"/>
      <c r="OMY638" s="131"/>
      <c r="OMZ638" s="131"/>
      <c r="ONA638" s="131"/>
      <c r="ONB638" s="131"/>
      <c r="ONC638" s="131"/>
      <c r="OND638" s="131"/>
      <c r="ONE638" s="131"/>
      <c r="ONF638" s="131"/>
      <c r="ONG638" s="131"/>
      <c r="ONH638" s="131"/>
      <c r="ONI638" s="131"/>
      <c r="ONJ638" s="131"/>
      <c r="ONK638" s="131"/>
      <c r="ONL638" s="131"/>
      <c r="ONM638" s="131"/>
      <c r="ONN638" s="131"/>
      <c r="ONO638" s="131"/>
      <c r="ONP638" s="131"/>
      <c r="ONQ638" s="131"/>
      <c r="ONR638" s="131"/>
      <c r="ONS638" s="131"/>
      <c r="ONT638" s="131"/>
      <c r="ONU638" s="131"/>
      <c r="ONV638" s="131"/>
      <c r="ONW638" s="131"/>
      <c r="ONX638" s="131"/>
      <c r="ONY638" s="131"/>
      <c r="ONZ638" s="131"/>
      <c r="OOA638" s="131"/>
      <c r="OOB638" s="131"/>
      <c r="OOC638" s="131"/>
      <c r="OOD638" s="131"/>
      <c r="OOE638" s="131"/>
      <c r="OOF638" s="131"/>
      <c r="OOG638" s="131"/>
      <c r="OOH638" s="131"/>
      <c r="OOI638" s="131"/>
      <c r="OOJ638" s="131"/>
      <c r="OOK638" s="131"/>
      <c r="OOL638" s="131"/>
      <c r="OOM638" s="131"/>
      <c r="OON638" s="131"/>
      <c r="OOO638" s="131"/>
      <c r="OOP638" s="131"/>
      <c r="OOQ638" s="131"/>
      <c r="OOR638" s="131"/>
      <c r="OOS638" s="131"/>
      <c r="OOT638" s="131"/>
      <c r="OOU638" s="131"/>
      <c r="OOV638" s="131"/>
      <c r="OOW638" s="131"/>
      <c r="OOX638" s="131"/>
      <c r="OOY638" s="131"/>
      <c r="OOZ638" s="131"/>
      <c r="OPA638" s="131"/>
      <c r="OPB638" s="131"/>
      <c r="OPC638" s="131"/>
      <c r="OPD638" s="131"/>
      <c r="OPE638" s="131"/>
      <c r="OPF638" s="131"/>
      <c r="OPG638" s="131"/>
      <c r="OPH638" s="131"/>
      <c r="OPI638" s="131"/>
      <c r="OPJ638" s="131"/>
      <c r="OPK638" s="131"/>
      <c r="OPL638" s="131"/>
      <c r="OPM638" s="131"/>
      <c r="OPN638" s="131"/>
      <c r="OPO638" s="131"/>
      <c r="OPP638" s="131"/>
      <c r="OPQ638" s="131"/>
      <c r="OPR638" s="131"/>
      <c r="OPS638" s="131"/>
      <c r="OPT638" s="131"/>
      <c r="OPU638" s="131"/>
      <c r="OPV638" s="131"/>
      <c r="OPW638" s="131"/>
      <c r="OPX638" s="131"/>
      <c r="OPY638" s="131"/>
      <c r="OPZ638" s="131"/>
      <c r="OQA638" s="131"/>
      <c r="OQB638" s="131"/>
      <c r="OQC638" s="131"/>
      <c r="OQD638" s="131"/>
      <c r="OQE638" s="131"/>
      <c r="OQF638" s="131"/>
      <c r="OQG638" s="131"/>
      <c r="OQH638" s="131"/>
      <c r="OQI638" s="131"/>
      <c r="OQJ638" s="131"/>
      <c r="OQK638" s="131"/>
      <c r="OQL638" s="131"/>
      <c r="OQM638" s="131"/>
      <c r="OQN638" s="131"/>
      <c r="OQO638" s="131"/>
      <c r="OQP638" s="131"/>
      <c r="OQQ638" s="131"/>
      <c r="OQR638" s="131"/>
      <c r="OQS638" s="131"/>
      <c r="OQT638" s="131"/>
      <c r="OQU638" s="131"/>
      <c r="OQV638" s="131"/>
      <c r="OQW638" s="131"/>
      <c r="OQX638" s="131"/>
      <c r="OQY638" s="131"/>
      <c r="OQZ638" s="131"/>
      <c r="ORA638" s="131"/>
      <c r="ORB638" s="131"/>
      <c r="ORC638" s="131"/>
      <c r="ORD638" s="131"/>
      <c r="ORE638" s="131"/>
      <c r="ORF638" s="131"/>
      <c r="ORG638" s="131"/>
      <c r="ORH638" s="131"/>
      <c r="ORI638" s="131"/>
      <c r="ORJ638" s="131"/>
      <c r="ORK638" s="131"/>
      <c r="ORL638" s="131"/>
      <c r="ORM638" s="131"/>
      <c r="ORN638" s="131"/>
      <c r="ORO638" s="131"/>
      <c r="ORP638" s="131"/>
      <c r="ORQ638" s="131"/>
      <c r="ORR638" s="131"/>
      <c r="ORS638" s="131"/>
      <c r="ORT638" s="131"/>
      <c r="ORU638" s="131"/>
      <c r="ORV638" s="131"/>
      <c r="ORW638" s="131"/>
      <c r="ORX638" s="131"/>
      <c r="ORY638" s="131"/>
      <c r="ORZ638" s="131"/>
      <c r="OSA638" s="131"/>
      <c r="OSB638" s="131"/>
      <c r="OSC638" s="131"/>
      <c r="OSD638" s="131"/>
      <c r="OSE638" s="131"/>
      <c r="OSF638" s="131"/>
      <c r="OSG638" s="131"/>
      <c r="OSH638" s="131"/>
      <c r="OSI638" s="131"/>
      <c r="OSJ638" s="131"/>
      <c r="OSK638" s="131"/>
      <c r="OSL638" s="131"/>
      <c r="OSM638" s="131"/>
      <c r="OSN638" s="131"/>
      <c r="OSO638" s="131"/>
      <c r="OSP638" s="131"/>
      <c r="OSQ638" s="131"/>
      <c r="OSR638" s="131"/>
      <c r="OSS638" s="131"/>
      <c r="OST638" s="131"/>
      <c r="OSU638" s="131"/>
      <c r="OSV638" s="131"/>
      <c r="OSW638" s="131"/>
      <c r="OSX638" s="131"/>
      <c r="OSY638" s="131"/>
      <c r="OSZ638" s="131"/>
      <c r="OTA638" s="131"/>
      <c r="OTB638" s="131"/>
      <c r="OTC638" s="131"/>
      <c r="OTD638" s="131"/>
      <c r="OTE638" s="131"/>
      <c r="OTF638" s="131"/>
      <c r="OTG638" s="131"/>
      <c r="OTH638" s="131"/>
      <c r="OTI638" s="131"/>
      <c r="OTJ638" s="131"/>
      <c r="OTK638" s="131"/>
      <c r="OTL638" s="131"/>
      <c r="OTM638" s="131"/>
      <c r="OTN638" s="131"/>
      <c r="OTO638" s="131"/>
      <c r="OTP638" s="131"/>
      <c r="OTQ638" s="131"/>
      <c r="OTR638" s="131"/>
      <c r="OTS638" s="131"/>
      <c r="OTT638" s="131"/>
      <c r="OTU638" s="131"/>
      <c r="OTV638" s="131"/>
      <c r="OTW638" s="131"/>
      <c r="OTX638" s="131"/>
      <c r="OTY638" s="131"/>
      <c r="OTZ638" s="131"/>
      <c r="OUA638" s="131"/>
      <c r="OUB638" s="131"/>
      <c r="OUC638" s="131"/>
      <c r="OUD638" s="131"/>
      <c r="OUE638" s="131"/>
      <c r="OUF638" s="131"/>
      <c r="OUG638" s="131"/>
      <c r="OUH638" s="131"/>
      <c r="OUI638" s="131"/>
      <c r="OUJ638" s="131"/>
      <c r="OUK638" s="131"/>
      <c r="OUL638" s="131"/>
      <c r="OUM638" s="131"/>
      <c r="OUN638" s="131"/>
      <c r="OUO638" s="131"/>
      <c r="OUP638" s="131"/>
      <c r="OUQ638" s="131"/>
      <c r="OUR638" s="131"/>
      <c r="OUS638" s="131"/>
      <c r="OUT638" s="131"/>
      <c r="OUU638" s="131"/>
      <c r="OUV638" s="131"/>
      <c r="OUW638" s="131"/>
      <c r="OUX638" s="131"/>
      <c r="OUY638" s="131"/>
      <c r="OUZ638" s="131"/>
      <c r="OVA638" s="131"/>
      <c r="OVB638" s="131"/>
      <c r="OVC638" s="131"/>
      <c r="OVD638" s="131"/>
      <c r="OVE638" s="131"/>
      <c r="OVF638" s="131"/>
      <c r="OVG638" s="131"/>
      <c r="OVH638" s="131"/>
      <c r="OVI638" s="131"/>
      <c r="OVJ638" s="131"/>
      <c r="OVK638" s="131"/>
      <c r="OVL638" s="131"/>
      <c r="OVM638" s="131"/>
      <c r="OVN638" s="131"/>
      <c r="OVO638" s="131"/>
      <c r="OVP638" s="131"/>
      <c r="OVQ638" s="131"/>
      <c r="OVR638" s="131"/>
      <c r="OVS638" s="131"/>
      <c r="OVT638" s="131"/>
      <c r="OVU638" s="131"/>
      <c r="OVV638" s="131"/>
      <c r="OVW638" s="131"/>
      <c r="OVX638" s="131"/>
      <c r="OVY638" s="131"/>
      <c r="OVZ638" s="131"/>
      <c r="OWA638" s="131"/>
      <c r="OWB638" s="131"/>
      <c r="OWC638" s="131"/>
      <c r="OWD638" s="131"/>
      <c r="OWE638" s="131"/>
      <c r="OWF638" s="131"/>
      <c r="OWG638" s="131"/>
      <c r="OWH638" s="131"/>
      <c r="OWI638" s="131"/>
      <c r="OWJ638" s="131"/>
      <c r="OWK638" s="131"/>
      <c r="OWL638" s="131"/>
      <c r="OWM638" s="131"/>
      <c r="OWN638" s="131"/>
      <c r="OWO638" s="131"/>
      <c r="OWP638" s="131"/>
      <c r="OWQ638" s="131"/>
      <c r="OWR638" s="131"/>
      <c r="OWS638" s="131"/>
      <c r="OWT638" s="131"/>
      <c r="OWU638" s="131"/>
      <c r="OWV638" s="131"/>
      <c r="OWW638" s="131"/>
      <c r="OWX638" s="131"/>
      <c r="OWY638" s="131"/>
      <c r="OWZ638" s="131"/>
      <c r="OXA638" s="131"/>
      <c r="OXB638" s="131"/>
      <c r="OXC638" s="131"/>
      <c r="OXD638" s="131"/>
      <c r="OXE638" s="131"/>
      <c r="OXF638" s="131"/>
      <c r="OXG638" s="131"/>
      <c r="OXH638" s="131"/>
      <c r="OXI638" s="131"/>
      <c r="OXJ638" s="131"/>
      <c r="OXK638" s="131"/>
      <c r="OXL638" s="131"/>
      <c r="OXM638" s="131"/>
      <c r="OXN638" s="131"/>
      <c r="OXO638" s="131"/>
      <c r="OXP638" s="131"/>
      <c r="OXQ638" s="131"/>
      <c r="OXR638" s="131"/>
      <c r="OXS638" s="131"/>
      <c r="OXT638" s="131"/>
      <c r="OXU638" s="131"/>
      <c r="OXV638" s="131"/>
      <c r="OXW638" s="131"/>
      <c r="OXX638" s="131"/>
      <c r="OXY638" s="131"/>
      <c r="OXZ638" s="131"/>
      <c r="OYA638" s="131"/>
      <c r="OYB638" s="131"/>
      <c r="OYC638" s="131"/>
      <c r="OYD638" s="131"/>
      <c r="OYE638" s="131"/>
      <c r="OYF638" s="131"/>
      <c r="OYG638" s="131"/>
      <c r="OYH638" s="131"/>
      <c r="OYI638" s="131"/>
      <c r="OYJ638" s="131"/>
      <c r="OYK638" s="131"/>
      <c r="OYL638" s="131"/>
      <c r="OYM638" s="131"/>
      <c r="OYN638" s="131"/>
      <c r="OYO638" s="131"/>
      <c r="OYP638" s="131"/>
      <c r="OYQ638" s="131"/>
      <c r="OYR638" s="131"/>
      <c r="OYS638" s="131"/>
      <c r="OYT638" s="131"/>
      <c r="OYU638" s="131"/>
      <c r="OYV638" s="131"/>
      <c r="OYW638" s="131"/>
      <c r="OYX638" s="131"/>
      <c r="OYY638" s="131"/>
      <c r="OYZ638" s="131"/>
      <c r="OZA638" s="131"/>
      <c r="OZB638" s="131"/>
      <c r="OZC638" s="131"/>
      <c r="OZD638" s="131"/>
      <c r="OZE638" s="131"/>
      <c r="OZF638" s="131"/>
      <c r="OZG638" s="131"/>
      <c r="OZH638" s="131"/>
      <c r="OZI638" s="131"/>
      <c r="OZJ638" s="131"/>
      <c r="OZK638" s="131"/>
      <c r="OZL638" s="131"/>
      <c r="OZM638" s="131"/>
      <c r="OZN638" s="131"/>
      <c r="OZO638" s="131"/>
      <c r="OZP638" s="131"/>
      <c r="OZQ638" s="131"/>
      <c r="OZR638" s="131"/>
      <c r="OZS638" s="131"/>
      <c r="OZT638" s="131"/>
      <c r="OZU638" s="131"/>
      <c r="OZV638" s="131"/>
      <c r="OZW638" s="131"/>
      <c r="OZX638" s="131"/>
      <c r="OZY638" s="131"/>
      <c r="OZZ638" s="131"/>
      <c r="PAA638" s="131"/>
      <c r="PAB638" s="131"/>
      <c r="PAC638" s="131"/>
      <c r="PAD638" s="131"/>
      <c r="PAE638" s="131"/>
      <c r="PAF638" s="131"/>
      <c r="PAG638" s="131"/>
      <c r="PAH638" s="131"/>
      <c r="PAI638" s="131"/>
      <c r="PAJ638" s="131"/>
      <c r="PAK638" s="131"/>
      <c r="PAL638" s="131"/>
      <c r="PAM638" s="131"/>
      <c r="PAN638" s="131"/>
      <c r="PAO638" s="131"/>
      <c r="PAP638" s="131"/>
      <c r="PAQ638" s="131"/>
      <c r="PAR638" s="131"/>
      <c r="PAS638" s="131"/>
      <c r="PAT638" s="131"/>
      <c r="PAU638" s="131"/>
      <c r="PAV638" s="131"/>
      <c r="PAW638" s="131"/>
      <c r="PAX638" s="131"/>
      <c r="PAY638" s="131"/>
      <c r="PAZ638" s="131"/>
      <c r="PBA638" s="131"/>
      <c r="PBB638" s="131"/>
      <c r="PBC638" s="131"/>
      <c r="PBD638" s="131"/>
      <c r="PBE638" s="131"/>
      <c r="PBF638" s="131"/>
      <c r="PBG638" s="131"/>
      <c r="PBH638" s="131"/>
      <c r="PBI638" s="131"/>
      <c r="PBJ638" s="131"/>
      <c r="PBK638" s="131"/>
      <c r="PBL638" s="131"/>
      <c r="PBM638" s="131"/>
      <c r="PBN638" s="131"/>
      <c r="PBO638" s="131"/>
      <c r="PBP638" s="131"/>
      <c r="PBQ638" s="131"/>
      <c r="PBR638" s="131"/>
      <c r="PBS638" s="131"/>
      <c r="PBT638" s="131"/>
      <c r="PBU638" s="131"/>
      <c r="PBV638" s="131"/>
      <c r="PBW638" s="131"/>
      <c r="PBX638" s="131"/>
      <c r="PBY638" s="131"/>
      <c r="PBZ638" s="131"/>
      <c r="PCA638" s="131"/>
      <c r="PCB638" s="131"/>
      <c r="PCC638" s="131"/>
      <c r="PCD638" s="131"/>
      <c r="PCE638" s="131"/>
      <c r="PCF638" s="131"/>
      <c r="PCG638" s="131"/>
      <c r="PCH638" s="131"/>
      <c r="PCI638" s="131"/>
      <c r="PCJ638" s="131"/>
      <c r="PCK638" s="131"/>
      <c r="PCL638" s="131"/>
      <c r="PCM638" s="131"/>
      <c r="PCN638" s="131"/>
      <c r="PCO638" s="131"/>
      <c r="PCP638" s="131"/>
      <c r="PCQ638" s="131"/>
      <c r="PCR638" s="131"/>
      <c r="PCS638" s="131"/>
      <c r="PCT638" s="131"/>
      <c r="PCU638" s="131"/>
      <c r="PCV638" s="131"/>
      <c r="PCW638" s="131"/>
      <c r="PCX638" s="131"/>
      <c r="PCY638" s="131"/>
      <c r="PCZ638" s="131"/>
      <c r="PDA638" s="131"/>
      <c r="PDB638" s="131"/>
      <c r="PDC638" s="131"/>
      <c r="PDD638" s="131"/>
      <c r="PDE638" s="131"/>
      <c r="PDF638" s="131"/>
      <c r="PDG638" s="131"/>
      <c r="PDH638" s="131"/>
      <c r="PDI638" s="131"/>
      <c r="PDJ638" s="131"/>
      <c r="PDK638" s="131"/>
      <c r="PDL638" s="131"/>
      <c r="PDM638" s="131"/>
      <c r="PDN638" s="131"/>
      <c r="PDO638" s="131"/>
      <c r="PDP638" s="131"/>
      <c r="PDQ638" s="131"/>
      <c r="PDR638" s="131"/>
      <c r="PDS638" s="131"/>
      <c r="PDT638" s="131"/>
      <c r="PDU638" s="131"/>
      <c r="PDV638" s="131"/>
      <c r="PDW638" s="131"/>
      <c r="PDX638" s="131"/>
      <c r="PDY638" s="131"/>
      <c r="PDZ638" s="131"/>
      <c r="PEA638" s="131"/>
      <c r="PEB638" s="131"/>
      <c r="PEC638" s="131"/>
      <c r="PED638" s="131"/>
      <c r="PEE638" s="131"/>
      <c r="PEF638" s="131"/>
      <c r="PEG638" s="131"/>
      <c r="PEH638" s="131"/>
      <c r="PEI638" s="131"/>
      <c r="PEJ638" s="131"/>
      <c r="PEK638" s="131"/>
      <c r="PEL638" s="131"/>
      <c r="PEM638" s="131"/>
      <c r="PEN638" s="131"/>
      <c r="PEO638" s="131"/>
      <c r="PEP638" s="131"/>
      <c r="PEQ638" s="131"/>
      <c r="PER638" s="131"/>
      <c r="PES638" s="131"/>
      <c r="PET638" s="131"/>
      <c r="PEU638" s="131"/>
      <c r="PEV638" s="131"/>
      <c r="PEW638" s="131"/>
      <c r="PEX638" s="131"/>
      <c r="PEY638" s="131"/>
      <c r="PEZ638" s="131"/>
      <c r="PFA638" s="131"/>
      <c r="PFB638" s="131"/>
      <c r="PFC638" s="131"/>
      <c r="PFD638" s="131"/>
      <c r="PFE638" s="131"/>
      <c r="PFF638" s="131"/>
      <c r="PFG638" s="131"/>
      <c r="PFH638" s="131"/>
      <c r="PFI638" s="131"/>
      <c r="PFJ638" s="131"/>
      <c r="PFK638" s="131"/>
      <c r="PFL638" s="131"/>
      <c r="PFM638" s="131"/>
      <c r="PFN638" s="131"/>
      <c r="PFO638" s="131"/>
      <c r="PFP638" s="131"/>
      <c r="PFQ638" s="131"/>
      <c r="PFR638" s="131"/>
      <c r="PFS638" s="131"/>
      <c r="PFT638" s="131"/>
      <c r="PFU638" s="131"/>
      <c r="PFV638" s="131"/>
      <c r="PFW638" s="131"/>
      <c r="PFX638" s="131"/>
      <c r="PFY638" s="131"/>
      <c r="PFZ638" s="131"/>
      <c r="PGA638" s="131"/>
      <c r="PGB638" s="131"/>
      <c r="PGC638" s="131"/>
      <c r="PGD638" s="131"/>
      <c r="PGE638" s="131"/>
      <c r="PGF638" s="131"/>
      <c r="PGG638" s="131"/>
      <c r="PGH638" s="131"/>
      <c r="PGI638" s="131"/>
      <c r="PGJ638" s="131"/>
      <c r="PGK638" s="131"/>
      <c r="PGL638" s="131"/>
      <c r="PGM638" s="131"/>
      <c r="PGN638" s="131"/>
      <c r="PGO638" s="131"/>
      <c r="PGP638" s="131"/>
      <c r="PGQ638" s="131"/>
      <c r="PGR638" s="131"/>
      <c r="PGS638" s="131"/>
      <c r="PGT638" s="131"/>
      <c r="PGU638" s="131"/>
      <c r="PGV638" s="131"/>
      <c r="PGW638" s="131"/>
      <c r="PGX638" s="131"/>
      <c r="PGY638" s="131"/>
      <c r="PGZ638" s="131"/>
      <c r="PHA638" s="131"/>
      <c r="PHB638" s="131"/>
      <c r="PHC638" s="131"/>
      <c r="PHD638" s="131"/>
      <c r="PHE638" s="131"/>
      <c r="PHF638" s="131"/>
      <c r="PHG638" s="131"/>
      <c r="PHH638" s="131"/>
      <c r="PHI638" s="131"/>
      <c r="PHJ638" s="131"/>
      <c r="PHK638" s="131"/>
      <c r="PHL638" s="131"/>
      <c r="PHM638" s="131"/>
      <c r="PHN638" s="131"/>
      <c r="PHO638" s="131"/>
      <c r="PHP638" s="131"/>
      <c r="PHQ638" s="131"/>
      <c r="PHR638" s="131"/>
      <c r="PHS638" s="131"/>
      <c r="PHT638" s="131"/>
      <c r="PHU638" s="131"/>
      <c r="PHV638" s="131"/>
      <c r="PHW638" s="131"/>
      <c r="PHX638" s="131"/>
      <c r="PHY638" s="131"/>
      <c r="PHZ638" s="131"/>
      <c r="PIA638" s="131"/>
      <c r="PIB638" s="131"/>
      <c r="PIC638" s="131"/>
      <c r="PID638" s="131"/>
      <c r="PIE638" s="131"/>
      <c r="PIF638" s="131"/>
      <c r="PIG638" s="131"/>
      <c r="PIH638" s="131"/>
      <c r="PII638" s="131"/>
      <c r="PIJ638" s="131"/>
      <c r="PIK638" s="131"/>
      <c r="PIL638" s="131"/>
      <c r="PIM638" s="131"/>
      <c r="PIN638" s="131"/>
      <c r="PIO638" s="131"/>
      <c r="PIP638" s="131"/>
      <c r="PIQ638" s="131"/>
      <c r="PIR638" s="131"/>
      <c r="PIS638" s="131"/>
      <c r="PIT638" s="131"/>
      <c r="PIU638" s="131"/>
      <c r="PIV638" s="131"/>
      <c r="PIW638" s="131"/>
      <c r="PIX638" s="131"/>
      <c r="PIY638" s="131"/>
      <c r="PIZ638" s="131"/>
      <c r="PJA638" s="131"/>
      <c r="PJB638" s="131"/>
      <c r="PJC638" s="131"/>
      <c r="PJD638" s="131"/>
      <c r="PJE638" s="131"/>
      <c r="PJF638" s="131"/>
      <c r="PJG638" s="131"/>
      <c r="PJH638" s="131"/>
      <c r="PJI638" s="131"/>
      <c r="PJJ638" s="131"/>
      <c r="PJK638" s="131"/>
      <c r="PJL638" s="131"/>
      <c r="PJM638" s="131"/>
      <c r="PJN638" s="131"/>
      <c r="PJO638" s="131"/>
      <c r="PJP638" s="131"/>
      <c r="PJQ638" s="131"/>
      <c r="PJR638" s="131"/>
      <c r="PJS638" s="131"/>
      <c r="PJT638" s="131"/>
      <c r="PJU638" s="131"/>
      <c r="PJV638" s="131"/>
      <c r="PJW638" s="131"/>
      <c r="PJX638" s="131"/>
      <c r="PJY638" s="131"/>
      <c r="PJZ638" s="131"/>
      <c r="PKA638" s="131"/>
      <c r="PKB638" s="131"/>
      <c r="PKC638" s="131"/>
      <c r="PKD638" s="131"/>
      <c r="PKE638" s="131"/>
      <c r="PKF638" s="131"/>
      <c r="PKG638" s="131"/>
      <c r="PKH638" s="131"/>
      <c r="PKI638" s="131"/>
      <c r="PKJ638" s="131"/>
      <c r="PKK638" s="131"/>
      <c r="PKL638" s="131"/>
      <c r="PKM638" s="131"/>
      <c r="PKN638" s="131"/>
      <c r="PKO638" s="131"/>
      <c r="PKP638" s="131"/>
      <c r="PKQ638" s="131"/>
      <c r="PKR638" s="131"/>
      <c r="PKS638" s="131"/>
      <c r="PKT638" s="131"/>
      <c r="PKU638" s="131"/>
      <c r="PKV638" s="131"/>
      <c r="PKW638" s="131"/>
      <c r="PKX638" s="131"/>
      <c r="PKY638" s="131"/>
      <c r="PKZ638" s="131"/>
      <c r="PLA638" s="131"/>
      <c r="PLB638" s="131"/>
      <c r="PLC638" s="131"/>
      <c r="PLD638" s="131"/>
      <c r="PLE638" s="131"/>
      <c r="PLF638" s="131"/>
      <c r="PLG638" s="131"/>
      <c r="PLH638" s="131"/>
      <c r="PLI638" s="131"/>
      <c r="PLJ638" s="131"/>
      <c r="PLK638" s="131"/>
      <c r="PLL638" s="131"/>
      <c r="PLM638" s="131"/>
      <c r="PLN638" s="131"/>
      <c r="PLO638" s="131"/>
      <c r="PLP638" s="131"/>
      <c r="PLQ638" s="131"/>
      <c r="PLR638" s="131"/>
      <c r="PLS638" s="131"/>
      <c r="PLT638" s="131"/>
      <c r="PLU638" s="131"/>
      <c r="PLV638" s="131"/>
      <c r="PLW638" s="131"/>
      <c r="PLX638" s="131"/>
      <c r="PLY638" s="131"/>
      <c r="PLZ638" s="131"/>
      <c r="PMA638" s="131"/>
      <c r="PMB638" s="131"/>
      <c r="PMC638" s="131"/>
      <c r="PMD638" s="131"/>
      <c r="PME638" s="131"/>
      <c r="PMF638" s="131"/>
      <c r="PMG638" s="131"/>
      <c r="PMH638" s="131"/>
      <c r="PMI638" s="131"/>
      <c r="PMJ638" s="131"/>
      <c r="PMK638" s="131"/>
      <c r="PML638" s="131"/>
      <c r="PMM638" s="131"/>
      <c r="PMN638" s="131"/>
      <c r="PMO638" s="131"/>
      <c r="PMP638" s="131"/>
      <c r="PMQ638" s="131"/>
      <c r="PMR638" s="131"/>
      <c r="PMS638" s="131"/>
      <c r="PMT638" s="131"/>
      <c r="PMU638" s="131"/>
      <c r="PMV638" s="131"/>
      <c r="PMW638" s="131"/>
      <c r="PMX638" s="131"/>
      <c r="PMY638" s="131"/>
      <c r="PMZ638" s="131"/>
      <c r="PNA638" s="131"/>
      <c r="PNB638" s="131"/>
      <c r="PNC638" s="131"/>
      <c r="PND638" s="131"/>
      <c r="PNE638" s="131"/>
      <c r="PNF638" s="131"/>
      <c r="PNG638" s="131"/>
      <c r="PNH638" s="131"/>
      <c r="PNI638" s="131"/>
      <c r="PNJ638" s="131"/>
      <c r="PNK638" s="131"/>
      <c r="PNL638" s="131"/>
      <c r="PNM638" s="131"/>
      <c r="PNN638" s="131"/>
      <c r="PNO638" s="131"/>
      <c r="PNP638" s="131"/>
      <c r="PNQ638" s="131"/>
      <c r="PNR638" s="131"/>
      <c r="PNS638" s="131"/>
      <c r="PNT638" s="131"/>
      <c r="PNU638" s="131"/>
      <c r="PNV638" s="131"/>
      <c r="PNW638" s="131"/>
      <c r="PNX638" s="131"/>
      <c r="PNY638" s="131"/>
      <c r="PNZ638" s="131"/>
      <c r="POA638" s="131"/>
      <c r="POB638" s="131"/>
      <c r="POC638" s="131"/>
      <c r="POD638" s="131"/>
      <c r="POE638" s="131"/>
      <c r="POF638" s="131"/>
      <c r="POG638" s="131"/>
      <c r="POH638" s="131"/>
      <c r="POI638" s="131"/>
      <c r="POJ638" s="131"/>
      <c r="POK638" s="131"/>
      <c r="POL638" s="131"/>
      <c r="POM638" s="131"/>
      <c r="PON638" s="131"/>
      <c r="POO638" s="131"/>
      <c r="POP638" s="131"/>
      <c r="POQ638" s="131"/>
      <c r="POR638" s="131"/>
      <c r="POS638" s="131"/>
      <c r="POT638" s="131"/>
      <c r="POU638" s="131"/>
      <c r="POV638" s="131"/>
      <c r="POW638" s="131"/>
      <c r="POX638" s="131"/>
      <c r="POY638" s="131"/>
      <c r="POZ638" s="131"/>
      <c r="PPA638" s="131"/>
      <c r="PPB638" s="131"/>
      <c r="PPC638" s="131"/>
      <c r="PPD638" s="131"/>
      <c r="PPE638" s="131"/>
      <c r="PPF638" s="131"/>
      <c r="PPG638" s="131"/>
      <c r="PPH638" s="131"/>
      <c r="PPI638" s="131"/>
      <c r="PPJ638" s="131"/>
      <c r="PPK638" s="131"/>
      <c r="PPL638" s="131"/>
      <c r="PPM638" s="131"/>
      <c r="PPN638" s="131"/>
      <c r="PPO638" s="131"/>
      <c r="PPP638" s="131"/>
      <c r="PPQ638" s="131"/>
      <c r="PPR638" s="131"/>
      <c r="PPS638" s="131"/>
      <c r="PPT638" s="131"/>
      <c r="PPU638" s="131"/>
      <c r="PPV638" s="131"/>
      <c r="PPW638" s="131"/>
      <c r="PPX638" s="131"/>
      <c r="PPY638" s="131"/>
      <c r="PPZ638" s="131"/>
      <c r="PQA638" s="131"/>
      <c r="PQB638" s="131"/>
      <c r="PQC638" s="131"/>
      <c r="PQD638" s="131"/>
      <c r="PQE638" s="131"/>
      <c r="PQF638" s="131"/>
      <c r="PQG638" s="131"/>
      <c r="PQH638" s="131"/>
      <c r="PQI638" s="131"/>
      <c r="PQJ638" s="131"/>
      <c r="PQK638" s="131"/>
      <c r="PQL638" s="131"/>
      <c r="PQM638" s="131"/>
      <c r="PQN638" s="131"/>
      <c r="PQO638" s="131"/>
      <c r="PQP638" s="131"/>
      <c r="PQQ638" s="131"/>
      <c r="PQR638" s="131"/>
      <c r="PQS638" s="131"/>
      <c r="PQT638" s="131"/>
      <c r="PQU638" s="131"/>
      <c r="PQV638" s="131"/>
      <c r="PQW638" s="131"/>
      <c r="PQX638" s="131"/>
      <c r="PQY638" s="131"/>
      <c r="PQZ638" s="131"/>
      <c r="PRA638" s="131"/>
      <c r="PRB638" s="131"/>
      <c r="PRC638" s="131"/>
      <c r="PRD638" s="131"/>
      <c r="PRE638" s="131"/>
      <c r="PRF638" s="131"/>
      <c r="PRG638" s="131"/>
      <c r="PRH638" s="131"/>
      <c r="PRI638" s="131"/>
      <c r="PRJ638" s="131"/>
      <c r="PRK638" s="131"/>
      <c r="PRL638" s="131"/>
      <c r="PRM638" s="131"/>
      <c r="PRN638" s="131"/>
      <c r="PRO638" s="131"/>
      <c r="PRP638" s="131"/>
      <c r="PRQ638" s="131"/>
      <c r="PRR638" s="131"/>
      <c r="PRS638" s="131"/>
      <c r="PRT638" s="131"/>
      <c r="PRU638" s="131"/>
      <c r="PRV638" s="131"/>
      <c r="PRW638" s="131"/>
      <c r="PRX638" s="131"/>
      <c r="PRY638" s="131"/>
      <c r="PRZ638" s="131"/>
      <c r="PSA638" s="131"/>
      <c r="PSB638" s="131"/>
      <c r="PSC638" s="131"/>
      <c r="PSD638" s="131"/>
      <c r="PSE638" s="131"/>
      <c r="PSF638" s="131"/>
      <c r="PSG638" s="131"/>
      <c r="PSH638" s="131"/>
      <c r="PSI638" s="131"/>
      <c r="PSJ638" s="131"/>
      <c r="PSK638" s="131"/>
      <c r="PSL638" s="131"/>
      <c r="PSM638" s="131"/>
      <c r="PSN638" s="131"/>
      <c r="PSO638" s="131"/>
      <c r="PSP638" s="131"/>
      <c r="PSQ638" s="131"/>
      <c r="PSR638" s="131"/>
      <c r="PSS638" s="131"/>
      <c r="PST638" s="131"/>
      <c r="PSU638" s="131"/>
      <c r="PSV638" s="131"/>
      <c r="PSW638" s="131"/>
      <c r="PSX638" s="131"/>
      <c r="PSY638" s="131"/>
      <c r="PSZ638" s="131"/>
      <c r="PTA638" s="131"/>
      <c r="PTB638" s="131"/>
      <c r="PTC638" s="131"/>
      <c r="PTD638" s="131"/>
      <c r="PTE638" s="131"/>
      <c r="PTF638" s="131"/>
      <c r="PTG638" s="131"/>
      <c r="PTH638" s="131"/>
      <c r="PTI638" s="131"/>
      <c r="PTJ638" s="131"/>
      <c r="PTK638" s="131"/>
      <c r="PTL638" s="131"/>
      <c r="PTM638" s="131"/>
      <c r="PTN638" s="131"/>
      <c r="PTO638" s="131"/>
      <c r="PTP638" s="131"/>
      <c r="PTQ638" s="131"/>
      <c r="PTR638" s="131"/>
      <c r="PTS638" s="131"/>
      <c r="PTT638" s="131"/>
      <c r="PTU638" s="131"/>
      <c r="PTV638" s="131"/>
      <c r="PTW638" s="131"/>
      <c r="PTX638" s="131"/>
      <c r="PTY638" s="131"/>
      <c r="PTZ638" s="131"/>
      <c r="PUA638" s="131"/>
      <c r="PUB638" s="131"/>
      <c r="PUC638" s="131"/>
      <c r="PUD638" s="131"/>
      <c r="PUE638" s="131"/>
      <c r="PUF638" s="131"/>
      <c r="PUG638" s="131"/>
      <c r="PUH638" s="131"/>
      <c r="PUI638" s="131"/>
      <c r="PUJ638" s="131"/>
      <c r="PUK638" s="131"/>
      <c r="PUL638" s="131"/>
      <c r="PUM638" s="131"/>
      <c r="PUN638" s="131"/>
      <c r="PUO638" s="131"/>
      <c r="PUP638" s="131"/>
      <c r="PUQ638" s="131"/>
      <c r="PUR638" s="131"/>
      <c r="PUS638" s="131"/>
      <c r="PUT638" s="131"/>
      <c r="PUU638" s="131"/>
      <c r="PUV638" s="131"/>
      <c r="PUW638" s="131"/>
      <c r="PUX638" s="131"/>
      <c r="PUY638" s="131"/>
      <c r="PUZ638" s="131"/>
      <c r="PVA638" s="131"/>
      <c r="PVB638" s="131"/>
      <c r="PVC638" s="131"/>
      <c r="PVD638" s="131"/>
      <c r="PVE638" s="131"/>
      <c r="PVF638" s="131"/>
      <c r="PVG638" s="131"/>
      <c r="PVH638" s="131"/>
      <c r="PVI638" s="131"/>
      <c r="PVJ638" s="131"/>
      <c r="PVK638" s="131"/>
      <c r="PVL638" s="131"/>
      <c r="PVM638" s="131"/>
      <c r="PVN638" s="131"/>
      <c r="PVO638" s="131"/>
      <c r="PVP638" s="131"/>
      <c r="PVQ638" s="131"/>
      <c r="PVR638" s="131"/>
      <c r="PVS638" s="131"/>
      <c r="PVT638" s="131"/>
      <c r="PVU638" s="131"/>
      <c r="PVV638" s="131"/>
      <c r="PVW638" s="131"/>
      <c r="PVX638" s="131"/>
      <c r="PVY638" s="131"/>
      <c r="PVZ638" s="131"/>
      <c r="PWA638" s="131"/>
      <c r="PWB638" s="131"/>
      <c r="PWC638" s="131"/>
      <c r="PWD638" s="131"/>
      <c r="PWE638" s="131"/>
      <c r="PWF638" s="131"/>
      <c r="PWG638" s="131"/>
      <c r="PWH638" s="131"/>
      <c r="PWI638" s="131"/>
      <c r="PWJ638" s="131"/>
      <c r="PWK638" s="131"/>
      <c r="PWL638" s="131"/>
      <c r="PWM638" s="131"/>
      <c r="PWN638" s="131"/>
      <c r="PWO638" s="131"/>
      <c r="PWP638" s="131"/>
      <c r="PWQ638" s="131"/>
      <c r="PWR638" s="131"/>
      <c r="PWS638" s="131"/>
      <c r="PWT638" s="131"/>
      <c r="PWU638" s="131"/>
      <c r="PWV638" s="131"/>
      <c r="PWW638" s="131"/>
      <c r="PWX638" s="131"/>
      <c r="PWY638" s="131"/>
      <c r="PWZ638" s="131"/>
      <c r="PXA638" s="131"/>
      <c r="PXB638" s="131"/>
      <c r="PXC638" s="131"/>
      <c r="PXD638" s="131"/>
      <c r="PXE638" s="131"/>
      <c r="PXF638" s="131"/>
      <c r="PXG638" s="131"/>
      <c r="PXH638" s="131"/>
      <c r="PXI638" s="131"/>
      <c r="PXJ638" s="131"/>
      <c r="PXK638" s="131"/>
      <c r="PXL638" s="131"/>
      <c r="PXM638" s="131"/>
      <c r="PXN638" s="131"/>
      <c r="PXO638" s="131"/>
      <c r="PXP638" s="131"/>
      <c r="PXQ638" s="131"/>
      <c r="PXR638" s="131"/>
      <c r="PXS638" s="131"/>
      <c r="PXT638" s="131"/>
      <c r="PXU638" s="131"/>
      <c r="PXV638" s="131"/>
      <c r="PXW638" s="131"/>
      <c r="PXX638" s="131"/>
      <c r="PXY638" s="131"/>
      <c r="PXZ638" s="131"/>
      <c r="PYA638" s="131"/>
      <c r="PYB638" s="131"/>
      <c r="PYC638" s="131"/>
      <c r="PYD638" s="131"/>
      <c r="PYE638" s="131"/>
      <c r="PYF638" s="131"/>
      <c r="PYG638" s="131"/>
      <c r="PYH638" s="131"/>
      <c r="PYI638" s="131"/>
      <c r="PYJ638" s="131"/>
      <c r="PYK638" s="131"/>
      <c r="PYL638" s="131"/>
      <c r="PYM638" s="131"/>
      <c r="PYN638" s="131"/>
      <c r="PYO638" s="131"/>
      <c r="PYP638" s="131"/>
      <c r="PYQ638" s="131"/>
      <c r="PYR638" s="131"/>
      <c r="PYS638" s="131"/>
      <c r="PYT638" s="131"/>
      <c r="PYU638" s="131"/>
      <c r="PYV638" s="131"/>
      <c r="PYW638" s="131"/>
      <c r="PYX638" s="131"/>
      <c r="PYY638" s="131"/>
      <c r="PYZ638" s="131"/>
      <c r="PZA638" s="131"/>
      <c r="PZB638" s="131"/>
      <c r="PZC638" s="131"/>
      <c r="PZD638" s="131"/>
      <c r="PZE638" s="131"/>
      <c r="PZF638" s="131"/>
      <c r="PZG638" s="131"/>
      <c r="PZH638" s="131"/>
      <c r="PZI638" s="131"/>
      <c r="PZJ638" s="131"/>
      <c r="PZK638" s="131"/>
      <c r="PZL638" s="131"/>
      <c r="PZM638" s="131"/>
      <c r="PZN638" s="131"/>
      <c r="PZO638" s="131"/>
      <c r="PZP638" s="131"/>
      <c r="PZQ638" s="131"/>
      <c r="PZR638" s="131"/>
      <c r="PZS638" s="131"/>
      <c r="PZT638" s="131"/>
      <c r="PZU638" s="131"/>
      <c r="PZV638" s="131"/>
      <c r="PZW638" s="131"/>
      <c r="PZX638" s="131"/>
      <c r="PZY638" s="131"/>
      <c r="PZZ638" s="131"/>
      <c r="QAA638" s="131"/>
      <c r="QAB638" s="131"/>
      <c r="QAC638" s="131"/>
      <c r="QAD638" s="131"/>
      <c r="QAE638" s="131"/>
      <c r="QAF638" s="131"/>
      <c r="QAG638" s="131"/>
      <c r="QAH638" s="131"/>
      <c r="QAI638" s="131"/>
      <c r="QAJ638" s="131"/>
      <c r="QAK638" s="131"/>
      <c r="QAL638" s="131"/>
      <c r="QAM638" s="131"/>
      <c r="QAN638" s="131"/>
      <c r="QAO638" s="131"/>
      <c r="QAP638" s="131"/>
      <c r="QAQ638" s="131"/>
      <c r="QAR638" s="131"/>
      <c r="QAS638" s="131"/>
      <c r="QAT638" s="131"/>
      <c r="QAU638" s="131"/>
      <c r="QAV638" s="131"/>
      <c r="QAW638" s="131"/>
      <c r="QAX638" s="131"/>
      <c r="QAY638" s="131"/>
      <c r="QAZ638" s="131"/>
      <c r="QBA638" s="131"/>
      <c r="QBB638" s="131"/>
      <c r="QBC638" s="131"/>
      <c r="QBD638" s="131"/>
      <c r="QBE638" s="131"/>
      <c r="QBF638" s="131"/>
      <c r="QBG638" s="131"/>
      <c r="QBH638" s="131"/>
      <c r="QBI638" s="131"/>
      <c r="QBJ638" s="131"/>
      <c r="QBK638" s="131"/>
      <c r="QBL638" s="131"/>
      <c r="QBM638" s="131"/>
      <c r="QBN638" s="131"/>
      <c r="QBO638" s="131"/>
      <c r="QBP638" s="131"/>
      <c r="QBQ638" s="131"/>
      <c r="QBR638" s="131"/>
      <c r="QBS638" s="131"/>
      <c r="QBT638" s="131"/>
      <c r="QBU638" s="131"/>
      <c r="QBV638" s="131"/>
      <c r="QBW638" s="131"/>
      <c r="QBX638" s="131"/>
      <c r="QBY638" s="131"/>
      <c r="QBZ638" s="131"/>
      <c r="QCA638" s="131"/>
      <c r="QCB638" s="131"/>
      <c r="QCC638" s="131"/>
      <c r="QCD638" s="131"/>
      <c r="QCE638" s="131"/>
      <c r="QCF638" s="131"/>
      <c r="QCG638" s="131"/>
      <c r="QCH638" s="131"/>
      <c r="QCI638" s="131"/>
      <c r="QCJ638" s="131"/>
      <c r="QCK638" s="131"/>
      <c r="QCL638" s="131"/>
      <c r="QCM638" s="131"/>
      <c r="QCN638" s="131"/>
      <c r="QCO638" s="131"/>
      <c r="QCP638" s="131"/>
      <c r="QCQ638" s="131"/>
      <c r="QCR638" s="131"/>
      <c r="QCS638" s="131"/>
      <c r="QCT638" s="131"/>
      <c r="QCU638" s="131"/>
      <c r="QCV638" s="131"/>
      <c r="QCW638" s="131"/>
      <c r="QCX638" s="131"/>
      <c r="QCY638" s="131"/>
      <c r="QCZ638" s="131"/>
      <c r="QDA638" s="131"/>
      <c r="QDB638" s="131"/>
      <c r="QDC638" s="131"/>
      <c r="QDD638" s="131"/>
      <c r="QDE638" s="131"/>
      <c r="QDF638" s="131"/>
      <c r="QDG638" s="131"/>
      <c r="QDH638" s="131"/>
      <c r="QDI638" s="131"/>
      <c r="QDJ638" s="131"/>
      <c r="QDK638" s="131"/>
      <c r="QDL638" s="131"/>
      <c r="QDM638" s="131"/>
      <c r="QDN638" s="131"/>
      <c r="QDO638" s="131"/>
      <c r="QDP638" s="131"/>
      <c r="QDQ638" s="131"/>
      <c r="QDR638" s="131"/>
      <c r="QDS638" s="131"/>
      <c r="QDT638" s="131"/>
      <c r="QDU638" s="131"/>
      <c r="QDV638" s="131"/>
      <c r="QDW638" s="131"/>
      <c r="QDX638" s="131"/>
      <c r="QDY638" s="131"/>
      <c r="QDZ638" s="131"/>
      <c r="QEA638" s="131"/>
      <c r="QEB638" s="131"/>
      <c r="QEC638" s="131"/>
      <c r="QED638" s="131"/>
      <c r="QEE638" s="131"/>
      <c r="QEF638" s="131"/>
      <c r="QEG638" s="131"/>
      <c r="QEH638" s="131"/>
      <c r="QEI638" s="131"/>
      <c r="QEJ638" s="131"/>
      <c r="QEK638" s="131"/>
      <c r="QEL638" s="131"/>
      <c r="QEM638" s="131"/>
      <c r="QEN638" s="131"/>
      <c r="QEO638" s="131"/>
      <c r="QEP638" s="131"/>
      <c r="QEQ638" s="131"/>
      <c r="QER638" s="131"/>
      <c r="QES638" s="131"/>
      <c r="QET638" s="131"/>
      <c r="QEU638" s="131"/>
      <c r="QEV638" s="131"/>
      <c r="QEW638" s="131"/>
      <c r="QEX638" s="131"/>
      <c r="QEY638" s="131"/>
      <c r="QEZ638" s="131"/>
      <c r="QFA638" s="131"/>
      <c r="QFB638" s="131"/>
      <c r="QFC638" s="131"/>
      <c r="QFD638" s="131"/>
      <c r="QFE638" s="131"/>
      <c r="QFF638" s="131"/>
      <c r="QFG638" s="131"/>
      <c r="QFH638" s="131"/>
      <c r="QFI638" s="131"/>
      <c r="QFJ638" s="131"/>
      <c r="QFK638" s="131"/>
      <c r="QFL638" s="131"/>
      <c r="QFM638" s="131"/>
      <c r="QFN638" s="131"/>
      <c r="QFO638" s="131"/>
      <c r="QFP638" s="131"/>
      <c r="QFQ638" s="131"/>
      <c r="QFR638" s="131"/>
      <c r="QFS638" s="131"/>
      <c r="QFT638" s="131"/>
      <c r="QFU638" s="131"/>
      <c r="QFV638" s="131"/>
      <c r="QFW638" s="131"/>
      <c r="QFX638" s="131"/>
      <c r="QFY638" s="131"/>
      <c r="QFZ638" s="131"/>
      <c r="QGA638" s="131"/>
      <c r="QGB638" s="131"/>
      <c r="QGC638" s="131"/>
      <c r="QGD638" s="131"/>
      <c r="QGE638" s="131"/>
      <c r="QGF638" s="131"/>
      <c r="QGG638" s="131"/>
      <c r="QGH638" s="131"/>
      <c r="QGI638" s="131"/>
      <c r="QGJ638" s="131"/>
      <c r="QGK638" s="131"/>
      <c r="QGL638" s="131"/>
      <c r="QGM638" s="131"/>
      <c r="QGN638" s="131"/>
      <c r="QGO638" s="131"/>
      <c r="QGP638" s="131"/>
      <c r="QGQ638" s="131"/>
      <c r="QGR638" s="131"/>
      <c r="QGS638" s="131"/>
      <c r="QGT638" s="131"/>
      <c r="QGU638" s="131"/>
      <c r="QGV638" s="131"/>
      <c r="QGW638" s="131"/>
      <c r="QGX638" s="131"/>
      <c r="QGY638" s="131"/>
      <c r="QGZ638" s="131"/>
      <c r="QHA638" s="131"/>
      <c r="QHB638" s="131"/>
      <c r="QHC638" s="131"/>
      <c r="QHD638" s="131"/>
      <c r="QHE638" s="131"/>
      <c r="QHF638" s="131"/>
      <c r="QHG638" s="131"/>
      <c r="QHH638" s="131"/>
      <c r="QHI638" s="131"/>
      <c r="QHJ638" s="131"/>
      <c r="QHK638" s="131"/>
      <c r="QHL638" s="131"/>
      <c r="QHM638" s="131"/>
      <c r="QHN638" s="131"/>
      <c r="QHO638" s="131"/>
      <c r="QHP638" s="131"/>
      <c r="QHQ638" s="131"/>
      <c r="QHR638" s="131"/>
      <c r="QHS638" s="131"/>
      <c r="QHT638" s="131"/>
      <c r="QHU638" s="131"/>
      <c r="QHV638" s="131"/>
      <c r="QHW638" s="131"/>
      <c r="QHX638" s="131"/>
      <c r="QHY638" s="131"/>
      <c r="QHZ638" s="131"/>
      <c r="QIA638" s="131"/>
      <c r="QIB638" s="131"/>
      <c r="QIC638" s="131"/>
      <c r="QID638" s="131"/>
      <c r="QIE638" s="131"/>
      <c r="QIF638" s="131"/>
      <c r="QIG638" s="131"/>
      <c r="QIH638" s="131"/>
      <c r="QII638" s="131"/>
      <c r="QIJ638" s="131"/>
      <c r="QIK638" s="131"/>
      <c r="QIL638" s="131"/>
      <c r="QIM638" s="131"/>
      <c r="QIN638" s="131"/>
      <c r="QIO638" s="131"/>
      <c r="QIP638" s="131"/>
      <c r="QIQ638" s="131"/>
      <c r="QIR638" s="131"/>
      <c r="QIS638" s="131"/>
      <c r="QIT638" s="131"/>
      <c r="QIU638" s="131"/>
      <c r="QIV638" s="131"/>
      <c r="QIW638" s="131"/>
      <c r="QIX638" s="131"/>
      <c r="QIY638" s="131"/>
      <c r="QIZ638" s="131"/>
      <c r="QJA638" s="131"/>
      <c r="QJB638" s="131"/>
      <c r="QJC638" s="131"/>
      <c r="QJD638" s="131"/>
      <c r="QJE638" s="131"/>
      <c r="QJF638" s="131"/>
      <c r="QJG638" s="131"/>
      <c r="QJH638" s="131"/>
      <c r="QJI638" s="131"/>
      <c r="QJJ638" s="131"/>
      <c r="QJK638" s="131"/>
      <c r="QJL638" s="131"/>
      <c r="QJM638" s="131"/>
      <c r="QJN638" s="131"/>
      <c r="QJO638" s="131"/>
      <c r="QJP638" s="131"/>
      <c r="QJQ638" s="131"/>
      <c r="QJR638" s="131"/>
      <c r="QJS638" s="131"/>
      <c r="QJT638" s="131"/>
      <c r="QJU638" s="131"/>
      <c r="QJV638" s="131"/>
      <c r="QJW638" s="131"/>
      <c r="QJX638" s="131"/>
      <c r="QJY638" s="131"/>
      <c r="QJZ638" s="131"/>
      <c r="QKA638" s="131"/>
      <c r="QKB638" s="131"/>
      <c r="QKC638" s="131"/>
      <c r="QKD638" s="131"/>
      <c r="QKE638" s="131"/>
      <c r="QKF638" s="131"/>
      <c r="QKG638" s="131"/>
      <c r="QKH638" s="131"/>
      <c r="QKI638" s="131"/>
      <c r="QKJ638" s="131"/>
      <c r="QKK638" s="131"/>
      <c r="QKL638" s="131"/>
      <c r="QKM638" s="131"/>
      <c r="QKN638" s="131"/>
      <c r="QKO638" s="131"/>
      <c r="QKP638" s="131"/>
      <c r="QKQ638" s="131"/>
      <c r="QKR638" s="131"/>
      <c r="QKS638" s="131"/>
      <c r="QKT638" s="131"/>
      <c r="QKU638" s="131"/>
      <c r="QKV638" s="131"/>
      <c r="QKW638" s="131"/>
      <c r="QKX638" s="131"/>
      <c r="QKY638" s="131"/>
      <c r="QKZ638" s="131"/>
      <c r="QLA638" s="131"/>
      <c r="QLB638" s="131"/>
      <c r="QLC638" s="131"/>
      <c r="QLD638" s="131"/>
      <c r="QLE638" s="131"/>
      <c r="QLF638" s="131"/>
      <c r="QLG638" s="131"/>
      <c r="QLH638" s="131"/>
      <c r="QLI638" s="131"/>
      <c r="QLJ638" s="131"/>
      <c r="QLK638" s="131"/>
      <c r="QLL638" s="131"/>
      <c r="QLM638" s="131"/>
      <c r="QLN638" s="131"/>
      <c r="QLO638" s="131"/>
      <c r="QLP638" s="131"/>
      <c r="QLQ638" s="131"/>
      <c r="QLR638" s="131"/>
      <c r="QLS638" s="131"/>
      <c r="QLT638" s="131"/>
      <c r="QLU638" s="131"/>
      <c r="QLV638" s="131"/>
      <c r="QLW638" s="131"/>
      <c r="QLX638" s="131"/>
      <c r="QLY638" s="131"/>
      <c r="QLZ638" s="131"/>
      <c r="QMA638" s="131"/>
      <c r="QMB638" s="131"/>
      <c r="QMC638" s="131"/>
      <c r="QMD638" s="131"/>
      <c r="QME638" s="131"/>
      <c r="QMF638" s="131"/>
      <c r="QMG638" s="131"/>
      <c r="QMH638" s="131"/>
      <c r="QMI638" s="131"/>
      <c r="QMJ638" s="131"/>
      <c r="QMK638" s="131"/>
      <c r="QML638" s="131"/>
      <c r="QMM638" s="131"/>
      <c r="QMN638" s="131"/>
      <c r="QMO638" s="131"/>
      <c r="QMP638" s="131"/>
      <c r="QMQ638" s="131"/>
      <c r="QMR638" s="131"/>
      <c r="QMS638" s="131"/>
      <c r="QMT638" s="131"/>
      <c r="QMU638" s="131"/>
      <c r="QMV638" s="131"/>
      <c r="QMW638" s="131"/>
      <c r="QMX638" s="131"/>
      <c r="QMY638" s="131"/>
      <c r="QMZ638" s="131"/>
      <c r="QNA638" s="131"/>
      <c r="QNB638" s="131"/>
      <c r="QNC638" s="131"/>
      <c r="QND638" s="131"/>
      <c r="QNE638" s="131"/>
      <c r="QNF638" s="131"/>
      <c r="QNG638" s="131"/>
      <c r="QNH638" s="131"/>
      <c r="QNI638" s="131"/>
      <c r="QNJ638" s="131"/>
      <c r="QNK638" s="131"/>
      <c r="QNL638" s="131"/>
      <c r="QNM638" s="131"/>
      <c r="QNN638" s="131"/>
      <c r="QNO638" s="131"/>
      <c r="QNP638" s="131"/>
      <c r="QNQ638" s="131"/>
      <c r="QNR638" s="131"/>
      <c r="QNS638" s="131"/>
      <c r="QNT638" s="131"/>
      <c r="QNU638" s="131"/>
      <c r="QNV638" s="131"/>
      <c r="QNW638" s="131"/>
      <c r="QNX638" s="131"/>
      <c r="QNY638" s="131"/>
      <c r="QNZ638" s="131"/>
      <c r="QOA638" s="131"/>
      <c r="QOB638" s="131"/>
      <c r="QOC638" s="131"/>
      <c r="QOD638" s="131"/>
      <c r="QOE638" s="131"/>
      <c r="QOF638" s="131"/>
      <c r="QOG638" s="131"/>
      <c r="QOH638" s="131"/>
      <c r="QOI638" s="131"/>
      <c r="QOJ638" s="131"/>
      <c r="QOK638" s="131"/>
      <c r="QOL638" s="131"/>
      <c r="QOM638" s="131"/>
      <c r="QON638" s="131"/>
      <c r="QOO638" s="131"/>
      <c r="QOP638" s="131"/>
      <c r="QOQ638" s="131"/>
      <c r="QOR638" s="131"/>
      <c r="QOS638" s="131"/>
      <c r="QOT638" s="131"/>
      <c r="QOU638" s="131"/>
      <c r="QOV638" s="131"/>
      <c r="QOW638" s="131"/>
      <c r="QOX638" s="131"/>
      <c r="QOY638" s="131"/>
      <c r="QOZ638" s="131"/>
      <c r="QPA638" s="131"/>
      <c r="QPB638" s="131"/>
      <c r="QPC638" s="131"/>
      <c r="QPD638" s="131"/>
      <c r="QPE638" s="131"/>
      <c r="QPF638" s="131"/>
      <c r="QPG638" s="131"/>
      <c r="QPH638" s="131"/>
      <c r="QPI638" s="131"/>
      <c r="QPJ638" s="131"/>
      <c r="QPK638" s="131"/>
      <c r="QPL638" s="131"/>
      <c r="QPM638" s="131"/>
      <c r="QPN638" s="131"/>
      <c r="QPO638" s="131"/>
      <c r="QPP638" s="131"/>
      <c r="QPQ638" s="131"/>
      <c r="QPR638" s="131"/>
      <c r="QPS638" s="131"/>
      <c r="QPT638" s="131"/>
      <c r="QPU638" s="131"/>
      <c r="QPV638" s="131"/>
      <c r="QPW638" s="131"/>
      <c r="QPX638" s="131"/>
      <c r="QPY638" s="131"/>
      <c r="QPZ638" s="131"/>
      <c r="QQA638" s="131"/>
      <c r="QQB638" s="131"/>
      <c r="QQC638" s="131"/>
      <c r="QQD638" s="131"/>
      <c r="QQE638" s="131"/>
      <c r="QQF638" s="131"/>
      <c r="QQG638" s="131"/>
      <c r="QQH638" s="131"/>
      <c r="QQI638" s="131"/>
      <c r="QQJ638" s="131"/>
      <c r="QQK638" s="131"/>
      <c r="QQL638" s="131"/>
      <c r="QQM638" s="131"/>
      <c r="QQN638" s="131"/>
      <c r="QQO638" s="131"/>
      <c r="QQP638" s="131"/>
      <c r="QQQ638" s="131"/>
      <c r="QQR638" s="131"/>
      <c r="QQS638" s="131"/>
      <c r="QQT638" s="131"/>
      <c r="QQU638" s="131"/>
      <c r="QQV638" s="131"/>
      <c r="QQW638" s="131"/>
      <c r="QQX638" s="131"/>
      <c r="QQY638" s="131"/>
      <c r="QQZ638" s="131"/>
      <c r="QRA638" s="131"/>
      <c r="QRB638" s="131"/>
      <c r="QRC638" s="131"/>
      <c r="QRD638" s="131"/>
      <c r="QRE638" s="131"/>
      <c r="QRF638" s="131"/>
      <c r="QRG638" s="131"/>
      <c r="QRH638" s="131"/>
      <c r="QRI638" s="131"/>
      <c r="QRJ638" s="131"/>
      <c r="QRK638" s="131"/>
      <c r="QRL638" s="131"/>
      <c r="QRM638" s="131"/>
      <c r="QRN638" s="131"/>
      <c r="QRO638" s="131"/>
      <c r="QRP638" s="131"/>
      <c r="QRQ638" s="131"/>
      <c r="QRR638" s="131"/>
      <c r="QRS638" s="131"/>
      <c r="QRT638" s="131"/>
      <c r="QRU638" s="131"/>
      <c r="QRV638" s="131"/>
      <c r="QRW638" s="131"/>
      <c r="QRX638" s="131"/>
      <c r="QRY638" s="131"/>
      <c r="QRZ638" s="131"/>
      <c r="QSA638" s="131"/>
      <c r="QSB638" s="131"/>
      <c r="QSC638" s="131"/>
      <c r="QSD638" s="131"/>
      <c r="QSE638" s="131"/>
      <c r="QSF638" s="131"/>
      <c r="QSG638" s="131"/>
      <c r="QSH638" s="131"/>
      <c r="QSI638" s="131"/>
      <c r="QSJ638" s="131"/>
      <c r="QSK638" s="131"/>
      <c r="QSL638" s="131"/>
      <c r="QSM638" s="131"/>
      <c r="QSN638" s="131"/>
      <c r="QSO638" s="131"/>
      <c r="QSP638" s="131"/>
      <c r="QSQ638" s="131"/>
      <c r="QSR638" s="131"/>
      <c r="QSS638" s="131"/>
      <c r="QST638" s="131"/>
      <c r="QSU638" s="131"/>
      <c r="QSV638" s="131"/>
      <c r="QSW638" s="131"/>
      <c r="QSX638" s="131"/>
      <c r="QSY638" s="131"/>
      <c r="QSZ638" s="131"/>
      <c r="QTA638" s="131"/>
      <c r="QTB638" s="131"/>
      <c r="QTC638" s="131"/>
      <c r="QTD638" s="131"/>
      <c r="QTE638" s="131"/>
      <c r="QTF638" s="131"/>
      <c r="QTG638" s="131"/>
      <c r="QTH638" s="131"/>
      <c r="QTI638" s="131"/>
      <c r="QTJ638" s="131"/>
      <c r="QTK638" s="131"/>
      <c r="QTL638" s="131"/>
      <c r="QTM638" s="131"/>
      <c r="QTN638" s="131"/>
      <c r="QTO638" s="131"/>
      <c r="QTP638" s="131"/>
      <c r="QTQ638" s="131"/>
      <c r="QTR638" s="131"/>
      <c r="QTS638" s="131"/>
      <c r="QTT638" s="131"/>
      <c r="QTU638" s="131"/>
      <c r="QTV638" s="131"/>
      <c r="QTW638" s="131"/>
      <c r="QTX638" s="131"/>
      <c r="QTY638" s="131"/>
      <c r="QTZ638" s="131"/>
      <c r="QUA638" s="131"/>
      <c r="QUB638" s="131"/>
      <c r="QUC638" s="131"/>
      <c r="QUD638" s="131"/>
      <c r="QUE638" s="131"/>
      <c r="QUF638" s="131"/>
      <c r="QUG638" s="131"/>
      <c r="QUH638" s="131"/>
      <c r="QUI638" s="131"/>
      <c r="QUJ638" s="131"/>
      <c r="QUK638" s="131"/>
      <c r="QUL638" s="131"/>
      <c r="QUM638" s="131"/>
      <c r="QUN638" s="131"/>
      <c r="QUO638" s="131"/>
      <c r="QUP638" s="131"/>
      <c r="QUQ638" s="131"/>
      <c r="QUR638" s="131"/>
      <c r="QUS638" s="131"/>
      <c r="QUT638" s="131"/>
      <c r="QUU638" s="131"/>
      <c r="QUV638" s="131"/>
      <c r="QUW638" s="131"/>
      <c r="QUX638" s="131"/>
      <c r="QUY638" s="131"/>
      <c r="QUZ638" s="131"/>
      <c r="QVA638" s="131"/>
      <c r="QVB638" s="131"/>
      <c r="QVC638" s="131"/>
      <c r="QVD638" s="131"/>
      <c r="QVE638" s="131"/>
      <c r="QVF638" s="131"/>
      <c r="QVG638" s="131"/>
      <c r="QVH638" s="131"/>
      <c r="QVI638" s="131"/>
      <c r="QVJ638" s="131"/>
      <c r="QVK638" s="131"/>
      <c r="QVL638" s="131"/>
      <c r="QVM638" s="131"/>
      <c r="QVN638" s="131"/>
      <c r="QVO638" s="131"/>
      <c r="QVP638" s="131"/>
      <c r="QVQ638" s="131"/>
      <c r="QVR638" s="131"/>
      <c r="QVS638" s="131"/>
      <c r="QVT638" s="131"/>
      <c r="QVU638" s="131"/>
      <c r="QVV638" s="131"/>
      <c r="QVW638" s="131"/>
      <c r="QVX638" s="131"/>
      <c r="QVY638" s="131"/>
      <c r="QVZ638" s="131"/>
      <c r="QWA638" s="131"/>
      <c r="QWB638" s="131"/>
      <c r="QWC638" s="131"/>
      <c r="QWD638" s="131"/>
      <c r="QWE638" s="131"/>
      <c r="QWF638" s="131"/>
      <c r="QWG638" s="131"/>
      <c r="QWH638" s="131"/>
      <c r="QWI638" s="131"/>
      <c r="QWJ638" s="131"/>
      <c r="QWK638" s="131"/>
      <c r="QWL638" s="131"/>
      <c r="QWM638" s="131"/>
      <c r="QWN638" s="131"/>
      <c r="QWO638" s="131"/>
      <c r="QWP638" s="131"/>
      <c r="QWQ638" s="131"/>
      <c r="QWR638" s="131"/>
      <c r="QWS638" s="131"/>
      <c r="QWT638" s="131"/>
      <c r="QWU638" s="131"/>
      <c r="QWV638" s="131"/>
      <c r="QWW638" s="131"/>
      <c r="QWX638" s="131"/>
      <c r="QWY638" s="131"/>
      <c r="QWZ638" s="131"/>
      <c r="QXA638" s="131"/>
      <c r="QXB638" s="131"/>
      <c r="QXC638" s="131"/>
      <c r="QXD638" s="131"/>
      <c r="QXE638" s="131"/>
      <c r="QXF638" s="131"/>
      <c r="QXG638" s="131"/>
      <c r="QXH638" s="131"/>
      <c r="QXI638" s="131"/>
      <c r="QXJ638" s="131"/>
      <c r="QXK638" s="131"/>
      <c r="QXL638" s="131"/>
      <c r="QXM638" s="131"/>
      <c r="QXN638" s="131"/>
      <c r="QXO638" s="131"/>
      <c r="QXP638" s="131"/>
      <c r="QXQ638" s="131"/>
      <c r="QXR638" s="131"/>
      <c r="QXS638" s="131"/>
      <c r="QXT638" s="131"/>
      <c r="QXU638" s="131"/>
      <c r="QXV638" s="131"/>
      <c r="QXW638" s="131"/>
      <c r="QXX638" s="131"/>
      <c r="QXY638" s="131"/>
      <c r="QXZ638" s="131"/>
      <c r="QYA638" s="131"/>
      <c r="QYB638" s="131"/>
      <c r="QYC638" s="131"/>
      <c r="QYD638" s="131"/>
      <c r="QYE638" s="131"/>
      <c r="QYF638" s="131"/>
      <c r="QYG638" s="131"/>
      <c r="QYH638" s="131"/>
      <c r="QYI638" s="131"/>
      <c r="QYJ638" s="131"/>
      <c r="QYK638" s="131"/>
      <c r="QYL638" s="131"/>
      <c r="QYM638" s="131"/>
      <c r="QYN638" s="131"/>
      <c r="QYO638" s="131"/>
      <c r="QYP638" s="131"/>
      <c r="QYQ638" s="131"/>
      <c r="QYR638" s="131"/>
      <c r="QYS638" s="131"/>
      <c r="QYT638" s="131"/>
      <c r="QYU638" s="131"/>
      <c r="QYV638" s="131"/>
      <c r="QYW638" s="131"/>
      <c r="QYX638" s="131"/>
      <c r="QYY638" s="131"/>
      <c r="QYZ638" s="131"/>
      <c r="QZA638" s="131"/>
      <c r="QZB638" s="131"/>
      <c r="QZC638" s="131"/>
      <c r="QZD638" s="131"/>
      <c r="QZE638" s="131"/>
      <c r="QZF638" s="131"/>
      <c r="QZG638" s="131"/>
      <c r="QZH638" s="131"/>
      <c r="QZI638" s="131"/>
      <c r="QZJ638" s="131"/>
      <c r="QZK638" s="131"/>
      <c r="QZL638" s="131"/>
      <c r="QZM638" s="131"/>
      <c r="QZN638" s="131"/>
      <c r="QZO638" s="131"/>
      <c r="QZP638" s="131"/>
      <c r="QZQ638" s="131"/>
      <c r="QZR638" s="131"/>
      <c r="QZS638" s="131"/>
      <c r="QZT638" s="131"/>
      <c r="QZU638" s="131"/>
      <c r="QZV638" s="131"/>
      <c r="QZW638" s="131"/>
      <c r="QZX638" s="131"/>
      <c r="QZY638" s="131"/>
      <c r="QZZ638" s="131"/>
      <c r="RAA638" s="131"/>
      <c r="RAB638" s="131"/>
      <c r="RAC638" s="131"/>
      <c r="RAD638" s="131"/>
      <c r="RAE638" s="131"/>
      <c r="RAF638" s="131"/>
      <c r="RAG638" s="131"/>
      <c r="RAH638" s="131"/>
      <c r="RAI638" s="131"/>
      <c r="RAJ638" s="131"/>
      <c r="RAK638" s="131"/>
      <c r="RAL638" s="131"/>
      <c r="RAM638" s="131"/>
      <c r="RAN638" s="131"/>
      <c r="RAO638" s="131"/>
      <c r="RAP638" s="131"/>
      <c r="RAQ638" s="131"/>
      <c r="RAR638" s="131"/>
      <c r="RAS638" s="131"/>
      <c r="RAT638" s="131"/>
      <c r="RAU638" s="131"/>
      <c r="RAV638" s="131"/>
      <c r="RAW638" s="131"/>
      <c r="RAX638" s="131"/>
      <c r="RAY638" s="131"/>
      <c r="RAZ638" s="131"/>
      <c r="RBA638" s="131"/>
      <c r="RBB638" s="131"/>
      <c r="RBC638" s="131"/>
      <c r="RBD638" s="131"/>
      <c r="RBE638" s="131"/>
      <c r="RBF638" s="131"/>
      <c r="RBG638" s="131"/>
      <c r="RBH638" s="131"/>
      <c r="RBI638" s="131"/>
      <c r="RBJ638" s="131"/>
      <c r="RBK638" s="131"/>
      <c r="RBL638" s="131"/>
      <c r="RBM638" s="131"/>
      <c r="RBN638" s="131"/>
      <c r="RBO638" s="131"/>
      <c r="RBP638" s="131"/>
      <c r="RBQ638" s="131"/>
      <c r="RBR638" s="131"/>
      <c r="RBS638" s="131"/>
      <c r="RBT638" s="131"/>
      <c r="RBU638" s="131"/>
      <c r="RBV638" s="131"/>
      <c r="RBW638" s="131"/>
      <c r="RBX638" s="131"/>
      <c r="RBY638" s="131"/>
      <c r="RBZ638" s="131"/>
      <c r="RCA638" s="131"/>
      <c r="RCB638" s="131"/>
      <c r="RCC638" s="131"/>
      <c r="RCD638" s="131"/>
      <c r="RCE638" s="131"/>
      <c r="RCF638" s="131"/>
      <c r="RCG638" s="131"/>
      <c r="RCH638" s="131"/>
      <c r="RCI638" s="131"/>
      <c r="RCJ638" s="131"/>
      <c r="RCK638" s="131"/>
      <c r="RCL638" s="131"/>
      <c r="RCM638" s="131"/>
      <c r="RCN638" s="131"/>
      <c r="RCO638" s="131"/>
      <c r="RCP638" s="131"/>
      <c r="RCQ638" s="131"/>
      <c r="RCR638" s="131"/>
      <c r="RCS638" s="131"/>
      <c r="RCT638" s="131"/>
      <c r="RCU638" s="131"/>
      <c r="RCV638" s="131"/>
      <c r="RCW638" s="131"/>
      <c r="RCX638" s="131"/>
      <c r="RCY638" s="131"/>
      <c r="RCZ638" s="131"/>
      <c r="RDA638" s="131"/>
      <c r="RDB638" s="131"/>
      <c r="RDC638" s="131"/>
      <c r="RDD638" s="131"/>
      <c r="RDE638" s="131"/>
      <c r="RDF638" s="131"/>
      <c r="RDG638" s="131"/>
      <c r="RDH638" s="131"/>
      <c r="RDI638" s="131"/>
      <c r="RDJ638" s="131"/>
      <c r="RDK638" s="131"/>
      <c r="RDL638" s="131"/>
      <c r="RDM638" s="131"/>
      <c r="RDN638" s="131"/>
      <c r="RDO638" s="131"/>
      <c r="RDP638" s="131"/>
      <c r="RDQ638" s="131"/>
      <c r="RDR638" s="131"/>
      <c r="RDS638" s="131"/>
      <c r="RDT638" s="131"/>
      <c r="RDU638" s="131"/>
      <c r="RDV638" s="131"/>
      <c r="RDW638" s="131"/>
      <c r="RDX638" s="131"/>
      <c r="RDY638" s="131"/>
      <c r="RDZ638" s="131"/>
      <c r="REA638" s="131"/>
      <c r="REB638" s="131"/>
      <c r="REC638" s="131"/>
      <c r="RED638" s="131"/>
      <c r="REE638" s="131"/>
      <c r="REF638" s="131"/>
      <c r="REG638" s="131"/>
      <c r="REH638" s="131"/>
      <c r="REI638" s="131"/>
      <c r="REJ638" s="131"/>
      <c r="REK638" s="131"/>
      <c r="REL638" s="131"/>
      <c r="REM638" s="131"/>
      <c r="REN638" s="131"/>
      <c r="REO638" s="131"/>
      <c r="REP638" s="131"/>
      <c r="REQ638" s="131"/>
      <c r="RER638" s="131"/>
      <c r="RES638" s="131"/>
      <c r="RET638" s="131"/>
      <c r="REU638" s="131"/>
      <c r="REV638" s="131"/>
      <c r="REW638" s="131"/>
      <c r="REX638" s="131"/>
      <c r="REY638" s="131"/>
      <c r="REZ638" s="131"/>
      <c r="RFA638" s="131"/>
      <c r="RFB638" s="131"/>
      <c r="RFC638" s="131"/>
      <c r="RFD638" s="131"/>
      <c r="RFE638" s="131"/>
      <c r="RFF638" s="131"/>
      <c r="RFG638" s="131"/>
      <c r="RFH638" s="131"/>
      <c r="RFI638" s="131"/>
      <c r="RFJ638" s="131"/>
      <c r="RFK638" s="131"/>
      <c r="RFL638" s="131"/>
      <c r="RFM638" s="131"/>
      <c r="RFN638" s="131"/>
      <c r="RFO638" s="131"/>
      <c r="RFP638" s="131"/>
      <c r="RFQ638" s="131"/>
      <c r="RFR638" s="131"/>
      <c r="RFS638" s="131"/>
      <c r="RFT638" s="131"/>
      <c r="RFU638" s="131"/>
      <c r="RFV638" s="131"/>
      <c r="RFW638" s="131"/>
      <c r="RFX638" s="131"/>
      <c r="RFY638" s="131"/>
      <c r="RFZ638" s="131"/>
      <c r="RGA638" s="131"/>
      <c r="RGB638" s="131"/>
      <c r="RGC638" s="131"/>
      <c r="RGD638" s="131"/>
      <c r="RGE638" s="131"/>
      <c r="RGF638" s="131"/>
      <c r="RGG638" s="131"/>
      <c r="RGH638" s="131"/>
      <c r="RGI638" s="131"/>
      <c r="RGJ638" s="131"/>
      <c r="RGK638" s="131"/>
      <c r="RGL638" s="131"/>
      <c r="RGM638" s="131"/>
      <c r="RGN638" s="131"/>
      <c r="RGO638" s="131"/>
      <c r="RGP638" s="131"/>
      <c r="RGQ638" s="131"/>
      <c r="RGR638" s="131"/>
      <c r="RGS638" s="131"/>
      <c r="RGT638" s="131"/>
      <c r="RGU638" s="131"/>
      <c r="RGV638" s="131"/>
      <c r="RGW638" s="131"/>
      <c r="RGX638" s="131"/>
      <c r="RGY638" s="131"/>
      <c r="RGZ638" s="131"/>
      <c r="RHA638" s="131"/>
      <c r="RHB638" s="131"/>
      <c r="RHC638" s="131"/>
      <c r="RHD638" s="131"/>
      <c r="RHE638" s="131"/>
      <c r="RHF638" s="131"/>
      <c r="RHG638" s="131"/>
      <c r="RHH638" s="131"/>
      <c r="RHI638" s="131"/>
      <c r="RHJ638" s="131"/>
      <c r="RHK638" s="131"/>
      <c r="RHL638" s="131"/>
      <c r="RHM638" s="131"/>
      <c r="RHN638" s="131"/>
      <c r="RHO638" s="131"/>
      <c r="RHP638" s="131"/>
      <c r="RHQ638" s="131"/>
      <c r="RHR638" s="131"/>
      <c r="RHS638" s="131"/>
      <c r="RHT638" s="131"/>
      <c r="RHU638" s="131"/>
      <c r="RHV638" s="131"/>
      <c r="RHW638" s="131"/>
      <c r="RHX638" s="131"/>
      <c r="RHY638" s="131"/>
      <c r="RHZ638" s="131"/>
      <c r="RIA638" s="131"/>
      <c r="RIB638" s="131"/>
      <c r="RIC638" s="131"/>
      <c r="RID638" s="131"/>
      <c r="RIE638" s="131"/>
      <c r="RIF638" s="131"/>
      <c r="RIG638" s="131"/>
      <c r="RIH638" s="131"/>
      <c r="RII638" s="131"/>
      <c r="RIJ638" s="131"/>
      <c r="RIK638" s="131"/>
      <c r="RIL638" s="131"/>
      <c r="RIM638" s="131"/>
      <c r="RIN638" s="131"/>
      <c r="RIO638" s="131"/>
      <c r="RIP638" s="131"/>
      <c r="RIQ638" s="131"/>
      <c r="RIR638" s="131"/>
      <c r="RIS638" s="131"/>
      <c r="RIT638" s="131"/>
      <c r="RIU638" s="131"/>
      <c r="RIV638" s="131"/>
      <c r="RIW638" s="131"/>
      <c r="RIX638" s="131"/>
      <c r="RIY638" s="131"/>
      <c r="RIZ638" s="131"/>
      <c r="RJA638" s="131"/>
      <c r="RJB638" s="131"/>
      <c r="RJC638" s="131"/>
      <c r="RJD638" s="131"/>
      <c r="RJE638" s="131"/>
      <c r="RJF638" s="131"/>
      <c r="RJG638" s="131"/>
      <c r="RJH638" s="131"/>
      <c r="RJI638" s="131"/>
      <c r="RJJ638" s="131"/>
      <c r="RJK638" s="131"/>
      <c r="RJL638" s="131"/>
      <c r="RJM638" s="131"/>
      <c r="RJN638" s="131"/>
      <c r="RJO638" s="131"/>
      <c r="RJP638" s="131"/>
      <c r="RJQ638" s="131"/>
      <c r="RJR638" s="131"/>
      <c r="RJS638" s="131"/>
      <c r="RJT638" s="131"/>
      <c r="RJU638" s="131"/>
      <c r="RJV638" s="131"/>
      <c r="RJW638" s="131"/>
      <c r="RJX638" s="131"/>
      <c r="RJY638" s="131"/>
      <c r="RJZ638" s="131"/>
      <c r="RKA638" s="131"/>
      <c r="RKB638" s="131"/>
      <c r="RKC638" s="131"/>
      <c r="RKD638" s="131"/>
      <c r="RKE638" s="131"/>
      <c r="RKF638" s="131"/>
      <c r="RKG638" s="131"/>
      <c r="RKH638" s="131"/>
      <c r="RKI638" s="131"/>
      <c r="RKJ638" s="131"/>
      <c r="RKK638" s="131"/>
      <c r="RKL638" s="131"/>
      <c r="RKM638" s="131"/>
      <c r="RKN638" s="131"/>
      <c r="RKO638" s="131"/>
      <c r="RKP638" s="131"/>
      <c r="RKQ638" s="131"/>
      <c r="RKR638" s="131"/>
      <c r="RKS638" s="131"/>
      <c r="RKT638" s="131"/>
      <c r="RKU638" s="131"/>
      <c r="RKV638" s="131"/>
      <c r="RKW638" s="131"/>
      <c r="RKX638" s="131"/>
      <c r="RKY638" s="131"/>
      <c r="RKZ638" s="131"/>
      <c r="RLA638" s="131"/>
      <c r="RLB638" s="131"/>
      <c r="RLC638" s="131"/>
      <c r="RLD638" s="131"/>
      <c r="RLE638" s="131"/>
      <c r="RLF638" s="131"/>
      <c r="RLG638" s="131"/>
      <c r="RLH638" s="131"/>
      <c r="RLI638" s="131"/>
      <c r="RLJ638" s="131"/>
      <c r="RLK638" s="131"/>
      <c r="RLL638" s="131"/>
      <c r="RLM638" s="131"/>
      <c r="RLN638" s="131"/>
      <c r="RLO638" s="131"/>
      <c r="RLP638" s="131"/>
      <c r="RLQ638" s="131"/>
      <c r="RLR638" s="131"/>
      <c r="RLS638" s="131"/>
      <c r="RLT638" s="131"/>
      <c r="RLU638" s="131"/>
      <c r="RLV638" s="131"/>
      <c r="RLW638" s="131"/>
      <c r="RLX638" s="131"/>
      <c r="RLY638" s="131"/>
      <c r="RLZ638" s="131"/>
      <c r="RMA638" s="131"/>
      <c r="RMB638" s="131"/>
      <c r="RMC638" s="131"/>
      <c r="RMD638" s="131"/>
      <c r="RME638" s="131"/>
      <c r="RMF638" s="131"/>
      <c r="RMG638" s="131"/>
      <c r="RMH638" s="131"/>
      <c r="RMI638" s="131"/>
      <c r="RMJ638" s="131"/>
      <c r="RMK638" s="131"/>
      <c r="RML638" s="131"/>
      <c r="RMM638" s="131"/>
      <c r="RMN638" s="131"/>
      <c r="RMO638" s="131"/>
      <c r="RMP638" s="131"/>
      <c r="RMQ638" s="131"/>
      <c r="RMR638" s="131"/>
      <c r="RMS638" s="131"/>
      <c r="RMT638" s="131"/>
      <c r="RMU638" s="131"/>
      <c r="RMV638" s="131"/>
      <c r="RMW638" s="131"/>
      <c r="RMX638" s="131"/>
      <c r="RMY638" s="131"/>
      <c r="RMZ638" s="131"/>
      <c r="RNA638" s="131"/>
      <c r="RNB638" s="131"/>
      <c r="RNC638" s="131"/>
      <c r="RND638" s="131"/>
      <c r="RNE638" s="131"/>
      <c r="RNF638" s="131"/>
      <c r="RNG638" s="131"/>
      <c r="RNH638" s="131"/>
      <c r="RNI638" s="131"/>
      <c r="RNJ638" s="131"/>
      <c r="RNK638" s="131"/>
      <c r="RNL638" s="131"/>
      <c r="RNM638" s="131"/>
      <c r="RNN638" s="131"/>
      <c r="RNO638" s="131"/>
      <c r="RNP638" s="131"/>
      <c r="RNQ638" s="131"/>
      <c r="RNR638" s="131"/>
      <c r="RNS638" s="131"/>
      <c r="RNT638" s="131"/>
      <c r="RNU638" s="131"/>
      <c r="RNV638" s="131"/>
      <c r="RNW638" s="131"/>
      <c r="RNX638" s="131"/>
      <c r="RNY638" s="131"/>
      <c r="RNZ638" s="131"/>
      <c r="ROA638" s="131"/>
      <c r="ROB638" s="131"/>
      <c r="ROC638" s="131"/>
      <c r="ROD638" s="131"/>
      <c r="ROE638" s="131"/>
      <c r="ROF638" s="131"/>
      <c r="ROG638" s="131"/>
      <c r="ROH638" s="131"/>
      <c r="ROI638" s="131"/>
      <c r="ROJ638" s="131"/>
      <c r="ROK638" s="131"/>
      <c r="ROL638" s="131"/>
      <c r="ROM638" s="131"/>
      <c r="RON638" s="131"/>
      <c r="ROO638" s="131"/>
      <c r="ROP638" s="131"/>
      <c r="ROQ638" s="131"/>
      <c r="ROR638" s="131"/>
      <c r="ROS638" s="131"/>
      <c r="ROT638" s="131"/>
      <c r="ROU638" s="131"/>
      <c r="ROV638" s="131"/>
      <c r="ROW638" s="131"/>
      <c r="ROX638" s="131"/>
      <c r="ROY638" s="131"/>
      <c r="ROZ638" s="131"/>
      <c r="RPA638" s="131"/>
      <c r="RPB638" s="131"/>
      <c r="RPC638" s="131"/>
      <c r="RPD638" s="131"/>
      <c r="RPE638" s="131"/>
      <c r="RPF638" s="131"/>
      <c r="RPG638" s="131"/>
      <c r="RPH638" s="131"/>
      <c r="RPI638" s="131"/>
      <c r="RPJ638" s="131"/>
      <c r="RPK638" s="131"/>
      <c r="RPL638" s="131"/>
      <c r="RPM638" s="131"/>
      <c r="RPN638" s="131"/>
      <c r="RPO638" s="131"/>
      <c r="RPP638" s="131"/>
      <c r="RPQ638" s="131"/>
      <c r="RPR638" s="131"/>
      <c r="RPS638" s="131"/>
      <c r="RPT638" s="131"/>
      <c r="RPU638" s="131"/>
      <c r="RPV638" s="131"/>
      <c r="RPW638" s="131"/>
      <c r="RPX638" s="131"/>
      <c r="RPY638" s="131"/>
      <c r="RPZ638" s="131"/>
      <c r="RQA638" s="131"/>
      <c r="RQB638" s="131"/>
      <c r="RQC638" s="131"/>
      <c r="RQD638" s="131"/>
      <c r="RQE638" s="131"/>
      <c r="RQF638" s="131"/>
      <c r="RQG638" s="131"/>
      <c r="RQH638" s="131"/>
      <c r="RQI638" s="131"/>
      <c r="RQJ638" s="131"/>
      <c r="RQK638" s="131"/>
      <c r="RQL638" s="131"/>
      <c r="RQM638" s="131"/>
      <c r="RQN638" s="131"/>
      <c r="RQO638" s="131"/>
      <c r="RQP638" s="131"/>
      <c r="RQQ638" s="131"/>
      <c r="RQR638" s="131"/>
      <c r="RQS638" s="131"/>
      <c r="RQT638" s="131"/>
      <c r="RQU638" s="131"/>
      <c r="RQV638" s="131"/>
      <c r="RQW638" s="131"/>
      <c r="RQX638" s="131"/>
      <c r="RQY638" s="131"/>
      <c r="RQZ638" s="131"/>
      <c r="RRA638" s="131"/>
      <c r="RRB638" s="131"/>
      <c r="RRC638" s="131"/>
      <c r="RRD638" s="131"/>
      <c r="RRE638" s="131"/>
      <c r="RRF638" s="131"/>
      <c r="RRG638" s="131"/>
      <c r="RRH638" s="131"/>
      <c r="RRI638" s="131"/>
      <c r="RRJ638" s="131"/>
      <c r="RRK638" s="131"/>
      <c r="RRL638" s="131"/>
      <c r="RRM638" s="131"/>
      <c r="RRN638" s="131"/>
      <c r="RRO638" s="131"/>
      <c r="RRP638" s="131"/>
      <c r="RRQ638" s="131"/>
      <c r="RRR638" s="131"/>
      <c r="RRS638" s="131"/>
      <c r="RRT638" s="131"/>
      <c r="RRU638" s="131"/>
      <c r="RRV638" s="131"/>
      <c r="RRW638" s="131"/>
      <c r="RRX638" s="131"/>
      <c r="RRY638" s="131"/>
      <c r="RRZ638" s="131"/>
      <c r="RSA638" s="131"/>
      <c r="RSB638" s="131"/>
      <c r="RSC638" s="131"/>
      <c r="RSD638" s="131"/>
      <c r="RSE638" s="131"/>
      <c r="RSF638" s="131"/>
      <c r="RSG638" s="131"/>
      <c r="RSH638" s="131"/>
      <c r="RSI638" s="131"/>
      <c r="RSJ638" s="131"/>
      <c r="RSK638" s="131"/>
      <c r="RSL638" s="131"/>
      <c r="RSM638" s="131"/>
      <c r="RSN638" s="131"/>
      <c r="RSO638" s="131"/>
      <c r="RSP638" s="131"/>
      <c r="RSQ638" s="131"/>
      <c r="RSR638" s="131"/>
      <c r="RSS638" s="131"/>
      <c r="RST638" s="131"/>
      <c r="RSU638" s="131"/>
      <c r="RSV638" s="131"/>
      <c r="RSW638" s="131"/>
      <c r="RSX638" s="131"/>
      <c r="RSY638" s="131"/>
      <c r="RSZ638" s="131"/>
      <c r="RTA638" s="131"/>
      <c r="RTB638" s="131"/>
      <c r="RTC638" s="131"/>
      <c r="RTD638" s="131"/>
      <c r="RTE638" s="131"/>
      <c r="RTF638" s="131"/>
      <c r="RTG638" s="131"/>
      <c r="RTH638" s="131"/>
      <c r="RTI638" s="131"/>
      <c r="RTJ638" s="131"/>
      <c r="RTK638" s="131"/>
      <c r="RTL638" s="131"/>
      <c r="RTM638" s="131"/>
      <c r="RTN638" s="131"/>
      <c r="RTO638" s="131"/>
      <c r="RTP638" s="131"/>
      <c r="RTQ638" s="131"/>
      <c r="RTR638" s="131"/>
      <c r="RTS638" s="131"/>
      <c r="RTT638" s="131"/>
      <c r="RTU638" s="131"/>
      <c r="RTV638" s="131"/>
      <c r="RTW638" s="131"/>
      <c r="RTX638" s="131"/>
      <c r="RTY638" s="131"/>
      <c r="RTZ638" s="131"/>
      <c r="RUA638" s="131"/>
      <c r="RUB638" s="131"/>
      <c r="RUC638" s="131"/>
      <c r="RUD638" s="131"/>
      <c r="RUE638" s="131"/>
      <c r="RUF638" s="131"/>
      <c r="RUG638" s="131"/>
      <c r="RUH638" s="131"/>
      <c r="RUI638" s="131"/>
      <c r="RUJ638" s="131"/>
      <c r="RUK638" s="131"/>
      <c r="RUL638" s="131"/>
      <c r="RUM638" s="131"/>
      <c r="RUN638" s="131"/>
      <c r="RUO638" s="131"/>
      <c r="RUP638" s="131"/>
      <c r="RUQ638" s="131"/>
      <c r="RUR638" s="131"/>
      <c r="RUS638" s="131"/>
      <c r="RUT638" s="131"/>
      <c r="RUU638" s="131"/>
      <c r="RUV638" s="131"/>
      <c r="RUW638" s="131"/>
      <c r="RUX638" s="131"/>
      <c r="RUY638" s="131"/>
      <c r="RUZ638" s="131"/>
      <c r="RVA638" s="131"/>
      <c r="RVB638" s="131"/>
      <c r="RVC638" s="131"/>
      <c r="RVD638" s="131"/>
      <c r="RVE638" s="131"/>
      <c r="RVF638" s="131"/>
      <c r="RVG638" s="131"/>
      <c r="RVH638" s="131"/>
      <c r="RVI638" s="131"/>
      <c r="RVJ638" s="131"/>
      <c r="RVK638" s="131"/>
      <c r="RVL638" s="131"/>
      <c r="RVM638" s="131"/>
      <c r="RVN638" s="131"/>
      <c r="RVO638" s="131"/>
      <c r="RVP638" s="131"/>
      <c r="RVQ638" s="131"/>
      <c r="RVR638" s="131"/>
      <c r="RVS638" s="131"/>
      <c r="RVT638" s="131"/>
      <c r="RVU638" s="131"/>
      <c r="RVV638" s="131"/>
      <c r="RVW638" s="131"/>
      <c r="RVX638" s="131"/>
      <c r="RVY638" s="131"/>
      <c r="RVZ638" s="131"/>
      <c r="RWA638" s="131"/>
      <c r="RWB638" s="131"/>
      <c r="RWC638" s="131"/>
      <c r="RWD638" s="131"/>
      <c r="RWE638" s="131"/>
      <c r="RWF638" s="131"/>
      <c r="RWG638" s="131"/>
      <c r="RWH638" s="131"/>
      <c r="RWI638" s="131"/>
      <c r="RWJ638" s="131"/>
      <c r="RWK638" s="131"/>
      <c r="RWL638" s="131"/>
      <c r="RWM638" s="131"/>
      <c r="RWN638" s="131"/>
      <c r="RWO638" s="131"/>
      <c r="RWP638" s="131"/>
      <c r="RWQ638" s="131"/>
      <c r="RWR638" s="131"/>
      <c r="RWS638" s="131"/>
      <c r="RWT638" s="131"/>
      <c r="RWU638" s="131"/>
      <c r="RWV638" s="131"/>
      <c r="RWW638" s="131"/>
      <c r="RWX638" s="131"/>
      <c r="RWY638" s="131"/>
      <c r="RWZ638" s="131"/>
      <c r="RXA638" s="131"/>
      <c r="RXB638" s="131"/>
      <c r="RXC638" s="131"/>
      <c r="RXD638" s="131"/>
      <c r="RXE638" s="131"/>
      <c r="RXF638" s="131"/>
      <c r="RXG638" s="131"/>
      <c r="RXH638" s="131"/>
      <c r="RXI638" s="131"/>
      <c r="RXJ638" s="131"/>
      <c r="RXK638" s="131"/>
      <c r="RXL638" s="131"/>
      <c r="RXM638" s="131"/>
      <c r="RXN638" s="131"/>
      <c r="RXO638" s="131"/>
      <c r="RXP638" s="131"/>
      <c r="RXQ638" s="131"/>
      <c r="RXR638" s="131"/>
      <c r="RXS638" s="131"/>
      <c r="RXT638" s="131"/>
      <c r="RXU638" s="131"/>
      <c r="RXV638" s="131"/>
      <c r="RXW638" s="131"/>
      <c r="RXX638" s="131"/>
      <c r="RXY638" s="131"/>
      <c r="RXZ638" s="131"/>
      <c r="RYA638" s="131"/>
      <c r="RYB638" s="131"/>
      <c r="RYC638" s="131"/>
      <c r="RYD638" s="131"/>
      <c r="RYE638" s="131"/>
      <c r="RYF638" s="131"/>
      <c r="RYG638" s="131"/>
      <c r="RYH638" s="131"/>
      <c r="RYI638" s="131"/>
      <c r="RYJ638" s="131"/>
      <c r="RYK638" s="131"/>
      <c r="RYL638" s="131"/>
      <c r="RYM638" s="131"/>
      <c r="RYN638" s="131"/>
      <c r="RYO638" s="131"/>
      <c r="RYP638" s="131"/>
      <c r="RYQ638" s="131"/>
      <c r="RYR638" s="131"/>
      <c r="RYS638" s="131"/>
      <c r="RYT638" s="131"/>
      <c r="RYU638" s="131"/>
      <c r="RYV638" s="131"/>
      <c r="RYW638" s="131"/>
      <c r="RYX638" s="131"/>
      <c r="RYY638" s="131"/>
      <c r="RYZ638" s="131"/>
      <c r="RZA638" s="131"/>
      <c r="RZB638" s="131"/>
      <c r="RZC638" s="131"/>
      <c r="RZD638" s="131"/>
      <c r="RZE638" s="131"/>
      <c r="RZF638" s="131"/>
      <c r="RZG638" s="131"/>
      <c r="RZH638" s="131"/>
      <c r="RZI638" s="131"/>
      <c r="RZJ638" s="131"/>
      <c r="RZK638" s="131"/>
      <c r="RZL638" s="131"/>
      <c r="RZM638" s="131"/>
      <c r="RZN638" s="131"/>
      <c r="RZO638" s="131"/>
      <c r="RZP638" s="131"/>
      <c r="RZQ638" s="131"/>
      <c r="RZR638" s="131"/>
      <c r="RZS638" s="131"/>
      <c r="RZT638" s="131"/>
      <c r="RZU638" s="131"/>
      <c r="RZV638" s="131"/>
      <c r="RZW638" s="131"/>
      <c r="RZX638" s="131"/>
      <c r="RZY638" s="131"/>
      <c r="RZZ638" s="131"/>
      <c r="SAA638" s="131"/>
      <c r="SAB638" s="131"/>
      <c r="SAC638" s="131"/>
      <c r="SAD638" s="131"/>
      <c r="SAE638" s="131"/>
      <c r="SAF638" s="131"/>
      <c r="SAG638" s="131"/>
      <c r="SAH638" s="131"/>
      <c r="SAI638" s="131"/>
      <c r="SAJ638" s="131"/>
      <c r="SAK638" s="131"/>
      <c r="SAL638" s="131"/>
      <c r="SAM638" s="131"/>
      <c r="SAN638" s="131"/>
      <c r="SAO638" s="131"/>
      <c r="SAP638" s="131"/>
      <c r="SAQ638" s="131"/>
      <c r="SAR638" s="131"/>
      <c r="SAS638" s="131"/>
      <c r="SAT638" s="131"/>
      <c r="SAU638" s="131"/>
      <c r="SAV638" s="131"/>
      <c r="SAW638" s="131"/>
      <c r="SAX638" s="131"/>
      <c r="SAY638" s="131"/>
      <c r="SAZ638" s="131"/>
      <c r="SBA638" s="131"/>
      <c r="SBB638" s="131"/>
      <c r="SBC638" s="131"/>
      <c r="SBD638" s="131"/>
      <c r="SBE638" s="131"/>
      <c r="SBF638" s="131"/>
      <c r="SBG638" s="131"/>
      <c r="SBH638" s="131"/>
      <c r="SBI638" s="131"/>
      <c r="SBJ638" s="131"/>
      <c r="SBK638" s="131"/>
      <c r="SBL638" s="131"/>
      <c r="SBM638" s="131"/>
      <c r="SBN638" s="131"/>
      <c r="SBO638" s="131"/>
      <c r="SBP638" s="131"/>
      <c r="SBQ638" s="131"/>
      <c r="SBR638" s="131"/>
      <c r="SBS638" s="131"/>
      <c r="SBT638" s="131"/>
      <c r="SBU638" s="131"/>
      <c r="SBV638" s="131"/>
      <c r="SBW638" s="131"/>
      <c r="SBX638" s="131"/>
      <c r="SBY638" s="131"/>
      <c r="SBZ638" s="131"/>
      <c r="SCA638" s="131"/>
      <c r="SCB638" s="131"/>
      <c r="SCC638" s="131"/>
      <c r="SCD638" s="131"/>
      <c r="SCE638" s="131"/>
      <c r="SCF638" s="131"/>
      <c r="SCG638" s="131"/>
      <c r="SCH638" s="131"/>
      <c r="SCI638" s="131"/>
      <c r="SCJ638" s="131"/>
      <c r="SCK638" s="131"/>
      <c r="SCL638" s="131"/>
      <c r="SCM638" s="131"/>
      <c r="SCN638" s="131"/>
      <c r="SCO638" s="131"/>
      <c r="SCP638" s="131"/>
      <c r="SCQ638" s="131"/>
      <c r="SCR638" s="131"/>
      <c r="SCS638" s="131"/>
      <c r="SCT638" s="131"/>
      <c r="SCU638" s="131"/>
      <c r="SCV638" s="131"/>
      <c r="SCW638" s="131"/>
      <c r="SCX638" s="131"/>
      <c r="SCY638" s="131"/>
      <c r="SCZ638" s="131"/>
      <c r="SDA638" s="131"/>
      <c r="SDB638" s="131"/>
      <c r="SDC638" s="131"/>
      <c r="SDD638" s="131"/>
      <c r="SDE638" s="131"/>
      <c r="SDF638" s="131"/>
      <c r="SDG638" s="131"/>
      <c r="SDH638" s="131"/>
      <c r="SDI638" s="131"/>
      <c r="SDJ638" s="131"/>
      <c r="SDK638" s="131"/>
      <c r="SDL638" s="131"/>
      <c r="SDM638" s="131"/>
      <c r="SDN638" s="131"/>
      <c r="SDO638" s="131"/>
      <c r="SDP638" s="131"/>
      <c r="SDQ638" s="131"/>
      <c r="SDR638" s="131"/>
      <c r="SDS638" s="131"/>
      <c r="SDT638" s="131"/>
      <c r="SDU638" s="131"/>
      <c r="SDV638" s="131"/>
      <c r="SDW638" s="131"/>
      <c r="SDX638" s="131"/>
      <c r="SDY638" s="131"/>
      <c r="SDZ638" s="131"/>
      <c r="SEA638" s="131"/>
      <c r="SEB638" s="131"/>
      <c r="SEC638" s="131"/>
      <c r="SED638" s="131"/>
      <c r="SEE638" s="131"/>
      <c r="SEF638" s="131"/>
      <c r="SEG638" s="131"/>
      <c r="SEH638" s="131"/>
      <c r="SEI638" s="131"/>
      <c r="SEJ638" s="131"/>
      <c r="SEK638" s="131"/>
      <c r="SEL638" s="131"/>
      <c r="SEM638" s="131"/>
      <c r="SEN638" s="131"/>
      <c r="SEO638" s="131"/>
      <c r="SEP638" s="131"/>
      <c r="SEQ638" s="131"/>
      <c r="SER638" s="131"/>
      <c r="SES638" s="131"/>
      <c r="SET638" s="131"/>
      <c r="SEU638" s="131"/>
      <c r="SEV638" s="131"/>
      <c r="SEW638" s="131"/>
      <c r="SEX638" s="131"/>
      <c r="SEY638" s="131"/>
      <c r="SEZ638" s="131"/>
      <c r="SFA638" s="131"/>
      <c r="SFB638" s="131"/>
      <c r="SFC638" s="131"/>
      <c r="SFD638" s="131"/>
      <c r="SFE638" s="131"/>
      <c r="SFF638" s="131"/>
      <c r="SFG638" s="131"/>
      <c r="SFH638" s="131"/>
      <c r="SFI638" s="131"/>
      <c r="SFJ638" s="131"/>
      <c r="SFK638" s="131"/>
      <c r="SFL638" s="131"/>
      <c r="SFM638" s="131"/>
      <c r="SFN638" s="131"/>
      <c r="SFO638" s="131"/>
      <c r="SFP638" s="131"/>
      <c r="SFQ638" s="131"/>
      <c r="SFR638" s="131"/>
      <c r="SFS638" s="131"/>
      <c r="SFT638" s="131"/>
      <c r="SFU638" s="131"/>
      <c r="SFV638" s="131"/>
      <c r="SFW638" s="131"/>
      <c r="SFX638" s="131"/>
      <c r="SFY638" s="131"/>
      <c r="SFZ638" s="131"/>
      <c r="SGA638" s="131"/>
      <c r="SGB638" s="131"/>
      <c r="SGC638" s="131"/>
      <c r="SGD638" s="131"/>
      <c r="SGE638" s="131"/>
      <c r="SGF638" s="131"/>
      <c r="SGG638" s="131"/>
      <c r="SGH638" s="131"/>
      <c r="SGI638" s="131"/>
      <c r="SGJ638" s="131"/>
      <c r="SGK638" s="131"/>
      <c r="SGL638" s="131"/>
      <c r="SGM638" s="131"/>
      <c r="SGN638" s="131"/>
      <c r="SGO638" s="131"/>
      <c r="SGP638" s="131"/>
      <c r="SGQ638" s="131"/>
      <c r="SGR638" s="131"/>
      <c r="SGS638" s="131"/>
      <c r="SGT638" s="131"/>
      <c r="SGU638" s="131"/>
      <c r="SGV638" s="131"/>
      <c r="SGW638" s="131"/>
      <c r="SGX638" s="131"/>
      <c r="SGY638" s="131"/>
      <c r="SGZ638" s="131"/>
      <c r="SHA638" s="131"/>
      <c r="SHB638" s="131"/>
      <c r="SHC638" s="131"/>
      <c r="SHD638" s="131"/>
      <c r="SHE638" s="131"/>
      <c r="SHF638" s="131"/>
      <c r="SHG638" s="131"/>
      <c r="SHH638" s="131"/>
      <c r="SHI638" s="131"/>
      <c r="SHJ638" s="131"/>
      <c r="SHK638" s="131"/>
      <c r="SHL638" s="131"/>
      <c r="SHM638" s="131"/>
      <c r="SHN638" s="131"/>
      <c r="SHO638" s="131"/>
      <c r="SHP638" s="131"/>
      <c r="SHQ638" s="131"/>
      <c r="SHR638" s="131"/>
      <c r="SHS638" s="131"/>
      <c r="SHT638" s="131"/>
      <c r="SHU638" s="131"/>
      <c r="SHV638" s="131"/>
      <c r="SHW638" s="131"/>
      <c r="SHX638" s="131"/>
      <c r="SHY638" s="131"/>
      <c r="SHZ638" s="131"/>
      <c r="SIA638" s="131"/>
      <c r="SIB638" s="131"/>
      <c r="SIC638" s="131"/>
      <c r="SID638" s="131"/>
      <c r="SIE638" s="131"/>
      <c r="SIF638" s="131"/>
      <c r="SIG638" s="131"/>
      <c r="SIH638" s="131"/>
      <c r="SII638" s="131"/>
      <c r="SIJ638" s="131"/>
      <c r="SIK638" s="131"/>
      <c r="SIL638" s="131"/>
      <c r="SIM638" s="131"/>
      <c r="SIN638" s="131"/>
      <c r="SIO638" s="131"/>
      <c r="SIP638" s="131"/>
      <c r="SIQ638" s="131"/>
      <c r="SIR638" s="131"/>
      <c r="SIS638" s="131"/>
      <c r="SIT638" s="131"/>
      <c r="SIU638" s="131"/>
      <c r="SIV638" s="131"/>
      <c r="SIW638" s="131"/>
      <c r="SIX638" s="131"/>
      <c r="SIY638" s="131"/>
      <c r="SIZ638" s="131"/>
      <c r="SJA638" s="131"/>
      <c r="SJB638" s="131"/>
      <c r="SJC638" s="131"/>
      <c r="SJD638" s="131"/>
      <c r="SJE638" s="131"/>
      <c r="SJF638" s="131"/>
      <c r="SJG638" s="131"/>
      <c r="SJH638" s="131"/>
      <c r="SJI638" s="131"/>
      <c r="SJJ638" s="131"/>
      <c r="SJK638" s="131"/>
      <c r="SJL638" s="131"/>
      <c r="SJM638" s="131"/>
      <c r="SJN638" s="131"/>
      <c r="SJO638" s="131"/>
      <c r="SJP638" s="131"/>
      <c r="SJQ638" s="131"/>
      <c r="SJR638" s="131"/>
      <c r="SJS638" s="131"/>
      <c r="SJT638" s="131"/>
      <c r="SJU638" s="131"/>
      <c r="SJV638" s="131"/>
      <c r="SJW638" s="131"/>
      <c r="SJX638" s="131"/>
      <c r="SJY638" s="131"/>
      <c r="SJZ638" s="131"/>
      <c r="SKA638" s="131"/>
      <c r="SKB638" s="131"/>
      <c r="SKC638" s="131"/>
      <c r="SKD638" s="131"/>
      <c r="SKE638" s="131"/>
      <c r="SKF638" s="131"/>
      <c r="SKG638" s="131"/>
      <c r="SKH638" s="131"/>
      <c r="SKI638" s="131"/>
      <c r="SKJ638" s="131"/>
      <c r="SKK638" s="131"/>
      <c r="SKL638" s="131"/>
      <c r="SKM638" s="131"/>
      <c r="SKN638" s="131"/>
      <c r="SKO638" s="131"/>
      <c r="SKP638" s="131"/>
      <c r="SKQ638" s="131"/>
      <c r="SKR638" s="131"/>
      <c r="SKS638" s="131"/>
      <c r="SKT638" s="131"/>
      <c r="SKU638" s="131"/>
      <c r="SKV638" s="131"/>
      <c r="SKW638" s="131"/>
      <c r="SKX638" s="131"/>
      <c r="SKY638" s="131"/>
      <c r="SKZ638" s="131"/>
      <c r="SLA638" s="131"/>
      <c r="SLB638" s="131"/>
      <c r="SLC638" s="131"/>
      <c r="SLD638" s="131"/>
      <c r="SLE638" s="131"/>
      <c r="SLF638" s="131"/>
      <c r="SLG638" s="131"/>
      <c r="SLH638" s="131"/>
      <c r="SLI638" s="131"/>
      <c r="SLJ638" s="131"/>
      <c r="SLK638" s="131"/>
      <c r="SLL638" s="131"/>
      <c r="SLM638" s="131"/>
      <c r="SLN638" s="131"/>
      <c r="SLO638" s="131"/>
      <c r="SLP638" s="131"/>
      <c r="SLQ638" s="131"/>
      <c r="SLR638" s="131"/>
      <c r="SLS638" s="131"/>
      <c r="SLT638" s="131"/>
      <c r="SLU638" s="131"/>
      <c r="SLV638" s="131"/>
      <c r="SLW638" s="131"/>
      <c r="SLX638" s="131"/>
      <c r="SLY638" s="131"/>
      <c r="SLZ638" s="131"/>
      <c r="SMA638" s="131"/>
      <c r="SMB638" s="131"/>
      <c r="SMC638" s="131"/>
      <c r="SMD638" s="131"/>
      <c r="SME638" s="131"/>
      <c r="SMF638" s="131"/>
      <c r="SMG638" s="131"/>
      <c r="SMH638" s="131"/>
      <c r="SMI638" s="131"/>
      <c r="SMJ638" s="131"/>
      <c r="SMK638" s="131"/>
      <c r="SML638" s="131"/>
      <c r="SMM638" s="131"/>
      <c r="SMN638" s="131"/>
      <c r="SMO638" s="131"/>
      <c r="SMP638" s="131"/>
      <c r="SMQ638" s="131"/>
      <c r="SMR638" s="131"/>
      <c r="SMS638" s="131"/>
      <c r="SMT638" s="131"/>
      <c r="SMU638" s="131"/>
      <c r="SMV638" s="131"/>
      <c r="SMW638" s="131"/>
      <c r="SMX638" s="131"/>
      <c r="SMY638" s="131"/>
      <c r="SMZ638" s="131"/>
      <c r="SNA638" s="131"/>
      <c r="SNB638" s="131"/>
      <c r="SNC638" s="131"/>
      <c r="SND638" s="131"/>
      <c r="SNE638" s="131"/>
      <c r="SNF638" s="131"/>
      <c r="SNG638" s="131"/>
      <c r="SNH638" s="131"/>
      <c r="SNI638" s="131"/>
      <c r="SNJ638" s="131"/>
      <c r="SNK638" s="131"/>
      <c r="SNL638" s="131"/>
      <c r="SNM638" s="131"/>
      <c r="SNN638" s="131"/>
      <c r="SNO638" s="131"/>
      <c r="SNP638" s="131"/>
      <c r="SNQ638" s="131"/>
      <c r="SNR638" s="131"/>
      <c r="SNS638" s="131"/>
      <c r="SNT638" s="131"/>
      <c r="SNU638" s="131"/>
      <c r="SNV638" s="131"/>
      <c r="SNW638" s="131"/>
      <c r="SNX638" s="131"/>
      <c r="SNY638" s="131"/>
      <c r="SNZ638" s="131"/>
      <c r="SOA638" s="131"/>
      <c r="SOB638" s="131"/>
      <c r="SOC638" s="131"/>
      <c r="SOD638" s="131"/>
      <c r="SOE638" s="131"/>
      <c r="SOF638" s="131"/>
      <c r="SOG638" s="131"/>
      <c r="SOH638" s="131"/>
      <c r="SOI638" s="131"/>
      <c r="SOJ638" s="131"/>
      <c r="SOK638" s="131"/>
      <c r="SOL638" s="131"/>
      <c r="SOM638" s="131"/>
      <c r="SON638" s="131"/>
      <c r="SOO638" s="131"/>
      <c r="SOP638" s="131"/>
      <c r="SOQ638" s="131"/>
      <c r="SOR638" s="131"/>
      <c r="SOS638" s="131"/>
      <c r="SOT638" s="131"/>
      <c r="SOU638" s="131"/>
      <c r="SOV638" s="131"/>
      <c r="SOW638" s="131"/>
      <c r="SOX638" s="131"/>
      <c r="SOY638" s="131"/>
      <c r="SOZ638" s="131"/>
      <c r="SPA638" s="131"/>
      <c r="SPB638" s="131"/>
      <c r="SPC638" s="131"/>
      <c r="SPD638" s="131"/>
      <c r="SPE638" s="131"/>
      <c r="SPF638" s="131"/>
      <c r="SPG638" s="131"/>
      <c r="SPH638" s="131"/>
      <c r="SPI638" s="131"/>
      <c r="SPJ638" s="131"/>
      <c r="SPK638" s="131"/>
      <c r="SPL638" s="131"/>
      <c r="SPM638" s="131"/>
      <c r="SPN638" s="131"/>
      <c r="SPO638" s="131"/>
      <c r="SPP638" s="131"/>
      <c r="SPQ638" s="131"/>
      <c r="SPR638" s="131"/>
      <c r="SPS638" s="131"/>
      <c r="SPT638" s="131"/>
      <c r="SPU638" s="131"/>
      <c r="SPV638" s="131"/>
      <c r="SPW638" s="131"/>
      <c r="SPX638" s="131"/>
      <c r="SPY638" s="131"/>
      <c r="SPZ638" s="131"/>
      <c r="SQA638" s="131"/>
      <c r="SQB638" s="131"/>
      <c r="SQC638" s="131"/>
      <c r="SQD638" s="131"/>
      <c r="SQE638" s="131"/>
      <c r="SQF638" s="131"/>
      <c r="SQG638" s="131"/>
      <c r="SQH638" s="131"/>
      <c r="SQI638" s="131"/>
      <c r="SQJ638" s="131"/>
      <c r="SQK638" s="131"/>
      <c r="SQL638" s="131"/>
      <c r="SQM638" s="131"/>
      <c r="SQN638" s="131"/>
      <c r="SQO638" s="131"/>
      <c r="SQP638" s="131"/>
      <c r="SQQ638" s="131"/>
      <c r="SQR638" s="131"/>
      <c r="SQS638" s="131"/>
      <c r="SQT638" s="131"/>
      <c r="SQU638" s="131"/>
      <c r="SQV638" s="131"/>
      <c r="SQW638" s="131"/>
      <c r="SQX638" s="131"/>
      <c r="SQY638" s="131"/>
      <c r="SQZ638" s="131"/>
      <c r="SRA638" s="131"/>
      <c r="SRB638" s="131"/>
      <c r="SRC638" s="131"/>
      <c r="SRD638" s="131"/>
      <c r="SRE638" s="131"/>
      <c r="SRF638" s="131"/>
      <c r="SRG638" s="131"/>
      <c r="SRH638" s="131"/>
      <c r="SRI638" s="131"/>
      <c r="SRJ638" s="131"/>
      <c r="SRK638" s="131"/>
      <c r="SRL638" s="131"/>
      <c r="SRM638" s="131"/>
      <c r="SRN638" s="131"/>
      <c r="SRO638" s="131"/>
      <c r="SRP638" s="131"/>
      <c r="SRQ638" s="131"/>
      <c r="SRR638" s="131"/>
      <c r="SRS638" s="131"/>
      <c r="SRT638" s="131"/>
      <c r="SRU638" s="131"/>
      <c r="SRV638" s="131"/>
      <c r="SRW638" s="131"/>
      <c r="SRX638" s="131"/>
      <c r="SRY638" s="131"/>
      <c r="SRZ638" s="131"/>
      <c r="SSA638" s="131"/>
      <c r="SSB638" s="131"/>
      <c r="SSC638" s="131"/>
      <c r="SSD638" s="131"/>
      <c r="SSE638" s="131"/>
      <c r="SSF638" s="131"/>
      <c r="SSG638" s="131"/>
      <c r="SSH638" s="131"/>
      <c r="SSI638" s="131"/>
      <c r="SSJ638" s="131"/>
      <c r="SSK638" s="131"/>
      <c r="SSL638" s="131"/>
      <c r="SSM638" s="131"/>
      <c r="SSN638" s="131"/>
      <c r="SSO638" s="131"/>
      <c r="SSP638" s="131"/>
      <c r="SSQ638" s="131"/>
      <c r="SSR638" s="131"/>
      <c r="SSS638" s="131"/>
      <c r="SST638" s="131"/>
      <c r="SSU638" s="131"/>
      <c r="SSV638" s="131"/>
      <c r="SSW638" s="131"/>
      <c r="SSX638" s="131"/>
      <c r="SSY638" s="131"/>
      <c r="SSZ638" s="131"/>
      <c r="STA638" s="131"/>
      <c r="STB638" s="131"/>
      <c r="STC638" s="131"/>
      <c r="STD638" s="131"/>
      <c r="STE638" s="131"/>
      <c r="STF638" s="131"/>
      <c r="STG638" s="131"/>
      <c r="STH638" s="131"/>
      <c r="STI638" s="131"/>
      <c r="STJ638" s="131"/>
      <c r="STK638" s="131"/>
      <c r="STL638" s="131"/>
      <c r="STM638" s="131"/>
      <c r="STN638" s="131"/>
      <c r="STO638" s="131"/>
      <c r="STP638" s="131"/>
      <c r="STQ638" s="131"/>
      <c r="STR638" s="131"/>
      <c r="STS638" s="131"/>
      <c r="STT638" s="131"/>
      <c r="STU638" s="131"/>
      <c r="STV638" s="131"/>
      <c r="STW638" s="131"/>
      <c r="STX638" s="131"/>
      <c r="STY638" s="131"/>
      <c r="STZ638" s="131"/>
      <c r="SUA638" s="131"/>
      <c r="SUB638" s="131"/>
      <c r="SUC638" s="131"/>
      <c r="SUD638" s="131"/>
      <c r="SUE638" s="131"/>
      <c r="SUF638" s="131"/>
      <c r="SUG638" s="131"/>
      <c r="SUH638" s="131"/>
      <c r="SUI638" s="131"/>
      <c r="SUJ638" s="131"/>
      <c r="SUK638" s="131"/>
      <c r="SUL638" s="131"/>
      <c r="SUM638" s="131"/>
      <c r="SUN638" s="131"/>
      <c r="SUO638" s="131"/>
      <c r="SUP638" s="131"/>
      <c r="SUQ638" s="131"/>
      <c r="SUR638" s="131"/>
      <c r="SUS638" s="131"/>
      <c r="SUT638" s="131"/>
      <c r="SUU638" s="131"/>
      <c r="SUV638" s="131"/>
      <c r="SUW638" s="131"/>
      <c r="SUX638" s="131"/>
      <c r="SUY638" s="131"/>
      <c r="SUZ638" s="131"/>
      <c r="SVA638" s="131"/>
      <c r="SVB638" s="131"/>
      <c r="SVC638" s="131"/>
      <c r="SVD638" s="131"/>
      <c r="SVE638" s="131"/>
      <c r="SVF638" s="131"/>
      <c r="SVG638" s="131"/>
      <c r="SVH638" s="131"/>
      <c r="SVI638" s="131"/>
      <c r="SVJ638" s="131"/>
      <c r="SVK638" s="131"/>
      <c r="SVL638" s="131"/>
      <c r="SVM638" s="131"/>
      <c r="SVN638" s="131"/>
      <c r="SVO638" s="131"/>
      <c r="SVP638" s="131"/>
      <c r="SVQ638" s="131"/>
      <c r="SVR638" s="131"/>
      <c r="SVS638" s="131"/>
      <c r="SVT638" s="131"/>
      <c r="SVU638" s="131"/>
      <c r="SVV638" s="131"/>
      <c r="SVW638" s="131"/>
      <c r="SVX638" s="131"/>
      <c r="SVY638" s="131"/>
      <c r="SVZ638" s="131"/>
      <c r="SWA638" s="131"/>
      <c r="SWB638" s="131"/>
      <c r="SWC638" s="131"/>
      <c r="SWD638" s="131"/>
      <c r="SWE638" s="131"/>
      <c r="SWF638" s="131"/>
      <c r="SWG638" s="131"/>
      <c r="SWH638" s="131"/>
      <c r="SWI638" s="131"/>
      <c r="SWJ638" s="131"/>
      <c r="SWK638" s="131"/>
      <c r="SWL638" s="131"/>
      <c r="SWM638" s="131"/>
      <c r="SWN638" s="131"/>
      <c r="SWO638" s="131"/>
      <c r="SWP638" s="131"/>
      <c r="SWQ638" s="131"/>
      <c r="SWR638" s="131"/>
      <c r="SWS638" s="131"/>
      <c r="SWT638" s="131"/>
      <c r="SWU638" s="131"/>
      <c r="SWV638" s="131"/>
      <c r="SWW638" s="131"/>
      <c r="SWX638" s="131"/>
      <c r="SWY638" s="131"/>
      <c r="SWZ638" s="131"/>
      <c r="SXA638" s="131"/>
      <c r="SXB638" s="131"/>
      <c r="SXC638" s="131"/>
      <c r="SXD638" s="131"/>
      <c r="SXE638" s="131"/>
      <c r="SXF638" s="131"/>
      <c r="SXG638" s="131"/>
      <c r="SXH638" s="131"/>
      <c r="SXI638" s="131"/>
      <c r="SXJ638" s="131"/>
      <c r="SXK638" s="131"/>
      <c r="SXL638" s="131"/>
      <c r="SXM638" s="131"/>
      <c r="SXN638" s="131"/>
      <c r="SXO638" s="131"/>
      <c r="SXP638" s="131"/>
      <c r="SXQ638" s="131"/>
      <c r="SXR638" s="131"/>
      <c r="SXS638" s="131"/>
      <c r="SXT638" s="131"/>
      <c r="SXU638" s="131"/>
      <c r="SXV638" s="131"/>
      <c r="SXW638" s="131"/>
      <c r="SXX638" s="131"/>
      <c r="SXY638" s="131"/>
      <c r="SXZ638" s="131"/>
      <c r="SYA638" s="131"/>
      <c r="SYB638" s="131"/>
      <c r="SYC638" s="131"/>
      <c r="SYD638" s="131"/>
      <c r="SYE638" s="131"/>
      <c r="SYF638" s="131"/>
      <c r="SYG638" s="131"/>
      <c r="SYH638" s="131"/>
      <c r="SYI638" s="131"/>
      <c r="SYJ638" s="131"/>
      <c r="SYK638" s="131"/>
      <c r="SYL638" s="131"/>
      <c r="SYM638" s="131"/>
      <c r="SYN638" s="131"/>
      <c r="SYO638" s="131"/>
      <c r="SYP638" s="131"/>
      <c r="SYQ638" s="131"/>
      <c r="SYR638" s="131"/>
      <c r="SYS638" s="131"/>
      <c r="SYT638" s="131"/>
      <c r="SYU638" s="131"/>
      <c r="SYV638" s="131"/>
      <c r="SYW638" s="131"/>
      <c r="SYX638" s="131"/>
      <c r="SYY638" s="131"/>
      <c r="SYZ638" s="131"/>
      <c r="SZA638" s="131"/>
      <c r="SZB638" s="131"/>
      <c r="SZC638" s="131"/>
      <c r="SZD638" s="131"/>
      <c r="SZE638" s="131"/>
      <c r="SZF638" s="131"/>
      <c r="SZG638" s="131"/>
      <c r="SZH638" s="131"/>
      <c r="SZI638" s="131"/>
      <c r="SZJ638" s="131"/>
      <c r="SZK638" s="131"/>
      <c r="SZL638" s="131"/>
      <c r="SZM638" s="131"/>
      <c r="SZN638" s="131"/>
      <c r="SZO638" s="131"/>
      <c r="SZP638" s="131"/>
      <c r="SZQ638" s="131"/>
      <c r="SZR638" s="131"/>
      <c r="SZS638" s="131"/>
      <c r="SZT638" s="131"/>
      <c r="SZU638" s="131"/>
      <c r="SZV638" s="131"/>
      <c r="SZW638" s="131"/>
      <c r="SZX638" s="131"/>
      <c r="SZY638" s="131"/>
      <c r="SZZ638" s="131"/>
      <c r="TAA638" s="131"/>
      <c r="TAB638" s="131"/>
      <c r="TAC638" s="131"/>
      <c r="TAD638" s="131"/>
      <c r="TAE638" s="131"/>
      <c r="TAF638" s="131"/>
      <c r="TAG638" s="131"/>
      <c r="TAH638" s="131"/>
      <c r="TAI638" s="131"/>
      <c r="TAJ638" s="131"/>
      <c r="TAK638" s="131"/>
      <c r="TAL638" s="131"/>
      <c r="TAM638" s="131"/>
      <c r="TAN638" s="131"/>
      <c r="TAO638" s="131"/>
      <c r="TAP638" s="131"/>
      <c r="TAQ638" s="131"/>
      <c r="TAR638" s="131"/>
      <c r="TAS638" s="131"/>
      <c r="TAT638" s="131"/>
      <c r="TAU638" s="131"/>
      <c r="TAV638" s="131"/>
      <c r="TAW638" s="131"/>
      <c r="TAX638" s="131"/>
      <c r="TAY638" s="131"/>
      <c r="TAZ638" s="131"/>
      <c r="TBA638" s="131"/>
      <c r="TBB638" s="131"/>
      <c r="TBC638" s="131"/>
      <c r="TBD638" s="131"/>
      <c r="TBE638" s="131"/>
      <c r="TBF638" s="131"/>
      <c r="TBG638" s="131"/>
      <c r="TBH638" s="131"/>
      <c r="TBI638" s="131"/>
      <c r="TBJ638" s="131"/>
      <c r="TBK638" s="131"/>
      <c r="TBL638" s="131"/>
      <c r="TBM638" s="131"/>
      <c r="TBN638" s="131"/>
      <c r="TBO638" s="131"/>
      <c r="TBP638" s="131"/>
      <c r="TBQ638" s="131"/>
      <c r="TBR638" s="131"/>
      <c r="TBS638" s="131"/>
      <c r="TBT638" s="131"/>
      <c r="TBU638" s="131"/>
      <c r="TBV638" s="131"/>
      <c r="TBW638" s="131"/>
      <c r="TBX638" s="131"/>
      <c r="TBY638" s="131"/>
      <c r="TBZ638" s="131"/>
      <c r="TCA638" s="131"/>
      <c r="TCB638" s="131"/>
      <c r="TCC638" s="131"/>
      <c r="TCD638" s="131"/>
      <c r="TCE638" s="131"/>
      <c r="TCF638" s="131"/>
      <c r="TCG638" s="131"/>
      <c r="TCH638" s="131"/>
      <c r="TCI638" s="131"/>
      <c r="TCJ638" s="131"/>
      <c r="TCK638" s="131"/>
      <c r="TCL638" s="131"/>
      <c r="TCM638" s="131"/>
      <c r="TCN638" s="131"/>
      <c r="TCO638" s="131"/>
      <c r="TCP638" s="131"/>
      <c r="TCQ638" s="131"/>
      <c r="TCR638" s="131"/>
      <c r="TCS638" s="131"/>
      <c r="TCT638" s="131"/>
      <c r="TCU638" s="131"/>
      <c r="TCV638" s="131"/>
      <c r="TCW638" s="131"/>
      <c r="TCX638" s="131"/>
      <c r="TCY638" s="131"/>
      <c r="TCZ638" s="131"/>
      <c r="TDA638" s="131"/>
      <c r="TDB638" s="131"/>
      <c r="TDC638" s="131"/>
      <c r="TDD638" s="131"/>
      <c r="TDE638" s="131"/>
      <c r="TDF638" s="131"/>
      <c r="TDG638" s="131"/>
      <c r="TDH638" s="131"/>
      <c r="TDI638" s="131"/>
      <c r="TDJ638" s="131"/>
      <c r="TDK638" s="131"/>
      <c r="TDL638" s="131"/>
      <c r="TDM638" s="131"/>
      <c r="TDN638" s="131"/>
      <c r="TDO638" s="131"/>
      <c r="TDP638" s="131"/>
      <c r="TDQ638" s="131"/>
      <c r="TDR638" s="131"/>
      <c r="TDS638" s="131"/>
      <c r="TDT638" s="131"/>
      <c r="TDU638" s="131"/>
      <c r="TDV638" s="131"/>
      <c r="TDW638" s="131"/>
      <c r="TDX638" s="131"/>
      <c r="TDY638" s="131"/>
      <c r="TDZ638" s="131"/>
      <c r="TEA638" s="131"/>
      <c r="TEB638" s="131"/>
      <c r="TEC638" s="131"/>
      <c r="TED638" s="131"/>
      <c r="TEE638" s="131"/>
      <c r="TEF638" s="131"/>
      <c r="TEG638" s="131"/>
      <c r="TEH638" s="131"/>
      <c r="TEI638" s="131"/>
      <c r="TEJ638" s="131"/>
      <c r="TEK638" s="131"/>
      <c r="TEL638" s="131"/>
      <c r="TEM638" s="131"/>
      <c r="TEN638" s="131"/>
      <c r="TEO638" s="131"/>
      <c r="TEP638" s="131"/>
      <c r="TEQ638" s="131"/>
      <c r="TER638" s="131"/>
      <c r="TES638" s="131"/>
      <c r="TET638" s="131"/>
      <c r="TEU638" s="131"/>
      <c r="TEV638" s="131"/>
      <c r="TEW638" s="131"/>
      <c r="TEX638" s="131"/>
      <c r="TEY638" s="131"/>
      <c r="TEZ638" s="131"/>
      <c r="TFA638" s="131"/>
      <c r="TFB638" s="131"/>
      <c r="TFC638" s="131"/>
      <c r="TFD638" s="131"/>
      <c r="TFE638" s="131"/>
      <c r="TFF638" s="131"/>
      <c r="TFG638" s="131"/>
      <c r="TFH638" s="131"/>
      <c r="TFI638" s="131"/>
      <c r="TFJ638" s="131"/>
      <c r="TFK638" s="131"/>
      <c r="TFL638" s="131"/>
      <c r="TFM638" s="131"/>
      <c r="TFN638" s="131"/>
      <c r="TFO638" s="131"/>
      <c r="TFP638" s="131"/>
      <c r="TFQ638" s="131"/>
      <c r="TFR638" s="131"/>
      <c r="TFS638" s="131"/>
      <c r="TFT638" s="131"/>
      <c r="TFU638" s="131"/>
      <c r="TFV638" s="131"/>
      <c r="TFW638" s="131"/>
      <c r="TFX638" s="131"/>
      <c r="TFY638" s="131"/>
      <c r="TFZ638" s="131"/>
      <c r="TGA638" s="131"/>
      <c r="TGB638" s="131"/>
      <c r="TGC638" s="131"/>
      <c r="TGD638" s="131"/>
      <c r="TGE638" s="131"/>
      <c r="TGF638" s="131"/>
      <c r="TGG638" s="131"/>
      <c r="TGH638" s="131"/>
      <c r="TGI638" s="131"/>
      <c r="TGJ638" s="131"/>
      <c r="TGK638" s="131"/>
      <c r="TGL638" s="131"/>
      <c r="TGM638" s="131"/>
      <c r="TGN638" s="131"/>
      <c r="TGO638" s="131"/>
      <c r="TGP638" s="131"/>
      <c r="TGQ638" s="131"/>
      <c r="TGR638" s="131"/>
      <c r="TGS638" s="131"/>
      <c r="TGT638" s="131"/>
      <c r="TGU638" s="131"/>
      <c r="TGV638" s="131"/>
      <c r="TGW638" s="131"/>
      <c r="TGX638" s="131"/>
      <c r="TGY638" s="131"/>
      <c r="TGZ638" s="131"/>
      <c r="THA638" s="131"/>
      <c r="THB638" s="131"/>
      <c r="THC638" s="131"/>
      <c r="THD638" s="131"/>
      <c r="THE638" s="131"/>
      <c r="THF638" s="131"/>
      <c r="THG638" s="131"/>
      <c r="THH638" s="131"/>
      <c r="THI638" s="131"/>
      <c r="THJ638" s="131"/>
      <c r="THK638" s="131"/>
      <c r="THL638" s="131"/>
      <c r="THM638" s="131"/>
      <c r="THN638" s="131"/>
      <c r="THO638" s="131"/>
      <c r="THP638" s="131"/>
      <c r="THQ638" s="131"/>
      <c r="THR638" s="131"/>
      <c r="THS638" s="131"/>
      <c r="THT638" s="131"/>
      <c r="THU638" s="131"/>
      <c r="THV638" s="131"/>
      <c r="THW638" s="131"/>
      <c r="THX638" s="131"/>
      <c r="THY638" s="131"/>
      <c r="THZ638" s="131"/>
      <c r="TIA638" s="131"/>
      <c r="TIB638" s="131"/>
      <c r="TIC638" s="131"/>
      <c r="TID638" s="131"/>
      <c r="TIE638" s="131"/>
      <c r="TIF638" s="131"/>
      <c r="TIG638" s="131"/>
      <c r="TIH638" s="131"/>
      <c r="TII638" s="131"/>
      <c r="TIJ638" s="131"/>
      <c r="TIK638" s="131"/>
      <c r="TIL638" s="131"/>
      <c r="TIM638" s="131"/>
      <c r="TIN638" s="131"/>
      <c r="TIO638" s="131"/>
      <c r="TIP638" s="131"/>
      <c r="TIQ638" s="131"/>
      <c r="TIR638" s="131"/>
      <c r="TIS638" s="131"/>
      <c r="TIT638" s="131"/>
      <c r="TIU638" s="131"/>
      <c r="TIV638" s="131"/>
      <c r="TIW638" s="131"/>
      <c r="TIX638" s="131"/>
      <c r="TIY638" s="131"/>
      <c r="TIZ638" s="131"/>
      <c r="TJA638" s="131"/>
      <c r="TJB638" s="131"/>
      <c r="TJC638" s="131"/>
      <c r="TJD638" s="131"/>
      <c r="TJE638" s="131"/>
      <c r="TJF638" s="131"/>
      <c r="TJG638" s="131"/>
      <c r="TJH638" s="131"/>
      <c r="TJI638" s="131"/>
      <c r="TJJ638" s="131"/>
      <c r="TJK638" s="131"/>
      <c r="TJL638" s="131"/>
      <c r="TJM638" s="131"/>
      <c r="TJN638" s="131"/>
      <c r="TJO638" s="131"/>
      <c r="TJP638" s="131"/>
      <c r="TJQ638" s="131"/>
      <c r="TJR638" s="131"/>
      <c r="TJS638" s="131"/>
      <c r="TJT638" s="131"/>
      <c r="TJU638" s="131"/>
      <c r="TJV638" s="131"/>
      <c r="TJW638" s="131"/>
      <c r="TJX638" s="131"/>
      <c r="TJY638" s="131"/>
      <c r="TJZ638" s="131"/>
      <c r="TKA638" s="131"/>
      <c r="TKB638" s="131"/>
      <c r="TKC638" s="131"/>
      <c r="TKD638" s="131"/>
      <c r="TKE638" s="131"/>
      <c r="TKF638" s="131"/>
      <c r="TKG638" s="131"/>
      <c r="TKH638" s="131"/>
      <c r="TKI638" s="131"/>
      <c r="TKJ638" s="131"/>
      <c r="TKK638" s="131"/>
      <c r="TKL638" s="131"/>
      <c r="TKM638" s="131"/>
      <c r="TKN638" s="131"/>
      <c r="TKO638" s="131"/>
      <c r="TKP638" s="131"/>
      <c r="TKQ638" s="131"/>
      <c r="TKR638" s="131"/>
      <c r="TKS638" s="131"/>
      <c r="TKT638" s="131"/>
      <c r="TKU638" s="131"/>
      <c r="TKV638" s="131"/>
      <c r="TKW638" s="131"/>
      <c r="TKX638" s="131"/>
      <c r="TKY638" s="131"/>
      <c r="TKZ638" s="131"/>
      <c r="TLA638" s="131"/>
      <c r="TLB638" s="131"/>
      <c r="TLC638" s="131"/>
      <c r="TLD638" s="131"/>
      <c r="TLE638" s="131"/>
      <c r="TLF638" s="131"/>
      <c r="TLG638" s="131"/>
      <c r="TLH638" s="131"/>
      <c r="TLI638" s="131"/>
      <c r="TLJ638" s="131"/>
      <c r="TLK638" s="131"/>
      <c r="TLL638" s="131"/>
      <c r="TLM638" s="131"/>
      <c r="TLN638" s="131"/>
      <c r="TLO638" s="131"/>
      <c r="TLP638" s="131"/>
      <c r="TLQ638" s="131"/>
      <c r="TLR638" s="131"/>
      <c r="TLS638" s="131"/>
      <c r="TLT638" s="131"/>
      <c r="TLU638" s="131"/>
      <c r="TLV638" s="131"/>
      <c r="TLW638" s="131"/>
      <c r="TLX638" s="131"/>
      <c r="TLY638" s="131"/>
      <c r="TLZ638" s="131"/>
      <c r="TMA638" s="131"/>
      <c r="TMB638" s="131"/>
      <c r="TMC638" s="131"/>
      <c r="TMD638" s="131"/>
      <c r="TME638" s="131"/>
      <c r="TMF638" s="131"/>
      <c r="TMG638" s="131"/>
      <c r="TMH638" s="131"/>
      <c r="TMI638" s="131"/>
      <c r="TMJ638" s="131"/>
      <c r="TMK638" s="131"/>
      <c r="TML638" s="131"/>
      <c r="TMM638" s="131"/>
      <c r="TMN638" s="131"/>
      <c r="TMO638" s="131"/>
      <c r="TMP638" s="131"/>
      <c r="TMQ638" s="131"/>
      <c r="TMR638" s="131"/>
      <c r="TMS638" s="131"/>
      <c r="TMT638" s="131"/>
      <c r="TMU638" s="131"/>
      <c r="TMV638" s="131"/>
      <c r="TMW638" s="131"/>
      <c r="TMX638" s="131"/>
      <c r="TMY638" s="131"/>
      <c r="TMZ638" s="131"/>
      <c r="TNA638" s="131"/>
      <c r="TNB638" s="131"/>
      <c r="TNC638" s="131"/>
      <c r="TND638" s="131"/>
      <c r="TNE638" s="131"/>
      <c r="TNF638" s="131"/>
      <c r="TNG638" s="131"/>
      <c r="TNH638" s="131"/>
      <c r="TNI638" s="131"/>
      <c r="TNJ638" s="131"/>
      <c r="TNK638" s="131"/>
      <c r="TNL638" s="131"/>
      <c r="TNM638" s="131"/>
      <c r="TNN638" s="131"/>
      <c r="TNO638" s="131"/>
      <c r="TNP638" s="131"/>
      <c r="TNQ638" s="131"/>
      <c r="TNR638" s="131"/>
      <c r="TNS638" s="131"/>
      <c r="TNT638" s="131"/>
      <c r="TNU638" s="131"/>
      <c r="TNV638" s="131"/>
      <c r="TNW638" s="131"/>
      <c r="TNX638" s="131"/>
      <c r="TNY638" s="131"/>
      <c r="TNZ638" s="131"/>
      <c r="TOA638" s="131"/>
      <c r="TOB638" s="131"/>
      <c r="TOC638" s="131"/>
      <c r="TOD638" s="131"/>
      <c r="TOE638" s="131"/>
      <c r="TOF638" s="131"/>
      <c r="TOG638" s="131"/>
      <c r="TOH638" s="131"/>
      <c r="TOI638" s="131"/>
      <c r="TOJ638" s="131"/>
      <c r="TOK638" s="131"/>
      <c r="TOL638" s="131"/>
      <c r="TOM638" s="131"/>
      <c r="TON638" s="131"/>
      <c r="TOO638" s="131"/>
      <c r="TOP638" s="131"/>
      <c r="TOQ638" s="131"/>
      <c r="TOR638" s="131"/>
      <c r="TOS638" s="131"/>
      <c r="TOT638" s="131"/>
      <c r="TOU638" s="131"/>
      <c r="TOV638" s="131"/>
      <c r="TOW638" s="131"/>
      <c r="TOX638" s="131"/>
      <c r="TOY638" s="131"/>
      <c r="TOZ638" s="131"/>
      <c r="TPA638" s="131"/>
      <c r="TPB638" s="131"/>
      <c r="TPC638" s="131"/>
      <c r="TPD638" s="131"/>
      <c r="TPE638" s="131"/>
      <c r="TPF638" s="131"/>
      <c r="TPG638" s="131"/>
      <c r="TPH638" s="131"/>
      <c r="TPI638" s="131"/>
      <c r="TPJ638" s="131"/>
      <c r="TPK638" s="131"/>
      <c r="TPL638" s="131"/>
      <c r="TPM638" s="131"/>
      <c r="TPN638" s="131"/>
      <c r="TPO638" s="131"/>
      <c r="TPP638" s="131"/>
      <c r="TPQ638" s="131"/>
      <c r="TPR638" s="131"/>
      <c r="TPS638" s="131"/>
      <c r="TPT638" s="131"/>
      <c r="TPU638" s="131"/>
      <c r="TPV638" s="131"/>
      <c r="TPW638" s="131"/>
      <c r="TPX638" s="131"/>
      <c r="TPY638" s="131"/>
      <c r="TPZ638" s="131"/>
      <c r="TQA638" s="131"/>
      <c r="TQB638" s="131"/>
      <c r="TQC638" s="131"/>
      <c r="TQD638" s="131"/>
      <c r="TQE638" s="131"/>
      <c r="TQF638" s="131"/>
      <c r="TQG638" s="131"/>
      <c r="TQH638" s="131"/>
      <c r="TQI638" s="131"/>
      <c r="TQJ638" s="131"/>
      <c r="TQK638" s="131"/>
      <c r="TQL638" s="131"/>
      <c r="TQM638" s="131"/>
      <c r="TQN638" s="131"/>
      <c r="TQO638" s="131"/>
      <c r="TQP638" s="131"/>
      <c r="TQQ638" s="131"/>
      <c r="TQR638" s="131"/>
      <c r="TQS638" s="131"/>
      <c r="TQT638" s="131"/>
      <c r="TQU638" s="131"/>
      <c r="TQV638" s="131"/>
      <c r="TQW638" s="131"/>
      <c r="TQX638" s="131"/>
      <c r="TQY638" s="131"/>
      <c r="TQZ638" s="131"/>
      <c r="TRA638" s="131"/>
      <c r="TRB638" s="131"/>
      <c r="TRC638" s="131"/>
      <c r="TRD638" s="131"/>
      <c r="TRE638" s="131"/>
      <c r="TRF638" s="131"/>
      <c r="TRG638" s="131"/>
      <c r="TRH638" s="131"/>
      <c r="TRI638" s="131"/>
      <c r="TRJ638" s="131"/>
      <c r="TRK638" s="131"/>
      <c r="TRL638" s="131"/>
      <c r="TRM638" s="131"/>
      <c r="TRN638" s="131"/>
      <c r="TRO638" s="131"/>
      <c r="TRP638" s="131"/>
      <c r="TRQ638" s="131"/>
      <c r="TRR638" s="131"/>
      <c r="TRS638" s="131"/>
      <c r="TRT638" s="131"/>
      <c r="TRU638" s="131"/>
      <c r="TRV638" s="131"/>
      <c r="TRW638" s="131"/>
      <c r="TRX638" s="131"/>
      <c r="TRY638" s="131"/>
      <c r="TRZ638" s="131"/>
      <c r="TSA638" s="131"/>
      <c r="TSB638" s="131"/>
      <c r="TSC638" s="131"/>
      <c r="TSD638" s="131"/>
      <c r="TSE638" s="131"/>
      <c r="TSF638" s="131"/>
      <c r="TSG638" s="131"/>
      <c r="TSH638" s="131"/>
      <c r="TSI638" s="131"/>
      <c r="TSJ638" s="131"/>
      <c r="TSK638" s="131"/>
      <c r="TSL638" s="131"/>
      <c r="TSM638" s="131"/>
      <c r="TSN638" s="131"/>
      <c r="TSO638" s="131"/>
      <c r="TSP638" s="131"/>
      <c r="TSQ638" s="131"/>
      <c r="TSR638" s="131"/>
      <c r="TSS638" s="131"/>
      <c r="TST638" s="131"/>
      <c r="TSU638" s="131"/>
      <c r="TSV638" s="131"/>
      <c r="TSW638" s="131"/>
      <c r="TSX638" s="131"/>
      <c r="TSY638" s="131"/>
      <c r="TSZ638" s="131"/>
      <c r="TTA638" s="131"/>
      <c r="TTB638" s="131"/>
      <c r="TTC638" s="131"/>
      <c r="TTD638" s="131"/>
      <c r="TTE638" s="131"/>
      <c r="TTF638" s="131"/>
      <c r="TTG638" s="131"/>
      <c r="TTH638" s="131"/>
      <c r="TTI638" s="131"/>
      <c r="TTJ638" s="131"/>
      <c r="TTK638" s="131"/>
      <c r="TTL638" s="131"/>
      <c r="TTM638" s="131"/>
      <c r="TTN638" s="131"/>
      <c r="TTO638" s="131"/>
      <c r="TTP638" s="131"/>
      <c r="TTQ638" s="131"/>
      <c r="TTR638" s="131"/>
      <c r="TTS638" s="131"/>
      <c r="TTT638" s="131"/>
      <c r="TTU638" s="131"/>
      <c r="TTV638" s="131"/>
      <c r="TTW638" s="131"/>
      <c r="TTX638" s="131"/>
      <c r="TTY638" s="131"/>
      <c r="TTZ638" s="131"/>
      <c r="TUA638" s="131"/>
      <c r="TUB638" s="131"/>
      <c r="TUC638" s="131"/>
      <c r="TUD638" s="131"/>
      <c r="TUE638" s="131"/>
      <c r="TUF638" s="131"/>
      <c r="TUG638" s="131"/>
      <c r="TUH638" s="131"/>
      <c r="TUI638" s="131"/>
      <c r="TUJ638" s="131"/>
      <c r="TUK638" s="131"/>
      <c r="TUL638" s="131"/>
      <c r="TUM638" s="131"/>
      <c r="TUN638" s="131"/>
      <c r="TUO638" s="131"/>
      <c r="TUP638" s="131"/>
      <c r="TUQ638" s="131"/>
      <c r="TUR638" s="131"/>
      <c r="TUS638" s="131"/>
      <c r="TUT638" s="131"/>
      <c r="TUU638" s="131"/>
      <c r="TUV638" s="131"/>
      <c r="TUW638" s="131"/>
      <c r="TUX638" s="131"/>
      <c r="TUY638" s="131"/>
      <c r="TUZ638" s="131"/>
      <c r="TVA638" s="131"/>
      <c r="TVB638" s="131"/>
      <c r="TVC638" s="131"/>
      <c r="TVD638" s="131"/>
      <c r="TVE638" s="131"/>
      <c r="TVF638" s="131"/>
      <c r="TVG638" s="131"/>
      <c r="TVH638" s="131"/>
      <c r="TVI638" s="131"/>
      <c r="TVJ638" s="131"/>
      <c r="TVK638" s="131"/>
      <c r="TVL638" s="131"/>
      <c r="TVM638" s="131"/>
      <c r="TVN638" s="131"/>
      <c r="TVO638" s="131"/>
      <c r="TVP638" s="131"/>
      <c r="TVQ638" s="131"/>
      <c r="TVR638" s="131"/>
      <c r="TVS638" s="131"/>
      <c r="TVT638" s="131"/>
      <c r="TVU638" s="131"/>
      <c r="TVV638" s="131"/>
      <c r="TVW638" s="131"/>
      <c r="TVX638" s="131"/>
      <c r="TVY638" s="131"/>
      <c r="TVZ638" s="131"/>
      <c r="TWA638" s="131"/>
      <c r="TWB638" s="131"/>
      <c r="TWC638" s="131"/>
      <c r="TWD638" s="131"/>
      <c r="TWE638" s="131"/>
      <c r="TWF638" s="131"/>
      <c r="TWG638" s="131"/>
      <c r="TWH638" s="131"/>
      <c r="TWI638" s="131"/>
      <c r="TWJ638" s="131"/>
      <c r="TWK638" s="131"/>
      <c r="TWL638" s="131"/>
      <c r="TWM638" s="131"/>
      <c r="TWN638" s="131"/>
      <c r="TWO638" s="131"/>
      <c r="TWP638" s="131"/>
      <c r="TWQ638" s="131"/>
      <c r="TWR638" s="131"/>
      <c r="TWS638" s="131"/>
      <c r="TWT638" s="131"/>
      <c r="TWU638" s="131"/>
      <c r="TWV638" s="131"/>
      <c r="TWW638" s="131"/>
      <c r="TWX638" s="131"/>
      <c r="TWY638" s="131"/>
      <c r="TWZ638" s="131"/>
      <c r="TXA638" s="131"/>
      <c r="TXB638" s="131"/>
      <c r="TXC638" s="131"/>
      <c r="TXD638" s="131"/>
      <c r="TXE638" s="131"/>
      <c r="TXF638" s="131"/>
      <c r="TXG638" s="131"/>
      <c r="TXH638" s="131"/>
      <c r="TXI638" s="131"/>
      <c r="TXJ638" s="131"/>
      <c r="TXK638" s="131"/>
      <c r="TXL638" s="131"/>
      <c r="TXM638" s="131"/>
      <c r="TXN638" s="131"/>
      <c r="TXO638" s="131"/>
      <c r="TXP638" s="131"/>
      <c r="TXQ638" s="131"/>
      <c r="TXR638" s="131"/>
      <c r="TXS638" s="131"/>
      <c r="TXT638" s="131"/>
      <c r="TXU638" s="131"/>
      <c r="TXV638" s="131"/>
      <c r="TXW638" s="131"/>
      <c r="TXX638" s="131"/>
      <c r="TXY638" s="131"/>
      <c r="TXZ638" s="131"/>
      <c r="TYA638" s="131"/>
      <c r="TYB638" s="131"/>
      <c r="TYC638" s="131"/>
      <c r="TYD638" s="131"/>
      <c r="TYE638" s="131"/>
      <c r="TYF638" s="131"/>
      <c r="TYG638" s="131"/>
      <c r="TYH638" s="131"/>
      <c r="TYI638" s="131"/>
      <c r="TYJ638" s="131"/>
      <c r="TYK638" s="131"/>
      <c r="TYL638" s="131"/>
      <c r="TYM638" s="131"/>
      <c r="TYN638" s="131"/>
      <c r="TYO638" s="131"/>
      <c r="TYP638" s="131"/>
      <c r="TYQ638" s="131"/>
      <c r="TYR638" s="131"/>
      <c r="TYS638" s="131"/>
      <c r="TYT638" s="131"/>
      <c r="TYU638" s="131"/>
      <c r="TYV638" s="131"/>
      <c r="TYW638" s="131"/>
      <c r="TYX638" s="131"/>
      <c r="TYY638" s="131"/>
      <c r="TYZ638" s="131"/>
      <c r="TZA638" s="131"/>
      <c r="TZB638" s="131"/>
      <c r="TZC638" s="131"/>
      <c r="TZD638" s="131"/>
      <c r="TZE638" s="131"/>
      <c r="TZF638" s="131"/>
      <c r="TZG638" s="131"/>
      <c r="TZH638" s="131"/>
      <c r="TZI638" s="131"/>
      <c r="TZJ638" s="131"/>
      <c r="TZK638" s="131"/>
      <c r="TZL638" s="131"/>
      <c r="TZM638" s="131"/>
      <c r="TZN638" s="131"/>
      <c r="TZO638" s="131"/>
      <c r="TZP638" s="131"/>
      <c r="TZQ638" s="131"/>
      <c r="TZR638" s="131"/>
      <c r="TZS638" s="131"/>
      <c r="TZT638" s="131"/>
      <c r="TZU638" s="131"/>
      <c r="TZV638" s="131"/>
      <c r="TZW638" s="131"/>
      <c r="TZX638" s="131"/>
      <c r="TZY638" s="131"/>
      <c r="TZZ638" s="131"/>
      <c r="UAA638" s="131"/>
      <c r="UAB638" s="131"/>
      <c r="UAC638" s="131"/>
      <c r="UAD638" s="131"/>
      <c r="UAE638" s="131"/>
      <c r="UAF638" s="131"/>
      <c r="UAG638" s="131"/>
      <c r="UAH638" s="131"/>
      <c r="UAI638" s="131"/>
      <c r="UAJ638" s="131"/>
      <c r="UAK638" s="131"/>
      <c r="UAL638" s="131"/>
      <c r="UAM638" s="131"/>
      <c r="UAN638" s="131"/>
      <c r="UAO638" s="131"/>
      <c r="UAP638" s="131"/>
      <c r="UAQ638" s="131"/>
      <c r="UAR638" s="131"/>
      <c r="UAS638" s="131"/>
      <c r="UAT638" s="131"/>
      <c r="UAU638" s="131"/>
      <c r="UAV638" s="131"/>
      <c r="UAW638" s="131"/>
      <c r="UAX638" s="131"/>
      <c r="UAY638" s="131"/>
      <c r="UAZ638" s="131"/>
      <c r="UBA638" s="131"/>
      <c r="UBB638" s="131"/>
      <c r="UBC638" s="131"/>
      <c r="UBD638" s="131"/>
      <c r="UBE638" s="131"/>
      <c r="UBF638" s="131"/>
      <c r="UBG638" s="131"/>
      <c r="UBH638" s="131"/>
      <c r="UBI638" s="131"/>
      <c r="UBJ638" s="131"/>
      <c r="UBK638" s="131"/>
      <c r="UBL638" s="131"/>
      <c r="UBM638" s="131"/>
      <c r="UBN638" s="131"/>
      <c r="UBO638" s="131"/>
      <c r="UBP638" s="131"/>
      <c r="UBQ638" s="131"/>
      <c r="UBR638" s="131"/>
      <c r="UBS638" s="131"/>
      <c r="UBT638" s="131"/>
      <c r="UBU638" s="131"/>
      <c r="UBV638" s="131"/>
      <c r="UBW638" s="131"/>
      <c r="UBX638" s="131"/>
      <c r="UBY638" s="131"/>
      <c r="UBZ638" s="131"/>
      <c r="UCA638" s="131"/>
      <c r="UCB638" s="131"/>
      <c r="UCC638" s="131"/>
      <c r="UCD638" s="131"/>
      <c r="UCE638" s="131"/>
      <c r="UCF638" s="131"/>
      <c r="UCG638" s="131"/>
      <c r="UCH638" s="131"/>
      <c r="UCI638" s="131"/>
      <c r="UCJ638" s="131"/>
      <c r="UCK638" s="131"/>
      <c r="UCL638" s="131"/>
      <c r="UCM638" s="131"/>
      <c r="UCN638" s="131"/>
      <c r="UCO638" s="131"/>
      <c r="UCP638" s="131"/>
      <c r="UCQ638" s="131"/>
      <c r="UCR638" s="131"/>
      <c r="UCS638" s="131"/>
      <c r="UCT638" s="131"/>
      <c r="UCU638" s="131"/>
      <c r="UCV638" s="131"/>
      <c r="UCW638" s="131"/>
      <c r="UCX638" s="131"/>
      <c r="UCY638" s="131"/>
      <c r="UCZ638" s="131"/>
      <c r="UDA638" s="131"/>
      <c r="UDB638" s="131"/>
      <c r="UDC638" s="131"/>
      <c r="UDD638" s="131"/>
      <c r="UDE638" s="131"/>
      <c r="UDF638" s="131"/>
      <c r="UDG638" s="131"/>
      <c r="UDH638" s="131"/>
      <c r="UDI638" s="131"/>
      <c r="UDJ638" s="131"/>
      <c r="UDK638" s="131"/>
      <c r="UDL638" s="131"/>
      <c r="UDM638" s="131"/>
      <c r="UDN638" s="131"/>
      <c r="UDO638" s="131"/>
      <c r="UDP638" s="131"/>
      <c r="UDQ638" s="131"/>
      <c r="UDR638" s="131"/>
      <c r="UDS638" s="131"/>
      <c r="UDT638" s="131"/>
      <c r="UDU638" s="131"/>
      <c r="UDV638" s="131"/>
      <c r="UDW638" s="131"/>
      <c r="UDX638" s="131"/>
      <c r="UDY638" s="131"/>
      <c r="UDZ638" s="131"/>
      <c r="UEA638" s="131"/>
      <c r="UEB638" s="131"/>
      <c r="UEC638" s="131"/>
      <c r="UED638" s="131"/>
      <c r="UEE638" s="131"/>
      <c r="UEF638" s="131"/>
      <c r="UEG638" s="131"/>
      <c r="UEH638" s="131"/>
      <c r="UEI638" s="131"/>
      <c r="UEJ638" s="131"/>
      <c r="UEK638" s="131"/>
      <c r="UEL638" s="131"/>
      <c r="UEM638" s="131"/>
      <c r="UEN638" s="131"/>
      <c r="UEO638" s="131"/>
      <c r="UEP638" s="131"/>
      <c r="UEQ638" s="131"/>
      <c r="UER638" s="131"/>
      <c r="UES638" s="131"/>
      <c r="UET638" s="131"/>
      <c r="UEU638" s="131"/>
      <c r="UEV638" s="131"/>
      <c r="UEW638" s="131"/>
      <c r="UEX638" s="131"/>
      <c r="UEY638" s="131"/>
      <c r="UEZ638" s="131"/>
      <c r="UFA638" s="131"/>
      <c r="UFB638" s="131"/>
      <c r="UFC638" s="131"/>
      <c r="UFD638" s="131"/>
      <c r="UFE638" s="131"/>
      <c r="UFF638" s="131"/>
      <c r="UFG638" s="131"/>
      <c r="UFH638" s="131"/>
      <c r="UFI638" s="131"/>
      <c r="UFJ638" s="131"/>
      <c r="UFK638" s="131"/>
      <c r="UFL638" s="131"/>
      <c r="UFM638" s="131"/>
      <c r="UFN638" s="131"/>
      <c r="UFO638" s="131"/>
      <c r="UFP638" s="131"/>
      <c r="UFQ638" s="131"/>
      <c r="UFR638" s="131"/>
      <c r="UFS638" s="131"/>
      <c r="UFT638" s="131"/>
      <c r="UFU638" s="131"/>
      <c r="UFV638" s="131"/>
      <c r="UFW638" s="131"/>
      <c r="UFX638" s="131"/>
      <c r="UFY638" s="131"/>
      <c r="UFZ638" s="131"/>
      <c r="UGA638" s="131"/>
      <c r="UGB638" s="131"/>
      <c r="UGC638" s="131"/>
      <c r="UGD638" s="131"/>
      <c r="UGE638" s="131"/>
      <c r="UGF638" s="131"/>
      <c r="UGG638" s="131"/>
      <c r="UGH638" s="131"/>
      <c r="UGI638" s="131"/>
      <c r="UGJ638" s="131"/>
      <c r="UGK638" s="131"/>
      <c r="UGL638" s="131"/>
      <c r="UGM638" s="131"/>
      <c r="UGN638" s="131"/>
      <c r="UGO638" s="131"/>
      <c r="UGP638" s="131"/>
      <c r="UGQ638" s="131"/>
      <c r="UGR638" s="131"/>
      <c r="UGS638" s="131"/>
      <c r="UGT638" s="131"/>
      <c r="UGU638" s="131"/>
      <c r="UGV638" s="131"/>
      <c r="UGW638" s="131"/>
      <c r="UGX638" s="131"/>
      <c r="UGY638" s="131"/>
      <c r="UGZ638" s="131"/>
      <c r="UHA638" s="131"/>
      <c r="UHB638" s="131"/>
      <c r="UHC638" s="131"/>
      <c r="UHD638" s="131"/>
      <c r="UHE638" s="131"/>
      <c r="UHF638" s="131"/>
      <c r="UHG638" s="131"/>
      <c r="UHH638" s="131"/>
      <c r="UHI638" s="131"/>
      <c r="UHJ638" s="131"/>
      <c r="UHK638" s="131"/>
      <c r="UHL638" s="131"/>
      <c r="UHM638" s="131"/>
      <c r="UHN638" s="131"/>
      <c r="UHO638" s="131"/>
      <c r="UHP638" s="131"/>
      <c r="UHQ638" s="131"/>
      <c r="UHR638" s="131"/>
      <c r="UHS638" s="131"/>
      <c r="UHT638" s="131"/>
      <c r="UHU638" s="131"/>
      <c r="UHV638" s="131"/>
      <c r="UHW638" s="131"/>
      <c r="UHX638" s="131"/>
      <c r="UHY638" s="131"/>
      <c r="UHZ638" s="131"/>
      <c r="UIA638" s="131"/>
      <c r="UIB638" s="131"/>
      <c r="UIC638" s="131"/>
      <c r="UID638" s="131"/>
      <c r="UIE638" s="131"/>
      <c r="UIF638" s="131"/>
      <c r="UIG638" s="131"/>
      <c r="UIH638" s="131"/>
      <c r="UII638" s="131"/>
      <c r="UIJ638" s="131"/>
      <c r="UIK638" s="131"/>
      <c r="UIL638" s="131"/>
      <c r="UIM638" s="131"/>
      <c r="UIN638" s="131"/>
      <c r="UIO638" s="131"/>
      <c r="UIP638" s="131"/>
      <c r="UIQ638" s="131"/>
      <c r="UIR638" s="131"/>
      <c r="UIS638" s="131"/>
      <c r="UIT638" s="131"/>
      <c r="UIU638" s="131"/>
      <c r="UIV638" s="131"/>
      <c r="UIW638" s="131"/>
      <c r="UIX638" s="131"/>
      <c r="UIY638" s="131"/>
      <c r="UIZ638" s="131"/>
      <c r="UJA638" s="131"/>
      <c r="UJB638" s="131"/>
      <c r="UJC638" s="131"/>
      <c r="UJD638" s="131"/>
      <c r="UJE638" s="131"/>
      <c r="UJF638" s="131"/>
      <c r="UJG638" s="131"/>
      <c r="UJH638" s="131"/>
      <c r="UJI638" s="131"/>
      <c r="UJJ638" s="131"/>
      <c r="UJK638" s="131"/>
      <c r="UJL638" s="131"/>
      <c r="UJM638" s="131"/>
      <c r="UJN638" s="131"/>
      <c r="UJO638" s="131"/>
      <c r="UJP638" s="131"/>
      <c r="UJQ638" s="131"/>
      <c r="UJR638" s="131"/>
      <c r="UJS638" s="131"/>
      <c r="UJT638" s="131"/>
      <c r="UJU638" s="131"/>
      <c r="UJV638" s="131"/>
      <c r="UJW638" s="131"/>
      <c r="UJX638" s="131"/>
      <c r="UJY638" s="131"/>
      <c r="UJZ638" s="131"/>
      <c r="UKA638" s="131"/>
      <c r="UKB638" s="131"/>
      <c r="UKC638" s="131"/>
      <c r="UKD638" s="131"/>
      <c r="UKE638" s="131"/>
      <c r="UKF638" s="131"/>
      <c r="UKG638" s="131"/>
      <c r="UKH638" s="131"/>
      <c r="UKI638" s="131"/>
      <c r="UKJ638" s="131"/>
      <c r="UKK638" s="131"/>
      <c r="UKL638" s="131"/>
      <c r="UKM638" s="131"/>
      <c r="UKN638" s="131"/>
      <c r="UKO638" s="131"/>
      <c r="UKP638" s="131"/>
      <c r="UKQ638" s="131"/>
      <c r="UKR638" s="131"/>
      <c r="UKS638" s="131"/>
      <c r="UKT638" s="131"/>
      <c r="UKU638" s="131"/>
      <c r="UKV638" s="131"/>
      <c r="UKW638" s="131"/>
      <c r="UKX638" s="131"/>
      <c r="UKY638" s="131"/>
      <c r="UKZ638" s="131"/>
      <c r="ULA638" s="131"/>
      <c r="ULB638" s="131"/>
      <c r="ULC638" s="131"/>
      <c r="ULD638" s="131"/>
      <c r="ULE638" s="131"/>
      <c r="ULF638" s="131"/>
      <c r="ULG638" s="131"/>
      <c r="ULH638" s="131"/>
      <c r="ULI638" s="131"/>
      <c r="ULJ638" s="131"/>
      <c r="ULK638" s="131"/>
      <c r="ULL638" s="131"/>
      <c r="ULM638" s="131"/>
      <c r="ULN638" s="131"/>
      <c r="ULO638" s="131"/>
      <c r="ULP638" s="131"/>
      <c r="ULQ638" s="131"/>
      <c r="ULR638" s="131"/>
      <c r="ULS638" s="131"/>
      <c r="ULT638" s="131"/>
      <c r="ULU638" s="131"/>
      <c r="ULV638" s="131"/>
      <c r="ULW638" s="131"/>
      <c r="ULX638" s="131"/>
      <c r="ULY638" s="131"/>
      <c r="ULZ638" s="131"/>
      <c r="UMA638" s="131"/>
      <c r="UMB638" s="131"/>
      <c r="UMC638" s="131"/>
      <c r="UMD638" s="131"/>
      <c r="UME638" s="131"/>
      <c r="UMF638" s="131"/>
      <c r="UMG638" s="131"/>
      <c r="UMH638" s="131"/>
      <c r="UMI638" s="131"/>
      <c r="UMJ638" s="131"/>
      <c r="UMK638" s="131"/>
      <c r="UML638" s="131"/>
      <c r="UMM638" s="131"/>
      <c r="UMN638" s="131"/>
      <c r="UMO638" s="131"/>
      <c r="UMP638" s="131"/>
      <c r="UMQ638" s="131"/>
      <c r="UMR638" s="131"/>
      <c r="UMS638" s="131"/>
      <c r="UMT638" s="131"/>
      <c r="UMU638" s="131"/>
      <c r="UMV638" s="131"/>
      <c r="UMW638" s="131"/>
      <c r="UMX638" s="131"/>
      <c r="UMY638" s="131"/>
      <c r="UMZ638" s="131"/>
      <c r="UNA638" s="131"/>
      <c r="UNB638" s="131"/>
      <c r="UNC638" s="131"/>
      <c r="UND638" s="131"/>
      <c r="UNE638" s="131"/>
      <c r="UNF638" s="131"/>
      <c r="UNG638" s="131"/>
      <c r="UNH638" s="131"/>
      <c r="UNI638" s="131"/>
      <c r="UNJ638" s="131"/>
      <c r="UNK638" s="131"/>
      <c r="UNL638" s="131"/>
      <c r="UNM638" s="131"/>
      <c r="UNN638" s="131"/>
      <c r="UNO638" s="131"/>
      <c r="UNP638" s="131"/>
      <c r="UNQ638" s="131"/>
      <c r="UNR638" s="131"/>
      <c r="UNS638" s="131"/>
      <c r="UNT638" s="131"/>
      <c r="UNU638" s="131"/>
      <c r="UNV638" s="131"/>
      <c r="UNW638" s="131"/>
      <c r="UNX638" s="131"/>
      <c r="UNY638" s="131"/>
      <c r="UNZ638" s="131"/>
      <c r="UOA638" s="131"/>
      <c r="UOB638" s="131"/>
      <c r="UOC638" s="131"/>
      <c r="UOD638" s="131"/>
      <c r="UOE638" s="131"/>
      <c r="UOF638" s="131"/>
      <c r="UOG638" s="131"/>
      <c r="UOH638" s="131"/>
      <c r="UOI638" s="131"/>
      <c r="UOJ638" s="131"/>
      <c r="UOK638" s="131"/>
      <c r="UOL638" s="131"/>
      <c r="UOM638" s="131"/>
      <c r="UON638" s="131"/>
      <c r="UOO638" s="131"/>
      <c r="UOP638" s="131"/>
      <c r="UOQ638" s="131"/>
      <c r="UOR638" s="131"/>
      <c r="UOS638" s="131"/>
      <c r="UOT638" s="131"/>
      <c r="UOU638" s="131"/>
      <c r="UOV638" s="131"/>
      <c r="UOW638" s="131"/>
      <c r="UOX638" s="131"/>
      <c r="UOY638" s="131"/>
      <c r="UOZ638" s="131"/>
      <c r="UPA638" s="131"/>
      <c r="UPB638" s="131"/>
      <c r="UPC638" s="131"/>
      <c r="UPD638" s="131"/>
      <c r="UPE638" s="131"/>
      <c r="UPF638" s="131"/>
      <c r="UPG638" s="131"/>
      <c r="UPH638" s="131"/>
      <c r="UPI638" s="131"/>
      <c r="UPJ638" s="131"/>
      <c r="UPK638" s="131"/>
      <c r="UPL638" s="131"/>
      <c r="UPM638" s="131"/>
      <c r="UPN638" s="131"/>
      <c r="UPO638" s="131"/>
      <c r="UPP638" s="131"/>
      <c r="UPQ638" s="131"/>
      <c r="UPR638" s="131"/>
      <c r="UPS638" s="131"/>
      <c r="UPT638" s="131"/>
      <c r="UPU638" s="131"/>
      <c r="UPV638" s="131"/>
      <c r="UPW638" s="131"/>
      <c r="UPX638" s="131"/>
      <c r="UPY638" s="131"/>
      <c r="UPZ638" s="131"/>
      <c r="UQA638" s="131"/>
      <c r="UQB638" s="131"/>
      <c r="UQC638" s="131"/>
      <c r="UQD638" s="131"/>
      <c r="UQE638" s="131"/>
      <c r="UQF638" s="131"/>
      <c r="UQG638" s="131"/>
      <c r="UQH638" s="131"/>
      <c r="UQI638" s="131"/>
      <c r="UQJ638" s="131"/>
      <c r="UQK638" s="131"/>
      <c r="UQL638" s="131"/>
      <c r="UQM638" s="131"/>
      <c r="UQN638" s="131"/>
      <c r="UQO638" s="131"/>
      <c r="UQP638" s="131"/>
      <c r="UQQ638" s="131"/>
      <c r="UQR638" s="131"/>
      <c r="UQS638" s="131"/>
      <c r="UQT638" s="131"/>
      <c r="UQU638" s="131"/>
      <c r="UQV638" s="131"/>
      <c r="UQW638" s="131"/>
      <c r="UQX638" s="131"/>
      <c r="UQY638" s="131"/>
      <c r="UQZ638" s="131"/>
      <c r="URA638" s="131"/>
      <c r="URB638" s="131"/>
      <c r="URC638" s="131"/>
      <c r="URD638" s="131"/>
      <c r="URE638" s="131"/>
      <c r="URF638" s="131"/>
      <c r="URG638" s="131"/>
      <c r="URH638" s="131"/>
      <c r="URI638" s="131"/>
      <c r="URJ638" s="131"/>
      <c r="URK638" s="131"/>
      <c r="URL638" s="131"/>
      <c r="URM638" s="131"/>
      <c r="URN638" s="131"/>
      <c r="URO638" s="131"/>
      <c r="URP638" s="131"/>
      <c r="URQ638" s="131"/>
      <c r="URR638" s="131"/>
      <c r="URS638" s="131"/>
      <c r="URT638" s="131"/>
      <c r="URU638" s="131"/>
      <c r="URV638" s="131"/>
      <c r="URW638" s="131"/>
      <c r="URX638" s="131"/>
      <c r="URY638" s="131"/>
      <c r="URZ638" s="131"/>
      <c r="USA638" s="131"/>
      <c r="USB638" s="131"/>
      <c r="USC638" s="131"/>
      <c r="USD638" s="131"/>
      <c r="USE638" s="131"/>
      <c r="USF638" s="131"/>
      <c r="USG638" s="131"/>
      <c r="USH638" s="131"/>
      <c r="USI638" s="131"/>
      <c r="USJ638" s="131"/>
      <c r="USK638" s="131"/>
      <c r="USL638" s="131"/>
      <c r="USM638" s="131"/>
      <c r="USN638" s="131"/>
      <c r="USO638" s="131"/>
      <c r="USP638" s="131"/>
      <c r="USQ638" s="131"/>
      <c r="USR638" s="131"/>
      <c r="USS638" s="131"/>
      <c r="UST638" s="131"/>
      <c r="USU638" s="131"/>
      <c r="USV638" s="131"/>
      <c r="USW638" s="131"/>
      <c r="USX638" s="131"/>
      <c r="USY638" s="131"/>
      <c r="USZ638" s="131"/>
      <c r="UTA638" s="131"/>
      <c r="UTB638" s="131"/>
      <c r="UTC638" s="131"/>
      <c r="UTD638" s="131"/>
      <c r="UTE638" s="131"/>
      <c r="UTF638" s="131"/>
      <c r="UTG638" s="131"/>
      <c r="UTH638" s="131"/>
      <c r="UTI638" s="131"/>
      <c r="UTJ638" s="131"/>
      <c r="UTK638" s="131"/>
      <c r="UTL638" s="131"/>
      <c r="UTM638" s="131"/>
      <c r="UTN638" s="131"/>
      <c r="UTO638" s="131"/>
      <c r="UTP638" s="131"/>
      <c r="UTQ638" s="131"/>
      <c r="UTR638" s="131"/>
      <c r="UTS638" s="131"/>
      <c r="UTT638" s="131"/>
      <c r="UTU638" s="131"/>
      <c r="UTV638" s="131"/>
      <c r="UTW638" s="131"/>
      <c r="UTX638" s="131"/>
      <c r="UTY638" s="131"/>
      <c r="UTZ638" s="131"/>
      <c r="UUA638" s="131"/>
      <c r="UUB638" s="131"/>
      <c r="UUC638" s="131"/>
      <c r="UUD638" s="131"/>
      <c r="UUE638" s="131"/>
      <c r="UUF638" s="131"/>
      <c r="UUG638" s="131"/>
      <c r="UUH638" s="131"/>
      <c r="UUI638" s="131"/>
      <c r="UUJ638" s="131"/>
      <c r="UUK638" s="131"/>
      <c r="UUL638" s="131"/>
      <c r="UUM638" s="131"/>
      <c r="UUN638" s="131"/>
      <c r="UUO638" s="131"/>
      <c r="UUP638" s="131"/>
      <c r="UUQ638" s="131"/>
      <c r="UUR638" s="131"/>
      <c r="UUS638" s="131"/>
      <c r="UUT638" s="131"/>
      <c r="UUU638" s="131"/>
      <c r="UUV638" s="131"/>
      <c r="UUW638" s="131"/>
      <c r="UUX638" s="131"/>
      <c r="UUY638" s="131"/>
      <c r="UUZ638" s="131"/>
      <c r="UVA638" s="131"/>
      <c r="UVB638" s="131"/>
      <c r="UVC638" s="131"/>
      <c r="UVD638" s="131"/>
      <c r="UVE638" s="131"/>
      <c r="UVF638" s="131"/>
      <c r="UVG638" s="131"/>
      <c r="UVH638" s="131"/>
      <c r="UVI638" s="131"/>
      <c r="UVJ638" s="131"/>
      <c r="UVK638" s="131"/>
      <c r="UVL638" s="131"/>
      <c r="UVM638" s="131"/>
      <c r="UVN638" s="131"/>
      <c r="UVO638" s="131"/>
      <c r="UVP638" s="131"/>
      <c r="UVQ638" s="131"/>
      <c r="UVR638" s="131"/>
      <c r="UVS638" s="131"/>
      <c r="UVT638" s="131"/>
      <c r="UVU638" s="131"/>
      <c r="UVV638" s="131"/>
      <c r="UVW638" s="131"/>
      <c r="UVX638" s="131"/>
      <c r="UVY638" s="131"/>
      <c r="UVZ638" s="131"/>
      <c r="UWA638" s="131"/>
      <c r="UWB638" s="131"/>
      <c r="UWC638" s="131"/>
      <c r="UWD638" s="131"/>
      <c r="UWE638" s="131"/>
      <c r="UWF638" s="131"/>
      <c r="UWG638" s="131"/>
      <c r="UWH638" s="131"/>
      <c r="UWI638" s="131"/>
      <c r="UWJ638" s="131"/>
      <c r="UWK638" s="131"/>
      <c r="UWL638" s="131"/>
      <c r="UWM638" s="131"/>
      <c r="UWN638" s="131"/>
      <c r="UWO638" s="131"/>
      <c r="UWP638" s="131"/>
      <c r="UWQ638" s="131"/>
      <c r="UWR638" s="131"/>
      <c r="UWS638" s="131"/>
      <c r="UWT638" s="131"/>
      <c r="UWU638" s="131"/>
      <c r="UWV638" s="131"/>
      <c r="UWW638" s="131"/>
      <c r="UWX638" s="131"/>
      <c r="UWY638" s="131"/>
      <c r="UWZ638" s="131"/>
      <c r="UXA638" s="131"/>
      <c r="UXB638" s="131"/>
      <c r="UXC638" s="131"/>
      <c r="UXD638" s="131"/>
      <c r="UXE638" s="131"/>
      <c r="UXF638" s="131"/>
      <c r="UXG638" s="131"/>
      <c r="UXH638" s="131"/>
      <c r="UXI638" s="131"/>
      <c r="UXJ638" s="131"/>
      <c r="UXK638" s="131"/>
      <c r="UXL638" s="131"/>
      <c r="UXM638" s="131"/>
      <c r="UXN638" s="131"/>
      <c r="UXO638" s="131"/>
      <c r="UXP638" s="131"/>
      <c r="UXQ638" s="131"/>
      <c r="UXR638" s="131"/>
      <c r="UXS638" s="131"/>
      <c r="UXT638" s="131"/>
      <c r="UXU638" s="131"/>
      <c r="UXV638" s="131"/>
      <c r="UXW638" s="131"/>
      <c r="UXX638" s="131"/>
      <c r="UXY638" s="131"/>
      <c r="UXZ638" s="131"/>
      <c r="UYA638" s="131"/>
      <c r="UYB638" s="131"/>
      <c r="UYC638" s="131"/>
      <c r="UYD638" s="131"/>
      <c r="UYE638" s="131"/>
      <c r="UYF638" s="131"/>
      <c r="UYG638" s="131"/>
      <c r="UYH638" s="131"/>
      <c r="UYI638" s="131"/>
      <c r="UYJ638" s="131"/>
      <c r="UYK638" s="131"/>
      <c r="UYL638" s="131"/>
      <c r="UYM638" s="131"/>
      <c r="UYN638" s="131"/>
      <c r="UYO638" s="131"/>
      <c r="UYP638" s="131"/>
      <c r="UYQ638" s="131"/>
      <c r="UYR638" s="131"/>
      <c r="UYS638" s="131"/>
      <c r="UYT638" s="131"/>
      <c r="UYU638" s="131"/>
      <c r="UYV638" s="131"/>
      <c r="UYW638" s="131"/>
      <c r="UYX638" s="131"/>
      <c r="UYY638" s="131"/>
      <c r="UYZ638" s="131"/>
      <c r="UZA638" s="131"/>
      <c r="UZB638" s="131"/>
      <c r="UZC638" s="131"/>
      <c r="UZD638" s="131"/>
      <c r="UZE638" s="131"/>
      <c r="UZF638" s="131"/>
      <c r="UZG638" s="131"/>
      <c r="UZH638" s="131"/>
      <c r="UZI638" s="131"/>
      <c r="UZJ638" s="131"/>
      <c r="UZK638" s="131"/>
      <c r="UZL638" s="131"/>
      <c r="UZM638" s="131"/>
      <c r="UZN638" s="131"/>
      <c r="UZO638" s="131"/>
      <c r="UZP638" s="131"/>
      <c r="UZQ638" s="131"/>
      <c r="UZR638" s="131"/>
      <c r="UZS638" s="131"/>
      <c r="UZT638" s="131"/>
      <c r="UZU638" s="131"/>
      <c r="UZV638" s="131"/>
      <c r="UZW638" s="131"/>
      <c r="UZX638" s="131"/>
      <c r="UZY638" s="131"/>
      <c r="UZZ638" s="131"/>
      <c r="VAA638" s="131"/>
      <c r="VAB638" s="131"/>
      <c r="VAC638" s="131"/>
      <c r="VAD638" s="131"/>
      <c r="VAE638" s="131"/>
      <c r="VAF638" s="131"/>
      <c r="VAG638" s="131"/>
      <c r="VAH638" s="131"/>
      <c r="VAI638" s="131"/>
      <c r="VAJ638" s="131"/>
      <c r="VAK638" s="131"/>
      <c r="VAL638" s="131"/>
      <c r="VAM638" s="131"/>
      <c r="VAN638" s="131"/>
      <c r="VAO638" s="131"/>
      <c r="VAP638" s="131"/>
      <c r="VAQ638" s="131"/>
      <c r="VAR638" s="131"/>
      <c r="VAS638" s="131"/>
      <c r="VAT638" s="131"/>
      <c r="VAU638" s="131"/>
      <c r="VAV638" s="131"/>
      <c r="VAW638" s="131"/>
      <c r="VAX638" s="131"/>
      <c r="VAY638" s="131"/>
      <c r="VAZ638" s="131"/>
      <c r="VBA638" s="131"/>
      <c r="VBB638" s="131"/>
      <c r="VBC638" s="131"/>
      <c r="VBD638" s="131"/>
      <c r="VBE638" s="131"/>
      <c r="VBF638" s="131"/>
      <c r="VBG638" s="131"/>
      <c r="VBH638" s="131"/>
      <c r="VBI638" s="131"/>
      <c r="VBJ638" s="131"/>
      <c r="VBK638" s="131"/>
      <c r="VBL638" s="131"/>
      <c r="VBM638" s="131"/>
      <c r="VBN638" s="131"/>
      <c r="VBO638" s="131"/>
      <c r="VBP638" s="131"/>
      <c r="VBQ638" s="131"/>
      <c r="VBR638" s="131"/>
      <c r="VBS638" s="131"/>
      <c r="VBT638" s="131"/>
      <c r="VBU638" s="131"/>
      <c r="VBV638" s="131"/>
      <c r="VBW638" s="131"/>
      <c r="VBX638" s="131"/>
      <c r="VBY638" s="131"/>
      <c r="VBZ638" s="131"/>
      <c r="VCA638" s="131"/>
      <c r="VCB638" s="131"/>
      <c r="VCC638" s="131"/>
      <c r="VCD638" s="131"/>
      <c r="VCE638" s="131"/>
      <c r="VCF638" s="131"/>
      <c r="VCG638" s="131"/>
      <c r="VCH638" s="131"/>
      <c r="VCI638" s="131"/>
      <c r="VCJ638" s="131"/>
      <c r="VCK638" s="131"/>
      <c r="VCL638" s="131"/>
      <c r="VCM638" s="131"/>
      <c r="VCN638" s="131"/>
      <c r="VCO638" s="131"/>
      <c r="VCP638" s="131"/>
      <c r="VCQ638" s="131"/>
      <c r="VCR638" s="131"/>
      <c r="VCS638" s="131"/>
      <c r="VCT638" s="131"/>
      <c r="VCU638" s="131"/>
      <c r="VCV638" s="131"/>
      <c r="VCW638" s="131"/>
      <c r="VCX638" s="131"/>
      <c r="VCY638" s="131"/>
      <c r="VCZ638" s="131"/>
      <c r="VDA638" s="131"/>
      <c r="VDB638" s="131"/>
      <c r="VDC638" s="131"/>
      <c r="VDD638" s="131"/>
      <c r="VDE638" s="131"/>
      <c r="VDF638" s="131"/>
      <c r="VDG638" s="131"/>
      <c r="VDH638" s="131"/>
      <c r="VDI638" s="131"/>
      <c r="VDJ638" s="131"/>
      <c r="VDK638" s="131"/>
      <c r="VDL638" s="131"/>
      <c r="VDM638" s="131"/>
      <c r="VDN638" s="131"/>
      <c r="VDO638" s="131"/>
      <c r="VDP638" s="131"/>
      <c r="VDQ638" s="131"/>
      <c r="VDR638" s="131"/>
      <c r="VDS638" s="131"/>
      <c r="VDT638" s="131"/>
      <c r="VDU638" s="131"/>
      <c r="VDV638" s="131"/>
      <c r="VDW638" s="131"/>
      <c r="VDX638" s="131"/>
      <c r="VDY638" s="131"/>
      <c r="VDZ638" s="131"/>
      <c r="VEA638" s="131"/>
      <c r="VEB638" s="131"/>
      <c r="VEC638" s="131"/>
      <c r="VED638" s="131"/>
      <c r="VEE638" s="131"/>
      <c r="VEF638" s="131"/>
      <c r="VEG638" s="131"/>
      <c r="VEH638" s="131"/>
      <c r="VEI638" s="131"/>
      <c r="VEJ638" s="131"/>
      <c r="VEK638" s="131"/>
      <c r="VEL638" s="131"/>
      <c r="VEM638" s="131"/>
      <c r="VEN638" s="131"/>
      <c r="VEO638" s="131"/>
      <c r="VEP638" s="131"/>
      <c r="VEQ638" s="131"/>
      <c r="VER638" s="131"/>
      <c r="VES638" s="131"/>
      <c r="VET638" s="131"/>
      <c r="VEU638" s="131"/>
      <c r="VEV638" s="131"/>
      <c r="VEW638" s="131"/>
      <c r="VEX638" s="131"/>
      <c r="VEY638" s="131"/>
      <c r="VEZ638" s="131"/>
      <c r="VFA638" s="131"/>
      <c r="VFB638" s="131"/>
      <c r="VFC638" s="131"/>
      <c r="VFD638" s="131"/>
      <c r="VFE638" s="131"/>
      <c r="VFF638" s="131"/>
      <c r="VFG638" s="131"/>
      <c r="VFH638" s="131"/>
      <c r="VFI638" s="131"/>
      <c r="VFJ638" s="131"/>
      <c r="VFK638" s="131"/>
      <c r="VFL638" s="131"/>
      <c r="VFM638" s="131"/>
      <c r="VFN638" s="131"/>
      <c r="VFO638" s="131"/>
      <c r="VFP638" s="131"/>
      <c r="VFQ638" s="131"/>
      <c r="VFR638" s="131"/>
      <c r="VFS638" s="131"/>
      <c r="VFT638" s="131"/>
      <c r="VFU638" s="131"/>
      <c r="VFV638" s="131"/>
      <c r="VFW638" s="131"/>
      <c r="VFX638" s="131"/>
      <c r="VFY638" s="131"/>
      <c r="VFZ638" s="131"/>
      <c r="VGA638" s="131"/>
      <c r="VGB638" s="131"/>
      <c r="VGC638" s="131"/>
      <c r="VGD638" s="131"/>
      <c r="VGE638" s="131"/>
      <c r="VGF638" s="131"/>
      <c r="VGG638" s="131"/>
      <c r="VGH638" s="131"/>
      <c r="VGI638" s="131"/>
      <c r="VGJ638" s="131"/>
      <c r="VGK638" s="131"/>
      <c r="VGL638" s="131"/>
      <c r="VGM638" s="131"/>
      <c r="VGN638" s="131"/>
      <c r="VGO638" s="131"/>
      <c r="VGP638" s="131"/>
      <c r="VGQ638" s="131"/>
      <c r="VGR638" s="131"/>
      <c r="VGS638" s="131"/>
      <c r="VGT638" s="131"/>
      <c r="VGU638" s="131"/>
      <c r="VGV638" s="131"/>
      <c r="VGW638" s="131"/>
      <c r="VGX638" s="131"/>
      <c r="VGY638" s="131"/>
      <c r="VGZ638" s="131"/>
      <c r="VHA638" s="131"/>
      <c r="VHB638" s="131"/>
      <c r="VHC638" s="131"/>
      <c r="VHD638" s="131"/>
      <c r="VHE638" s="131"/>
      <c r="VHF638" s="131"/>
      <c r="VHG638" s="131"/>
      <c r="VHH638" s="131"/>
      <c r="VHI638" s="131"/>
      <c r="VHJ638" s="131"/>
      <c r="VHK638" s="131"/>
      <c r="VHL638" s="131"/>
      <c r="VHM638" s="131"/>
      <c r="VHN638" s="131"/>
      <c r="VHO638" s="131"/>
      <c r="VHP638" s="131"/>
      <c r="VHQ638" s="131"/>
      <c r="VHR638" s="131"/>
      <c r="VHS638" s="131"/>
      <c r="VHT638" s="131"/>
      <c r="VHU638" s="131"/>
      <c r="VHV638" s="131"/>
      <c r="VHW638" s="131"/>
      <c r="VHX638" s="131"/>
      <c r="VHY638" s="131"/>
      <c r="VHZ638" s="131"/>
      <c r="VIA638" s="131"/>
      <c r="VIB638" s="131"/>
      <c r="VIC638" s="131"/>
      <c r="VID638" s="131"/>
      <c r="VIE638" s="131"/>
      <c r="VIF638" s="131"/>
      <c r="VIG638" s="131"/>
      <c r="VIH638" s="131"/>
      <c r="VII638" s="131"/>
      <c r="VIJ638" s="131"/>
      <c r="VIK638" s="131"/>
      <c r="VIL638" s="131"/>
      <c r="VIM638" s="131"/>
      <c r="VIN638" s="131"/>
      <c r="VIO638" s="131"/>
      <c r="VIP638" s="131"/>
      <c r="VIQ638" s="131"/>
      <c r="VIR638" s="131"/>
      <c r="VIS638" s="131"/>
      <c r="VIT638" s="131"/>
      <c r="VIU638" s="131"/>
      <c r="VIV638" s="131"/>
      <c r="VIW638" s="131"/>
      <c r="VIX638" s="131"/>
      <c r="VIY638" s="131"/>
      <c r="VIZ638" s="131"/>
      <c r="VJA638" s="131"/>
      <c r="VJB638" s="131"/>
      <c r="VJC638" s="131"/>
      <c r="VJD638" s="131"/>
      <c r="VJE638" s="131"/>
      <c r="VJF638" s="131"/>
      <c r="VJG638" s="131"/>
      <c r="VJH638" s="131"/>
      <c r="VJI638" s="131"/>
      <c r="VJJ638" s="131"/>
      <c r="VJK638" s="131"/>
      <c r="VJL638" s="131"/>
      <c r="VJM638" s="131"/>
      <c r="VJN638" s="131"/>
      <c r="VJO638" s="131"/>
      <c r="VJP638" s="131"/>
      <c r="VJQ638" s="131"/>
      <c r="VJR638" s="131"/>
      <c r="VJS638" s="131"/>
      <c r="VJT638" s="131"/>
      <c r="VJU638" s="131"/>
      <c r="VJV638" s="131"/>
      <c r="VJW638" s="131"/>
      <c r="VJX638" s="131"/>
      <c r="VJY638" s="131"/>
      <c r="VJZ638" s="131"/>
      <c r="VKA638" s="131"/>
      <c r="VKB638" s="131"/>
      <c r="VKC638" s="131"/>
      <c r="VKD638" s="131"/>
      <c r="VKE638" s="131"/>
      <c r="VKF638" s="131"/>
      <c r="VKG638" s="131"/>
      <c r="VKH638" s="131"/>
      <c r="VKI638" s="131"/>
      <c r="VKJ638" s="131"/>
      <c r="VKK638" s="131"/>
      <c r="VKL638" s="131"/>
      <c r="VKM638" s="131"/>
      <c r="VKN638" s="131"/>
      <c r="VKO638" s="131"/>
      <c r="VKP638" s="131"/>
      <c r="VKQ638" s="131"/>
      <c r="VKR638" s="131"/>
      <c r="VKS638" s="131"/>
      <c r="VKT638" s="131"/>
      <c r="VKU638" s="131"/>
      <c r="VKV638" s="131"/>
      <c r="VKW638" s="131"/>
      <c r="VKX638" s="131"/>
      <c r="VKY638" s="131"/>
      <c r="VKZ638" s="131"/>
      <c r="VLA638" s="131"/>
      <c r="VLB638" s="131"/>
      <c r="VLC638" s="131"/>
      <c r="VLD638" s="131"/>
      <c r="VLE638" s="131"/>
      <c r="VLF638" s="131"/>
      <c r="VLG638" s="131"/>
      <c r="VLH638" s="131"/>
      <c r="VLI638" s="131"/>
      <c r="VLJ638" s="131"/>
      <c r="VLK638" s="131"/>
      <c r="VLL638" s="131"/>
      <c r="VLM638" s="131"/>
      <c r="VLN638" s="131"/>
      <c r="VLO638" s="131"/>
      <c r="VLP638" s="131"/>
      <c r="VLQ638" s="131"/>
      <c r="VLR638" s="131"/>
      <c r="VLS638" s="131"/>
      <c r="VLT638" s="131"/>
      <c r="VLU638" s="131"/>
      <c r="VLV638" s="131"/>
      <c r="VLW638" s="131"/>
      <c r="VLX638" s="131"/>
      <c r="VLY638" s="131"/>
      <c r="VLZ638" s="131"/>
      <c r="VMA638" s="131"/>
      <c r="VMB638" s="131"/>
      <c r="VMC638" s="131"/>
      <c r="VMD638" s="131"/>
      <c r="VME638" s="131"/>
      <c r="VMF638" s="131"/>
      <c r="VMG638" s="131"/>
      <c r="VMH638" s="131"/>
      <c r="VMI638" s="131"/>
      <c r="VMJ638" s="131"/>
      <c r="VMK638" s="131"/>
      <c r="VML638" s="131"/>
      <c r="VMM638" s="131"/>
      <c r="VMN638" s="131"/>
      <c r="VMO638" s="131"/>
      <c r="VMP638" s="131"/>
      <c r="VMQ638" s="131"/>
      <c r="VMR638" s="131"/>
      <c r="VMS638" s="131"/>
      <c r="VMT638" s="131"/>
      <c r="VMU638" s="131"/>
      <c r="VMV638" s="131"/>
      <c r="VMW638" s="131"/>
      <c r="VMX638" s="131"/>
      <c r="VMY638" s="131"/>
      <c r="VMZ638" s="131"/>
      <c r="VNA638" s="131"/>
      <c r="VNB638" s="131"/>
      <c r="VNC638" s="131"/>
      <c r="VND638" s="131"/>
      <c r="VNE638" s="131"/>
      <c r="VNF638" s="131"/>
      <c r="VNG638" s="131"/>
      <c r="VNH638" s="131"/>
      <c r="VNI638" s="131"/>
      <c r="VNJ638" s="131"/>
      <c r="VNK638" s="131"/>
      <c r="VNL638" s="131"/>
      <c r="VNM638" s="131"/>
      <c r="VNN638" s="131"/>
      <c r="VNO638" s="131"/>
      <c r="VNP638" s="131"/>
      <c r="VNQ638" s="131"/>
      <c r="VNR638" s="131"/>
      <c r="VNS638" s="131"/>
      <c r="VNT638" s="131"/>
      <c r="VNU638" s="131"/>
      <c r="VNV638" s="131"/>
      <c r="VNW638" s="131"/>
      <c r="VNX638" s="131"/>
      <c r="VNY638" s="131"/>
      <c r="VNZ638" s="131"/>
      <c r="VOA638" s="131"/>
      <c r="VOB638" s="131"/>
      <c r="VOC638" s="131"/>
      <c r="VOD638" s="131"/>
      <c r="VOE638" s="131"/>
      <c r="VOF638" s="131"/>
      <c r="VOG638" s="131"/>
      <c r="VOH638" s="131"/>
      <c r="VOI638" s="131"/>
      <c r="VOJ638" s="131"/>
      <c r="VOK638" s="131"/>
      <c r="VOL638" s="131"/>
      <c r="VOM638" s="131"/>
      <c r="VON638" s="131"/>
      <c r="VOO638" s="131"/>
      <c r="VOP638" s="131"/>
      <c r="VOQ638" s="131"/>
      <c r="VOR638" s="131"/>
      <c r="VOS638" s="131"/>
      <c r="VOT638" s="131"/>
      <c r="VOU638" s="131"/>
      <c r="VOV638" s="131"/>
      <c r="VOW638" s="131"/>
      <c r="VOX638" s="131"/>
      <c r="VOY638" s="131"/>
      <c r="VOZ638" s="131"/>
      <c r="VPA638" s="131"/>
      <c r="VPB638" s="131"/>
      <c r="VPC638" s="131"/>
      <c r="VPD638" s="131"/>
      <c r="VPE638" s="131"/>
      <c r="VPF638" s="131"/>
      <c r="VPG638" s="131"/>
      <c r="VPH638" s="131"/>
      <c r="VPI638" s="131"/>
      <c r="VPJ638" s="131"/>
      <c r="VPK638" s="131"/>
      <c r="VPL638" s="131"/>
      <c r="VPM638" s="131"/>
      <c r="VPN638" s="131"/>
      <c r="VPO638" s="131"/>
      <c r="VPP638" s="131"/>
      <c r="VPQ638" s="131"/>
      <c r="VPR638" s="131"/>
      <c r="VPS638" s="131"/>
      <c r="VPT638" s="131"/>
      <c r="VPU638" s="131"/>
      <c r="VPV638" s="131"/>
      <c r="VPW638" s="131"/>
      <c r="VPX638" s="131"/>
      <c r="VPY638" s="131"/>
      <c r="VPZ638" s="131"/>
      <c r="VQA638" s="131"/>
      <c r="VQB638" s="131"/>
      <c r="VQC638" s="131"/>
      <c r="VQD638" s="131"/>
      <c r="VQE638" s="131"/>
      <c r="VQF638" s="131"/>
      <c r="VQG638" s="131"/>
      <c r="VQH638" s="131"/>
      <c r="VQI638" s="131"/>
      <c r="VQJ638" s="131"/>
      <c r="VQK638" s="131"/>
      <c r="VQL638" s="131"/>
      <c r="VQM638" s="131"/>
      <c r="VQN638" s="131"/>
      <c r="VQO638" s="131"/>
      <c r="VQP638" s="131"/>
      <c r="VQQ638" s="131"/>
      <c r="VQR638" s="131"/>
      <c r="VQS638" s="131"/>
      <c r="VQT638" s="131"/>
      <c r="VQU638" s="131"/>
      <c r="VQV638" s="131"/>
      <c r="VQW638" s="131"/>
      <c r="VQX638" s="131"/>
      <c r="VQY638" s="131"/>
      <c r="VQZ638" s="131"/>
      <c r="VRA638" s="131"/>
      <c r="VRB638" s="131"/>
      <c r="VRC638" s="131"/>
      <c r="VRD638" s="131"/>
      <c r="VRE638" s="131"/>
      <c r="VRF638" s="131"/>
      <c r="VRG638" s="131"/>
      <c r="VRH638" s="131"/>
      <c r="VRI638" s="131"/>
      <c r="VRJ638" s="131"/>
      <c r="VRK638" s="131"/>
      <c r="VRL638" s="131"/>
      <c r="VRM638" s="131"/>
      <c r="VRN638" s="131"/>
      <c r="VRO638" s="131"/>
      <c r="VRP638" s="131"/>
      <c r="VRQ638" s="131"/>
      <c r="VRR638" s="131"/>
      <c r="VRS638" s="131"/>
      <c r="VRT638" s="131"/>
      <c r="VRU638" s="131"/>
      <c r="VRV638" s="131"/>
      <c r="VRW638" s="131"/>
      <c r="VRX638" s="131"/>
      <c r="VRY638" s="131"/>
      <c r="VRZ638" s="131"/>
      <c r="VSA638" s="131"/>
      <c r="VSB638" s="131"/>
      <c r="VSC638" s="131"/>
      <c r="VSD638" s="131"/>
      <c r="VSE638" s="131"/>
      <c r="VSF638" s="131"/>
      <c r="VSG638" s="131"/>
      <c r="VSH638" s="131"/>
      <c r="VSI638" s="131"/>
      <c r="VSJ638" s="131"/>
      <c r="VSK638" s="131"/>
      <c r="VSL638" s="131"/>
      <c r="VSM638" s="131"/>
      <c r="VSN638" s="131"/>
      <c r="VSO638" s="131"/>
      <c r="VSP638" s="131"/>
      <c r="VSQ638" s="131"/>
      <c r="VSR638" s="131"/>
      <c r="VSS638" s="131"/>
      <c r="VST638" s="131"/>
      <c r="VSU638" s="131"/>
      <c r="VSV638" s="131"/>
      <c r="VSW638" s="131"/>
      <c r="VSX638" s="131"/>
      <c r="VSY638" s="131"/>
      <c r="VSZ638" s="131"/>
      <c r="VTA638" s="131"/>
      <c r="VTB638" s="131"/>
      <c r="VTC638" s="131"/>
      <c r="VTD638" s="131"/>
      <c r="VTE638" s="131"/>
      <c r="VTF638" s="131"/>
      <c r="VTG638" s="131"/>
      <c r="VTH638" s="131"/>
      <c r="VTI638" s="131"/>
      <c r="VTJ638" s="131"/>
      <c r="VTK638" s="131"/>
      <c r="VTL638" s="131"/>
      <c r="VTM638" s="131"/>
      <c r="VTN638" s="131"/>
      <c r="VTO638" s="131"/>
      <c r="VTP638" s="131"/>
      <c r="VTQ638" s="131"/>
      <c r="VTR638" s="131"/>
      <c r="VTS638" s="131"/>
      <c r="VTT638" s="131"/>
      <c r="VTU638" s="131"/>
      <c r="VTV638" s="131"/>
      <c r="VTW638" s="131"/>
      <c r="VTX638" s="131"/>
      <c r="VTY638" s="131"/>
      <c r="VTZ638" s="131"/>
      <c r="VUA638" s="131"/>
      <c r="VUB638" s="131"/>
      <c r="VUC638" s="131"/>
      <c r="VUD638" s="131"/>
      <c r="VUE638" s="131"/>
      <c r="VUF638" s="131"/>
      <c r="VUG638" s="131"/>
      <c r="VUH638" s="131"/>
      <c r="VUI638" s="131"/>
      <c r="VUJ638" s="131"/>
      <c r="VUK638" s="131"/>
      <c r="VUL638" s="131"/>
      <c r="VUM638" s="131"/>
      <c r="VUN638" s="131"/>
      <c r="VUO638" s="131"/>
      <c r="VUP638" s="131"/>
      <c r="VUQ638" s="131"/>
      <c r="VUR638" s="131"/>
      <c r="VUS638" s="131"/>
      <c r="VUT638" s="131"/>
      <c r="VUU638" s="131"/>
      <c r="VUV638" s="131"/>
      <c r="VUW638" s="131"/>
      <c r="VUX638" s="131"/>
      <c r="VUY638" s="131"/>
      <c r="VUZ638" s="131"/>
      <c r="VVA638" s="131"/>
      <c r="VVB638" s="131"/>
      <c r="VVC638" s="131"/>
      <c r="VVD638" s="131"/>
      <c r="VVE638" s="131"/>
      <c r="VVF638" s="131"/>
      <c r="VVG638" s="131"/>
      <c r="VVH638" s="131"/>
      <c r="VVI638" s="131"/>
      <c r="VVJ638" s="131"/>
      <c r="VVK638" s="131"/>
      <c r="VVL638" s="131"/>
      <c r="VVM638" s="131"/>
      <c r="VVN638" s="131"/>
      <c r="VVO638" s="131"/>
      <c r="VVP638" s="131"/>
      <c r="VVQ638" s="131"/>
      <c r="VVR638" s="131"/>
      <c r="VVS638" s="131"/>
      <c r="VVT638" s="131"/>
      <c r="VVU638" s="131"/>
      <c r="VVV638" s="131"/>
      <c r="VVW638" s="131"/>
      <c r="VVX638" s="131"/>
      <c r="VVY638" s="131"/>
      <c r="VVZ638" s="131"/>
      <c r="VWA638" s="131"/>
      <c r="VWB638" s="131"/>
      <c r="VWC638" s="131"/>
      <c r="VWD638" s="131"/>
      <c r="VWE638" s="131"/>
      <c r="VWF638" s="131"/>
      <c r="VWG638" s="131"/>
      <c r="VWH638" s="131"/>
      <c r="VWI638" s="131"/>
      <c r="VWJ638" s="131"/>
      <c r="VWK638" s="131"/>
      <c r="VWL638" s="131"/>
      <c r="VWM638" s="131"/>
      <c r="VWN638" s="131"/>
      <c r="VWO638" s="131"/>
      <c r="VWP638" s="131"/>
      <c r="VWQ638" s="131"/>
      <c r="VWR638" s="131"/>
      <c r="VWS638" s="131"/>
      <c r="VWT638" s="131"/>
      <c r="VWU638" s="131"/>
      <c r="VWV638" s="131"/>
      <c r="VWW638" s="131"/>
      <c r="VWX638" s="131"/>
      <c r="VWY638" s="131"/>
      <c r="VWZ638" s="131"/>
      <c r="VXA638" s="131"/>
      <c r="VXB638" s="131"/>
      <c r="VXC638" s="131"/>
      <c r="VXD638" s="131"/>
      <c r="VXE638" s="131"/>
      <c r="VXF638" s="131"/>
      <c r="VXG638" s="131"/>
      <c r="VXH638" s="131"/>
      <c r="VXI638" s="131"/>
      <c r="VXJ638" s="131"/>
      <c r="VXK638" s="131"/>
      <c r="VXL638" s="131"/>
      <c r="VXM638" s="131"/>
      <c r="VXN638" s="131"/>
      <c r="VXO638" s="131"/>
      <c r="VXP638" s="131"/>
      <c r="VXQ638" s="131"/>
      <c r="VXR638" s="131"/>
      <c r="VXS638" s="131"/>
      <c r="VXT638" s="131"/>
      <c r="VXU638" s="131"/>
      <c r="VXV638" s="131"/>
      <c r="VXW638" s="131"/>
      <c r="VXX638" s="131"/>
      <c r="VXY638" s="131"/>
      <c r="VXZ638" s="131"/>
      <c r="VYA638" s="131"/>
      <c r="VYB638" s="131"/>
      <c r="VYC638" s="131"/>
      <c r="VYD638" s="131"/>
      <c r="VYE638" s="131"/>
      <c r="VYF638" s="131"/>
      <c r="VYG638" s="131"/>
      <c r="VYH638" s="131"/>
      <c r="VYI638" s="131"/>
      <c r="VYJ638" s="131"/>
      <c r="VYK638" s="131"/>
      <c r="VYL638" s="131"/>
      <c r="VYM638" s="131"/>
      <c r="VYN638" s="131"/>
      <c r="VYO638" s="131"/>
      <c r="VYP638" s="131"/>
      <c r="VYQ638" s="131"/>
      <c r="VYR638" s="131"/>
      <c r="VYS638" s="131"/>
      <c r="VYT638" s="131"/>
      <c r="VYU638" s="131"/>
      <c r="VYV638" s="131"/>
      <c r="VYW638" s="131"/>
      <c r="VYX638" s="131"/>
      <c r="VYY638" s="131"/>
      <c r="VYZ638" s="131"/>
      <c r="VZA638" s="131"/>
      <c r="VZB638" s="131"/>
      <c r="VZC638" s="131"/>
      <c r="VZD638" s="131"/>
      <c r="VZE638" s="131"/>
      <c r="VZF638" s="131"/>
      <c r="VZG638" s="131"/>
      <c r="VZH638" s="131"/>
      <c r="VZI638" s="131"/>
      <c r="VZJ638" s="131"/>
      <c r="VZK638" s="131"/>
      <c r="VZL638" s="131"/>
      <c r="VZM638" s="131"/>
      <c r="VZN638" s="131"/>
      <c r="VZO638" s="131"/>
      <c r="VZP638" s="131"/>
      <c r="VZQ638" s="131"/>
      <c r="VZR638" s="131"/>
      <c r="VZS638" s="131"/>
      <c r="VZT638" s="131"/>
      <c r="VZU638" s="131"/>
      <c r="VZV638" s="131"/>
      <c r="VZW638" s="131"/>
      <c r="VZX638" s="131"/>
      <c r="VZY638" s="131"/>
      <c r="VZZ638" s="131"/>
      <c r="WAA638" s="131"/>
      <c r="WAB638" s="131"/>
      <c r="WAC638" s="131"/>
      <c r="WAD638" s="131"/>
      <c r="WAE638" s="131"/>
      <c r="WAF638" s="131"/>
      <c r="WAG638" s="131"/>
      <c r="WAH638" s="131"/>
      <c r="WAI638" s="131"/>
      <c r="WAJ638" s="131"/>
      <c r="WAK638" s="131"/>
      <c r="WAL638" s="131"/>
      <c r="WAM638" s="131"/>
      <c r="WAN638" s="131"/>
      <c r="WAO638" s="131"/>
      <c r="WAP638" s="131"/>
      <c r="WAQ638" s="131"/>
      <c r="WAR638" s="131"/>
      <c r="WAS638" s="131"/>
      <c r="WAT638" s="131"/>
      <c r="WAU638" s="131"/>
      <c r="WAV638" s="131"/>
      <c r="WAW638" s="131"/>
      <c r="WAX638" s="131"/>
      <c r="WAY638" s="131"/>
      <c r="WAZ638" s="131"/>
      <c r="WBA638" s="131"/>
      <c r="WBB638" s="131"/>
      <c r="WBC638" s="131"/>
      <c r="WBD638" s="131"/>
      <c r="WBE638" s="131"/>
      <c r="WBF638" s="131"/>
      <c r="WBG638" s="131"/>
      <c r="WBH638" s="131"/>
      <c r="WBI638" s="131"/>
      <c r="WBJ638" s="131"/>
      <c r="WBK638" s="131"/>
      <c r="WBL638" s="131"/>
      <c r="WBM638" s="131"/>
      <c r="WBN638" s="131"/>
      <c r="WBO638" s="131"/>
      <c r="WBP638" s="131"/>
      <c r="WBQ638" s="131"/>
      <c r="WBR638" s="131"/>
      <c r="WBS638" s="131"/>
      <c r="WBT638" s="131"/>
      <c r="WBU638" s="131"/>
      <c r="WBV638" s="131"/>
      <c r="WBW638" s="131"/>
      <c r="WBX638" s="131"/>
      <c r="WBY638" s="131"/>
      <c r="WBZ638" s="131"/>
      <c r="WCA638" s="131"/>
      <c r="WCB638" s="131"/>
      <c r="WCC638" s="131"/>
      <c r="WCD638" s="131"/>
      <c r="WCE638" s="131"/>
      <c r="WCF638" s="131"/>
      <c r="WCG638" s="131"/>
      <c r="WCH638" s="131"/>
      <c r="WCI638" s="131"/>
      <c r="WCJ638" s="131"/>
      <c r="WCK638" s="131"/>
      <c r="WCL638" s="131"/>
      <c r="WCM638" s="131"/>
      <c r="WCN638" s="131"/>
      <c r="WCO638" s="131"/>
      <c r="WCP638" s="131"/>
      <c r="WCQ638" s="131"/>
      <c r="WCR638" s="131"/>
      <c r="WCS638" s="131"/>
      <c r="WCT638" s="131"/>
      <c r="WCU638" s="131"/>
      <c r="WCV638" s="131"/>
      <c r="WCW638" s="131"/>
      <c r="WCX638" s="131"/>
      <c r="WCY638" s="131"/>
      <c r="WCZ638" s="131"/>
      <c r="WDA638" s="131"/>
      <c r="WDB638" s="131"/>
      <c r="WDC638" s="131"/>
      <c r="WDD638" s="131"/>
      <c r="WDE638" s="131"/>
      <c r="WDF638" s="131"/>
      <c r="WDG638" s="131"/>
      <c r="WDH638" s="131"/>
      <c r="WDI638" s="131"/>
      <c r="WDJ638" s="131"/>
      <c r="WDK638" s="131"/>
      <c r="WDL638" s="131"/>
      <c r="WDM638" s="131"/>
      <c r="WDN638" s="131"/>
      <c r="WDO638" s="131"/>
      <c r="WDP638" s="131"/>
      <c r="WDQ638" s="131"/>
      <c r="WDR638" s="131"/>
      <c r="WDS638" s="131"/>
      <c r="WDT638" s="131"/>
      <c r="WDU638" s="131"/>
      <c r="WDV638" s="131"/>
      <c r="WDW638" s="131"/>
      <c r="WDX638" s="131"/>
      <c r="WDY638" s="131"/>
      <c r="WDZ638" s="131"/>
      <c r="WEA638" s="131"/>
      <c r="WEB638" s="131"/>
      <c r="WEC638" s="131"/>
      <c r="WED638" s="131"/>
      <c r="WEE638" s="131"/>
      <c r="WEF638" s="131"/>
      <c r="WEG638" s="131"/>
      <c r="WEH638" s="131"/>
      <c r="WEI638" s="131"/>
      <c r="WEJ638" s="131"/>
      <c r="WEK638" s="131"/>
      <c r="WEL638" s="131"/>
      <c r="WEM638" s="131"/>
      <c r="WEN638" s="131"/>
      <c r="WEO638" s="131"/>
      <c r="WEP638" s="131"/>
      <c r="WEQ638" s="131"/>
      <c r="WER638" s="131"/>
      <c r="WES638" s="131"/>
      <c r="WET638" s="131"/>
      <c r="WEU638" s="131"/>
      <c r="WEV638" s="131"/>
      <c r="WEW638" s="131"/>
      <c r="WEX638" s="131"/>
      <c r="WEY638" s="131"/>
      <c r="WEZ638" s="131"/>
      <c r="WFA638" s="131"/>
      <c r="WFB638" s="131"/>
      <c r="WFC638" s="131"/>
      <c r="WFD638" s="131"/>
      <c r="WFE638" s="131"/>
      <c r="WFF638" s="131"/>
      <c r="WFG638" s="131"/>
      <c r="WFH638" s="131"/>
      <c r="WFI638" s="131"/>
      <c r="WFJ638" s="131"/>
      <c r="WFK638" s="131"/>
      <c r="WFL638" s="131"/>
      <c r="WFM638" s="131"/>
      <c r="WFN638" s="131"/>
      <c r="WFO638" s="131"/>
      <c r="WFP638" s="131"/>
      <c r="WFQ638" s="131"/>
      <c r="WFR638" s="131"/>
      <c r="WFS638" s="131"/>
      <c r="WFT638" s="131"/>
      <c r="WFU638" s="131"/>
      <c r="WFV638" s="131"/>
      <c r="WFW638" s="131"/>
      <c r="WFX638" s="131"/>
      <c r="WFY638" s="131"/>
      <c r="WFZ638" s="131"/>
      <c r="WGA638" s="131"/>
      <c r="WGB638" s="131"/>
      <c r="WGC638" s="131"/>
      <c r="WGD638" s="131"/>
      <c r="WGE638" s="131"/>
      <c r="WGF638" s="131"/>
      <c r="WGG638" s="131"/>
      <c r="WGH638" s="131"/>
      <c r="WGI638" s="131"/>
      <c r="WGJ638" s="131"/>
      <c r="WGK638" s="131"/>
      <c r="WGL638" s="131"/>
      <c r="WGM638" s="131"/>
      <c r="WGN638" s="131"/>
      <c r="WGO638" s="131"/>
      <c r="WGP638" s="131"/>
      <c r="WGQ638" s="131"/>
      <c r="WGR638" s="131"/>
      <c r="WGS638" s="131"/>
      <c r="WGT638" s="131"/>
      <c r="WGU638" s="131"/>
      <c r="WGV638" s="131"/>
      <c r="WGW638" s="131"/>
      <c r="WGX638" s="131"/>
      <c r="WGY638" s="131"/>
      <c r="WGZ638" s="131"/>
      <c r="WHA638" s="131"/>
      <c r="WHB638" s="131"/>
      <c r="WHC638" s="131"/>
      <c r="WHD638" s="131"/>
      <c r="WHE638" s="131"/>
      <c r="WHF638" s="131"/>
      <c r="WHG638" s="131"/>
      <c r="WHH638" s="131"/>
      <c r="WHI638" s="131"/>
      <c r="WHJ638" s="131"/>
      <c r="WHK638" s="131"/>
      <c r="WHL638" s="131"/>
      <c r="WHM638" s="131"/>
      <c r="WHN638" s="131"/>
      <c r="WHO638" s="131"/>
      <c r="WHP638" s="131"/>
      <c r="WHQ638" s="131"/>
      <c r="WHR638" s="131"/>
      <c r="WHS638" s="131"/>
      <c r="WHT638" s="131"/>
      <c r="WHU638" s="131"/>
      <c r="WHV638" s="131"/>
      <c r="WHW638" s="131"/>
      <c r="WHX638" s="131"/>
      <c r="WHY638" s="131"/>
      <c r="WHZ638" s="131"/>
      <c r="WIA638" s="131"/>
      <c r="WIB638" s="131"/>
      <c r="WIC638" s="131"/>
      <c r="WID638" s="131"/>
      <c r="WIE638" s="131"/>
      <c r="WIF638" s="131"/>
      <c r="WIG638" s="131"/>
      <c r="WIH638" s="131"/>
      <c r="WII638" s="131"/>
      <c r="WIJ638" s="131"/>
      <c r="WIK638" s="131"/>
      <c r="WIL638" s="131"/>
      <c r="WIM638" s="131"/>
      <c r="WIN638" s="131"/>
      <c r="WIO638" s="131"/>
      <c r="WIP638" s="131"/>
      <c r="WIQ638" s="131"/>
      <c r="WIR638" s="131"/>
      <c r="WIS638" s="131"/>
      <c r="WIT638" s="131"/>
      <c r="WIU638" s="131"/>
      <c r="WIV638" s="131"/>
      <c r="WIW638" s="131"/>
      <c r="WIX638" s="131"/>
      <c r="WIY638" s="131"/>
      <c r="WIZ638" s="131"/>
      <c r="WJA638" s="131"/>
      <c r="WJB638" s="131"/>
      <c r="WJC638" s="131"/>
      <c r="WJD638" s="131"/>
      <c r="WJE638" s="131"/>
      <c r="WJF638" s="131"/>
      <c r="WJG638" s="131"/>
      <c r="WJH638" s="131"/>
      <c r="WJI638" s="131"/>
      <c r="WJJ638" s="131"/>
      <c r="WJK638" s="131"/>
      <c r="WJL638" s="131"/>
      <c r="WJM638" s="131"/>
      <c r="WJN638" s="131"/>
      <c r="WJO638" s="131"/>
      <c r="WJP638" s="131"/>
      <c r="WJQ638" s="131"/>
      <c r="WJR638" s="131"/>
      <c r="WJS638" s="131"/>
      <c r="WJT638" s="131"/>
      <c r="WJU638" s="131"/>
      <c r="WJV638" s="131"/>
      <c r="WJW638" s="131"/>
      <c r="WJX638" s="131"/>
      <c r="WJY638" s="131"/>
      <c r="WJZ638" s="131"/>
      <c r="WKA638" s="131"/>
      <c r="WKB638" s="131"/>
      <c r="WKC638" s="131"/>
      <c r="WKD638" s="131"/>
      <c r="WKE638" s="131"/>
      <c r="WKF638" s="131"/>
      <c r="WKG638" s="131"/>
      <c r="WKH638" s="131"/>
      <c r="WKI638" s="131"/>
      <c r="WKJ638" s="131"/>
      <c r="WKK638" s="131"/>
      <c r="WKL638" s="131"/>
      <c r="WKM638" s="131"/>
      <c r="WKN638" s="131"/>
      <c r="WKO638" s="131"/>
      <c r="WKP638" s="131"/>
      <c r="WKQ638" s="131"/>
      <c r="WKR638" s="131"/>
      <c r="WKS638" s="131"/>
      <c r="WKT638" s="131"/>
      <c r="WKU638" s="131"/>
      <c r="WKV638" s="131"/>
      <c r="WKW638" s="131"/>
      <c r="WKX638" s="131"/>
      <c r="WKY638" s="131"/>
      <c r="WKZ638" s="131"/>
      <c r="WLA638" s="131"/>
      <c r="WLB638" s="131"/>
      <c r="WLC638" s="131"/>
      <c r="WLD638" s="131"/>
      <c r="WLE638" s="131"/>
      <c r="WLF638" s="131"/>
      <c r="WLG638" s="131"/>
      <c r="WLH638" s="131"/>
      <c r="WLI638" s="131"/>
      <c r="WLJ638" s="131"/>
      <c r="WLK638" s="131"/>
      <c r="WLL638" s="131"/>
      <c r="WLM638" s="131"/>
      <c r="WLN638" s="131"/>
      <c r="WLO638" s="131"/>
      <c r="WLP638" s="131"/>
      <c r="WLQ638" s="131"/>
      <c r="WLR638" s="131"/>
      <c r="WLS638" s="131"/>
      <c r="WLT638" s="131"/>
      <c r="WLU638" s="131"/>
      <c r="WLV638" s="131"/>
      <c r="WLW638" s="131"/>
      <c r="WLX638" s="131"/>
      <c r="WLY638" s="131"/>
      <c r="WLZ638" s="131"/>
      <c r="WMA638" s="131"/>
      <c r="WMB638" s="131"/>
      <c r="WMC638" s="131"/>
      <c r="WMD638" s="131"/>
      <c r="WME638" s="131"/>
      <c r="WMF638" s="131"/>
      <c r="WMG638" s="131"/>
      <c r="WMH638" s="131"/>
      <c r="WMI638" s="131"/>
      <c r="WMJ638" s="131"/>
      <c r="WMK638" s="131"/>
      <c r="WML638" s="131"/>
      <c r="WMM638" s="131"/>
      <c r="WMN638" s="131"/>
      <c r="WMO638" s="131"/>
      <c r="WMP638" s="131"/>
      <c r="WMQ638" s="131"/>
      <c r="WMR638" s="131"/>
      <c r="WMS638" s="131"/>
      <c r="WMT638" s="131"/>
      <c r="WMU638" s="131"/>
      <c r="WMV638" s="131"/>
      <c r="WMW638" s="131"/>
      <c r="WMX638" s="131"/>
      <c r="WMY638" s="131"/>
      <c r="WMZ638" s="131"/>
      <c r="WNA638" s="131"/>
      <c r="WNB638" s="131"/>
      <c r="WNC638" s="131"/>
      <c r="WND638" s="131"/>
      <c r="WNE638" s="131"/>
      <c r="WNF638" s="131"/>
      <c r="WNG638" s="131"/>
      <c r="WNH638" s="131"/>
      <c r="WNI638" s="131"/>
      <c r="WNJ638" s="131"/>
      <c r="WNK638" s="131"/>
      <c r="WNL638" s="131"/>
      <c r="WNM638" s="131"/>
      <c r="WNN638" s="131"/>
      <c r="WNO638" s="131"/>
      <c r="WNP638" s="131"/>
      <c r="WNQ638" s="131"/>
      <c r="WNR638" s="131"/>
      <c r="WNS638" s="131"/>
      <c r="WNT638" s="131"/>
      <c r="WNU638" s="131"/>
      <c r="WNV638" s="131"/>
      <c r="WNW638" s="131"/>
      <c r="WNX638" s="131"/>
      <c r="WNY638" s="131"/>
      <c r="WNZ638" s="131"/>
      <c r="WOA638" s="131"/>
      <c r="WOB638" s="131"/>
      <c r="WOC638" s="131"/>
      <c r="WOD638" s="131"/>
      <c r="WOE638" s="131"/>
      <c r="WOF638" s="131"/>
      <c r="WOG638" s="131"/>
      <c r="WOH638" s="131"/>
      <c r="WOI638" s="131"/>
      <c r="WOJ638" s="131"/>
      <c r="WOK638" s="131"/>
      <c r="WOL638" s="131"/>
      <c r="WOM638" s="131"/>
      <c r="WON638" s="131"/>
      <c r="WOO638" s="131"/>
      <c r="WOP638" s="131"/>
      <c r="WOQ638" s="131"/>
      <c r="WOR638" s="131"/>
      <c r="WOS638" s="131"/>
      <c r="WOT638" s="131"/>
      <c r="WOU638" s="131"/>
      <c r="WOV638" s="131"/>
      <c r="WOW638" s="131"/>
      <c r="WOX638" s="131"/>
      <c r="WOY638" s="131"/>
      <c r="WOZ638" s="131"/>
      <c r="WPA638" s="131"/>
      <c r="WPB638" s="131"/>
      <c r="WPC638" s="131"/>
      <c r="WPD638" s="131"/>
      <c r="WPE638" s="131"/>
      <c r="WPF638" s="131"/>
      <c r="WPG638" s="131"/>
      <c r="WPH638" s="131"/>
      <c r="WPI638" s="131"/>
      <c r="WPJ638" s="131"/>
      <c r="WPK638" s="131"/>
      <c r="WPL638" s="131"/>
      <c r="WPM638" s="131"/>
      <c r="WPN638" s="131"/>
      <c r="WPO638" s="131"/>
      <c r="WPP638" s="131"/>
      <c r="WPQ638" s="131"/>
      <c r="WPR638" s="131"/>
      <c r="WPS638" s="131"/>
      <c r="WPT638" s="131"/>
      <c r="WPU638" s="131"/>
      <c r="WPV638" s="131"/>
      <c r="WPW638" s="131"/>
      <c r="WPX638" s="131"/>
      <c r="WPY638" s="131"/>
      <c r="WPZ638" s="131"/>
      <c r="WQA638" s="131"/>
      <c r="WQB638" s="131"/>
      <c r="WQC638" s="131"/>
      <c r="WQD638" s="131"/>
      <c r="WQE638" s="131"/>
      <c r="WQF638" s="131"/>
      <c r="WQG638" s="131"/>
      <c r="WQH638" s="131"/>
      <c r="WQI638" s="131"/>
      <c r="WQJ638" s="131"/>
      <c r="WQK638" s="131"/>
      <c r="WQL638" s="131"/>
      <c r="WQM638" s="131"/>
      <c r="WQN638" s="131"/>
      <c r="WQO638" s="131"/>
      <c r="WQP638" s="131"/>
      <c r="WQQ638" s="131"/>
      <c r="WQR638" s="131"/>
      <c r="WQS638" s="131"/>
      <c r="WQT638" s="131"/>
      <c r="WQU638" s="131"/>
      <c r="WQV638" s="131"/>
      <c r="WQW638" s="131"/>
      <c r="WQX638" s="131"/>
      <c r="WQY638" s="131"/>
      <c r="WQZ638" s="131"/>
      <c r="WRA638" s="131"/>
      <c r="WRB638" s="131"/>
      <c r="WRC638" s="131"/>
      <c r="WRD638" s="131"/>
      <c r="WRE638" s="131"/>
      <c r="WRF638" s="131"/>
      <c r="WRG638" s="131"/>
      <c r="WRH638" s="131"/>
      <c r="WRI638" s="131"/>
      <c r="WRJ638" s="131"/>
      <c r="WRK638" s="131"/>
      <c r="WRL638" s="131"/>
      <c r="WRM638" s="131"/>
      <c r="WRN638" s="131"/>
      <c r="WRO638" s="131"/>
      <c r="WRP638" s="131"/>
      <c r="WRQ638" s="131"/>
      <c r="WRR638" s="131"/>
      <c r="WRS638" s="131"/>
      <c r="WRT638" s="131"/>
      <c r="WRU638" s="131"/>
      <c r="WRV638" s="131"/>
      <c r="WRW638" s="131"/>
      <c r="WRX638" s="131"/>
      <c r="WRY638" s="131"/>
      <c r="WRZ638" s="131"/>
      <c r="WSA638" s="131"/>
      <c r="WSB638" s="131"/>
      <c r="WSC638" s="131"/>
      <c r="WSD638" s="131"/>
      <c r="WSE638" s="131"/>
      <c r="WSF638" s="131"/>
      <c r="WSG638" s="131"/>
      <c r="WSH638" s="131"/>
      <c r="WSI638" s="131"/>
      <c r="WSJ638" s="131"/>
      <c r="WSK638" s="131"/>
      <c r="WSL638" s="131"/>
      <c r="WSM638" s="131"/>
      <c r="WSN638" s="131"/>
      <c r="WSO638" s="131"/>
      <c r="WSP638" s="131"/>
      <c r="WSQ638" s="131"/>
      <c r="WSR638" s="131"/>
      <c r="WSS638" s="131"/>
      <c r="WST638" s="131"/>
      <c r="WSU638" s="131"/>
      <c r="WSV638" s="131"/>
      <c r="WSW638" s="131"/>
      <c r="WSX638" s="131"/>
      <c r="WSY638" s="131"/>
      <c r="WSZ638" s="131"/>
      <c r="WTA638" s="131"/>
      <c r="WTB638" s="131"/>
      <c r="WTC638" s="131"/>
      <c r="WTD638" s="131"/>
      <c r="WTE638" s="131"/>
      <c r="WTF638" s="131"/>
      <c r="WTG638" s="131"/>
      <c r="WTH638" s="131"/>
      <c r="WTI638" s="131"/>
      <c r="WTJ638" s="131"/>
      <c r="WTK638" s="131"/>
      <c r="WTL638" s="131"/>
      <c r="WTM638" s="131"/>
      <c r="WTN638" s="131"/>
      <c r="WTO638" s="131"/>
      <c r="WTP638" s="131"/>
      <c r="WTQ638" s="131"/>
      <c r="WTR638" s="131"/>
      <c r="WTS638" s="131"/>
      <c r="WTT638" s="131"/>
      <c r="WTU638" s="131"/>
      <c r="WTV638" s="131"/>
      <c r="WTW638" s="131"/>
      <c r="WTX638" s="131"/>
      <c r="WTY638" s="131"/>
      <c r="WTZ638" s="131"/>
      <c r="WUA638" s="131"/>
      <c r="WUB638" s="131"/>
      <c r="WUC638" s="131"/>
      <c r="WUD638" s="131"/>
      <c r="WUE638" s="131"/>
      <c r="WUF638" s="131"/>
      <c r="WUG638" s="131"/>
      <c r="WUH638" s="131"/>
      <c r="WUI638" s="131"/>
      <c r="WUJ638" s="131"/>
      <c r="WUK638" s="131"/>
      <c r="WUL638" s="131"/>
      <c r="WUM638" s="131"/>
      <c r="WUN638" s="131"/>
      <c r="WUO638" s="131"/>
      <c r="WUP638" s="131"/>
      <c r="WUQ638" s="131"/>
      <c r="WUR638" s="131"/>
      <c r="WUS638" s="131"/>
      <c r="WUT638" s="131"/>
      <c r="WUU638" s="131"/>
      <c r="WUV638" s="131"/>
      <c r="WUW638" s="131"/>
      <c r="WUX638" s="131"/>
      <c r="WUY638" s="131"/>
      <c r="WUZ638" s="131"/>
      <c r="WVA638" s="131"/>
      <c r="WVB638" s="131"/>
      <c r="WVC638" s="131"/>
      <c r="WVD638" s="131"/>
      <c r="WVE638" s="131"/>
      <c r="WVF638" s="131"/>
      <c r="WVG638" s="131"/>
      <c r="WVH638" s="131"/>
      <c r="WVI638" s="131"/>
      <c r="WVJ638" s="131"/>
      <c r="WVK638" s="131"/>
      <c r="WVL638" s="131"/>
      <c r="WVM638" s="131"/>
      <c r="WVN638" s="131"/>
      <c r="WVO638" s="131"/>
      <c r="WVP638" s="131"/>
      <c r="WVQ638" s="131"/>
      <c r="WVR638" s="131"/>
      <c r="WVS638" s="131"/>
      <c r="WVT638" s="131"/>
      <c r="WVU638" s="131"/>
      <c r="WVV638" s="131"/>
      <c r="WVW638" s="131"/>
      <c r="WVX638" s="131"/>
      <c r="WVY638" s="131"/>
      <c r="WVZ638" s="131"/>
      <c r="WWA638" s="131"/>
      <c r="WWB638" s="131"/>
      <c r="WWC638" s="131"/>
      <c r="WWD638" s="131"/>
      <c r="WWE638" s="131"/>
      <c r="WWF638" s="131"/>
      <c r="WWG638" s="131"/>
      <c r="WWH638" s="131"/>
      <c r="WWI638" s="131"/>
      <c r="WWJ638" s="131"/>
      <c r="WWK638" s="131"/>
      <c r="WWL638" s="131"/>
      <c r="WWM638" s="131"/>
      <c r="WWN638" s="131"/>
      <c r="WWO638" s="131"/>
      <c r="WWP638" s="131"/>
      <c r="WWQ638" s="131"/>
      <c r="WWR638" s="131"/>
      <c r="WWS638" s="131"/>
      <c r="WWT638" s="131"/>
      <c r="WWU638" s="131"/>
      <c r="WWV638" s="131"/>
      <c r="WWW638" s="131"/>
      <c r="WWX638" s="131"/>
      <c r="WWY638" s="131"/>
      <c r="WWZ638" s="131"/>
      <c r="WXA638" s="131"/>
      <c r="WXB638" s="131"/>
      <c r="WXC638" s="131"/>
      <c r="WXD638" s="131"/>
      <c r="WXE638" s="131"/>
      <c r="WXF638" s="131"/>
      <c r="WXG638" s="131"/>
      <c r="WXH638" s="131"/>
      <c r="WXI638" s="131"/>
      <c r="WXJ638" s="131"/>
      <c r="WXK638" s="131"/>
      <c r="WXL638" s="131"/>
      <c r="WXM638" s="131"/>
      <c r="WXN638" s="131"/>
      <c r="WXO638" s="131"/>
      <c r="WXP638" s="131"/>
      <c r="WXQ638" s="131"/>
      <c r="WXR638" s="131"/>
      <c r="WXS638" s="131"/>
      <c r="WXT638" s="131"/>
      <c r="WXU638" s="131"/>
      <c r="WXV638" s="131"/>
      <c r="WXW638" s="131"/>
      <c r="WXX638" s="131"/>
      <c r="WXY638" s="131"/>
      <c r="WXZ638" s="131"/>
      <c r="WYA638" s="131"/>
      <c r="WYB638" s="131"/>
      <c r="WYC638" s="131"/>
      <c r="WYD638" s="131"/>
      <c r="WYE638" s="131"/>
      <c r="WYF638" s="131"/>
      <c r="WYG638" s="131"/>
      <c r="WYH638" s="131"/>
      <c r="WYI638" s="131"/>
      <c r="WYJ638" s="131"/>
      <c r="WYK638" s="131"/>
      <c r="WYL638" s="131"/>
      <c r="WYM638" s="131"/>
      <c r="WYN638" s="131"/>
      <c r="WYO638" s="131"/>
      <c r="WYP638" s="131"/>
      <c r="WYQ638" s="131"/>
      <c r="WYR638" s="131"/>
      <c r="WYS638" s="131"/>
      <c r="WYT638" s="131"/>
      <c r="WYU638" s="131"/>
      <c r="WYV638" s="131"/>
      <c r="WYW638" s="131"/>
      <c r="WYX638" s="131"/>
      <c r="WYY638" s="131"/>
      <c r="WYZ638" s="131"/>
      <c r="WZA638" s="131"/>
      <c r="WZB638" s="131"/>
      <c r="WZC638" s="131"/>
      <c r="WZD638" s="131"/>
      <c r="WZE638" s="131"/>
      <c r="WZF638" s="131"/>
      <c r="WZG638" s="131"/>
      <c r="WZH638" s="131"/>
      <c r="WZI638" s="131"/>
      <c r="WZJ638" s="131"/>
      <c r="WZK638" s="131"/>
      <c r="WZL638" s="131"/>
      <c r="WZM638" s="131"/>
      <c r="WZN638" s="131"/>
      <c r="WZO638" s="131"/>
      <c r="WZP638" s="131"/>
      <c r="WZQ638" s="131"/>
      <c r="WZR638" s="131"/>
      <c r="WZS638" s="131"/>
      <c r="WZT638" s="131"/>
      <c r="WZU638" s="131"/>
      <c r="WZV638" s="131"/>
      <c r="WZW638" s="131"/>
      <c r="WZX638" s="131"/>
      <c r="WZY638" s="131"/>
      <c r="WZZ638" s="131"/>
      <c r="XAA638" s="131"/>
      <c r="XAB638" s="131"/>
      <c r="XAC638" s="131"/>
      <c r="XAD638" s="131"/>
      <c r="XAE638" s="131"/>
      <c r="XAF638" s="131"/>
      <c r="XAG638" s="131"/>
      <c r="XAH638" s="131"/>
      <c r="XAI638" s="131"/>
      <c r="XAJ638" s="131"/>
      <c r="XAK638" s="131"/>
      <c r="XAL638" s="131"/>
      <c r="XAM638" s="131"/>
      <c r="XAN638" s="131"/>
      <c r="XAO638" s="131"/>
      <c r="XAP638" s="131"/>
      <c r="XAQ638" s="131"/>
      <c r="XAR638" s="131"/>
      <c r="XAS638" s="131"/>
      <c r="XAT638" s="131"/>
      <c r="XAU638" s="131"/>
      <c r="XAV638" s="131"/>
      <c r="XAW638" s="131"/>
      <c r="XAX638" s="131"/>
      <c r="XAY638" s="131"/>
      <c r="XAZ638" s="131"/>
      <c r="XBA638" s="131"/>
      <c r="XBB638" s="131"/>
      <c r="XBC638" s="131"/>
      <c r="XBD638" s="131"/>
      <c r="XBE638" s="131"/>
      <c r="XBF638" s="131"/>
      <c r="XBG638" s="131"/>
      <c r="XBH638" s="131"/>
      <c r="XBI638" s="131"/>
      <c r="XBJ638" s="131"/>
      <c r="XBK638" s="131"/>
      <c r="XBL638" s="131"/>
      <c r="XBM638" s="131"/>
      <c r="XBN638" s="131"/>
      <c r="XBO638" s="131"/>
      <c r="XBP638" s="131"/>
      <c r="XBQ638" s="131"/>
      <c r="XBR638" s="131"/>
      <c r="XBS638" s="131"/>
      <c r="XBT638" s="131"/>
      <c r="XBU638" s="131"/>
      <c r="XBV638" s="131"/>
      <c r="XBW638" s="131"/>
      <c r="XBX638" s="131"/>
      <c r="XBY638" s="131"/>
      <c r="XBZ638" s="131"/>
      <c r="XCA638" s="131"/>
      <c r="XCB638" s="131"/>
      <c r="XCC638" s="131"/>
      <c r="XCD638" s="131"/>
      <c r="XCE638" s="131"/>
      <c r="XCF638" s="131"/>
      <c r="XCG638" s="131"/>
      <c r="XCH638" s="131"/>
      <c r="XCI638" s="131"/>
      <c r="XCJ638" s="131"/>
      <c r="XCK638" s="131"/>
      <c r="XCL638" s="131"/>
      <c r="XCM638" s="131"/>
      <c r="XCN638" s="131"/>
      <c r="XCO638" s="131"/>
      <c r="XCP638" s="131"/>
      <c r="XCQ638" s="131"/>
      <c r="XCR638" s="131"/>
      <c r="XCS638" s="131"/>
      <c r="XCT638" s="131"/>
      <c r="XCU638" s="131"/>
      <c r="XCV638" s="131"/>
      <c r="XCW638" s="131"/>
      <c r="XCX638" s="131"/>
      <c r="XCY638" s="131"/>
      <c r="XCZ638" s="131"/>
      <c r="XDA638" s="131"/>
      <c r="XDB638" s="131"/>
      <c r="XDC638" s="131"/>
      <c r="XDD638" s="131"/>
      <c r="XDE638" s="131"/>
      <c r="XDF638" s="131"/>
      <c r="XDG638" s="131"/>
      <c r="XDH638" s="131"/>
      <c r="XDI638" s="131"/>
      <c r="XDJ638" s="131"/>
      <c r="XDK638" s="131"/>
      <c r="XDL638" s="131"/>
      <c r="XDM638" s="131"/>
      <c r="XDN638" s="131"/>
      <c r="XDO638" s="131"/>
      <c r="XDP638" s="131"/>
      <c r="XDQ638" s="131"/>
      <c r="XDR638" s="131"/>
      <c r="XDS638" s="131"/>
      <c r="XDT638" s="131"/>
      <c r="XDU638" s="131"/>
      <c r="XDV638" s="131"/>
      <c r="XDW638" s="131"/>
      <c r="XDX638" s="131"/>
      <c r="XDY638" s="131"/>
      <c r="XDZ638" s="131"/>
      <c r="XEA638" s="131"/>
      <c r="XEB638" s="131"/>
      <c r="XEC638" s="131"/>
      <c r="XED638" s="131"/>
      <c r="XEE638" s="131"/>
      <c r="XEF638" s="131"/>
      <c r="XEG638" s="131"/>
      <c r="XEH638" s="131"/>
      <c r="XEI638" s="131"/>
      <c r="XEJ638" s="131"/>
      <c r="XEK638" s="131"/>
      <c r="XEL638" s="131"/>
      <c r="XEM638" s="131"/>
      <c r="XEN638" s="131"/>
      <c r="XEO638" s="131"/>
      <c r="XEP638" s="131"/>
      <c r="XEQ638" s="131"/>
      <c r="XER638" s="131"/>
      <c r="XES638" s="131"/>
      <c r="XET638" s="131"/>
      <c r="XEU638" s="131"/>
      <c r="XEV638" s="131"/>
      <c r="XEW638" s="131"/>
      <c r="XEX638" s="131"/>
      <c r="XEY638" s="131"/>
      <c r="XEZ638" s="131"/>
      <c r="XFA638" s="131"/>
      <c r="XFB638" s="131"/>
      <c r="XFC638" s="131"/>
    </row>
    <row r="639" spans="1:16383" s="134" customFormat="1">
      <c r="A639" s="107"/>
      <c r="B639" s="40" t="s">
        <v>869</v>
      </c>
      <c r="C639" s="40"/>
      <c r="D639" s="40" t="s">
        <v>923</v>
      </c>
      <c r="E639" s="40" t="s">
        <v>905</v>
      </c>
      <c r="F639" s="40" t="s">
        <v>361</v>
      </c>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133"/>
      <c r="CT639" s="133"/>
      <c r="CU639" s="133"/>
      <c r="CV639" s="133"/>
      <c r="CW639" s="133"/>
      <c r="CX639" s="133"/>
      <c r="CY639" s="133"/>
      <c r="CZ639" s="133"/>
      <c r="DA639" s="133"/>
      <c r="DB639" s="133"/>
      <c r="DC639" s="133"/>
      <c r="DD639" s="133"/>
      <c r="DE639" s="133"/>
      <c r="DF639" s="133"/>
      <c r="DG639" s="133"/>
      <c r="DH639" s="133"/>
      <c r="DI639" s="133"/>
      <c r="DJ639" s="133"/>
      <c r="DK639" s="133"/>
      <c r="DL639" s="133"/>
      <c r="DM639" s="133"/>
      <c r="DN639" s="133"/>
      <c r="DO639" s="133"/>
      <c r="DP639" s="133"/>
      <c r="DQ639" s="133"/>
      <c r="DR639" s="133"/>
      <c r="DS639" s="133"/>
      <c r="DT639" s="133"/>
      <c r="DU639" s="133"/>
      <c r="DV639" s="133"/>
      <c r="DW639" s="133"/>
      <c r="DX639" s="133"/>
      <c r="DY639" s="133"/>
      <c r="DZ639" s="133"/>
      <c r="EA639" s="133"/>
      <c r="EB639" s="133"/>
      <c r="EC639" s="133"/>
      <c r="ED639" s="133"/>
      <c r="EE639" s="133"/>
      <c r="EF639" s="133"/>
      <c r="EG639" s="133"/>
      <c r="EH639" s="133"/>
      <c r="EI639" s="133"/>
      <c r="EJ639" s="133"/>
      <c r="EK639" s="133"/>
      <c r="EL639" s="133"/>
      <c r="EM639" s="133"/>
      <c r="EN639" s="133"/>
      <c r="EO639" s="133"/>
      <c r="EP639" s="133"/>
      <c r="EQ639" s="133"/>
      <c r="ER639" s="133"/>
      <c r="ES639" s="133"/>
      <c r="ET639" s="133"/>
      <c r="EU639" s="133"/>
      <c r="EV639" s="133"/>
      <c r="EW639" s="133"/>
      <c r="EX639" s="133"/>
      <c r="EY639" s="133"/>
      <c r="EZ639" s="133"/>
      <c r="FA639" s="133"/>
      <c r="FB639" s="133"/>
      <c r="FC639" s="133"/>
      <c r="FD639" s="133"/>
      <c r="FE639" s="133"/>
      <c r="FF639" s="133"/>
      <c r="FG639" s="133"/>
      <c r="FH639" s="133"/>
      <c r="FI639" s="133"/>
      <c r="FJ639" s="133"/>
      <c r="FK639" s="133"/>
      <c r="FL639" s="133"/>
      <c r="FM639" s="133"/>
      <c r="FN639" s="133"/>
      <c r="FO639" s="133"/>
      <c r="FP639" s="133"/>
      <c r="FQ639" s="133"/>
      <c r="FR639" s="133"/>
      <c r="FS639" s="133"/>
      <c r="FT639" s="133"/>
      <c r="FU639" s="133"/>
      <c r="FV639" s="133"/>
      <c r="FW639" s="133"/>
      <c r="FX639" s="133"/>
      <c r="FY639" s="133"/>
      <c r="FZ639" s="133"/>
      <c r="GA639" s="133"/>
      <c r="GB639" s="133"/>
      <c r="GC639" s="133"/>
      <c r="GD639" s="133"/>
      <c r="GE639" s="133"/>
      <c r="GF639" s="133"/>
      <c r="GG639" s="133"/>
      <c r="GH639" s="133"/>
      <c r="GI639" s="133"/>
      <c r="GJ639" s="133"/>
      <c r="GK639" s="133"/>
      <c r="GL639" s="133"/>
      <c r="GM639" s="133"/>
      <c r="GN639" s="133"/>
      <c r="GO639" s="133"/>
      <c r="GP639" s="133"/>
      <c r="GQ639" s="133"/>
      <c r="GR639" s="133"/>
      <c r="GS639" s="133"/>
      <c r="GT639" s="133"/>
      <c r="GU639" s="133"/>
      <c r="GV639" s="133"/>
      <c r="GW639" s="133"/>
      <c r="GX639" s="133"/>
      <c r="GY639" s="133"/>
      <c r="GZ639" s="133"/>
      <c r="HA639" s="133"/>
      <c r="HB639" s="133"/>
      <c r="HC639" s="133"/>
      <c r="HD639" s="133"/>
      <c r="HE639" s="133"/>
      <c r="HF639" s="133"/>
      <c r="HG639" s="133"/>
      <c r="HH639" s="133"/>
      <c r="HI639" s="133"/>
      <c r="HJ639" s="133"/>
      <c r="HK639" s="133"/>
      <c r="HL639" s="133"/>
      <c r="HM639" s="133"/>
      <c r="HN639" s="133"/>
      <c r="HO639" s="133"/>
      <c r="HP639" s="133"/>
      <c r="HQ639" s="133"/>
      <c r="HR639" s="133"/>
      <c r="HS639" s="133"/>
      <c r="HT639" s="133"/>
      <c r="HU639" s="133"/>
      <c r="HV639" s="133"/>
      <c r="HW639" s="133"/>
      <c r="HX639" s="133"/>
      <c r="HY639" s="133"/>
      <c r="HZ639" s="133"/>
      <c r="IA639" s="133"/>
      <c r="IB639" s="133"/>
      <c r="IC639" s="133"/>
      <c r="ID639" s="133"/>
      <c r="IE639" s="133"/>
      <c r="IF639" s="133"/>
      <c r="IG639" s="133"/>
      <c r="IH639" s="133"/>
      <c r="II639" s="133"/>
      <c r="IJ639" s="133"/>
      <c r="IK639" s="133"/>
      <c r="IL639" s="133"/>
      <c r="IM639" s="133"/>
      <c r="IN639" s="133"/>
      <c r="IO639" s="133"/>
      <c r="IP639" s="133"/>
      <c r="IQ639" s="133"/>
      <c r="IR639" s="133"/>
      <c r="IS639" s="133"/>
      <c r="IT639" s="133"/>
      <c r="IU639" s="133"/>
      <c r="IV639" s="133"/>
      <c r="IW639" s="133"/>
      <c r="IX639" s="133"/>
      <c r="IY639" s="133"/>
      <c r="IZ639" s="133"/>
      <c r="JA639" s="133"/>
      <c r="JB639" s="133"/>
      <c r="JC639" s="133"/>
      <c r="JD639" s="133"/>
      <c r="JE639" s="133"/>
      <c r="JF639" s="133"/>
      <c r="JG639" s="133"/>
      <c r="JH639" s="133"/>
      <c r="JI639" s="133"/>
      <c r="JJ639" s="133"/>
      <c r="JK639" s="133"/>
      <c r="JL639" s="133"/>
      <c r="JM639" s="133"/>
      <c r="JN639" s="133"/>
      <c r="JO639" s="133"/>
      <c r="JP639" s="133"/>
      <c r="JQ639" s="133"/>
      <c r="JR639" s="133"/>
      <c r="JS639" s="133"/>
      <c r="JT639" s="133"/>
      <c r="JU639" s="133"/>
      <c r="JV639" s="133"/>
      <c r="JW639" s="133"/>
      <c r="JX639" s="133"/>
      <c r="JY639" s="133"/>
      <c r="JZ639" s="133"/>
      <c r="KA639" s="133"/>
      <c r="KB639" s="133"/>
      <c r="KC639" s="133"/>
      <c r="KD639" s="133"/>
      <c r="KE639" s="133"/>
      <c r="KF639" s="133"/>
      <c r="KG639" s="133"/>
      <c r="KH639" s="133"/>
      <c r="KI639" s="133"/>
      <c r="KJ639" s="133"/>
      <c r="KK639" s="133"/>
      <c r="KL639" s="133"/>
      <c r="KM639" s="133"/>
      <c r="KN639" s="133"/>
      <c r="KO639" s="133"/>
      <c r="KP639" s="133"/>
      <c r="KQ639" s="133"/>
      <c r="KR639" s="133"/>
      <c r="KS639" s="133"/>
      <c r="KT639" s="133"/>
      <c r="KU639" s="133"/>
      <c r="KV639" s="133"/>
      <c r="KW639" s="133"/>
      <c r="KX639" s="133"/>
      <c r="KY639" s="133"/>
      <c r="KZ639" s="133"/>
      <c r="LA639" s="133"/>
      <c r="LB639" s="133"/>
      <c r="LC639" s="133"/>
      <c r="LD639" s="133"/>
      <c r="LE639" s="133"/>
      <c r="LF639" s="133"/>
      <c r="LG639" s="133"/>
      <c r="LH639" s="133"/>
      <c r="LI639" s="133"/>
      <c r="LJ639" s="133"/>
      <c r="LK639" s="133"/>
      <c r="LL639" s="133"/>
      <c r="LM639" s="133"/>
      <c r="LN639" s="133"/>
      <c r="LO639" s="133"/>
      <c r="LP639" s="133"/>
      <c r="LQ639" s="133"/>
      <c r="LR639" s="133"/>
      <c r="LS639" s="133"/>
      <c r="LT639" s="133"/>
      <c r="LU639" s="133"/>
      <c r="LV639" s="133"/>
      <c r="LW639" s="133"/>
      <c r="LX639" s="133"/>
      <c r="LY639" s="133"/>
      <c r="LZ639" s="133"/>
      <c r="MA639" s="133"/>
      <c r="MB639" s="133"/>
      <c r="MC639" s="133"/>
      <c r="MD639" s="133"/>
      <c r="ME639" s="133"/>
      <c r="MF639" s="133"/>
      <c r="MG639" s="133"/>
      <c r="MH639" s="133"/>
      <c r="MI639" s="133"/>
      <c r="MJ639" s="133"/>
      <c r="MK639" s="133"/>
      <c r="ML639" s="133"/>
      <c r="MM639" s="133"/>
      <c r="MN639" s="133"/>
      <c r="MO639" s="133"/>
      <c r="MP639" s="133"/>
      <c r="MQ639" s="133"/>
      <c r="MR639" s="133"/>
      <c r="MS639" s="133"/>
      <c r="MT639" s="133"/>
      <c r="MU639" s="133"/>
      <c r="MV639" s="133"/>
      <c r="MW639" s="133"/>
      <c r="MX639" s="133"/>
      <c r="MY639" s="133"/>
      <c r="MZ639" s="133"/>
      <c r="NA639" s="133"/>
      <c r="NB639" s="133"/>
      <c r="NC639" s="133"/>
      <c r="ND639" s="133"/>
      <c r="NE639" s="133"/>
      <c r="NF639" s="133"/>
      <c r="NG639" s="133"/>
      <c r="NH639" s="133"/>
      <c r="NI639" s="133"/>
      <c r="NJ639" s="133"/>
      <c r="NK639" s="133"/>
      <c r="NL639" s="133"/>
      <c r="NM639" s="133"/>
      <c r="NN639" s="133"/>
      <c r="NO639" s="133"/>
      <c r="NP639" s="133"/>
      <c r="NQ639" s="133"/>
      <c r="NR639" s="133"/>
      <c r="NS639" s="133"/>
      <c r="NT639" s="133"/>
      <c r="NU639" s="133"/>
      <c r="NV639" s="133"/>
      <c r="NW639" s="133"/>
      <c r="NX639" s="133"/>
      <c r="NY639" s="133"/>
      <c r="NZ639" s="133"/>
      <c r="OA639" s="133"/>
      <c r="OB639" s="133"/>
      <c r="OC639" s="133"/>
      <c r="OD639" s="133"/>
      <c r="OE639" s="133"/>
      <c r="OF639" s="133"/>
      <c r="OG639" s="133"/>
      <c r="OH639" s="133"/>
      <c r="OI639" s="133"/>
      <c r="OJ639" s="133"/>
      <c r="OK639" s="133"/>
      <c r="OL639" s="133"/>
      <c r="OM639" s="133"/>
      <c r="ON639" s="133"/>
      <c r="OO639" s="133"/>
      <c r="OP639" s="133"/>
      <c r="OQ639" s="133"/>
      <c r="OR639" s="133"/>
      <c r="OS639" s="133"/>
      <c r="OT639" s="133"/>
      <c r="OU639" s="133"/>
      <c r="OV639" s="133"/>
      <c r="OW639" s="133"/>
      <c r="OX639" s="133"/>
      <c r="OY639" s="133"/>
      <c r="OZ639" s="133"/>
      <c r="PA639" s="133"/>
      <c r="PB639" s="133"/>
      <c r="PC639" s="133"/>
      <c r="PD639" s="133"/>
      <c r="PE639" s="133"/>
      <c r="PF639" s="133"/>
      <c r="PG639" s="133"/>
      <c r="PH639" s="133"/>
      <c r="PI639" s="133"/>
      <c r="PJ639" s="133"/>
      <c r="PK639" s="133"/>
      <c r="PL639" s="133"/>
      <c r="PM639" s="133"/>
      <c r="PN639" s="133"/>
      <c r="PO639" s="133"/>
      <c r="PP639" s="133"/>
      <c r="PQ639" s="133"/>
      <c r="PR639" s="133"/>
      <c r="PS639" s="133"/>
      <c r="PT639" s="133"/>
      <c r="PU639" s="133"/>
      <c r="PV639" s="133"/>
      <c r="PW639" s="133"/>
      <c r="PX639" s="133"/>
      <c r="PY639" s="133"/>
      <c r="PZ639" s="133"/>
      <c r="QA639" s="133"/>
      <c r="QB639" s="133"/>
      <c r="QC639" s="133"/>
      <c r="QD639" s="133"/>
      <c r="QE639" s="133"/>
      <c r="QF639" s="133"/>
      <c r="QG639" s="133"/>
      <c r="QH639" s="133"/>
      <c r="QI639" s="133"/>
      <c r="QJ639" s="133"/>
      <c r="QK639" s="133"/>
      <c r="QL639" s="133"/>
      <c r="QM639" s="133"/>
      <c r="QN639" s="133"/>
      <c r="QO639" s="133"/>
      <c r="QP639" s="133"/>
      <c r="QQ639" s="133"/>
      <c r="QR639" s="133"/>
      <c r="QS639" s="133"/>
      <c r="QT639" s="133"/>
      <c r="QU639" s="133"/>
      <c r="QV639" s="133"/>
      <c r="QW639" s="133"/>
      <c r="QX639" s="133"/>
      <c r="QY639" s="133"/>
      <c r="QZ639" s="133"/>
      <c r="RA639" s="133"/>
      <c r="RB639" s="133"/>
      <c r="RC639" s="133"/>
      <c r="RD639" s="133"/>
      <c r="RE639" s="133"/>
      <c r="RF639" s="133"/>
      <c r="RG639" s="133"/>
      <c r="RH639" s="133"/>
      <c r="RI639" s="133"/>
      <c r="RJ639" s="133"/>
      <c r="RK639" s="133"/>
      <c r="RL639" s="133"/>
      <c r="RM639" s="133"/>
      <c r="RN639" s="133"/>
      <c r="RO639" s="133"/>
      <c r="RP639" s="133"/>
      <c r="RQ639" s="133"/>
      <c r="RR639" s="133"/>
      <c r="RS639" s="133"/>
      <c r="RT639" s="133"/>
      <c r="RU639" s="133"/>
      <c r="RV639" s="133"/>
      <c r="RW639" s="133"/>
      <c r="RX639" s="133"/>
      <c r="RY639" s="133"/>
      <c r="RZ639" s="133"/>
      <c r="SA639" s="133"/>
      <c r="SB639" s="133"/>
      <c r="SC639" s="133"/>
      <c r="SD639" s="133"/>
      <c r="SE639" s="133"/>
      <c r="SF639" s="133"/>
      <c r="SG639" s="133"/>
      <c r="SH639" s="133"/>
      <c r="SI639" s="133"/>
      <c r="SJ639" s="133"/>
      <c r="SK639" s="133"/>
      <c r="SL639" s="133"/>
      <c r="SM639" s="133"/>
      <c r="SN639" s="133"/>
      <c r="SO639" s="133"/>
      <c r="SP639" s="133"/>
      <c r="SQ639" s="133"/>
      <c r="SR639" s="133"/>
      <c r="SS639" s="133"/>
      <c r="ST639" s="133"/>
      <c r="SU639" s="133"/>
      <c r="SV639" s="133"/>
      <c r="SW639" s="133"/>
      <c r="SX639" s="133"/>
      <c r="SY639" s="133"/>
      <c r="SZ639" s="133"/>
      <c r="TA639" s="133"/>
      <c r="TB639" s="133"/>
      <c r="TC639" s="133"/>
      <c r="TD639" s="133"/>
      <c r="TE639" s="133"/>
      <c r="TF639" s="133"/>
      <c r="TG639" s="133"/>
      <c r="TH639" s="133"/>
      <c r="TI639" s="133"/>
      <c r="TJ639" s="133"/>
      <c r="TK639" s="133"/>
      <c r="TL639" s="133"/>
      <c r="TM639" s="133"/>
      <c r="TN639" s="133"/>
      <c r="TO639" s="133"/>
      <c r="TP639" s="133"/>
      <c r="TQ639" s="133"/>
      <c r="TR639" s="133"/>
      <c r="TS639" s="133"/>
      <c r="TT639" s="133"/>
      <c r="TU639" s="133"/>
      <c r="TV639" s="133"/>
      <c r="TW639" s="133"/>
      <c r="TX639" s="133"/>
      <c r="TY639" s="133"/>
      <c r="TZ639" s="133"/>
      <c r="UA639" s="133"/>
      <c r="UB639" s="133"/>
      <c r="UC639" s="133"/>
      <c r="UD639" s="133"/>
      <c r="UE639" s="133"/>
      <c r="UF639" s="133"/>
      <c r="UG639" s="133"/>
      <c r="UH639" s="133"/>
      <c r="UI639" s="133"/>
      <c r="UJ639" s="133"/>
      <c r="UK639" s="133"/>
      <c r="UL639" s="133"/>
      <c r="UM639" s="133"/>
      <c r="UN639" s="133"/>
      <c r="UO639" s="133"/>
      <c r="UP639" s="133"/>
      <c r="UQ639" s="133"/>
      <c r="UR639" s="133"/>
      <c r="US639" s="133"/>
      <c r="UT639" s="133"/>
      <c r="UU639" s="133"/>
      <c r="UV639" s="133"/>
      <c r="UW639" s="133"/>
      <c r="UX639" s="133"/>
      <c r="UY639" s="133"/>
      <c r="UZ639" s="133"/>
      <c r="VA639" s="133"/>
      <c r="VB639" s="133"/>
      <c r="VC639" s="133"/>
      <c r="VD639" s="133"/>
      <c r="VE639" s="133"/>
      <c r="VF639" s="133"/>
      <c r="VG639" s="133"/>
      <c r="VH639" s="133"/>
      <c r="VI639" s="133"/>
      <c r="VJ639" s="133"/>
      <c r="VK639" s="133"/>
      <c r="VL639" s="133"/>
      <c r="VM639" s="133"/>
      <c r="VN639" s="133"/>
      <c r="VO639" s="133"/>
      <c r="VP639" s="133"/>
      <c r="VQ639" s="133"/>
      <c r="VR639" s="133"/>
      <c r="VS639" s="133"/>
      <c r="VT639" s="133"/>
      <c r="VU639" s="133"/>
      <c r="VV639" s="133"/>
      <c r="VW639" s="133"/>
      <c r="VX639" s="133"/>
      <c r="VY639" s="133"/>
      <c r="VZ639" s="133"/>
      <c r="WA639" s="133"/>
      <c r="WB639" s="133"/>
      <c r="WC639" s="133"/>
      <c r="WD639" s="133"/>
      <c r="WE639" s="133"/>
      <c r="WF639" s="133"/>
      <c r="WG639" s="133"/>
      <c r="WH639" s="133"/>
      <c r="WI639" s="133"/>
      <c r="WJ639" s="133"/>
      <c r="WK639" s="133"/>
      <c r="WL639" s="133"/>
      <c r="WM639" s="133"/>
      <c r="WN639" s="133"/>
      <c r="WO639" s="133"/>
      <c r="WP639" s="133"/>
      <c r="WQ639" s="133"/>
      <c r="WR639" s="133"/>
      <c r="WS639" s="133"/>
      <c r="WT639" s="133"/>
      <c r="WU639" s="133"/>
      <c r="WV639" s="133"/>
      <c r="WW639" s="133"/>
      <c r="WX639" s="133"/>
      <c r="WY639" s="133"/>
      <c r="WZ639" s="133"/>
      <c r="XA639" s="133"/>
      <c r="XB639" s="133"/>
      <c r="XC639" s="133"/>
      <c r="XD639" s="133"/>
      <c r="XE639" s="133"/>
      <c r="XF639" s="133"/>
      <c r="XG639" s="133"/>
      <c r="XH639" s="133"/>
      <c r="XI639" s="133"/>
      <c r="XJ639" s="133"/>
      <c r="XK639" s="133"/>
      <c r="XL639" s="133"/>
      <c r="XM639" s="133"/>
      <c r="XN639" s="133"/>
      <c r="XO639" s="133"/>
      <c r="XP639" s="133"/>
      <c r="XQ639" s="133"/>
      <c r="XR639" s="133"/>
      <c r="XS639" s="133"/>
      <c r="XT639" s="133"/>
      <c r="XU639" s="133"/>
      <c r="XV639" s="133"/>
      <c r="XW639" s="133"/>
      <c r="XX639" s="133"/>
      <c r="XY639" s="133"/>
      <c r="XZ639" s="133"/>
      <c r="YA639" s="133"/>
      <c r="YB639" s="133"/>
      <c r="YC639" s="133"/>
      <c r="YD639" s="133"/>
      <c r="YE639" s="133"/>
      <c r="YF639" s="133"/>
      <c r="YG639" s="133"/>
      <c r="YH639" s="133"/>
      <c r="YI639" s="133"/>
      <c r="YJ639" s="133"/>
      <c r="YK639" s="133"/>
      <c r="YL639" s="133"/>
      <c r="YM639" s="133"/>
      <c r="YN639" s="133"/>
      <c r="YO639" s="133"/>
      <c r="YP639" s="133"/>
      <c r="YQ639" s="133"/>
      <c r="YR639" s="133"/>
      <c r="YS639" s="133"/>
      <c r="YT639" s="133"/>
      <c r="YU639" s="133"/>
      <c r="YV639" s="133"/>
      <c r="YW639" s="133"/>
      <c r="YX639" s="133"/>
      <c r="YY639" s="133"/>
      <c r="YZ639" s="133"/>
      <c r="ZA639" s="133"/>
      <c r="ZB639" s="133"/>
      <c r="ZC639" s="133"/>
      <c r="ZD639" s="133"/>
      <c r="ZE639" s="133"/>
      <c r="ZF639" s="133"/>
      <c r="ZG639" s="133"/>
      <c r="ZH639" s="133"/>
      <c r="ZI639" s="133"/>
      <c r="ZJ639" s="133"/>
      <c r="ZK639" s="133"/>
      <c r="ZL639" s="133"/>
      <c r="ZM639" s="133"/>
      <c r="ZN639" s="133"/>
      <c r="ZO639" s="133"/>
      <c r="ZP639" s="133"/>
      <c r="ZQ639" s="133"/>
      <c r="ZR639" s="133"/>
      <c r="ZS639" s="133"/>
      <c r="ZT639" s="133"/>
      <c r="ZU639" s="133"/>
      <c r="ZV639" s="133"/>
      <c r="ZW639" s="133"/>
      <c r="ZX639" s="133"/>
      <c r="ZY639" s="133"/>
      <c r="ZZ639" s="133"/>
      <c r="AAA639" s="133"/>
      <c r="AAB639" s="133"/>
      <c r="AAC639" s="133"/>
      <c r="AAD639" s="133"/>
      <c r="AAE639" s="133"/>
      <c r="AAF639" s="133"/>
      <c r="AAG639" s="133"/>
      <c r="AAH639" s="133"/>
      <c r="AAI639" s="133"/>
      <c r="AAJ639" s="133"/>
      <c r="AAK639" s="133"/>
      <c r="AAL639" s="133"/>
      <c r="AAM639" s="133"/>
      <c r="AAN639" s="133"/>
      <c r="AAO639" s="133"/>
      <c r="AAP639" s="133"/>
      <c r="AAQ639" s="133"/>
      <c r="AAR639" s="133"/>
      <c r="AAS639" s="133"/>
      <c r="AAT639" s="133"/>
      <c r="AAU639" s="133"/>
      <c r="AAV639" s="133"/>
      <c r="AAW639" s="133"/>
      <c r="AAX639" s="133"/>
      <c r="AAY639" s="133"/>
      <c r="AAZ639" s="133"/>
      <c r="ABA639" s="133"/>
      <c r="ABB639" s="133"/>
      <c r="ABC639" s="133"/>
      <c r="ABD639" s="133"/>
      <c r="ABE639" s="133"/>
      <c r="ABF639" s="133"/>
      <c r="ABG639" s="133"/>
      <c r="ABH639" s="133"/>
      <c r="ABI639" s="133"/>
      <c r="ABJ639" s="133"/>
      <c r="ABK639" s="133"/>
      <c r="ABL639" s="133"/>
      <c r="ABM639" s="133"/>
      <c r="ABN639" s="133"/>
      <c r="ABO639" s="133"/>
      <c r="ABP639" s="133"/>
      <c r="ABQ639" s="133"/>
      <c r="ABR639" s="133"/>
      <c r="ABS639" s="133"/>
      <c r="ABT639" s="133"/>
      <c r="ABU639" s="133"/>
      <c r="ABV639" s="133"/>
      <c r="ABW639" s="133"/>
      <c r="ABX639" s="133"/>
      <c r="ABY639" s="133"/>
      <c r="ABZ639" s="133"/>
      <c r="ACA639" s="133"/>
      <c r="ACB639" s="133"/>
      <c r="ACC639" s="133"/>
      <c r="ACD639" s="133"/>
      <c r="ACE639" s="133"/>
      <c r="ACF639" s="133"/>
      <c r="ACG639" s="133"/>
      <c r="ACH639" s="133"/>
      <c r="ACI639" s="133"/>
      <c r="ACJ639" s="133"/>
      <c r="ACK639" s="133"/>
      <c r="ACL639" s="133"/>
      <c r="ACM639" s="133"/>
      <c r="ACN639" s="133"/>
      <c r="ACO639" s="133"/>
      <c r="ACP639" s="133"/>
      <c r="ACQ639" s="133"/>
      <c r="ACR639" s="133"/>
      <c r="ACS639" s="133"/>
      <c r="ACT639" s="133"/>
      <c r="ACU639" s="133"/>
      <c r="ACV639" s="133"/>
      <c r="ACW639" s="133"/>
      <c r="ACX639" s="133"/>
      <c r="ACY639" s="133"/>
      <c r="ACZ639" s="133"/>
      <c r="ADA639" s="133"/>
      <c r="ADB639" s="133"/>
      <c r="ADC639" s="133"/>
      <c r="ADD639" s="133"/>
      <c r="ADE639" s="133"/>
      <c r="ADF639" s="133"/>
      <c r="ADG639" s="133"/>
      <c r="ADH639" s="133"/>
      <c r="ADI639" s="133"/>
      <c r="ADJ639" s="133"/>
      <c r="ADK639" s="133"/>
      <c r="ADL639" s="133"/>
      <c r="ADM639" s="133"/>
      <c r="ADN639" s="133"/>
      <c r="ADO639" s="133"/>
      <c r="ADP639" s="133"/>
      <c r="ADQ639" s="133"/>
      <c r="ADR639" s="133"/>
      <c r="ADS639" s="133"/>
      <c r="ADT639" s="133"/>
      <c r="ADU639" s="133"/>
      <c r="ADV639" s="133"/>
      <c r="ADW639" s="133"/>
      <c r="ADX639" s="133"/>
      <c r="ADY639" s="133"/>
      <c r="ADZ639" s="133"/>
      <c r="AEA639" s="133"/>
      <c r="AEB639" s="133"/>
      <c r="AEC639" s="133"/>
      <c r="AED639" s="133"/>
      <c r="AEE639" s="133"/>
      <c r="AEF639" s="133"/>
      <c r="AEG639" s="133"/>
      <c r="AEH639" s="133"/>
      <c r="AEI639" s="133"/>
      <c r="AEJ639" s="133"/>
      <c r="AEK639" s="133"/>
      <c r="AEL639" s="133"/>
      <c r="AEM639" s="133"/>
      <c r="AEN639" s="133"/>
      <c r="AEO639" s="133"/>
      <c r="AEP639" s="133"/>
      <c r="AEQ639" s="133"/>
      <c r="AER639" s="133"/>
      <c r="AES639" s="133"/>
      <c r="AET639" s="133"/>
      <c r="AEU639" s="133"/>
      <c r="AEV639" s="133"/>
      <c r="AEW639" s="133"/>
      <c r="AEX639" s="133"/>
      <c r="AEY639" s="133"/>
      <c r="AEZ639" s="133"/>
      <c r="AFA639" s="133"/>
      <c r="AFB639" s="133"/>
      <c r="AFC639" s="133"/>
      <c r="AFD639" s="133"/>
      <c r="AFE639" s="133"/>
      <c r="AFF639" s="133"/>
      <c r="AFG639" s="133"/>
      <c r="AFH639" s="133"/>
      <c r="AFI639" s="133"/>
      <c r="AFJ639" s="133"/>
      <c r="AFK639" s="133"/>
      <c r="AFL639" s="133"/>
      <c r="AFM639" s="133"/>
      <c r="AFN639" s="133"/>
      <c r="AFO639" s="133"/>
      <c r="AFP639" s="133"/>
      <c r="AFQ639" s="133"/>
      <c r="AFR639" s="133"/>
      <c r="AFS639" s="133"/>
      <c r="AFT639" s="133"/>
      <c r="AFU639" s="133"/>
      <c r="AFV639" s="133"/>
      <c r="AFW639" s="133"/>
      <c r="AFX639" s="133"/>
      <c r="AFY639" s="133"/>
      <c r="AFZ639" s="133"/>
      <c r="AGA639" s="133"/>
      <c r="AGB639" s="133"/>
      <c r="AGC639" s="133"/>
      <c r="AGD639" s="133"/>
      <c r="AGE639" s="133"/>
      <c r="AGF639" s="133"/>
      <c r="AGG639" s="133"/>
      <c r="AGH639" s="133"/>
      <c r="AGI639" s="133"/>
      <c r="AGJ639" s="133"/>
      <c r="AGK639" s="133"/>
      <c r="AGL639" s="133"/>
      <c r="AGM639" s="133"/>
      <c r="AGN639" s="133"/>
      <c r="AGO639" s="133"/>
      <c r="AGP639" s="133"/>
      <c r="AGQ639" s="133"/>
      <c r="AGR639" s="133"/>
      <c r="AGS639" s="133"/>
      <c r="AGT639" s="133"/>
      <c r="AGU639" s="133"/>
      <c r="AGV639" s="133"/>
      <c r="AGW639" s="133"/>
      <c r="AGX639" s="133"/>
      <c r="AGY639" s="133"/>
      <c r="AGZ639" s="133"/>
      <c r="AHA639" s="133"/>
      <c r="AHB639" s="133"/>
      <c r="AHC639" s="133"/>
      <c r="AHD639" s="133"/>
      <c r="AHE639" s="133"/>
      <c r="AHF639" s="133"/>
      <c r="AHG639" s="133"/>
      <c r="AHH639" s="133"/>
      <c r="AHI639" s="133"/>
      <c r="AHJ639" s="133"/>
      <c r="AHK639" s="133"/>
      <c r="AHL639" s="133"/>
      <c r="AHM639" s="133"/>
      <c r="AHN639" s="133"/>
      <c r="AHO639" s="133"/>
      <c r="AHP639" s="133"/>
      <c r="AHQ639" s="133"/>
      <c r="AHR639" s="133"/>
      <c r="AHS639" s="133"/>
      <c r="AHT639" s="133"/>
      <c r="AHU639" s="133"/>
      <c r="AHV639" s="133"/>
      <c r="AHW639" s="133"/>
      <c r="AHX639" s="133"/>
      <c r="AHY639" s="133"/>
      <c r="AHZ639" s="133"/>
      <c r="AIA639" s="133"/>
      <c r="AIB639" s="133"/>
      <c r="AIC639" s="133"/>
      <c r="AID639" s="133"/>
      <c r="AIE639" s="133"/>
      <c r="AIF639" s="133"/>
      <c r="AIG639" s="133"/>
      <c r="AIH639" s="133"/>
      <c r="AII639" s="133"/>
      <c r="AIJ639" s="133"/>
      <c r="AIK639" s="133"/>
      <c r="AIL639" s="133"/>
      <c r="AIM639" s="133"/>
      <c r="AIN639" s="133"/>
      <c r="AIO639" s="133"/>
      <c r="AIP639" s="133"/>
      <c r="AIQ639" s="133"/>
      <c r="AIR639" s="133"/>
      <c r="AIS639" s="133"/>
      <c r="AIT639" s="133"/>
      <c r="AIU639" s="133"/>
      <c r="AIV639" s="133"/>
      <c r="AIW639" s="133"/>
      <c r="AIX639" s="133"/>
      <c r="AIY639" s="133"/>
      <c r="AIZ639" s="133"/>
      <c r="AJA639" s="133"/>
      <c r="AJB639" s="133"/>
      <c r="AJC639" s="133"/>
      <c r="AJD639" s="133"/>
      <c r="AJE639" s="133"/>
      <c r="AJF639" s="133"/>
      <c r="AJG639" s="133"/>
      <c r="AJH639" s="133"/>
      <c r="AJI639" s="133"/>
      <c r="AJJ639" s="133"/>
      <c r="AJK639" s="133"/>
      <c r="AJL639" s="133"/>
      <c r="AJM639" s="133"/>
      <c r="AJN639" s="133"/>
      <c r="AJO639" s="133"/>
      <c r="AJP639" s="133"/>
      <c r="AJQ639" s="133"/>
      <c r="AJR639" s="133"/>
      <c r="AJS639" s="133"/>
      <c r="AJT639" s="133"/>
      <c r="AJU639" s="133"/>
      <c r="AJV639" s="133"/>
      <c r="AJW639" s="133"/>
      <c r="AJX639" s="133"/>
      <c r="AJY639" s="133"/>
      <c r="AJZ639" s="133"/>
      <c r="AKA639" s="133"/>
      <c r="AKB639" s="133"/>
      <c r="AKC639" s="133"/>
      <c r="AKD639" s="133"/>
      <c r="AKE639" s="133"/>
      <c r="AKF639" s="133"/>
      <c r="AKG639" s="133"/>
      <c r="AKH639" s="133"/>
      <c r="AKI639" s="133"/>
      <c r="AKJ639" s="133"/>
      <c r="AKK639" s="133"/>
      <c r="AKL639" s="133"/>
      <c r="AKM639" s="133"/>
      <c r="AKN639" s="133"/>
      <c r="AKO639" s="133"/>
      <c r="AKP639" s="133"/>
      <c r="AKQ639" s="133"/>
      <c r="AKR639" s="133"/>
      <c r="AKS639" s="133"/>
      <c r="AKT639" s="133"/>
      <c r="AKU639" s="133"/>
      <c r="AKV639" s="133"/>
      <c r="AKW639" s="133"/>
      <c r="AKX639" s="133"/>
      <c r="AKY639" s="133"/>
      <c r="AKZ639" s="133"/>
      <c r="ALA639" s="133"/>
      <c r="ALB639" s="133"/>
      <c r="ALC639" s="133"/>
      <c r="ALD639" s="133"/>
      <c r="ALE639" s="133"/>
      <c r="ALF639" s="133"/>
      <c r="ALG639" s="133"/>
      <c r="ALH639" s="133"/>
      <c r="ALI639" s="133"/>
      <c r="ALJ639" s="133"/>
      <c r="ALK639" s="133"/>
      <c r="ALL639" s="133"/>
      <c r="ALM639" s="133"/>
      <c r="ALN639" s="133"/>
      <c r="ALO639" s="133"/>
      <c r="ALP639" s="133"/>
      <c r="ALQ639" s="133"/>
      <c r="ALR639" s="133"/>
      <c r="ALS639" s="133"/>
      <c r="ALT639" s="133"/>
      <c r="ALU639" s="133"/>
      <c r="ALV639" s="133"/>
      <c r="ALW639" s="133"/>
      <c r="ALX639" s="133"/>
      <c r="ALY639" s="133"/>
      <c r="ALZ639" s="133"/>
      <c r="AMA639" s="133"/>
      <c r="AMB639" s="133"/>
      <c r="AMC639" s="133"/>
      <c r="AMD639" s="133"/>
      <c r="AME639" s="133"/>
      <c r="AMF639" s="133"/>
      <c r="AMG639" s="133"/>
      <c r="AMH639" s="133"/>
      <c r="AMI639" s="133"/>
      <c r="AMJ639" s="133"/>
      <c r="AMK639" s="133"/>
      <c r="AML639" s="133"/>
      <c r="AMM639" s="133"/>
      <c r="AMN639" s="133"/>
      <c r="AMO639" s="133"/>
      <c r="AMP639" s="133"/>
      <c r="AMQ639" s="133"/>
      <c r="AMR639" s="133"/>
      <c r="AMS639" s="133"/>
      <c r="AMT639" s="133"/>
      <c r="AMU639" s="133"/>
      <c r="AMV639" s="133"/>
      <c r="AMW639" s="133"/>
      <c r="AMX639" s="133"/>
      <c r="AMY639" s="133"/>
      <c r="AMZ639" s="133"/>
      <c r="ANA639" s="133"/>
      <c r="ANB639" s="133"/>
      <c r="ANC639" s="133"/>
      <c r="AND639" s="133"/>
      <c r="ANE639" s="133"/>
      <c r="ANF639" s="133"/>
      <c r="ANG639" s="133"/>
      <c r="ANH639" s="133"/>
      <c r="ANI639" s="133"/>
      <c r="ANJ639" s="133"/>
      <c r="ANK639" s="133"/>
      <c r="ANL639" s="133"/>
      <c r="ANM639" s="133"/>
      <c r="ANN639" s="133"/>
      <c r="ANO639" s="133"/>
      <c r="ANP639" s="133"/>
      <c r="ANQ639" s="133"/>
      <c r="ANR639" s="133"/>
      <c r="ANS639" s="133"/>
      <c r="ANT639" s="133"/>
      <c r="ANU639" s="133"/>
      <c r="ANV639" s="133"/>
      <c r="ANW639" s="133"/>
      <c r="ANX639" s="133"/>
      <c r="ANY639" s="133"/>
      <c r="ANZ639" s="133"/>
      <c r="AOA639" s="133"/>
      <c r="AOB639" s="133"/>
      <c r="AOC639" s="133"/>
      <c r="AOD639" s="133"/>
      <c r="AOE639" s="133"/>
      <c r="AOF639" s="133"/>
      <c r="AOG639" s="133"/>
      <c r="AOH639" s="133"/>
      <c r="AOI639" s="133"/>
      <c r="AOJ639" s="133"/>
      <c r="AOK639" s="133"/>
      <c r="AOL639" s="133"/>
      <c r="AOM639" s="133"/>
      <c r="AON639" s="133"/>
      <c r="AOO639" s="133"/>
      <c r="AOP639" s="133"/>
      <c r="AOQ639" s="133"/>
      <c r="AOR639" s="133"/>
      <c r="AOS639" s="133"/>
      <c r="AOT639" s="133"/>
      <c r="AOU639" s="133"/>
      <c r="AOV639" s="133"/>
      <c r="AOW639" s="133"/>
      <c r="AOX639" s="133"/>
      <c r="AOY639" s="133"/>
      <c r="AOZ639" s="133"/>
      <c r="APA639" s="133"/>
      <c r="APB639" s="133"/>
      <c r="APC639" s="133"/>
      <c r="APD639" s="133"/>
      <c r="APE639" s="133"/>
      <c r="APF639" s="133"/>
      <c r="APG639" s="133"/>
      <c r="APH639" s="133"/>
      <c r="API639" s="133"/>
      <c r="APJ639" s="133"/>
      <c r="APK639" s="133"/>
      <c r="APL639" s="133"/>
      <c r="APM639" s="133"/>
      <c r="APN639" s="133"/>
      <c r="APO639" s="133"/>
      <c r="APP639" s="133"/>
      <c r="APQ639" s="133"/>
      <c r="APR639" s="133"/>
      <c r="APS639" s="133"/>
      <c r="APT639" s="133"/>
      <c r="APU639" s="133"/>
      <c r="APV639" s="133"/>
      <c r="APW639" s="133"/>
      <c r="APX639" s="133"/>
      <c r="APY639" s="133"/>
      <c r="APZ639" s="133"/>
      <c r="AQA639" s="133"/>
      <c r="AQB639" s="133"/>
      <c r="AQC639" s="133"/>
      <c r="AQD639" s="133"/>
      <c r="AQE639" s="133"/>
      <c r="AQF639" s="133"/>
      <c r="AQG639" s="133"/>
      <c r="AQH639" s="133"/>
      <c r="AQI639" s="133"/>
      <c r="AQJ639" s="133"/>
      <c r="AQK639" s="133"/>
      <c r="AQL639" s="133"/>
      <c r="AQM639" s="133"/>
      <c r="AQN639" s="133"/>
      <c r="AQO639" s="133"/>
      <c r="AQP639" s="133"/>
      <c r="AQQ639" s="133"/>
      <c r="AQR639" s="133"/>
      <c r="AQS639" s="133"/>
      <c r="AQT639" s="133"/>
      <c r="AQU639" s="133"/>
      <c r="AQV639" s="133"/>
      <c r="AQW639" s="133"/>
      <c r="AQX639" s="133"/>
      <c r="AQY639" s="133"/>
      <c r="AQZ639" s="133"/>
      <c r="ARA639" s="133"/>
      <c r="ARB639" s="133"/>
      <c r="ARC639" s="133"/>
      <c r="ARD639" s="133"/>
      <c r="ARE639" s="133"/>
      <c r="ARF639" s="133"/>
      <c r="ARG639" s="133"/>
      <c r="ARH639" s="133"/>
      <c r="ARI639" s="133"/>
      <c r="ARJ639" s="133"/>
      <c r="ARK639" s="133"/>
      <c r="ARL639" s="133"/>
      <c r="ARM639" s="133"/>
      <c r="ARN639" s="133"/>
      <c r="ARO639" s="133"/>
      <c r="ARP639" s="133"/>
      <c r="ARQ639" s="133"/>
      <c r="ARR639" s="133"/>
      <c r="ARS639" s="133"/>
      <c r="ART639" s="133"/>
      <c r="ARU639" s="133"/>
      <c r="ARV639" s="133"/>
      <c r="ARW639" s="133"/>
      <c r="ARX639" s="133"/>
      <c r="ARY639" s="133"/>
      <c r="ARZ639" s="133"/>
      <c r="ASA639" s="133"/>
      <c r="ASB639" s="133"/>
      <c r="ASC639" s="133"/>
      <c r="ASD639" s="133"/>
      <c r="ASE639" s="133"/>
      <c r="ASF639" s="133"/>
      <c r="ASG639" s="133"/>
      <c r="ASH639" s="133"/>
      <c r="ASI639" s="133"/>
      <c r="ASJ639" s="133"/>
      <c r="ASK639" s="133"/>
      <c r="ASL639" s="133"/>
      <c r="ASM639" s="133"/>
      <c r="ASN639" s="133"/>
      <c r="ASO639" s="133"/>
      <c r="ASP639" s="133"/>
      <c r="ASQ639" s="133"/>
      <c r="ASR639" s="133"/>
      <c r="ASS639" s="133"/>
      <c r="AST639" s="133"/>
      <c r="ASU639" s="133"/>
      <c r="ASV639" s="133"/>
      <c r="ASW639" s="133"/>
      <c r="ASX639" s="133"/>
      <c r="ASY639" s="133"/>
      <c r="ASZ639" s="133"/>
      <c r="ATA639" s="133"/>
      <c r="ATB639" s="133"/>
      <c r="ATC639" s="133"/>
      <c r="ATD639" s="133"/>
      <c r="ATE639" s="133"/>
      <c r="ATF639" s="133"/>
      <c r="ATG639" s="133"/>
      <c r="ATH639" s="133"/>
      <c r="ATI639" s="133"/>
      <c r="ATJ639" s="133"/>
      <c r="ATK639" s="133"/>
      <c r="ATL639" s="133"/>
      <c r="ATM639" s="133"/>
      <c r="ATN639" s="133"/>
      <c r="ATO639" s="133"/>
      <c r="ATP639" s="133"/>
      <c r="ATQ639" s="133"/>
      <c r="ATR639" s="133"/>
      <c r="ATS639" s="133"/>
      <c r="ATT639" s="133"/>
      <c r="ATU639" s="133"/>
      <c r="ATV639" s="133"/>
      <c r="ATW639" s="133"/>
      <c r="ATX639" s="133"/>
      <c r="ATY639" s="133"/>
      <c r="ATZ639" s="133"/>
      <c r="AUA639" s="133"/>
      <c r="AUB639" s="133"/>
      <c r="AUC639" s="133"/>
      <c r="AUD639" s="133"/>
      <c r="AUE639" s="133"/>
      <c r="AUF639" s="133"/>
      <c r="AUG639" s="133"/>
      <c r="AUH639" s="133"/>
      <c r="AUI639" s="133"/>
      <c r="AUJ639" s="133"/>
      <c r="AUK639" s="133"/>
      <c r="AUL639" s="133"/>
      <c r="AUM639" s="133"/>
      <c r="AUN639" s="133"/>
      <c r="AUO639" s="133"/>
      <c r="AUP639" s="133"/>
      <c r="AUQ639" s="133"/>
      <c r="AUR639" s="133"/>
      <c r="AUS639" s="133"/>
      <c r="AUT639" s="133"/>
      <c r="AUU639" s="133"/>
      <c r="AUV639" s="133"/>
      <c r="AUW639" s="133"/>
      <c r="AUX639" s="133"/>
      <c r="AUY639" s="133"/>
      <c r="AUZ639" s="133"/>
      <c r="AVA639" s="133"/>
      <c r="AVB639" s="133"/>
      <c r="AVC639" s="133"/>
      <c r="AVD639" s="133"/>
      <c r="AVE639" s="133"/>
      <c r="AVF639" s="133"/>
      <c r="AVG639" s="133"/>
      <c r="AVH639" s="133"/>
      <c r="AVI639" s="133"/>
      <c r="AVJ639" s="133"/>
      <c r="AVK639" s="133"/>
      <c r="AVL639" s="133"/>
      <c r="AVM639" s="133"/>
      <c r="AVN639" s="133"/>
      <c r="AVO639" s="133"/>
      <c r="AVP639" s="133"/>
      <c r="AVQ639" s="133"/>
      <c r="AVR639" s="133"/>
      <c r="AVS639" s="133"/>
      <c r="AVT639" s="133"/>
      <c r="AVU639" s="133"/>
      <c r="AVV639" s="133"/>
      <c r="AVW639" s="133"/>
      <c r="AVX639" s="133"/>
      <c r="AVY639" s="133"/>
      <c r="AVZ639" s="133"/>
      <c r="AWA639" s="133"/>
      <c r="AWB639" s="133"/>
      <c r="AWC639" s="133"/>
      <c r="AWD639" s="133"/>
      <c r="AWE639" s="133"/>
      <c r="AWF639" s="133"/>
      <c r="AWG639" s="133"/>
      <c r="AWH639" s="133"/>
      <c r="AWI639" s="133"/>
      <c r="AWJ639" s="133"/>
      <c r="AWK639" s="133"/>
      <c r="AWL639" s="133"/>
      <c r="AWM639" s="133"/>
      <c r="AWN639" s="133"/>
      <c r="AWO639" s="133"/>
      <c r="AWP639" s="133"/>
      <c r="AWQ639" s="133"/>
      <c r="AWR639" s="133"/>
      <c r="AWS639" s="133"/>
      <c r="AWT639" s="133"/>
      <c r="AWU639" s="133"/>
      <c r="AWV639" s="133"/>
      <c r="AWW639" s="133"/>
      <c r="AWX639" s="133"/>
      <c r="AWY639" s="133"/>
      <c r="AWZ639" s="133"/>
      <c r="AXA639" s="133"/>
      <c r="AXB639" s="133"/>
      <c r="AXC639" s="133"/>
      <c r="AXD639" s="133"/>
      <c r="AXE639" s="133"/>
      <c r="AXF639" s="133"/>
      <c r="AXG639" s="133"/>
      <c r="AXH639" s="133"/>
      <c r="AXI639" s="133"/>
      <c r="AXJ639" s="133"/>
      <c r="AXK639" s="133"/>
      <c r="AXL639" s="133"/>
      <c r="AXM639" s="133"/>
      <c r="AXN639" s="133"/>
      <c r="AXO639" s="133"/>
      <c r="AXP639" s="133"/>
      <c r="AXQ639" s="133"/>
      <c r="AXR639" s="133"/>
      <c r="AXS639" s="133"/>
      <c r="AXT639" s="133"/>
      <c r="AXU639" s="133"/>
      <c r="AXV639" s="133"/>
      <c r="AXW639" s="133"/>
      <c r="AXX639" s="133"/>
      <c r="AXY639" s="133"/>
      <c r="AXZ639" s="133"/>
      <c r="AYA639" s="133"/>
      <c r="AYB639" s="133"/>
      <c r="AYC639" s="133"/>
      <c r="AYD639" s="133"/>
      <c r="AYE639" s="133"/>
      <c r="AYF639" s="133"/>
      <c r="AYG639" s="133"/>
      <c r="AYH639" s="133"/>
      <c r="AYI639" s="133"/>
      <c r="AYJ639" s="133"/>
      <c r="AYK639" s="133"/>
      <c r="AYL639" s="133"/>
      <c r="AYM639" s="133"/>
      <c r="AYN639" s="133"/>
      <c r="AYO639" s="133"/>
      <c r="AYP639" s="133"/>
      <c r="AYQ639" s="133"/>
      <c r="AYR639" s="133"/>
      <c r="AYS639" s="133"/>
      <c r="AYT639" s="133"/>
      <c r="AYU639" s="133"/>
      <c r="AYV639" s="133"/>
      <c r="AYW639" s="133"/>
      <c r="AYX639" s="133"/>
      <c r="AYY639" s="133"/>
      <c r="AYZ639" s="133"/>
      <c r="AZA639" s="133"/>
      <c r="AZB639" s="133"/>
      <c r="AZC639" s="133"/>
      <c r="AZD639" s="133"/>
      <c r="AZE639" s="133"/>
      <c r="AZF639" s="133"/>
      <c r="AZG639" s="133"/>
      <c r="AZH639" s="133"/>
      <c r="AZI639" s="133"/>
      <c r="AZJ639" s="133"/>
      <c r="AZK639" s="133"/>
      <c r="AZL639" s="133"/>
      <c r="AZM639" s="133"/>
      <c r="AZN639" s="133"/>
      <c r="AZO639" s="133"/>
      <c r="AZP639" s="133"/>
      <c r="AZQ639" s="133"/>
      <c r="AZR639" s="133"/>
      <c r="AZS639" s="133"/>
      <c r="AZT639" s="133"/>
      <c r="AZU639" s="133"/>
      <c r="AZV639" s="133"/>
      <c r="AZW639" s="133"/>
      <c r="AZX639" s="133"/>
      <c r="AZY639" s="133"/>
      <c r="AZZ639" s="133"/>
      <c r="BAA639" s="133"/>
      <c r="BAB639" s="133"/>
      <c r="BAC639" s="133"/>
      <c r="BAD639" s="133"/>
      <c r="BAE639" s="133"/>
      <c r="BAF639" s="133"/>
      <c r="BAG639" s="133"/>
      <c r="BAH639" s="133"/>
      <c r="BAI639" s="133"/>
      <c r="BAJ639" s="133"/>
      <c r="BAK639" s="133"/>
      <c r="BAL639" s="133"/>
      <c r="BAM639" s="133"/>
      <c r="BAN639" s="133"/>
      <c r="BAO639" s="133"/>
      <c r="BAP639" s="133"/>
      <c r="BAQ639" s="133"/>
      <c r="BAR639" s="133"/>
      <c r="BAS639" s="133"/>
      <c r="BAT639" s="133"/>
      <c r="BAU639" s="133"/>
      <c r="BAV639" s="133"/>
      <c r="BAW639" s="133"/>
      <c r="BAX639" s="133"/>
      <c r="BAY639" s="133"/>
      <c r="BAZ639" s="133"/>
      <c r="BBA639" s="133"/>
      <c r="BBB639" s="133"/>
      <c r="BBC639" s="133"/>
      <c r="BBD639" s="133"/>
      <c r="BBE639" s="133"/>
      <c r="BBF639" s="133"/>
      <c r="BBG639" s="133"/>
      <c r="BBH639" s="133"/>
      <c r="BBI639" s="133"/>
      <c r="BBJ639" s="133"/>
      <c r="BBK639" s="133"/>
      <c r="BBL639" s="133"/>
      <c r="BBM639" s="133"/>
      <c r="BBN639" s="133"/>
      <c r="BBO639" s="133"/>
      <c r="BBP639" s="133"/>
      <c r="BBQ639" s="133"/>
      <c r="BBR639" s="133"/>
      <c r="BBS639" s="133"/>
      <c r="BBT639" s="133"/>
      <c r="BBU639" s="133"/>
      <c r="BBV639" s="133"/>
      <c r="BBW639" s="133"/>
      <c r="BBX639" s="133"/>
      <c r="BBY639" s="133"/>
      <c r="BBZ639" s="133"/>
      <c r="BCA639" s="133"/>
      <c r="BCB639" s="133"/>
      <c r="BCC639" s="133"/>
      <c r="BCD639" s="133"/>
      <c r="BCE639" s="133"/>
      <c r="BCF639" s="133"/>
      <c r="BCG639" s="133"/>
      <c r="BCH639" s="133"/>
      <c r="BCI639" s="133"/>
      <c r="BCJ639" s="133"/>
      <c r="BCK639" s="133"/>
      <c r="BCL639" s="133"/>
      <c r="BCM639" s="133"/>
      <c r="BCN639" s="133"/>
      <c r="BCO639" s="133"/>
      <c r="BCP639" s="133"/>
      <c r="BCQ639" s="133"/>
      <c r="BCR639" s="133"/>
      <c r="BCS639" s="133"/>
      <c r="BCT639" s="133"/>
      <c r="BCU639" s="133"/>
      <c r="BCV639" s="133"/>
      <c r="BCW639" s="133"/>
      <c r="BCX639" s="133"/>
      <c r="BCY639" s="133"/>
      <c r="BCZ639" s="133"/>
      <c r="BDA639" s="133"/>
      <c r="BDB639" s="133"/>
      <c r="BDC639" s="133"/>
      <c r="BDD639" s="133"/>
      <c r="BDE639" s="133"/>
      <c r="BDF639" s="133"/>
      <c r="BDG639" s="133"/>
      <c r="BDH639" s="133"/>
      <c r="BDI639" s="133"/>
      <c r="BDJ639" s="133"/>
      <c r="BDK639" s="133"/>
      <c r="BDL639" s="133"/>
      <c r="BDM639" s="133"/>
      <c r="BDN639" s="133"/>
      <c r="BDO639" s="133"/>
      <c r="BDP639" s="133"/>
      <c r="BDQ639" s="133"/>
      <c r="BDR639" s="133"/>
      <c r="BDS639" s="133"/>
      <c r="BDT639" s="133"/>
      <c r="BDU639" s="133"/>
      <c r="BDV639" s="133"/>
      <c r="BDW639" s="133"/>
      <c r="BDX639" s="133"/>
      <c r="BDY639" s="133"/>
      <c r="BDZ639" s="133"/>
      <c r="BEA639" s="133"/>
      <c r="BEB639" s="133"/>
      <c r="BEC639" s="133"/>
      <c r="BED639" s="133"/>
      <c r="BEE639" s="133"/>
      <c r="BEF639" s="133"/>
      <c r="BEG639" s="133"/>
      <c r="BEH639" s="133"/>
      <c r="BEI639" s="133"/>
      <c r="BEJ639" s="133"/>
      <c r="BEK639" s="133"/>
      <c r="BEL639" s="133"/>
      <c r="BEM639" s="133"/>
      <c r="BEN639" s="133"/>
      <c r="BEO639" s="133"/>
      <c r="BEP639" s="133"/>
      <c r="BEQ639" s="133"/>
      <c r="BER639" s="133"/>
      <c r="BES639" s="133"/>
      <c r="BET639" s="133"/>
      <c r="BEU639" s="133"/>
      <c r="BEV639" s="133"/>
      <c r="BEW639" s="133"/>
      <c r="BEX639" s="133"/>
      <c r="BEY639" s="133"/>
      <c r="BEZ639" s="133"/>
      <c r="BFA639" s="133"/>
      <c r="BFB639" s="133"/>
      <c r="BFC639" s="133"/>
      <c r="BFD639" s="133"/>
      <c r="BFE639" s="133"/>
      <c r="BFF639" s="133"/>
      <c r="BFG639" s="133"/>
      <c r="BFH639" s="133"/>
      <c r="BFI639" s="133"/>
      <c r="BFJ639" s="133"/>
      <c r="BFK639" s="133"/>
      <c r="BFL639" s="133"/>
      <c r="BFM639" s="133"/>
      <c r="BFN639" s="133"/>
      <c r="BFO639" s="133"/>
      <c r="BFP639" s="133"/>
      <c r="BFQ639" s="133"/>
      <c r="BFR639" s="133"/>
      <c r="BFS639" s="133"/>
      <c r="BFT639" s="133"/>
      <c r="BFU639" s="133"/>
      <c r="BFV639" s="133"/>
      <c r="BFW639" s="133"/>
      <c r="BFX639" s="133"/>
      <c r="BFY639" s="133"/>
      <c r="BFZ639" s="133"/>
      <c r="BGA639" s="133"/>
      <c r="BGB639" s="133"/>
      <c r="BGC639" s="133"/>
      <c r="BGD639" s="133"/>
      <c r="BGE639" s="133"/>
      <c r="BGF639" s="133"/>
      <c r="BGG639" s="133"/>
      <c r="BGH639" s="133"/>
      <c r="BGI639" s="133"/>
      <c r="BGJ639" s="133"/>
      <c r="BGK639" s="133"/>
      <c r="BGL639" s="133"/>
      <c r="BGM639" s="133"/>
      <c r="BGN639" s="133"/>
      <c r="BGO639" s="133"/>
      <c r="BGP639" s="133"/>
      <c r="BGQ639" s="133"/>
      <c r="BGR639" s="133"/>
      <c r="BGS639" s="133"/>
      <c r="BGT639" s="133"/>
      <c r="BGU639" s="133"/>
      <c r="BGV639" s="133"/>
      <c r="BGW639" s="133"/>
      <c r="BGX639" s="133"/>
      <c r="BGY639" s="133"/>
      <c r="BGZ639" s="133"/>
      <c r="BHA639" s="133"/>
      <c r="BHB639" s="133"/>
      <c r="BHC639" s="133"/>
      <c r="BHD639" s="133"/>
      <c r="BHE639" s="133"/>
      <c r="BHF639" s="133"/>
      <c r="BHG639" s="133"/>
      <c r="BHH639" s="133"/>
      <c r="BHI639" s="133"/>
      <c r="BHJ639" s="133"/>
      <c r="BHK639" s="133"/>
      <c r="BHL639" s="133"/>
      <c r="BHM639" s="133"/>
      <c r="BHN639" s="133"/>
      <c r="BHO639" s="133"/>
      <c r="BHP639" s="133"/>
      <c r="BHQ639" s="133"/>
      <c r="BHR639" s="133"/>
      <c r="BHS639" s="133"/>
      <c r="BHT639" s="133"/>
      <c r="BHU639" s="133"/>
      <c r="BHV639" s="133"/>
      <c r="BHW639" s="133"/>
      <c r="BHX639" s="133"/>
      <c r="BHY639" s="133"/>
      <c r="BHZ639" s="133"/>
      <c r="BIA639" s="133"/>
      <c r="BIB639" s="133"/>
      <c r="BIC639" s="133"/>
      <c r="BID639" s="133"/>
      <c r="BIE639" s="133"/>
      <c r="BIF639" s="133"/>
      <c r="BIG639" s="133"/>
      <c r="BIH639" s="133"/>
      <c r="BII639" s="133"/>
      <c r="BIJ639" s="133"/>
      <c r="BIK639" s="133"/>
      <c r="BIL639" s="133"/>
      <c r="BIM639" s="133"/>
      <c r="BIN639" s="133"/>
      <c r="BIO639" s="133"/>
      <c r="BIP639" s="133"/>
      <c r="BIQ639" s="133"/>
      <c r="BIR639" s="133"/>
      <c r="BIS639" s="133"/>
      <c r="BIT639" s="133"/>
      <c r="BIU639" s="133"/>
      <c r="BIV639" s="133"/>
      <c r="BIW639" s="133"/>
      <c r="BIX639" s="133"/>
      <c r="BIY639" s="133"/>
      <c r="BIZ639" s="133"/>
      <c r="BJA639" s="133"/>
      <c r="BJB639" s="133"/>
      <c r="BJC639" s="133"/>
      <c r="BJD639" s="133"/>
      <c r="BJE639" s="133"/>
      <c r="BJF639" s="133"/>
      <c r="BJG639" s="133"/>
      <c r="BJH639" s="133"/>
      <c r="BJI639" s="133"/>
      <c r="BJJ639" s="133"/>
      <c r="BJK639" s="133"/>
      <c r="BJL639" s="133"/>
      <c r="BJM639" s="133"/>
      <c r="BJN639" s="133"/>
      <c r="BJO639" s="133"/>
      <c r="BJP639" s="133"/>
      <c r="BJQ639" s="133"/>
      <c r="BJR639" s="133"/>
      <c r="BJS639" s="133"/>
      <c r="BJT639" s="133"/>
      <c r="BJU639" s="133"/>
      <c r="BJV639" s="133"/>
      <c r="BJW639" s="133"/>
      <c r="BJX639" s="133"/>
      <c r="BJY639" s="133"/>
      <c r="BJZ639" s="133"/>
      <c r="BKA639" s="133"/>
      <c r="BKB639" s="133"/>
      <c r="BKC639" s="133"/>
      <c r="BKD639" s="133"/>
      <c r="BKE639" s="133"/>
      <c r="BKF639" s="133"/>
      <c r="BKG639" s="133"/>
      <c r="BKH639" s="133"/>
      <c r="BKI639" s="133"/>
      <c r="BKJ639" s="133"/>
      <c r="BKK639" s="133"/>
      <c r="BKL639" s="133"/>
      <c r="BKM639" s="133"/>
      <c r="BKN639" s="133"/>
      <c r="BKO639" s="133"/>
      <c r="BKP639" s="133"/>
      <c r="BKQ639" s="133"/>
      <c r="BKR639" s="133"/>
      <c r="BKS639" s="133"/>
      <c r="BKT639" s="133"/>
      <c r="BKU639" s="133"/>
      <c r="BKV639" s="133"/>
      <c r="BKW639" s="133"/>
      <c r="BKX639" s="133"/>
      <c r="BKY639" s="133"/>
      <c r="BKZ639" s="133"/>
      <c r="BLA639" s="133"/>
      <c r="BLB639" s="133"/>
      <c r="BLC639" s="133"/>
      <c r="BLD639" s="133"/>
      <c r="BLE639" s="133"/>
      <c r="BLF639" s="133"/>
      <c r="BLG639" s="133"/>
      <c r="BLH639" s="133"/>
      <c r="BLI639" s="133"/>
      <c r="BLJ639" s="133"/>
      <c r="BLK639" s="133"/>
      <c r="BLL639" s="133"/>
      <c r="BLM639" s="133"/>
      <c r="BLN639" s="133"/>
      <c r="BLO639" s="133"/>
      <c r="BLP639" s="133"/>
      <c r="BLQ639" s="133"/>
      <c r="BLR639" s="133"/>
      <c r="BLS639" s="133"/>
      <c r="BLT639" s="133"/>
      <c r="BLU639" s="133"/>
      <c r="BLV639" s="133"/>
      <c r="BLW639" s="133"/>
      <c r="BLX639" s="133"/>
      <c r="BLY639" s="133"/>
      <c r="BLZ639" s="133"/>
      <c r="BMA639" s="133"/>
      <c r="BMB639" s="133"/>
      <c r="BMC639" s="133"/>
      <c r="BMD639" s="133"/>
      <c r="BME639" s="133"/>
      <c r="BMF639" s="133"/>
      <c r="BMG639" s="133"/>
      <c r="BMH639" s="133"/>
      <c r="BMI639" s="133"/>
      <c r="BMJ639" s="133"/>
      <c r="BMK639" s="133"/>
      <c r="BML639" s="133"/>
      <c r="BMM639" s="133"/>
      <c r="BMN639" s="133"/>
      <c r="BMO639" s="133"/>
      <c r="BMP639" s="133"/>
      <c r="BMQ639" s="133"/>
      <c r="BMR639" s="133"/>
      <c r="BMS639" s="133"/>
      <c r="BMT639" s="133"/>
      <c r="BMU639" s="133"/>
      <c r="BMV639" s="133"/>
      <c r="BMW639" s="133"/>
      <c r="BMX639" s="133"/>
      <c r="BMY639" s="133"/>
      <c r="BMZ639" s="133"/>
      <c r="BNA639" s="133"/>
      <c r="BNB639" s="133"/>
      <c r="BNC639" s="133"/>
      <c r="BND639" s="133"/>
      <c r="BNE639" s="133"/>
      <c r="BNF639" s="133"/>
      <c r="BNG639" s="133"/>
      <c r="BNH639" s="133"/>
      <c r="BNI639" s="133"/>
      <c r="BNJ639" s="133"/>
      <c r="BNK639" s="133"/>
      <c r="BNL639" s="133"/>
      <c r="BNM639" s="133"/>
      <c r="BNN639" s="133"/>
      <c r="BNO639" s="133"/>
      <c r="BNP639" s="133"/>
      <c r="BNQ639" s="133"/>
      <c r="BNR639" s="133"/>
      <c r="BNS639" s="133"/>
      <c r="BNT639" s="133"/>
      <c r="BNU639" s="133"/>
      <c r="BNV639" s="133"/>
      <c r="BNW639" s="133"/>
      <c r="BNX639" s="133"/>
      <c r="BNY639" s="133"/>
      <c r="BNZ639" s="133"/>
      <c r="BOA639" s="133"/>
      <c r="BOB639" s="133"/>
      <c r="BOC639" s="133"/>
      <c r="BOD639" s="133"/>
      <c r="BOE639" s="133"/>
      <c r="BOF639" s="133"/>
      <c r="BOG639" s="133"/>
      <c r="BOH639" s="133"/>
      <c r="BOI639" s="133"/>
      <c r="BOJ639" s="133"/>
      <c r="BOK639" s="133"/>
      <c r="BOL639" s="133"/>
      <c r="BOM639" s="133"/>
      <c r="BON639" s="133"/>
      <c r="BOO639" s="133"/>
      <c r="BOP639" s="133"/>
      <c r="BOQ639" s="133"/>
      <c r="BOR639" s="133"/>
      <c r="BOS639" s="133"/>
      <c r="BOT639" s="133"/>
      <c r="BOU639" s="133"/>
      <c r="BOV639" s="133"/>
      <c r="BOW639" s="133"/>
      <c r="BOX639" s="133"/>
      <c r="BOY639" s="133"/>
      <c r="BOZ639" s="133"/>
      <c r="BPA639" s="133"/>
      <c r="BPB639" s="133"/>
      <c r="BPC639" s="133"/>
      <c r="BPD639" s="133"/>
      <c r="BPE639" s="133"/>
      <c r="BPF639" s="133"/>
      <c r="BPG639" s="133"/>
      <c r="BPH639" s="133"/>
      <c r="BPI639" s="133"/>
      <c r="BPJ639" s="133"/>
      <c r="BPK639" s="133"/>
      <c r="BPL639" s="133"/>
      <c r="BPM639" s="133"/>
      <c r="BPN639" s="133"/>
      <c r="BPO639" s="133"/>
      <c r="BPP639" s="133"/>
      <c r="BPQ639" s="133"/>
      <c r="BPR639" s="133"/>
      <c r="BPS639" s="133"/>
      <c r="BPT639" s="133"/>
      <c r="BPU639" s="133"/>
      <c r="BPV639" s="133"/>
      <c r="BPW639" s="133"/>
      <c r="BPX639" s="133"/>
      <c r="BPY639" s="133"/>
      <c r="BPZ639" s="133"/>
      <c r="BQA639" s="133"/>
      <c r="BQB639" s="133"/>
      <c r="BQC639" s="133"/>
      <c r="BQD639" s="133"/>
      <c r="BQE639" s="133"/>
      <c r="BQF639" s="133"/>
      <c r="BQG639" s="133"/>
      <c r="BQH639" s="133"/>
      <c r="BQI639" s="133"/>
      <c r="BQJ639" s="133"/>
      <c r="BQK639" s="133"/>
      <c r="BQL639" s="133"/>
      <c r="BQM639" s="133"/>
      <c r="BQN639" s="133"/>
      <c r="BQO639" s="133"/>
      <c r="BQP639" s="133"/>
      <c r="BQQ639" s="133"/>
      <c r="BQR639" s="133"/>
      <c r="BQS639" s="133"/>
      <c r="BQT639" s="133"/>
      <c r="BQU639" s="133"/>
      <c r="BQV639" s="133"/>
      <c r="BQW639" s="133"/>
      <c r="BQX639" s="133"/>
      <c r="BQY639" s="133"/>
      <c r="BQZ639" s="133"/>
      <c r="BRA639" s="133"/>
      <c r="BRB639" s="133"/>
      <c r="BRC639" s="133"/>
      <c r="BRD639" s="133"/>
      <c r="BRE639" s="133"/>
      <c r="BRF639" s="133"/>
      <c r="BRG639" s="133"/>
      <c r="BRH639" s="133"/>
      <c r="BRI639" s="133"/>
      <c r="BRJ639" s="133"/>
      <c r="BRK639" s="133"/>
      <c r="BRL639" s="133"/>
      <c r="BRM639" s="133"/>
      <c r="BRN639" s="133"/>
      <c r="BRO639" s="133"/>
      <c r="BRP639" s="133"/>
      <c r="BRQ639" s="133"/>
      <c r="BRR639" s="133"/>
      <c r="BRS639" s="133"/>
      <c r="BRT639" s="133"/>
      <c r="BRU639" s="133"/>
      <c r="BRV639" s="133"/>
      <c r="BRW639" s="133"/>
      <c r="BRX639" s="133"/>
      <c r="BRY639" s="133"/>
      <c r="BRZ639" s="133"/>
      <c r="BSA639" s="133"/>
      <c r="BSB639" s="133"/>
      <c r="BSC639" s="133"/>
      <c r="BSD639" s="133"/>
      <c r="BSE639" s="133"/>
      <c r="BSF639" s="133"/>
      <c r="BSG639" s="133"/>
      <c r="BSH639" s="133"/>
      <c r="BSI639" s="133"/>
      <c r="BSJ639" s="133"/>
      <c r="BSK639" s="133"/>
      <c r="BSL639" s="133"/>
      <c r="BSM639" s="133"/>
      <c r="BSN639" s="133"/>
      <c r="BSO639" s="133"/>
      <c r="BSP639" s="133"/>
      <c r="BSQ639" s="133"/>
      <c r="BSR639" s="133"/>
      <c r="BSS639" s="133"/>
      <c r="BST639" s="133"/>
      <c r="BSU639" s="133"/>
      <c r="BSV639" s="133"/>
      <c r="BSW639" s="133"/>
      <c r="BSX639" s="133"/>
      <c r="BSY639" s="133"/>
      <c r="BSZ639" s="133"/>
      <c r="BTA639" s="133"/>
      <c r="BTB639" s="133"/>
      <c r="BTC639" s="133"/>
      <c r="BTD639" s="133"/>
      <c r="BTE639" s="133"/>
      <c r="BTF639" s="133"/>
      <c r="BTG639" s="133"/>
      <c r="BTH639" s="133"/>
      <c r="BTI639" s="133"/>
      <c r="BTJ639" s="133"/>
      <c r="BTK639" s="133"/>
      <c r="BTL639" s="133"/>
      <c r="BTM639" s="133"/>
      <c r="BTN639" s="133"/>
      <c r="BTO639" s="133"/>
      <c r="BTP639" s="133"/>
      <c r="BTQ639" s="133"/>
      <c r="BTR639" s="133"/>
      <c r="BTS639" s="133"/>
      <c r="BTT639" s="133"/>
      <c r="BTU639" s="133"/>
      <c r="BTV639" s="133"/>
      <c r="BTW639" s="133"/>
      <c r="BTX639" s="133"/>
      <c r="BTY639" s="133"/>
      <c r="BTZ639" s="133"/>
      <c r="BUA639" s="133"/>
      <c r="BUB639" s="133"/>
      <c r="BUC639" s="133"/>
      <c r="BUD639" s="133"/>
      <c r="BUE639" s="133"/>
      <c r="BUF639" s="133"/>
      <c r="BUG639" s="133"/>
      <c r="BUH639" s="133"/>
      <c r="BUI639" s="133"/>
      <c r="BUJ639" s="133"/>
      <c r="BUK639" s="133"/>
      <c r="BUL639" s="133"/>
      <c r="BUM639" s="133"/>
      <c r="BUN639" s="133"/>
      <c r="BUO639" s="133"/>
      <c r="BUP639" s="133"/>
      <c r="BUQ639" s="133"/>
      <c r="BUR639" s="133"/>
      <c r="BUS639" s="133"/>
      <c r="BUT639" s="133"/>
      <c r="BUU639" s="133"/>
      <c r="BUV639" s="133"/>
      <c r="BUW639" s="133"/>
      <c r="BUX639" s="133"/>
      <c r="BUY639" s="133"/>
      <c r="BUZ639" s="133"/>
      <c r="BVA639" s="133"/>
      <c r="BVB639" s="133"/>
      <c r="BVC639" s="133"/>
      <c r="BVD639" s="133"/>
      <c r="BVE639" s="133"/>
      <c r="BVF639" s="133"/>
      <c r="BVG639" s="133"/>
      <c r="BVH639" s="133"/>
      <c r="BVI639" s="133"/>
      <c r="BVJ639" s="133"/>
      <c r="BVK639" s="133"/>
      <c r="BVL639" s="133"/>
      <c r="BVM639" s="133"/>
      <c r="BVN639" s="133"/>
      <c r="BVO639" s="133"/>
      <c r="BVP639" s="133"/>
      <c r="BVQ639" s="133"/>
      <c r="BVR639" s="133"/>
      <c r="BVS639" s="133"/>
      <c r="BVT639" s="133"/>
      <c r="BVU639" s="133"/>
      <c r="BVV639" s="133"/>
      <c r="BVW639" s="133"/>
      <c r="BVX639" s="133"/>
      <c r="BVY639" s="133"/>
      <c r="BVZ639" s="133"/>
      <c r="BWA639" s="133"/>
      <c r="BWB639" s="133"/>
      <c r="BWC639" s="133"/>
      <c r="BWD639" s="133"/>
      <c r="BWE639" s="133"/>
      <c r="BWF639" s="133"/>
      <c r="BWG639" s="133"/>
      <c r="BWH639" s="133"/>
      <c r="BWI639" s="133"/>
      <c r="BWJ639" s="133"/>
      <c r="BWK639" s="133"/>
      <c r="BWL639" s="133"/>
      <c r="BWM639" s="133"/>
      <c r="BWN639" s="133"/>
      <c r="BWO639" s="133"/>
      <c r="BWP639" s="133"/>
      <c r="BWQ639" s="133"/>
      <c r="BWR639" s="133"/>
      <c r="BWS639" s="133"/>
      <c r="BWT639" s="133"/>
      <c r="BWU639" s="133"/>
      <c r="BWV639" s="133"/>
      <c r="BWW639" s="133"/>
      <c r="BWX639" s="133"/>
      <c r="BWY639" s="133"/>
      <c r="BWZ639" s="133"/>
      <c r="BXA639" s="133"/>
      <c r="BXB639" s="133"/>
      <c r="BXC639" s="133"/>
      <c r="BXD639" s="133"/>
      <c r="BXE639" s="133"/>
      <c r="BXF639" s="133"/>
      <c r="BXG639" s="133"/>
      <c r="BXH639" s="133"/>
      <c r="BXI639" s="133"/>
      <c r="BXJ639" s="133"/>
      <c r="BXK639" s="133"/>
      <c r="BXL639" s="133"/>
      <c r="BXM639" s="133"/>
      <c r="BXN639" s="133"/>
      <c r="BXO639" s="133"/>
      <c r="BXP639" s="133"/>
      <c r="BXQ639" s="133"/>
      <c r="BXR639" s="133"/>
      <c r="BXS639" s="133"/>
      <c r="BXT639" s="133"/>
      <c r="BXU639" s="133"/>
      <c r="BXV639" s="133"/>
      <c r="BXW639" s="133"/>
      <c r="BXX639" s="133"/>
      <c r="BXY639" s="133"/>
      <c r="BXZ639" s="133"/>
      <c r="BYA639" s="133"/>
      <c r="BYB639" s="133"/>
      <c r="BYC639" s="133"/>
      <c r="BYD639" s="133"/>
      <c r="BYE639" s="133"/>
      <c r="BYF639" s="133"/>
      <c r="BYG639" s="133"/>
      <c r="BYH639" s="133"/>
      <c r="BYI639" s="133"/>
      <c r="BYJ639" s="133"/>
      <c r="BYK639" s="133"/>
      <c r="BYL639" s="133"/>
      <c r="BYM639" s="133"/>
      <c r="BYN639" s="133"/>
      <c r="BYO639" s="133"/>
      <c r="BYP639" s="133"/>
      <c r="BYQ639" s="133"/>
      <c r="BYR639" s="133"/>
      <c r="BYS639" s="133"/>
      <c r="BYT639" s="133"/>
      <c r="BYU639" s="133"/>
      <c r="BYV639" s="133"/>
      <c r="BYW639" s="133"/>
      <c r="BYX639" s="133"/>
      <c r="BYY639" s="133"/>
      <c r="BYZ639" s="133"/>
      <c r="BZA639" s="133"/>
      <c r="BZB639" s="133"/>
      <c r="BZC639" s="133"/>
      <c r="BZD639" s="133"/>
      <c r="BZE639" s="133"/>
      <c r="BZF639" s="133"/>
      <c r="BZG639" s="133"/>
      <c r="BZH639" s="133"/>
      <c r="BZI639" s="133"/>
      <c r="BZJ639" s="133"/>
      <c r="BZK639" s="133"/>
      <c r="BZL639" s="133"/>
      <c r="BZM639" s="133"/>
      <c r="BZN639" s="133"/>
      <c r="BZO639" s="133"/>
      <c r="BZP639" s="133"/>
      <c r="BZQ639" s="133"/>
      <c r="BZR639" s="133"/>
      <c r="BZS639" s="133"/>
      <c r="BZT639" s="133"/>
      <c r="BZU639" s="133"/>
      <c r="BZV639" s="133"/>
      <c r="BZW639" s="133"/>
      <c r="BZX639" s="133"/>
      <c r="BZY639" s="133"/>
      <c r="BZZ639" s="133"/>
      <c r="CAA639" s="133"/>
      <c r="CAB639" s="133"/>
      <c r="CAC639" s="133"/>
      <c r="CAD639" s="133"/>
      <c r="CAE639" s="133"/>
      <c r="CAF639" s="133"/>
      <c r="CAG639" s="133"/>
      <c r="CAH639" s="133"/>
      <c r="CAI639" s="133"/>
      <c r="CAJ639" s="133"/>
      <c r="CAK639" s="133"/>
      <c r="CAL639" s="133"/>
      <c r="CAM639" s="133"/>
      <c r="CAN639" s="133"/>
      <c r="CAO639" s="133"/>
      <c r="CAP639" s="133"/>
      <c r="CAQ639" s="133"/>
      <c r="CAR639" s="133"/>
      <c r="CAS639" s="133"/>
      <c r="CAT639" s="133"/>
      <c r="CAU639" s="133"/>
      <c r="CAV639" s="133"/>
      <c r="CAW639" s="133"/>
      <c r="CAX639" s="133"/>
      <c r="CAY639" s="133"/>
      <c r="CAZ639" s="133"/>
      <c r="CBA639" s="133"/>
      <c r="CBB639" s="133"/>
      <c r="CBC639" s="133"/>
      <c r="CBD639" s="133"/>
      <c r="CBE639" s="133"/>
      <c r="CBF639" s="133"/>
      <c r="CBG639" s="133"/>
      <c r="CBH639" s="133"/>
      <c r="CBI639" s="133"/>
      <c r="CBJ639" s="133"/>
      <c r="CBK639" s="133"/>
      <c r="CBL639" s="133"/>
      <c r="CBM639" s="133"/>
      <c r="CBN639" s="133"/>
      <c r="CBO639" s="133"/>
      <c r="CBP639" s="133"/>
      <c r="CBQ639" s="133"/>
      <c r="CBR639" s="133"/>
      <c r="CBS639" s="133"/>
      <c r="CBT639" s="133"/>
      <c r="CBU639" s="133"/>
      <c r="CBV639" s="133"/>
      <c r="CBW639" s="133"/>
      <c r="CBX639" s="133"/>
      <c r="CBY639" s="133"/>
      <c r="CBZ639" s="133"/>
      <c r="CCA639" s="133"/>
      <c r="CCB639" s="133"/>
      <c r="CCC639" s="133"/>
      <c r="CCD639" s="133"/>
      <c r="CCE639" s="133"/>
      <c r="CCF639" s="133"/>
      <c r="CCG639" s="133"/>
      <c r="CCH639" s="133"/>
      <c r="CCI639" s="133"/>
      <c r="CCJ639" s="133"/>
      <c r="CCK639" s="133"/>
      <c r="CCL639" s="133"/>
      <c r="CCM639" s="133"/>
      <c r="CCN639" s="133"/>
      <c r="CCO639" s="133"/>
      <c r="CCP639" s="133"/>
      <c r="CCQ639" s="133"/>
      <c r="CCR639" s="133"/>
      <c r="CCS639" s="133"/>
      <c r="CCT639" s="133"/>
      <c r="CCU639" s="133"/>
      <c r="CCV639" s="133"/>
      <c r="CCW639" s="133"/>
      <c r="CCX639" s="133"/>
      <c r="CCY639" s="133"/>
      <c r="CCZ639" s="133"/>
      <c r="CDA639" s="133"/>
      <c r="CDB639" s="133"/>
      <c r="CDC639" s="133"/>
      <c r="CDD639" s="133"/>
      <c r="CDE639" s="133"/>
      <c r="CDF639" s="133"/>
      <c r="CDG639" s="133"/>
      <c r="CDH639" s="133"/>
      <c r="CDI639" s="133"/>
      <c r="CDJ639" s="133"/>
      <c r="CDK639" s="133"/>
      <c r="CDL639" s="133"/>
      <c r="CDM639" s="133"/>
      <c r="CDN639" s="133"/>
      <c r="CDO639" s="133"/>
      <c r="CDP639" s="133"/>
      <c r="CDQ639" s="133"/>
      <c r="CDR639" s="133"/>
      <c r="CDS639" s="133"/>
      <c r="CDT639" s="133"/>
      <c r="CDU639" s="133"/>
      <c r="CDV639" s="133"/>
      <c r="CDW639" s="133"/>
      <c r="CDX639" s="133"/>
      <c r="CDY639" s="133"/>
      <c r="CDZ639" s="133"/>
      <c r="CEA639" s="133"/>
      <c r="CEB639" s="133"/>
      <c r="CEC639" s="133"/>
      <c r="CED639" s="133"/>
      <c r="CEE639" s="133"/>
      <c r="CEF639" s="133"/>
      <c r="CEG639" s="133"/>
      <c r="CEH639" s="133"/>
      <c r="CEI639" s="133"/>
      <c r="CEJ639" s="133"/>
      <c r="CEK639" s="133"/>
      <c r="CEL639" s="133"/>
      <c r="CEM639" s="133"/>
      <c r="CEN639" s="133"/>
      <c r="CEO639" s="133"/>
      <c r="CEP639" s="133"/>
      <c r="CEQ639" s="133"/>
      <c r="CER639" s="133"/>
      <c r="CES639" s="133"/>
      <c r="CET639" s="133"/>
      <c r="CEU639" s="133"/>
      <c r="CEV639" s="133"/>
      <c r="CEW639" s="133"/>
      <c r="CEX639" s="133"/>
      <c r="CEY639" s="133"/>
      <c r="CEZ639" s="133"/>
      <c r="CFA639" s="133"/>
      <c r="CFB639" s="133"/>
      <c r="CFC639" s="133"/>
      <c r="CFD639" s="133"/>
      <c r="CFE639" s="133"/>
      <c r="CFF639" s="133"/>
      <c r="CFG639" s="133"/>
      <c r="CFH639" s="133"/>
      <c r="CFI639" s="133"/>
      <c r="CFJ639" s="133"/>
      <c r="CFK639" s="133"/>
      <c r="CFL639" s="133"/>
      <c r="CFM639" s="133"/>
      <c r="CFN639" s="133"/>
      <c r="CFO639" s="133"/>
      <c r="CFP639" s="133"/>
      <c r="CFQ639" s="133"/>
      <c r="CFR639" s="133"/>
      <c r="CFS639" s="133"/>
      <c r="CFT639" s="133"/>
      <c r="CFU639" s="133"/>
      <c r="CFV639" s="133"/>
      <c r="CFW639" s="133"/>
      <c r="CFX639" s="133"/>
      <c r="CFY639" s="133"/>
      <c r="CFZ639" s="133"/>
      <c r="CGA639" s="133"/>
      <c r="CGB639" s="133"/>
      <c r="CGC639" s="133"/>
      <c r="CGD639" s="133"/>
      <c r="CGE639" s="133"/>
      <c r="CGF639" s="133"/>
      <c r="CGG639" s="133"/>
      <c r="CGH639" s="133"/>
      <c r="CGI639" s="133"/>
      <c r="CGJ639" s="133"/>
      <c r="CGK639" s="133"/>
      <c r="CGL639" s="133"/>
      <c r="CGM639" s="133"/>
      <c r="CGN639" s="133"/>
      <c r="CGO639" s="133"/>
      <c r="CGP639" s="133"/>
      <c r="CGQ639" s="133"/>
      <c r="CGR639" s="133"/>
      <c r="CGS639" s="133"/>
      <c r="CGT639" s="133"/>
      <c r="CGU639" s="133"/>
      <c r="CGV639" s="133"/>
      <c r="CGW639" s="133"/>
      <c r="CGX639" s="133"/>
      <c r="CGY639" s="133"/>
      <c r="CGZ639" s="133"/>
      <c r="CHA639" s="133"/>
      <c r="CHB639" s="133"/>
      <c r="CHC639" s="133"/>
      <c r="CHD639" s="133"/>
      <c r="CHE639" s="133"/>
      <c r="CHF639" s="133"/>
      <c r="CHG639" s="133"/>
      <c r="CHH639" s="133"/>
      <c r="CHI639" s="133"/>
      <c r="CHJ639" s="133"/>
      <c r="CHK639" s="133"/>
      <c r="CHL639" s="133"/>
      <c r="CHM639" s="133"/>
      <c r="CHN639" s="133"/>
      <c r="CHO639" s="133"/>
      <c r="CHP639" s="133"/>
      <c r="CHQ639" s="133"/>
      <c r="CHR639" s="133"/>
      <c r="CHS639" s="133"/>
      <c r="CHT639" s="133"/>
      <c r="CHU639" s="133"/>
      <c r="CHV639" s="133"/>
      <c r="CHW639" s="133"/>
      <c r="CHX639" s="133"/>
      <c r="CHY639" s="133"/>
      <c r="CHZ639" s="133"/>
      <c r="CIA639" s="133"/>
      <c r="CIB639" s="133"/>
      <c r="CIC639" s="133"/>
      <c r="CID639" s="133"/>
      <c r="CIE639" s="133"/>
      <c r="CIF639" s="133"/>
      <c r="CIG639" s="133"/>
      <c r="CIH639" s="133"/>
      <c r="CII639" s="133"/>
      <c r="CIJ639" s="133"/>
      <c r="CIK639" s="133"/>
      <c r="CIL639" s="133"/>
      <c r="CIM639" s="133"/>
      <c r="CIN639" s="133"/>
      <c r="CIO639" s="133"/>
      <c r="CIP639" s="133"/>
      <c r="CIQ639" s="133"/>
      <c r="CIR639" s="133"/>
      <c r="CIS639" s="133"/>
      <c r="CIT639" s="133"/>
      <c r="CIU639" s="133"/>
      <c r="CIV639" s="133"/>
      <c r="CIW639" s="133"/>
      <c r="CIX639" s="133"/>
      <c r="CIY639" s="133"/>
      <c r="CIZ639" s="133"/>
      <c r="CJA639" s="133"/>
      <c r="CJB639" s="133"/>
      <c r="CJC639" s="133"/>
      <c r="CJD639" s="133"/>
      <c r="CJE639" s="133"/>
      <c r="CJF639" s="133"/>
      <c r="CJG639" s="133"/>
      <c r="CJH639" s="133"/>
      <c r="CJI639" s="133"/>
      <c r="CJJ639" s="133"/>
      <c r="CJK639" s="133"/>
      <c r="CJL639" s="133"/>
      <c r="CJM639" s="133"/>
      <c r="CJN639" s="133"/>
      <c r="CJO639" s="133"/>
      <c r="CJP639" s="133"/>
      <c r="CJQ639" s="133"/>
      <c r="CJR639" s="133"/>
      <c r="CJS639" s="133"/>
      <c r="CJT639" s="133"/>
      <c r="CJU639" s="133"/>
      <c r="CJV639" s="133"/>
      <c r="CJW639" s="133"/>
      <c r="CJX639" s="133"/>
      <c r="CJY639" s="133"/>
      <c r="CJZ639" s="133"/>
      <c r="CKA639" s="133"/>
      <c r="CKB639" s="133"/>
      <c r="CKC639" s="133"/>
      <c r="CKD639" s="133"/>
      <c r="CKE639" s="133"/>
      <c r="CKF639" s="133"/>
      <c r="CKG639" s="133"/>
      <c r="CKH639" s="133"/>
      <c r="CKI639" s="133"/>
      <c r="CKJ639" s="133"/>
      <c r="CKK639" s="133"/>
      <c r="CKL639" s="133"/>
      <c r="CKM639" s="133"/>
      <c r="CKN639" s="133"/>
      <c r="CKO639" s="133"/>
      <c r="CKP639" s="133"/>
      <c r="CKQ639" s="133"/>
      <c r="CKR639" s="133"/>
      <c r="CKS639" s="133"/>
      <c r="CKT639" s="133"/>
      <c r="CKU639" s="133"/>
      <c r="CKV639" s="133"/>
      <c r="CKW639" s="133"/>
      <c r="CKX639" s="133"/>
      <c r="CKY639" s="133"/>
      <c r="CKZ639" s="133"/>
      <c r="CLA639" s="133"/>
      <c r="CLB639" s="133"/>
      <c r="CLC639" s="133"/>
      <c r="CLD639" s="133"/>
      <c r="CLE639" s="133"/>
      <c r="CLF639" s="133"/>
      <c r="CLG639" s="133"/>
      <c r="CLH639" s="133"/>
      <c r="CLI639" s="133"/>
      <c r="CLJ639" s="133"/>
      <c r="CLK639" s="133"/>
      <c r="CLL639" s="133"/>
      <c r="CLM639" s="133"/>
      <c r="CLN639" s="133"/>
      <c r="CLO639" s="133"/>
      <c r="CLP639" s="133"/>
      <c r="CLQ639" s="133"/>
      <c r="CLR639" s="133"/>
      <c r="CLS639" s="133"/>
      <c r="CLT639" s="133"/>
      <c r="CLU639" s="133"/>
      <c r="CLV639" s="133"/>
      <c r="CLW639" s="133"/>
      <c r="CLX639" s="133"/>
      <c r="CLY639" s="133"/>
      <c r="CLZ639" s="133"/>
      <c r="CMA639" s="133"/>
      <c r="CMB639" s="133"/>
      <c r="CMC639" s="133"/>
      <c r="CMD639" s="133"/>
      <c r="CME639" s="133"/>
      <c r="CMF639" s="133"/>
      <c r="CMG639" s="133"/>
      <c r="CMH639" s="133"/>
      <c r="CMI639" s="133"/>
      <c r="CMJ639" s="133"/>
      <c r="CMK639" s="133"/>
      <c r="CML639" s="133"/>
      <c r="CMM639" s="133"/>
      <c r="CMN639" s="133"/>
      <c r="CMO639" s="133"/>
      <c r="CMP639" s="133"/>
      <c r="CMQ639" s="133"/>
      <c r="CMR639" s="133"/>
      <c r="CMS639" s="133"/>
      <c r="CMT639" s="133"/>
      <c r="CMU639" s="133"/>
      <c r="CMV639" s="133"/>
      <c r="CMW639" s="133"/>
      <c r="CMX639" s="133"/>
      <c r="CMY639" s="133"/>
      <c r="CMZ639" s="133"/>
      <c r="CNA639" s="133"/>
      <c r="CNB639" s="133"/>
      <c r="CNC639" s="133"/>
      <c r="CND639" s="133"/>
      <c r="CNE639" s="133"/>
      <c r="CNF639" s="133"/>
      <c r="CNG639" s="133"/>
      <c r="CNH639" s="133"/>
      <c r="CNI639" s="133"/>
      <c r="CNJ639" s="133"/>
      <c r="CNK639" s="133"/>
      <c r="CNL639" s="133"/>
      <c r="CNM639" s="133"/>
      <c r="CNN639" s="133"/>
      <c r="CNO639" s="133"/>
      <c r="CNP639" s="133"/>
      <c r="CNQ639" s="133"/>
      <c r="CNR639" s="133"/>
      <c r="CNS639" s="133"/>
      <c r="CNT639" s="133"/>
      <c r="CNU639" s="133"/>
      <c r="CNV639" s="133"/>
      <c r="CNW639" s="133"/>
      <c r="CNX639" s="133"/>
      <c r="CNY639" s="133"/>
      <c r="CNZ639" s="133"/>
      <c r="COA639" s="133"/>
      <c r="COB639" s="133"/>
      <c r="COC639" s="133"/>
      <c r="COD639" s="133"/>
      <c r="COE639" s="133"/>
      <c r="COF639" s="133"/>
      <c r="COG639" s="133"/>
      <c r="COH639" s="133"/>
      <c r="COI639" s="133"/>
      <c r="COJ639" s="133"/>
      <c r="COK639" s="133"/>
      <c r="COL639" s="133"/>
      <c r="COM639" s="133"/>
      <c r="CON639" s="133"/>
      <c r="COO639" s="133"/>
      <c r="COP639" s="133"/>
      <c r="COQ639" s="133"/>
      <c r="COR639" s="133"/>
      <c r="COS639" s="133"/>
      <c r="COT639" s="133"/>
      <c r="COU639" s="133"/>
      <c r="COV639" s="133"/>
      <c r="COW639" s="133"/>
      <c r="COX639" s="133"/>
      <c r="COY639" s="133"/>
      <c r="COZ639" s="133"/>
      <c r="CPA639" s="133"/>
      <c r="CPB639" s="133"/>
      <c r="CPC639" s="133"/>
      <c r="CPD639" s="133"/>
      <c r="CPE639" s="133"/>
      <c r="CPF639" s="133"/>
      <c r="CPG639" s="133"/>
      <c r="CPH639" s="133"/>
      <c r="CPI639" s="133"/>
      <c r="CPJ639" s="133"/>
      <c r="CPK639" s="133"/>
      <c r="CPL639" s="133"/>
      <c r="CPM639" s="133"/>
      <c r="CPN639" s="133"/>
      <c r="CPO639" s="133"/>
      <c r="CPP639" s="133"/>
      <c r="CPQ639" s="133"/>
      <c r="CPR639" s="133"/>
      <c r="CPS639" s="133"/>
      <c r="CPT639" s="133"/>
      <c r="CPU639" s="133"/>
      <c r="CPV639" s="133"/>
      <c r="CPW639" s="133"/>
      <c r="CPX639" s="133"/>
      <c r="CPY639" s="133"/>
      <c r="CPZ639" s="133"/>
      <c r="CQA639" s="133"/>
      <c r="CQB639" s="133"/>
      <c r="CQC639" s="133"/>
      <c r="CQD639" s="133"/>
      <c r="CQE639" s="133"/>
      <c r="CQF639" s="133"/>
      <c r="CQG639" s="133"/>
      <c r="CQH639" s="133"/>
      <c r="CQI639" s="133"/>
      <c r="CQJ639" s="133"/>
      <c r="CQK639" s="133"/>
      <c r="CQL639" s="133"/>
      <c r="CQM639" s="133"/>
      <c r="CQN639" s="133"/>
      <c r="CQO639" s="133"/>
      <c r="CQP639" s="133"/>
      <c r="CQQ639" s="133"/>
      <c r="CQR639" s="133"/>
      <c r="CQS639" s="133"/>
      <c r="CQT639" s="133"/>
      <c r="CQU639" s="133"/>
      <c r="CQV639" s="133"/>
      <c r="CQW639" s="133"/>
      <c r="CQX639" s="133"/>
      <c r="CQY639" s="133"/>
      <c r="CQZ639" s="133"/>
      <c r="CRA639" s="133"/>
      <c r="CRB639" s="133"/>
      <c r="CRC639" s="133"/>
      <c r="CRD639" s="133"/>
      <c r="CRE639" s="133"/>
      <c r="CRF639" s="133"/>
      <c r="CRG639" s="133"/>
      <c r="CRH639" s="133"/>
      <c r="CRI639" s="133"/>
      <c r="CRJ639" s="133"/>
      <c r="CRK639" s="133"/>
      <c r="CRL639" s="133"/>
      <c r="CRM639" s="133"/>
      <c r="CRN639" s="133"/>
      <c r="CRO639" s="133"/>
      <c r="CRP639" s="133"/>
      <c r="CRQ639" s="133"/>
      <c r="CRR639" s="133"/>
      <c r="CRS639" s="133"/>
      <c r="CRT639" s="133"/>
      <c r="CRU639" s="133"/>
      <c r="CRV639" s="133"/>
      <c r="CRW639" s="133"/>
      <c r="CRX639" s="133"/>
      <c r="CRY639" s="133"/>
      <c r="CRZ639" s="133"/>
      <c r="CSA639" s="133"/>
      <c r="CSB639" s="133"/>
      <c r="CSC639" s="133"/>
      <c r="CSD639" s="133"/>
      <c r="CSE639" s="133"/>
      <c r="CSF639" s="133"/>
      <c r="CSG639" s="133"/>
      <c r="CSH639" s="133"/>
      <c r="CSI639" s="133"/>
      <c r="CSJ639" s="133"/>
      <c r="CSK639" s="133"/>
      <c r="CSL639" s="133"/>
      <c r="CSM639" s="133"/>
      <c r="CSN639" s="133"/>
      <c r="CSO639" s="133"/>
      <c r="CSP639" s="133"/>
      <c r="CSQ639" s="133"/>
      <c r="CSR639" s="133"/>
      <c r="CSS639" s="133"/>
      <c r="CST639" s="133"/>
      <c r="CSU639" s="133"/>
      <c r="CSV639" s="133"/>
      <c r="CSW639" s="133"/>
      <c r="CSX639" s="133"/>
      <c r="CSY639" s="133"/>
      <c r="CSZ639" s="133"/>
      <c r="CTA639" s="133"/>
      <c r="CTB639" s="133"/>
      <c r="CTC639" s="133"/>
      <c r="CTD639" s="133"/>
      <c r="CTE639" s="133"/>
      <c r="CTF639" s="133"/>
      <c r="CTG639" s="133"/>
      <c r="CTH639" s="133"/>
      <c r="CTI639" s="133"/>
      <c r="CTJ639" s="133"/>
      <c r="CTK639" s="133"/>
      <c r="CTL639" s="133"/>
      <c r="CTM639" s="133"/>
      <c r="CTN639" s="133"/>
      <c r="CTO639" s="133"/>
      <c r="CTP639" s="133"/>
      <c r="CTQ639" s="133"/>
      <c r="CTR639" s="133"/>
      <c r="CTS639" s="133"/>
      <c r="CTT639" s="133"/>
      <c r="CTU639" s="133"/>
      <c r="CTV639" s="133"/>
      <c r="CTW639" s="133"/>
      <c r="CTX639" s="133"/>
      <c r="CTY639" s="133"/>
      <c r="CTZ639" s="133"/>
      <c r="CUA639" s="133"/>
      <c r="CUB639" s="133"/>
      <c r="CUC639" s="133"/>
      <c r="CUD639" s="133"/>
      <c r="CUE639" s="133"/>
      <c r="CUF639" s="133"/>
      <c r="CUG639" s="133"/>
      <c r="CUH639" s="133"/>
      <c r="CUI639" s="133"/>
      <c r="CUJ639" s="133"/>
      <c r="CUK639" s="133"/>
      <c r="CUL639" s="133"/>
      <c r="CUM639" s="133"/>
      <c r="CUN639" s="133"/>
      <c r="CUO639" s="133"/>
      <c r="CUP639" s="133"/>
      <c r="CUQ639" s="133"/>
      <c r="CUR639" s="133"/>
      <c r="CUS639" s="133"/>
      <c r="CUT639" s="133"/>
      <c r="CUU639" s="133"/>
      <c r="CUV639" s="133"/>
      <c r="CUW639" s="133"/>
      <c r="CUX639" s="133"/>
      <c r="CUY639" s="133"/>
      <c r="CUZ639" s="133"/>
      <c r="CVA639" s="133"/>
      <c r="CVB639" s="133"/>
      <c r="CVC639" s="133"/>
      <c r="CVD639" s="133"/>
      <c r="CVE639" s="133"/>
      <c r="CVF639" s="133"/>
      <c r="CVG639" s="133"/>
      <c r="CVH639" s="133"/>
      <c r="CVI639" s="133"/>
      <c r="CVJ639" s="133"/>
      <c r="CVK639" s="133"/>
      <c r="CVL639" s="133"/>
      <c r="CVM639" s="133"/>
      <c r="CVN639" s="133"/>
      <c r="CVO639" s="133"/>
      <c r="CVP639" s="133"/>
      <c r="CVQ639" s="133"/>
      <c r="CVR639" s="133"/>
      <c r="CVS639" s="133"/>
      <c r="CVT639" s="133"/>
      <c r="CVU639" s="133"/>
      <c r="CVV639" s="133"/>
      <c r="CVW639" s="133"/>
      <c r="CVX639" s="133"/>
      <c r="CVY639" s="133"/>
      <c r="CVZ639" s="133"/>
      <c r="CWA639" s="133"/>
      <c r="CWB639" s="133"/>
      <c r="CWC639" s="133"/>
      <c r="CWD639" s="133"/>
      <c r="CWE639" s="133"/>
      <c r="CWF639" s="133"/>
      <c r="CWG639" s="133"/>
      <c r="CWH639" s="133"/>
      <c r="CWI639" s="133"/>
      <c r="CWJ639" s="133"/>
      <c r="CWK639" s="133"/>
      <c r="CWL639" s="133"/>
      <c r="CWM639" s="133"/>
      <c r="CWN639" s="133"/>
      <c r="CWO639" s="133"/>
      <c r="CWP639" s="133"/>
      <c r="CWQ639" s="133"/>
      <c r="CWR639" s="133"/>
      <c r="CWS639" s="133"/>
      <c r="CWT639" s="133"/>
      <c r="CWU639" s="133"/>
      <c r="CWV639" s="133"/>
      <c r="CWW639" s="133"/>
      <c r="CWX639" s="133"/>
      <c r="CWY639" s="133"/>
      <c r="CWZ639" s="133"/>
      <c r="CXA639" s="133"/>
      <c r="CXB639" s="133"/>
      <c r="CXC639" s="133"/>
      <c r="CXD639" s="133"/>
      <c r="CXE639" s="133"/>
      <c r="CXF639" s="133"/>
      <c r="CXG639" s="133"/>
      <c r="CXH639" s="133"/>
      <c r="CXI639" s="133"/>
      <c r="CXJ639" s="133"/>
      <c r="CXK639" s="133"/>
      <c r="CXL639" s="133"/>
      <c r="CXM639" s="133"/>
      <c r="CXN639" s="133"/>
      <c r="CXO639" s="133"/>
      <c r="CXP639" s="133"/>
      <c r="CXQ639" s="133"/>
      <c r="CXR639" s="133"/>
      <c r="CXS639" s="133"/>
      <c r="CXT639" s="133"/>
      <c r="CXU639" s="133"/>
      <c r="CXV639" s="133"/>
      <c r="CXW639" s="133"/>
      <c r="CXX639" s="133"/>
      <c r="CXY639" s="133"/>
      <c r="CXZ639" s="133"/>
      <c r="CYA639" s="133"/>
      <c r="CYB639" s="133"/>
      <c r="CYC639" s="133"/>
      <c r="CYD639" s="133"/>
      <c r="CYE639" s="133"/>
      <c r="CYF639" s="133"/>
      <c r="CYG639" s="133"/>
      <c r="CYH639" s="133"/>
      <c r="CYI639" s="133"/>
      <c r="CYJ639" s="133"/>
      <c r="CYK639" s="133"/>
      <c r="CYL639" s="133"/>
      <c r="CYM639" s="133"/>
      <c r="CYN639" s="133"/>
      <c r="CYO639" s="133"/>
      <c r="CYP639" s="133"/>
      <c r="CYQ639" s="133"/>
      <c r="CYR639" s="133"/>
      <c r="CYS639" s="133"/>
      <c r="CYT639" s="133"/>
      <c r="CYU639" s="133"/>
      <c r="CYV639" s="133"/>
      <c r="CYW639" s="133"/>
      <c r="CYX639" s="133"/>
      <c r="CYY639" s="133"/>
      <c r="CYZ639" s="133"/>
      <c r="CZA639" s="133"/>
      <c r="CZB639" s="133"/>
      <c r="CZC639" s="133"/>
      <c r="CZD639" s="133"/>
      <c r="CZE639" s="133"/>
      <c r="CZF639" s="133"/>
      <c r="CZG639" s="133"/>
      <c r="CZH639" s="133"/>
      <c r="CZI639" s="133"/>
      <c r="CZJ639" s="133"/>
      <c r="CZK639" s="133"/>
      <c r="CZL639" s="133"/>
      <c r="CZM639" s="133"/>
      <c r="CZN639" s="133"/>
      <c r="CZO639" s="133"/>
      <c r="CZP639" s="133"/>
      <c r="CZQ639" s="133"/>
      <c r="CZR639" s="133"/>
      <c r="CZS639" s="133"/>
      <c r="CZT639" s="133"/>
      <c r="CZU639" s="133"/>
      <c r="CZV639" s="133"/>
      <c r="CZW639" s="133"/>
      <c r="CZX639" s="133"/>
      <c r="CZY639" s="133"/>
      <c r="CZZ639" s="133"/>
      <c r="DAA639" s="133"/>
      <c r="DAB639" s="133"/>
      <c r="DAC639" s="133"/>
      <c r="DAD639" s="133"/>
      <c r="DAE639" s="133"/>
      <c r="DAF639" s="133"/>
      <c r="DAG639" s="133"/>
      <c r="DAH639" s="133"/>
      <c r="DAI639" s="133"/>
      <c r="DAJ639" s="133"/>
      <c r="DAK639" s="133"/>
      <c r="DAL639" s="133"/>
      <c r="DAM639" s="133"/>
      <c r="DAN639" s="133"/>
      <c r="DAO639" s="133"/>
      <c r="DAP639" s="133"/>
      <c r="DAQ639" s="133"/>
      <c r="DAR639" s="133"/>
      <c r="DAS639" s="133"/>
      <c r="DAT639" s="133"/>
      <c r="DAU639" s="133"/>
      <c r="DAV639" s="133"/>
      <c r="DAW639" s="133"/>
      <c r="DAX639" s="133"/>
      <c r="DAY639" s="133"/>
      <c r="DAZ639" s="133"/>
      <c r="DBA639" s="133"/>
      <c r="DBB639" s="133"/>
      <c r="DBC639" s="133"/>
      <c r="DBD639" s="133"/>
      <c r="DBE639" s="133"/>
      <c r="DBF639" s="133"/>
      <c r="DBG639" s="133"/>
      <c r="DBH639" s="133"/>
      <c r="DBI639" s="133"/>
      <c r="DBJ639" s="133"/>
      <c r="DBK639" s="133"/>
      <c r="DBL639" s="133"/>
      <c r="DBM639" s="133"/>
      <c r="DBN639" s="133"/>
      <c r="DBO639" s="133"/>
      <c r="DBP639" s="133"/>
      <c r="DBQ639" s="133"/>
      <c r="DBR639" s="133"/>
      <c r="DBS639" s="133"/>
      <c r="DBT639" s="133"/>
      <c r="DBU639" s="133"/>
      <c r="DBV639" s="133"/>
      <c r="DBW639" s="133"/>
      <c r="DBX639" s="133"/>
      <c r="DBY639" s="133"/>
      <c r="DBZ639" s="133"/>
      <c r="DCA639" s="133"/>
      <c r="DCB639" s="133"/>
      <c r="DCC639" s="133"/>
      <c r="DCD639" s="133"/>
      <c r="DCE639" s="133"/>
      <c r="DCF639" s="133"/>
      <c r="DCG639" s="133"/>
      <c r="DCH639" s="133"/>
      <c r="DCI639" s="133"/>
      <c r="DCJ639" s="133"/>
      <c r="DCK639" s="133"/>
      <c r="DCL639" s="133"/>
      <c r="DCM639" s="133"/>
      <c r="DCN639" s="133"/>
      <c r="DCO639" s="133"/>
      <c r="DCP639" s="133"/>
      <c r="DCQ639" s="133"/>
      <c r="DCR639" s="133"/>
      <c r="DCS639" s="133"/>
      <c r="DCT639" s="133"/>
      <c r="DCU639" s="133"/>
      <c r="DCV639" s="133"/>
      <c r="DCW639" s="133"/>
      <c r="DCX639" s="133"/>
      <c r="DCY639" s="133"/>
      <c r="DCZ639" s="133"/>
      <c r="DDA639" s="133"/>
      <c r="DDB639" s="133"/>
      <c r="DDC639" s="133"/>
      <c r="DDD639" s="133"/>
      <c r="DDE639" s="133"/>
      <c r="DDF639" s="133"/>
      <c r="DDG639" s="133"/>
      <c r="DDH639" s="133"/>
      <c r="DDI639" s="133"/>
      <c r="DDJ639" s="133"/>
      <c r="DDK639" s="133"/>
      <c r="DDL639" s="133"/>
      <c r="DDM639" s="133"/>
      <c r="DDN639" s="133"/>
      <c r="DDO639" s="133"/>
      <c r="DDP639" s="133"/>
      <c r="DDQ639" s="133"/>
      <c r="DDR639" s="133"/>
      <c r="DDS639" s="133"/>
      <c r="DDT639" s="133"/>
      <c r="DDU639" s="133"/>
      <c r="DDV639" s="133"/>
      <c r="DDW639" s="133"/>
      <c r="DDX639" s="133"/>
      <c r="DDY639" s="133"/>
      <c r="DDZ639" s="133"/>
      <c r="DEA639" s="133"/>
      <c r="DEB639" s="133"/>
      <c r="DEC639" s="133"/>
      <c r="DED639" s="133"/>
      <c r="DEE639" s="133"/>
      <c r="DEF639" s="133"/>
      <c r="DEG639" s="133"/>
      <c r="DEH639" s="133"/>
      <c r="DEI639" s="133"/>
      <c r="DEJ639" s="133"/>
      <c r="DEK639" s="133"/>
      <c r="DEL639" s="133"/>
      <c r="DEM639" s="133"/>
      <c r="DEN639" s="133"/>
      <c r="DEO639" s="133"/>
      <c r="DEP639" s="133"/>
      <c r="DEQ639" s="133"/>
      <c r="DER639" s="133"/>
      <c r="DES639" s="133"/>
      <c r="DET639" s="133"/>
      <c r="DEU639" s="133"/>
      <c r="DEV639" s="133"/>
      <c r="DEW639" s="133"/>
      <c r="DEX639" s="133"/>
      <c r="DEY639" s="133"/>
      <c r="DEZ639" s="133"/>
      <c r="DFA639" s="133"/>
      <c r="DFB639" s="133"/>
      <c r="DFC639" s="133"/>
      <c r="DFD639" s="133"/>
      <c r="DFE639" s="133"/>
      <c r="DFF639" s="133"/>
      <c r="DFG639" s="133"/>
      <c r="DFH639" s="133"/>
      <c r="DFI639" s="133"/>
      <c r="DFJ639" s="133"/>
      <c r="DFK639" s="133"/>
      <c r="DFL639" s="133"/>
      <c r="DFM639" s="133"/>
      <c r="DFN639" s="133"/>
      <c r="DFO639" s="133"/>
      <c r="DFP639" s="133"/>
      <c r="DFQ639" s="133"/>
      <c r="DFR639" s="133"/>
      <c r="DFS639" s="133"/>
      <c r="DFT639" s="133"/>
      <c r="DFU639" s="133"/>
      <c r="DFV639" s="133"/>
      <c r="DFW639" s="133"/>
      <c r="DFX639" s="133"/>
      <c r="DFY639" s="133"/>
      <c r="DFZ639" s="133"/>
      <c r="DGA639" s="133"/>
      <c r="DGB639" s="133"/>
      <c r="DGC639" s="133"/>
      <c r="DGD639" s="133"/>
      <c r="DGE639" s="133"/>
      <c r="DGF639" s="133"/>
      <c r="DGG639" s="133"/>
      <c r="DGH639" s="133"/>
      <c r="DGI639" s="133"/>
      <c r="DGJ639" s="133"/>
      <c r="DGK639" s="133"/>
      <c r="DGL639" s="133"/>
      <c r="DGM639" s="133"/>
      <c r="DGN639" s="133"/>
      <c r="DGO639" s="133"/>
      <c r="DGP639" s="133"/>
      <c r="DGQ639" s="133"/>
      <c r="DGR639" s="133"/>
      <c r="DGS639" s="133"/>
      <c r="DGT639" s="133"/>
      <c r="DGU639" s="133"/>
      <c r="DGV639" s="133"/>
      <c r="DGW639" s="133"/>
      <c r="DGX639" s="133"/>
      <c r="DGY639" s="133"/>
      <c r="DGZ639" s="133"/>
      <c r="DHA639" s="133"/>
      <c r="DHB639" s="133"/>
      <c r="DHC639" s="133"/>
      <c r="DHD639" s="133"/>
      <c r="DHE639" s="133"/>
      <c r="DHF639" s="133"/>
      <c r="DHG639" s="133"/>
      <c r="DHH639" s="133"/>
      <c r="DHI639" s="133"/>
      <c r="DHJ639" s="133"/>
      <c r="DHK639" s="133"/>
      <c r="DHL639" s="133"/>
      <c r="DHM639" s="133"/>
      <c r="DHN639" s="133"/>
      <c r="DHO639" s="133"/>
      <c r="DHP639" s="133"/>
      <c r="DHQ639" s="133"/>
      <c r="DHR639" s="133"/>
      <c r="DHS639" s="133"/>
      <c r="DHT639" s="133"/>
      <c r="DHU639" s="133"/>
      <c r="DHV639" s="133"/>
      <c r="DHW639" s="133"/>
      <c r="DHX639" s="133"/>
      <c r="DHY639" s="133"/>
      <c r="DHZ639" s="133"/>
      <c r="DIA639" s="133"/>
      <c r="DIB639" s="133"/>
      <c r="DIC639" s="133"/>
      <c r="DID639" s="133"/>
      <c r="DIE639" s="133"/>
      <c r="DIF639" s="133"/>
      <c r="DIG639" s="133"/>
      <c r="DIH639" s="133"/>
      <c r="DII639" s="133"/>
      <c r="DIJ639" s="133"/>
      <c r="DIK639" s="133"/>
      <c r="DIL639" s="133"/>
      <c r="DIM639" s="133"/>
      <c r="DIN639" s="133"/>
      <c r="DIO639" s="133"/>
      <c r="DIP639" s="133"/>
      <c r="DIQ639" s="133"/>
      <c r="DIR639" s="133"/>
      <c r="DIS639" s="133"/>
      <c r="DIT639" s="133"/>
      <c r="DIU639" s="133"/>
      <c r="DIV639" s="133"/>
      <c r="DIW639" s="133"/>
      <c r="DIX639" s="133"/>
      <c r="DIY639" s="133"/>
      <c r="DIZ639" s="133"/>
      <c r="DJA639" s="133"/>
      <c r="DJB639" s="133"/>
      <c r="DJC639" s="133"/>
      <c r="DJD639" s="133"/>
      <c r="DJE639" s="133"/>
      <c r="DJF639" s="133"/>
      <c r="DJG639" s="133"/>
      <c r="DJH639" s="133"/>
      <c r="DJI639" s="133"/>
      <c r="DJJ639" s="133"/>
      <c r="DJK639" s="133"/>
      <c r="DJL639" s="133"/>
      <c r="DJM639" s="133"/>
      <c r="DJN639" s="133"/>
      <c r="DJO639" s="133"/>
      <c r="DJP639" s="133"/>
      <c r="DJQ639" s="133"/>
      <c r="DJR639" s="133"/>
      <c r="DJS639" s="133"/>
      <c r="DJT639" s="133"/>
      <c r="DJU639" s="133"/>
      <c r="DJV639" s="133"/>
      <c r="DJW639" s="133"/>
      <c r="DJX639" s="133"/>
      <c r="DJY639" s="133"/>
      <c r="DJZ639" s="133"/>
      <c r="DKA639" s="133"/>
      <c r="DKB639" s="133"/>
      <c r="DKC639" s="133"/>
      <c r="DKD639" s="133"/>
      <c r="DKE639" s="133"/>
      <c r="DKF639" s="133"/>
      <c r="DKG639" s="133"/>
      <c r="DKH639" s="133"/>
      <c r="DKI639" s="133"/>
      <c r="DKJ639" s="133"/>
      <c r="DKK639" s="133"/>
      <c r="DKL639" s="133"/>
      <c r="DKM639" s="133"/>
      <c r="DKN639" s="133"/>
      <c r="DKO639" s="133"/>
      <c r="DKP639" s="133"/>
      <c r="DKQ639" s="133"/>
      <c r="DKR639" s="133"/>
      <c r="DKS639" s="133"/>
      <c r="DKT639" s="133"/>
      <c r="DKU639" s="133"/>
      <c r="DKV639" s="133"/>
      <c r="DKW639" s="133"/>
      <c r="DKX639" s="133"/>
      <c r="DKY639" s="133"/>
      <c r="DKZ639" s="133"/>
      <c r="DLA639" s="133"/>
      <c r="DLB639" s="133"/>
      <c r="DLC639" s="133"/>
      <c r="DLD639" s="133"/>
      <c r="DLE639" s="133"/>
      <c r="DLF639" s="133"/>
      <c r="DLG639" s="133"/>
      <c r="DLH639" s="133"/>
      <c r="DLI639" s="133"/>
      <c r="DLJ639" s="133"/>
      <c r="DLK639" s="133"/>
      <c r="DLL639" s="133"/>
      <c r="DLM639" s="133"/>
      <c r="DLN639" s="133"/>
      <c r="DLO639" s="133"/>
      <c r="DLP639" s="133"/>
      <c r="DLQ639" s="133"/>
      <c r="DLR639" s="133"/>
      <c r="DLS639" s="133"/>
      <c r="DLT639" s="133"/>
      <c r="DLU639" s="133"/>
      <c r="DLV639" s="133"/>
      <c r="DLW639" s="133"/>
      <c r="DLX639" s="133"/>
      <c r="DLY639" s="133"/>
      <c r="DLZ639" s="133"/>
      <c r="DMA639" s="133"/>
      <c r="DMB639" s="133"/>
      <c r="DMC639" s="133"/>
      <c r="DMD639" s="133"/>
      <c r="DME639" s="133"/>
      <c r="DMF639" s="133"/>
      <c r="DMG639" s="133"/>
      <c r="DMH639" s="133"/>
      <c r="DMI639" s="133"/>
      <c r="DMJ639" s="133"/>
      <c r="DMK639" s="133"/>
      <c r="DML639" s="133"/>
      <c r="DMM639" s="133"/>
      <c r="DMN639" s="133"/>
      <c r="DMO639" s="133"/>
      <c r="DMP639" s="133"/>
      <c r="DMQ639" s="133"/>
      <c r="DMR639" s="133"/>
      <c r="DMS639" s="133"/>
      <c r="DMT639" s="133"/>
      <c r="DMU639" s="133"/>
      <c r="DMV639" s="133"/>
      <c r="DMW639" s="133"/>
      <c r="DMX639" s="133"/>
      <c r="DMY639" s="133"/>
      <c r="DMZ639" s="133"/>
      <c r="DNA639" s="133"/>
      <c r="DNB639" s="133"/>
      <c r="DNC639" s="133"/>
      <c r="DND639" s="133"/>
      <c r="DNE639" s="133"/>
      <c r="DNF639" s="133"/>
      <c r="DNG639" s="133"/>
      <c r="DNH639" s="133"/>
      <c r="DNI639" s="133"/>
      <c r="DNJ639" s="133"/>
      <c r="DNK639" s="133"/>
      <c r="DNL639" s="133"/>
      <c r="DNM639" s="133"/>
      <c r="DNN639" s="133"/>
      <c r="DNO639" s="133"/>
      <c r="DNP639" s="133"/>
      <c r="DNQ639" s="133"/>
      <c r="DNR639" s="133"/>
      <c r="DNS639" s="133"/>
      <c r="DNT639" s="133"/>
      <c r="DNU639" s="133"/>
      <c r="DNV639" s="133"/>
      <c r="DNW639" s="133"/>
      <c r="DNX639" s="133"/>
      <c r="DNY639" s="133"/>
      <c r="DNZ639" s="133"/>
      <c r="DOA639" s="133"/>
      <c r="DOB639" s="133"/>
      <c r="DOC639" s="133"/>
      <c r="DOD639" s="133"/>
      <c r="DOE639" s="133"/>
      <c r="DOF639" s="133"/>
      <c r="DOG639" s="133"/>
      <c r="DOH639" s="133"/>
      <c r="DOI639" s="133"/>
      <c r="DOJ639" s="133"/>
      <c r="DOK639" s="133"/>
      <c r="DOL639" s="133"/>
      <c r="DOM639" s="133"/>
      <c r="DON639" s="133"/>
      <c r="DOO639" s="133"/>
      <c r="DOP639" s="133"/>
      <c r="DOQ639" s="133"/>
      <c r="DOR639" s="133"/>
      <c r="DOS639" s="133"/>
      <c r="DOT639" s="133"/>
      <c r="DOU639" s="133"/>
      <c r="DOV639" s="133"/>
      <c r="DOW639" s="133"/>
      <c r="DOX639" s="133"/>
      <c r="DOY639" s="133"/>
      <c r="DOZ639" s="133"/>
      <c r="DPA639" s="133"/>
      <c r="DPB639" s="133"/>
      <c r="DPC639" s="133"/>
      <c r="DPD639" s="133"/>
      <c r="DPE639" s="133"/>
      <c r="DPF639" s="133"/>
      <c r="DPG639" s="133"/>
      <c r="DPH639" s="133"/>
      <c r="DPI639" s="133"/>
      <c r="DPJ639" s="133"/>
      <c r="DPK639" s="133"/>
      <c r="DPL639" s="133"/>
      <c r="DPM639" s="133"/>
      <c r="DPN639" s="133"/>
      <c r="DPO639" s="133"/>
      <c r="DPP639" s="133"/>
      <c r="DPQ639" s="133"/>
      <c r="DPR639" s="133"/>
      <c r="DPS639" s="133"/>
      <c r="DPT639" s="133"/>
      <c r="DPU639" s="133"/>
      <c r="DPV639" s="133"/>
      <c r="DPW639" s="133"/>
      <c r="DPX639" s="133"/>
      <c r="DPY639" s="133"/>
      <c r="DPZ639" s="133"/>
      <c r="DQA639" s="133"/>
      <c r="DQB639" s="133"/>
      <c r="DQC639" s="133"/>
      <c r="DQD639" s="133"/>
      <c r="DQE639" s="133"/>
      <c r="DQF639" s="133"/>
      <c r="DQG639" s="133"/>
      <c r="DQH639" s="133"/>
      <c r="DQI639" s="133"/>
      <c r="DQJ639" s="133"/>
      <c r="DQK639" s="133"/>
      <c r="DQL639" s="133"/>
      <c r="DQM639" s="133"/>
      <c r="DQN639" s="133"/>
      <c r="DQO639" s="133"/>
      <c r="DQP639" s="133"/>
      <c r="DQQ639" s="133"/>
      <c r="DQR639" s="133"/>
      <c r="DQS639" s="133"/>
      <c r="DQT639" s="133"/>
      <c r="DQU639" s="133"/>
      <c r="DQV639" s="133"/>
      <c r="DQW639" s="133"/>
      <c r="DQX639" s="133"/>
      <c r="DQY639" s="133"/>
      <c r="DQZ639" s="133"/>
      <c r="DRA639" s="133"/>
      <c r="DRB639" s="133"/>
      <c r="DRC639" s="133"/>
      <c r="DRD639" s="133"/>
      <c r="DRE639" s="133"/>
      <c r="DRF639" s="133"/>
      <c r="DRG639" s="133"/>
      <c r="DRH639" s="133"/>
      <c r="DRI639" s="133"/>
      <c r="DRJ639" s="133"/>
      <c r="DRK639" s="133"/>
      <c r="DRL639" s="133"/>
      <c r="DRM639" s="133"/>
      <c r="DRN639" s="133"/>
      <c r="DRO639" s="133"/>
      <c r="DRP639" s="133"/>
      <c r="DRQ639" s="133"/>
      <c r="DRR639" s="133"/>
      <c r="DRS639" s="133"/>
      <c r="DRT639" s="133"/>
      <c r="DRU639" s="133"/>
      <c r="DRV639" s="133"/>
      <c r="DRW639" s="133"/>
      <c r="DRX639" s="133"/>
      <c r="DRY639" s="133"/>
      <c r="DRZ639" s="133"/>
      <c r="DSA639" s="133"/>
      <c r="DSB639" s="133"/>
      <c r="DSC639" s="133"/>
      <c r="DSD639" s="133"/>
      <c r="DSE639" s="133"/>
      <c r="DSF639" s="133"/>
      <c r="DSG639" s="133"/>
      <c r="DSH639" s="133"/>
      <c r="DSI639" s="133"/>
      <c r="DSJ639" s="133"/>
      <c r="DSK639" s="133"/>
      <c r="DSL639" s="133"/>
      <c r="DSM639" s="133"/>
      <c r="DSN639" s="133"/>
      <c r="DSO639" s="133"/>
      <c r="DSP639" s="133"/>
      <c r="DSQ639" s="133"/>
      <c r="DSR639" s="133"/>
      <c r="DSS639" s="133"/>
      <c r="DST639" s="133"/>
      <c r="DSU639" s="133"/>
      <c r="DSV639" s="133"/>
      <c r="DSW639" s="133"/>
      <c r="DSX639" s="133"/>
      <c r="DSY639" s="133"/>
      <c r="DSZ639" s="133"/>
      <c r="DTA639" s="133"/>
      <c r="DTB639" s="133"/>
      <c r="DTC639" s="133"/>
      <c r="DTD639" s="133"/>
      <c r="DTE639" s="133"/>
      <c r="DTF639" s="133"/>
      <c r="DTG639" s="133"/>
      <c r="DTH639" s="133"/>
      <c r="DTI639" s="133"/>
      <c r="DTJ639" s="133"/>
      <c r="DTK639" s="133"/>
      <c r="DTL639" s="133"/>
      <c r="DTM639" s="133"/>
      <c r="DTN639" s="133"/>
      <c r="DTO639" s="133"/>
      <c r="DTP639" s="133"/>
      <c r="DTQ639" s="133"/>
      <c r="DTR639" s="133"/>
      <c r="DTS639" s="133"/>
      <c r="DTT639" s="133"/>
      <c r="DTU639" s="133"/>
      <c r="DTV639" s="133"/>
      <c r="DTW639" s="133"/>
      <c r="DTX639" s="133"/>
      <c r="DTY639" s="133"/>
      <c r="DTZ639" s="133"/>
      <c r="DUA639" s="133"/>
      <c r="DUB639" s="133"/>
      <c r="DUC639" s="133"/>
      <c r="DUD639" s="133"/>
      <c r="DUE639" s="133"/>
      <c r="DUF639" s="133"/>
      <c r="DUG639" s="133"/>
      <c r="DUH639" s="133"/>
      <c r="DUI639" s="133"/>
      <c r="DUJ639" s="133"/>
      <c r="DUK639" s="133"/>
      <c r="DUL639" s="133"/>
      <c r="DUM639" s="133"/>
      <c r="DUN639" s="133"/>
      <c r="DUO639" s="133"/>
      <c r="DUP639" s="133"/>
      <c r="DUQ639" s="133"/>
      <c r="DUR639" s="133"/>
      <c r="DUS639" s="133"/>
      <c r="DUT639" s="133"/>
      <c r="DUU639" s="133"/>
      <c r="DUV639" s="133"/>
      <c r="DUW639" s="133"/>
      <c r="DUX639" s="133"/>
      <c r="DUY639" s="133"/>
      <c r="DUZ639" s="133"/>
      <c r="DVA639" s="133"/>
      <c r="DVB639" s="133"/>
      <c r="DVC639" s="133"/>
      <c r="DVD639" s="133"/>
      <c r="DVE639" s="133"/>
      <c r="DVF639" s="133"/>
      <c r="DVG639" s="133"/>
      <c r="DVH639" s="133"/>
      <c r="DVI639" s="133"/>
      <c r="DVJ639" s="133"/>
      <c r="DVK639" s="133"/>
      <c r="DVL639" s="133"/>
      <c r="DVM639" s="133"/>
      <c r="DVN639" s="133"/>
      <c r="DVO639" s="133"/>
      <c r="DVP639" s="133"/>
      <c r="DVQ639" s="133"/>
      <c r="DVR639" s="133"/>
      <c r="DVS639" s="133"/>
      <c r="DVT639" s="133"/>
      <c r="DVU639" s="133"/>
      <c r="DVV639" s="133"/>
      <c r="DVW639" s="133"/>
      <c r="DVX639" s="133"/>
      <c r="DVY639" s="133"/>
      <c r="DVZ639" s="133"/>
      <c r="DWA639" s="133"/>
      <c r="DWB639" s="133"/>
      <c r="DWC639" s="133"/>
      <c r="DWD639" s="133"/>
      <c r="DWE639" s="133"/>
      <c r="DWF639" s="133"/>
      <c r="DWG639" s="133"/>
      <c r="DWH639" s="133"/>
      <c r="DWI639" s="133"/>
      <c r="DWJ639" s="133"/>
      <c r="DWK639" s="133"/>
      <c r="DWL639" s="133"/>
      <c r="DWM639" s="133"/>
      <c r="DWN639" s="133"/>
      <c r="DWO639" s="133"/>
      <c r="DWP639" s="133"/>
      <c r="DWQ639" s="133"/>
      <c r="DWR639" s="133"/>
      <c r="DWS639" s="133"/>
      <c r="DWT639" s="133"/>
      <c r="DWU639" s="133"/>
      <c r="DWV639" s="133"/>
      <c r="DWW639" s="133"/>
      <c r="DWX639" s="133"/>
      <c r="DWY639" s="133"/>
      <c r="DWZ639" s="133"/>
      <c r="DXA639" s="133"/>
      <c r="DXB639" s="133"/>
      <c r="DXC639" s="133"/>
      <c r="DXD639" s="133"/>
      <c r="DXE639" s="133"/>
      <c r="DXF639" s="133"/>
      <c r="DXG639" s="133"/>
      <c r="DXH639" s="133"/>
      <c r="DXI639" s="133"/>
      <c r="DXJ639" s="133"/>
      <c r="DXK639" s="133"/>
      <c r="DXL639" s="133"/>
      <c r="DXM639" s="133"/>
      <c r="DXN639" s="133"/>
      <c r="DXO639" s="133"/>
      <c r="DXP639" s="133"/>
      <c r="DXQ639" s="133"/>
      <c r="DXR639" s="133"/>
      <c r="DXS639" s="133"/>
      <c r="DXT639" s="133"/>
      <c r="DXU639" s="133"/>
      <c r="DXV639" s="133"/>
      <c r="DXW639" s="133"/>
      <c r="DXX639" s="133"/>
      <c r="DXY639" s="133"/>
      <c r="DXZ639" s="133"/>
      <c r="DYA639" s="133"/>
      <c r="DYB639" s="133"/>
      <c r="DYC639" s="133"/>
      <c r="DYD639" s="133"/>
      <c r="DYE639" s="133"/>
      <c r="DYF639" s="133"/>
      <c r="DYG639" s="133"/>
      <c r="DYH639" s="133"/>
      <c r="DYI639" s="133"/>
      <c r="DYJ639" s="133"/>
      <c r="DYK639" s="133"/>
      <c r="DYL639" s="133"/>
      <c r="DYM639" s="133"/>
      <c r="DYN639" s="133"/>
      <c r="DYO639" s="133"/>
      <c r="DYP639" s="133"/>
      <c r="DYQ639" s="133"/>
      <c r="DYR639" s="133"/>
      <c r="DYS639" s="133"/>
      <c r="DYT639" s="133"/>
      <c r="DYU639" s="133"/>
      <c r="DYV639" s="133"/>
      <c r="DYW639" s="133"/>
      <c r="DYX639" s="133"/>
      <c r="DYY639" s="133"/>
      <c r="DYZ639" s="133"/>
      <c r="DZA639" s="133"/>
      <c r="DZB639" s="133"/>
      <c r="DZC639" s="133"/>
      <c r="DZD639" s="133"/>
      <c r="DZE639" s="133"/>
      <c r="DZF639" s="133"/>
      <c r="DZG639" s="133"/>
      <c r="DZH639" s="133"/>
      <c r="DZI639" s="133"/>
      <c r="DZJ639" s="133"/>
      <c r="DZK639" s="133"/>
      <c r="DZL639" s="133"/>
      <c r="DZM639" s="133"/>
      <c r="DZN639" s="133"/>
      <c r="DZO639" s="133"/>
      <c r="DZP639" s="133"/>
      <c r="DZQ639" s="133"/>
      <c r="DZR639" s="133"/>
      <c r="DZS639" s="133"/>
      <c r="DZT639" s="133"/>
      <c r="DZU639" s="133"/>
      <c r="DZV639" s="133"/>
      <c r="DZW639" s="133"/>
      <c r="DZX639" s="133"/>
      <c r="DZY639" s="133"/>
      <c r="DZZ639" s="133"/>
      <c r="EAA639" s="133"/>
      <c r="EAB639" s="133"/>
      <c r="EAC639" s="133"/>
      <c r="EAD639" s="133"/>
      <c r="EAE639" s="133"/>
      <c r="EAF639" s="133"/>
      <c r="EAG639" s="133"/>
      <c r="EAH639" s="133"/>
      <c r="EAI639" s="133"/>
      <c r="EAJ639" s="133"/>
      <c r="EAK639" s="133"/>
      <c r="EAL639" s="133"/>
      <c r="EAM639" s="133"/>
      <c r="EAN639" s="133"/>
      <c r="EAO639" s="133"/>
      <c r="EAP639" s="133"/>
      <c r="EAQ639" s="133"/>
      <c r="EAR639" s="133"/>
      <c r="EAS639" s="133"/>
      <c r="EAT639" s="133"/>
      <c r="EAU639" s="133"/>
      <c r="EAV639" s="133"/>
      <c r="EAW639" s="133"/>
      <c r="EAX639" s="133"/>
      <c r="EAY639" s="133"/>
      <c r="EAZ639" s="133"/>
      <c r="EBA639" s="133"/>
      <c r="EBB639" s="133"/>
      <c r="EBC639" s="133"/>
      <c r="EBD639" s="133"/>
      <c r="EBE639" s="133"/>
      <c r="EBF639" s="133"/>
      <c r="EBG639" s="133"/>
      <c r="EBH639" s="133"/>
      <c r="EBI639" s="133"/>
      <c r="EBJ639" s="133"/>
      <c r="EBK639" s="133"/>
      <c r="EBL639" s="133"/>
      <c r="EBM639" s="133"/>
      <c r="EBN639" s="133"/>
      <c r="EBO639" s="133"/>
      <c r="EBP639" s="133"/>
      <c r="EBQ639" s="133"/>
      <c r="EBR639" s="133"/>
      <c r="EBS639" s="133"/>
      <c r="EBT639" s="133"/>
      <c r="EBU639" s="133"/>
      <c r="EBV639" s="133"/>
      <c r="EBW639" s="133"/>
      <c r="EBX639" s="133"/>
      <c r="EBY639" s="133"/>
      <c r="EBZ639" s="133"/>
      <c r="ECA639" s="133"/>
      <c r="ECB639" s="133"/>
      <c r="ECC639" s="133"/>
      <c r="ECD639" s="133"/>
      <c r="ECE639" s="133"/>
      <c r="ECF639" s="133"/>
      <c r="ECG639" s="133"/>
      <c r="ECH639" s="133"/>
      <c r="ECI639" s="133"/>
      <c r="ECJ639" s="133"/>
      <c r="ECK639" s="133"/>
      <c r="ECL639" s="133"/>
      <c r="ECM639" s="133"/>
      <c r="ECN639" s="133"/>
      <c r="ECO639" s="133"/>
      <c r="ECP639" s="133"/>
      <c r="ECQ639" s="133"/>
      <c r="ECR639" s="133"/>
      <c r="ECS639" s="133"/>
      <c r="ECT639" s="133"/>
      <c r="ECU639" s="133"/>
      <c r="ECV639" s="133"/>
      <c r="ECW639" s="133"/>
      <c r="ECX639" s="133"/>
      <c r="ECY639" s="133"/>
      <c r="ECZ639" s="133"/>
      <c r="EDA639" s="133"/>
      <c r="EDB639" s="133"/>
      <c r="EDC639" s="133"/>
      <c r="EDD639" s="133"/>
      <c r="EDE639" s="133"/>
      <c r="EDF639" s="133"/>
      <c r="EDG639" s="133"/>
      <c r="EDH639" s="133"/>
      <c r="EDI639" s="133"/>
      <c r="EDJ639" s="133"/>
      <c r="EDK639" s="133"/>
      <c r="EDL639" s="133"/>
      <c r="EDM639" s="133"/>
      <c r="EDN639" s="133"/>
      <c r="EDO639" s="133"/>
      <c r="EDP639" s="133"/>
      <c r="EDQ639" s="133"/>
      <c r="EDR639" s="133"/>
      <c r="EDS639" s="133"/>
      <c r="EDT639" s="133"/>
      <c r="EDU639" s="133"/>
      <c r="EDV639" s="133"/>
      <c r="EDW639" s="133"/>
      <c r="EDX639" s="133"/>
      <c r="EDY639" s="133"/>
      <c r="EDZ639" s="133"/>
      <c r="EEA639" s="133"/>
      <c r="EEB639" s="133"/>
      <c r="EEC639" s="133"/>
      <c r="EED639" s="133"/>
      <c r="EEE639" s="133"/>
      <c r="EEF639" s="133"/>
      <c r="EEG639" s="133"/>
      <c r="EEH639" s="133"/>
      <c r="EEI639" s="133"/>
      <c r="EEJ639" s="133"/>
      <c r="EEK639" s="133"/>
      <c r="EEL639" s="133"/>
      <c r="EEM639" s="133"/>
      <c r="EEN639" s="133"/>
      <c r="EEO639" s="133"/>
      <c r="EEP639" s="133"/>
      <c r="EEQ639" s="133"/>
      <c r="EER639" s="133"/>
      <c r="EES639" s="133"/>
      <c r="EET639" s="133"/>
      <c r="EEU639" s="133"/>
      <c r="EEV639" s="133"/>
      <c r="EEW639" s="133"/>
      <c r="EEX639" s="133"/>
      <c r="EEY639" s="133"/>
      <c r="EEZ639" s="133"/>
      <c r="EFA639" s="133"/>
      <c r="EFB639" s="133"/>
      <c r="EFC639" s="133"/>
      <c r="EFD639" s="133"/>
      <c r="EFE639" s="133"/>
      <c r="EFF639" s="133"/>
      <c r="EFG639" s="133"/>
      <c r="EFH639" s="133"/>
      <c r="EFI639" s="133"/>
      <c r="EFJ639" s="133"/>
      <c r="EFK639" s="133"/>
      <c r="EFL639" s="133"/>
      <c r="EFM639" s="133"/>
      <c r="EFN639" s="133"/>
      <c r="EFO639" s="133"/>
      <c r="EFP639" s="133"/>
      <c r="EFQ639" s="133"/>
      <c r="EFR639" s="133"/>
      <c r="EFS639" s="133"/>
      <c r="EFT639" s="133"/>
      <c r="EFU639" s="133"/>
      <c r="EFV639" s="133"/>
      <c r="EFW639" s="133"/>
      <c r="EFX639" s="133"/>
      <c r="EFY639" s="133"/>
      <c r="EFZ639" s="133"/>
      <c r="EGA639" s="133"/>
      <c r="EGB639" s="133"/>
      <c r="EGC639" s="133"/>
      <c r="EGD639" s="133"/>
      <c r="EGE639" s="133"/>
      <c r="EGF639" s="133"/>
      <c r="EGG639" s="133"/>
      <c r="EGH639" s="133"/>
      <c r="EGI639" s="133"/>
      <c r="EGJ639" s="133"/>
      <c r="EGK639" s="133"/>
      <c r="EGL639" s="133"/>
      <c r="EGM639" s="133"/>
      <c r="EGN639" s="133"/>
      <c r="EGO639" s="133"/>
      <c r="EGP639" s="133"/>
      <c r="EGQ639" s="133"/>
      <c r="EGR639" s="133"/>
      <c r="EGS639" s="133"/>
      <c r="EGT639" s="133"/>
      <c r="EGU639" s="133"/>
      <c r="EGV639" s="133"/>
      <c r="EGW639" s="133"/>
      <c r="EGX639" s="133"/>
      <c r="EGY639" s="133"/>
      <c r="EGZ639" s="133"/>
      <c r="EHA639" s="133"/>
      <c r="EHB639" s="133"/>
      <c r="EHC639" s="133"/>
      <c r="EHD639" s="133"/>
      <c r="EHE639" s="133"/>
      <c r="EHF639" s="133"/>
      <c r="EHG639" s="133"/>
      <c r="EHH639" s="133"/>
      <c r="EHI639" s="133"/>
      <c r="EHJ639" s="133"/>
      <c r="EHK639" s="133"/>
      <c r="EHL639" s="133"/>
      <c r="EHM639" s="133"/>
      <c r="EHN639" s="133"/>
      <c r="EHO639" s="133"/>
      <c r="EHP639" s="133"/>
      <c r="EHQ639" s="133"/>
      <c r="EHR639" s="133"/>
      <c r="EHS639" s="133"/>
      <c r="EHT639" s="133"/>
      <c r="EHU639" s="133"/>
      <c r="EHV639" s="133"/>
      <c r="EHW639" s="133"/>
      <c r="EHX639" s="133"/>
      <c r="EHY639" s="133"/>
      <c r="EHZ639" s="133"/>
      <c r="EIA639" s="133"/>
      <c r="EIB639" s="133"/>
      <c r="EIC639" s="133"/>
      <c r="EID639" s="133"/>
      <c r="EIE639" s="133"/>
      <c r="EIF639" s="133"/>
      <c r="EIG639" s="133"/>
      <c r="EIH639" s="133"/>
      <c r="EII639" s="133"/>
      <c r="EIJ639" s="133"/>
      <c r="EIK639" s="133"/>
      <c r="EIL639" s="133"/>
      <c r="EIM639" s="133"/>
      <c r="EIN639" s="133"/>
      <c r="EIO639" s="133"/>
      <c r="EIP639" s="133"/>
      <c r="EIQ639" s="133"/>
      <c r="EIR639" s="133"/>
      <c r="EIS639" s="133"/>
      <c r="EIT639" s="133"/>
      <c r="EIU639" s="133"/>
      <c r="EIV639" s="133"/>
      <c r="EIW639" s="133"/>
      <c r="EIX639" s="133"/>
      <c r="EIY639" s="133"/>
      <c r="EIZ639" s="133"/>
      <c r="EJA639" s="133"/>
      <c r="EJB639" s="133"/>
      <c r="EJC639" s="133"/>
      <c r="EJD639" s="133"/>
      <c r="EJE639" s="133"/>
      <c r="EJF639" s="133"/>
      <c r="EJG639" s="133"/>
      <c r="EJH639" s="133"/>
      <c r="EJI639" s="133"/>
      <c r="EJJ639" s="133"/>
      <c r="EJK639" s="133"/>
      <c r="EJL639" s="133"/>
      <c r="EJM639" s="133"/>
      <c r="EJN639" s="133"/>
      <c r="EJO639" s="133"/>
      <c r="EJP639" s="133"/>
      <c r="EJQ639" s="133"/>
      <c r="EJR639" s="133"/>
      <c r="EJS639" s="133"/>
      <c r="EJT639" s="133"/>
      <c r="EJU639" s="133"/>
      <c r="EJV639" s="133"/>
      <c r="EJW639" s="133"/>
      <c r="EJX639" s="133"/>
      <c r="EJY639" s="133"/>
      <c r="EJZ639" s="133"/>
      <c r="EKA639" s="133"/>
      <c r="EKB639" s="133"/>
      <c r="EKC639" s="133"/>
      <c r="EKD639" s="133"/>
      <c r="EKE639" s="133"/>
      <c r="EKF639" s="133"/>
      <c r="EKG639" s="133"/>
      <c r="EKH639" s="133"/>
      <c r="EKI639" s="133"/>
      <c r="EKJ639" s="133"/>
      <c r="EKK639" s="133"/>
      <c r="EKL639" s="133"/>
      <c r="EKM639" s="133"/>
      <c r="EKN639" s="133"/>
      <c r="EKO639" s="133"/>
      <c r="EKP639" s="133"/>
      <c r="EKQ639" s="133"/>
      <c r="EKR639" s="133"/>
      <c r="EKS639" s="133"/>
      <c r="EKT639" s="133"/>
      <c r="EKU639" s="133"/>
      <c r="EKV639" s="133"/>
      <c r="EKW639" s="133"/>
      <c r="EKX639" s="133"/>
      <c r="EKY639" s="133"/>
      <c r="EKZ639" s="133"/>
      <c r="ELA639" s="133"/>
      <c r="ELB639" s="133"/>
      <c r="ELC639" s="133"/>
      <c r="ELD639" s="133"/>
      <c r="ELE639" s="133"/>
      <c r="ELF639" s="133"/>
      <c r="ELG639" s="133"/>
      <c r="ELH639" s="133"/>
      <c r="ELI639" s="133"/>
      <c r="ELJ639" s="133"/>
      <c r="ELK639" s="133"/>
      <c r="ELL639" s="133"/>
      <c r="ELM639" s="133"/>
      <c r="ELN639" s="133"/>
      <c r="ELO639" s="133"/>
      <c r="ELP639" s="133"/>
      <c r="ELQ639" s="133"/>
      <c r="ELR639" s="133"/>
      <c r="ELS639" s="133"/>
      <c r="ELT639" s="133"/>
      <c r="ELU639" s="133"/>
      <c r="ELV639" s="133"/>
      <c r="ELW639" s="133"/>
      <c r="ELX639" s="133"/>
      <c r="ELY639" s="133"/>
      <c r="ELZ639" s="133"/>
      <c r="EMA639" s="133"/>
      <c r="EMB639" s="133"/>
      <c r="EMC639" s="133"/>
      <c r="EMD639" s="133"/>
      <c r="EME639" s="133"/>
      <c r="EMF639" s="133"/>
      <c r="EMG639" s="133"/>
      <c r="EMH639" s="133"/>
      <c r="EMI639" s="133"/>
      <c r="EMJ639" s="133"/>
      <c r="EMK639" s="133"/>
      <c r="EML639" s="133"/>
      <c r="EMM639" s="133"/>
      <c r="EMN639" s="133"/>
      <c r="EMO639" s="133"/>
      <c r="EMP639" s="133"/>
      <c r="EMQ639" s="133"/>
      <c r="EMR639" s="133"/>
      <c r="EMS639" s="133"/>
      <c r="EMT639" s="133"/>
      <c r="EMU639" s="133"/>
      <c r="EMV639" s="133"/>
      <c r="EMW639" s="133"/>
      <c r="EMX639" s="133"/>
      <c r="EMY639" s="133"/>
      <c r="EMZ639" s="133"/>
      <c r="ENA639" s="133"/>
      <c r="ENB639" s="133"/>
      <c r="ENC639" s="133"/>
      <c r="END639" s="133"/>
      <c r="ENE639" s="133"/>
      <c r="ENF639" s="133"/>
      <c r="ENG639" s="133"/>
      <c r="ENH639" s="133"/>
      <c r="ENI639" s="133"/>
      <c r="ENJ639" s="133"/>
      <c r="ENK639" s="133"/>
      <c r="ENL639" s="133"/>
      <c r="ENM639" s="133"/>
      <c r="ENN639" s="133"/>
      <c r="ENO639" s="133"/>
      <c r="ENP639" s="133"/>
      <c r="ENQ639" s="133"/>
      <c r="ENR639" s="133"/>
      <c r="ENS639" s="133"/>
      <c r="ENT639" s="133"/>
      <c r="ENU639" s="133"/>
      <c r="ENV639" s="133"/>
      <c r="ENW639" s="133"/>
      <c r="ENX639" s="133"/>
      <c r="ENY639" s="133"/>
      <c r="ENZ639" s="133"/>
      <c r="EOA639" s="133"/>
      <c r="EOB639" s="133"/>
      <c r="EOC639" s="133"/>
      <c r="EOD639" s="133"/>
      <c r="EOE639" s="133"/>
      <c r="EOF639" s="133"/>
      <c r="EOG639" s="133"/>
      <c r="EOH639" s="133"/>
      <c r="EOI639" s="133"/>
      <c r="EOJ639" s="133"/>
      <c r="EOK639" s="133"/>
      <c r="EOL639" s="133"/>
      <c r="EOM639" s="133"/>
      <c r="EON639" s="133"/>
      <c r="EOO639" s="133"/>
      <c r="EOP639" s="133"/>
      <c r="EOQ639" s="133"/>
      <c r="EOR639" s="133"/>
      <c r="EOS639" s="133"/>
      <c r="EOT639" s="133"/>
      <c r="EOU639" s="133"/>
      <c r="EOV639" s="133"/>
      <c r="EOW639" s="133"/>
      <c r="EOX639" s="133"/>
      <c r="EOY639" s="133"/>
      <c r="EOZ639" s="133"/>
      <c r="EPA639" s="133"/>
      <c r="EPB639" s="133"/>
      <c r="EPC639" s="133"/>
      <c r="EPD639" s="133"/>
      <c r="EPE639" s="133"/>
      <c r="EPF639" s="133"/>
      <c r="EPG639" s="133"/>
      <c r="EPH639" s="133"/>
      <c r="EPI639" s="133"/>
      <c r="EPJ639" s="133"/>
      <c r="EPK639" s="133"/>
      <c r="EPL639" s="133"/>
      <c r="EPM639" s="133"/>
      <c r="EPN639" s="133"/>
      <c r="EPO639" s="133"/>
      <c r="EPP639" s="133"/>
      <c r="EPQ639" s="133"/>
      <c r="EPR639" s="133"/>
      <c r="EPS639" s="133"/>
      <c r="EPT639" s="133"/>
      <c r="EPU639" s="133"/>
      <c r="EPV639" s="133"/>
      <c r="EPW639" s="133"/>
      <c r="EPX639" s="133"/>
      <c r="EPY639" s="133"/>
      <c r="EPZ639" s="133"/>
      <c r="EQA639" s="133"/>
      <c r="EQB639" s="133"/>
      <c r="EQC639" s="133"/>
      <c r="EQD639" s="133"/>
      <c r="EQE639" s="133"/>
      <c r="EQF639" s="133"/>
      <c r="EQG639" s="133"/>
      <c r="EQH639" s="133"/>
      <c r="EQI639" s="133"/>
      <c r="EQJ639" s="133"/>
      <c r="EQK639" s="133"/>
      <c r="EQL639" s="133"/>
      <c r="EQM639" s="133"/>
      <c r="EQN639" s="133"/>
      <c r="EQO639" s="133"/>
      <c r="EQP639" s="133"/>
      <c r="EQQ639" s="133"/>
      <c r="EQR639" s="133"/>
      <c r="EQS639" s="133"/>
      <c r="EQT639" s="133"/>
      <c r="EQU639" s="133"/>
      <c r="EQV639" s="133"/>
      <c r="EQW639" s="133"/>
      <c r="EQX639" s="133"/>
      <c r="EQY639" s="133"/>
      <c r="EQZ639" s="133"/>
      <c r="ERA639" s="133"/>
      <c r="ERB639" s="133"/>
      <c r="ERC639" s="133"/>
      <c r="ERD639" s="133"/>
      <c r="ERE639" s="133"/>
      <c r="ERF639" s="133"/>
      <c r="ERG639" s="133"/>
      <c r="ERH639" s="133"/>
      <c r="ERI639" s="133"/>
      <c r="ERJ639" s="133"/>
      <c r="ERK639" s="133"/>
      <c r="ERL639" s="133"/>
      <c r="ERM639" s="133"/>
      <c r="ERN639" s="133"/>
      <c r="ERO639" s="133"/>
      <c r="ERP639" s="133"/>
      <c r="ERQ639" s="133"/>
      <c r="ERR639" s="133"/>
      <c r="ERS639" s="133"/>
      <c r="ERT639" s="133"/>
      <c r="ERU639" s="133"/>
      <c r="ERV639" s="133"/>
      <c r="ERW639" s="133"/>
      <c r="ERX639" s="133"/>
      <c r="ERY639" s="133"/>
      <c r="ERZ639" s="133"/>
      <c r="ESA639" s="133"/>
      <c r="ESB639" s="133"/>
      <c r="ESC639" s="133"/>
      <c r="ESD639" s="133"/>
      <c r="ESE639" s="133"/>
      <c r="ESF639" s="133"/>
      <c r="ESG639" s="133"/>
      <c r="ESH639" s="133"/>
      <c r="ESI639" s="133"/>
      <c r="ESJ639" s="133"/>
      <c r="ESK639" s="133"/>
      <c r="ESL639" s="133"/>
      <c r="ESM639" s="133"/>
      <c r="ESN639" s="133"/>
      <c r="ESO639" s="133"/>
      <c r="ESP639" s="133"/>
      <c r="ESQ639" s="133"/>
      <c r="ESR639" s="133"/>
      <c r="ESS639" s="133"/>
      <c r="EST639" s="133"/>
      <c r="ESU639" s="133"/>
      <c r="ESV639" s="133"/>
      <c r="ESW639" s="133"/>
      <c r="ESX639" s="133"/>
      <c r="ESY639" s="133"/>
      <c r="ESZ639" s="133"/>
      <c r="ETA639" s="133"/>
      <c r="ETB639" s="133"/>
      <c r="ETC639" s="133"/>
      <c r="ETD639" s="133"/>
      <c r="ETE639" s="133"/>
      <c r="ETF639" s="133"/>
      <c r="ETG639" s="133"/>
      <c r="ETH639" s="133"/>
      <c r="ETI639" s="133"/>
      <c r="ETJ639" s="133"/>
      <c r="ETK639" s="133"/>
      <c r="ETL639" s="133"/>
      <c r="ETM639" s="133"/>
      <c r="ETN639" s="133"/>
      <c r="ETO639" s="133"/>
      <c r="ETP639" s="133"/>
      <c r="ETQ639" s="133"/>
      <c r="ETR639" s="133"/>
      <c r="ETS639" s="133"/>
      <c r="ETT639" s="133"/>
      <c r="ETU639" s="133"/>
      <c r="ETV639" s="133"/>
      <c r="ETW639" s="133"/>
      <c r="ETX639" s="133"/>
      <c r="ETY639" s="133"/>
      <c r="ETZ639" s="133"/>
      <c r="EUA639" s="133"/>
      <c r="EUB639" s="133"/>
      <c r="EUC639" s="133"/>
      <c r="EUD639" s="133"/>
      <c r="EUE639" s="133"/>
      <c r="EUF639" s="133"/>
      <c r="EUG639" s="133"/>
      <c r="EUH639" s="133"/>
      <c r="EUI639" s="133"/>
      <c r="EUJ639" s="133"/>
      <c r="EUK639" s="133"/>
      <c r="EUL639" s="133"/>
      <c r="EUM639" s="133"/>
      <c r="EUN639" s="133"/>
      <c r="EUO639" s="133"/>
      <c r="EUP639" s="133"/>
      <c r="EUQ639" s="133"/>
      <c r="EUR639" s="133"/>
      <c r="EUS639" s="133"/>
      <c r="EUT639" s="133"/>
      <c r="EUU639" s="133"/>
      <c r="EUV639" s="133"/>
      <c r="EUW639" s="133"/>
      <c r="EUX639" s="133"/>
      <c r="EUY639" s="133"/>
      <c r="EUZ639" s="133"/>
      <c r="EVA639" s="133"/>
      <c r="EVB639" s="133"/>
      <c r="EVC639" s="133"/>
      <c r="EVD639" s="133"/>
      <c r="EVE639" s="133"/>
      <c r="EVF639" s="133"/>
      <c r="EVG639" s="133"/>
      <c r="EVH639" s="133"/>
      <c r="EVI639" s="133"/>
      <c r="EVJ639" s="133"/>
      <c r="EVK639" s="133"/>
      <c r="EVL639" s="133"/>
      <c r="EVM639" s="133"/>
      <c r="EVN639" s="133"/>
      <c r="EVO639" s="133"/>
      <c r="EVP639" s="133"/>
      <c r="EVQ639" s="133"/>
      <c r="EVR639" s="133"/>
      <c r="EVS639" s="133"/>
      <c r="EVT639" s="133"/>
      <c r="EVU639" s="133"/>
      <c r="EVV639" s="133"/>
      <c r="EVW639" s="133"/>
      <c r="EVX639" s="133"/>
      <c r="EVY639" s="133"/>
      <c r="EVZ639" s="133"/>
      <c r="EWA639" s="133"/>
      <c r="EWB639" s="133"/>
      <c r="EWC639" s="133"/>
      <c r="EWD639" s="133"/>
      <c r="EWE639" s="133"/>
      <c r="EWF639" s="133"/>
      <c r="EWG639" s="133"/>
      <c r="EWH639" s="133"/>
      <c r="EWI639" s="133"/>
      <c r="EWJ639" s="133"/>
      <c r="EWK639" s="133"/>
      <c r="EWL639" s="133"/>
      <c r="EWM639" s="133"/>
      <c r="EWN639" s="133"/>
      <c r="EWO639" s="133"/>
      <c r="EWP639" s="133"/>
      <c r="EWQ639" s="133"/>
      <c r="EWR639" s="133"/>
      <c r="EWS639" s="133"/>
      <c r="EWT639" s="133"/>
      <c r="EWU639" s="133"/>
      <c r="EWV639" s="133"/>
      <c r="EWW639" s="133"/>
      <c r="EWX639" s="133"/>
      <c r="EWY639" s="133"/>
      <c r="EWZ639" s="133"/>
      <c r="EXA639" s="133"/>
      <c r="EXB639" s="133"/>
      <c r="EXC639" s="133"/>
      <c r="EXD639" s="133"/>
      <c r="EXE639" s="133"/>
      <c r="EXF639" s="133"/>
      <c r="EXG639" s="133"/>
      <c r="EXH639" s="133"/>
      <c r="EXI639" s="133"/>
      <c r="EXJ639" s="133"/>
      <c r="EXK639" s="133"/>
      <c r="EXL639" s="133"/>
      <c r="EXM639" s="133"/>
      <c r="EXN639" s="133"/>
      <c r="EXO639" s="133"/>
      <c r="EXP639" s="133"/>
      <c r="EXQ639" s="133"/>
      <c r="EXR639" s="133"/>
      <c r="EXS639" s="133"/>
      <c r="EXT639" s="133"/>
      <c r="EXU639" s="133"/>
      <c r="EXV639" s="133"/>
      <c r="EXW639" s="133"/>
      <c r="EXX639" s="133"/>
      <c r="EXY639" s="133"/>
      <c r="EXZ639" s="133"/>
      <c r="EYA639" s="133"/>
      <c r="EYB639" s="133"/>
      <c r="EYC639" s="133"/>
      <c r="EYD639" s="133"/>
      <c r="EYE639" s="133"/>
      <c r="EYF639" s="133"/>
      <c r="EYG639" s="133"/>
      <c r="EYH639" s="133"/>
      <c r="EYI639" s="133"/>
      <c r="EYJ639" s="133"/>
      <c r="EYK639" s="133"/>
      <c r="EYL639" s="133"/>
      <c r="EYM639" s="133"/>
      <c r="EYN639" s="133"/>
      <c r="EYO639" s="133"/>
      <c r="EYP639" s="133"/>
      <c r="EYQ639" s="133"/>
      <c r="EYR639" s="133"/>
      <c r="EYS639" s="133"/>
      <c r="EYT639" s="133"/>
      <c r="EYU639" s="133"/>
      <c r="EYV639" s="133"/>
      <c r="EYW639" s="133"/>
      <c r="EYX639" s="133"/>
      <c r="EYY639" s="133"/>
      <c r="EYZ639" s="133"/>
      <c r="EZA639" s="133"/>
      <c r="EZB639" s="133"/>
      <c r="EZC639" s="133"/>
      <c r="EZD639" s="133"/>
      <c r="EZE639" s="133"/>
      <c r="EZF639" s="133"/>
      <c r="EZG639" s="133"/>
      <c r="EZH639" s="133"/>
      <c r="EZI639" s="133"/>
      <c r="EZJ639" s="133"/>
      <c r="EZK639" s="133"/>
      <c r="EZL639" s="133"/>
      <c r="EZM639" s="133"/>
      <c r="EZN639" s="133"/>
      <c r="EZO639" s="133"/>
      <c r="EZP639" s="133"/>
      <c r="EZQ639" s="133"/>
      <c r="EZR639" s="133"/>
      <c r="EZS639" s="133"/>
      <c r="EZT639" s="133"/>
      <c r="EZU639" s="133"/>
      <c r="EZV639" s="133"/>
      <c r="EZW639" s="133"/>
      <c r="EZX639" s="133"/>
      <c r="EZY639" s="133"/>
      <c r="EZZ639" s="133"/>
      <c r="FAA639" s="133"/>
      <c r="FAB639" s="133"/>
      <c r="FAC639" s="133"/>
      <c r="FAD639" s="133"/>
      <c r="FAE639" s="133"/>
      <c r="FAF639" s="133"/>
      <c r="FAG639" s="133"/>
      <c r="FAH639" s="133"/>
      <c r="FAI639" s="133"/>
      <c r="FAJ639" s="133"/>
      <c r="FAK639" s="133"/>
      <c r="FAL639" s="133"/>
      <c r="FAM639" s="133"/>
      <c r="FAN639" s="133"/>
      <c r="FAO639" s="133"/>
      <c r="FAP639" s="133"/>
      <c r="FAQ639" s="133"/>
      <c r="FAR639" s="133"/>
      <c r="FAS639" s="133"/>
      <c r="FAT639" s="133"/>
      <c r="FAU639" s="133"/>
      <c r="FAV639" s="133"/>
      <c r="FAW639" s="133"/>
      <c r="FAX639" s="133"/>
      <c r="FAY639" s="133"/>
      <c r="FAZ639" s="133"/>
      <c r="FBA639" s="133"/>
      <c r="FBB639" s="133"/>
      <c r="FBC639" s="133"/>
      <c r="FBD639" s="133"/>
      <c r="FBE639" s="133"/>
      <c r="FBF639" s="133"/>
      <c r="FBG639" s="133"/>
      <c r="FBH639" s="133"/>
      <c r="FBI639" s="133"/>
      <c r="FBJ639" s="133"/>
      <c r="FBK639" s="133"/>
      <c r="FBL639" s="133"/>
      <c r="FBM639" s="133"/>
      <c r="FBN639" s="133"/>
      <c r="FBO639" s="133"/>
      <c r="FBP639" s="133"/>
      <c r="FBQ639" s="133"/>
      <c r="FBR639" s="133"/>
      <c r="FBS639" s="133"/>
      <c r="FBT639" s="133"/>
      <c r="FBU639" s="133"/>
      <c r="FBV639" s="133"/>
      <c r="FBW639" s="133"/>
      <c r="FBX639" s="133"/>
      <c r="FBY639" s="133"/>
      <c r="FBZ639" s="133"/>
      <c r="FCA639" s="133"/>
      <c r="FCB639" s="133"/>
      <c r="FCC639" s="133"/>
      <c r="FCD639" s="133"/>
      <c r="FCE639" s="133"/>
      <c r="FCF639" s="133"/>
      <c r="FCG639" s="133"/>
      <c r="FCH639" s="133"/>
      <c r="FCI639" s="133"/>
      <c r="FCJ639" s="133"/>
      <c r="FCK639" s="133"/>
      <c r="FCL639" s="133"/>
      <c r="FCM639" s="133"/>
      <c r="FCN639" s="133"/>
      <c r="FCO639" s="133"/>
      <c r="FCP639" s="133"/>
      <c r="FCQ639" s="133"/>
      <c r="FCR639" s="133"/>
      <c r="FCS639" s="133"/>
      <c r="FCT639" s="133"/>
      <c r="FCU639" s="133"/>
      <c r="FCV639" s="133"/>
      <c r="FCW639" s="133"/>
      <c r="FCX639" s="133"/>
      <c r="FCY639" s="133"/>
      <c r="FCZ639" s="133"/>
      <c r="FDA639" s="133"/>
      <c r="FDB639" s="133"/>
      <c r="FDC639" s="133"/>
      <c r="FDD639" s="133"/>
      <c r="FDE639" s="133"/>
      <c r="FDF639" s="133"/>
      <c r="FDG639" s="133"/>
      <c r="FDH639" s="133"/>
      <c r="FDI639" s="133"/>
      <c r="FDJ639" s="133"/>
      <c r="FDK639" s="133"/>
      <c r="FDL639" s="133"/>
      <c r="FDM639" s="133"/>
      <c r="FDN639" s="133"/>
      <c r="FDO639" s="133"/>
      <c r="FDP639" s="133"/>
      <c r="FDQ639" s="133"/>
      <c r="FDR639" s="133"/>
      <c r="FDS639" s="133"/>
      <c r="FDT639" s="133"/>
      <c r="FDU639" s="133"/>
      <c r="FDV639" s="133"/>
      <c r="FDW639" s="133"/>
      <c r="FDX639" s="133"/>
      <c r="FDY639" s="133"/>
      <c r="FDZ639" s="133"/>
      <c r="FEA639" s="133"/>
      <c r="FEB639" s="133"/>
      <c r="FEC639" s="133"/>
      <c r="FED639" s="133"/>
      <c r="FEE639" s="133"/>
      <c r="FEF639" s="133"/>
      <c r="FEG639" s="133"/>
      <c r="FEH639" s="133"/>
      <c r="FEI639" s="133"/>
      <c r="FEJ639" s="133"/>
      <c r="FEK639" s="133"/>
      <c r="FEL639" s="133"/>
      <c r="FEM639" s="133"/>
      <c r="FEN639" s="133"/>
      <c r="FEO639" s="133"/>
      <c r="FEP639" s="133"/>
      <c r="FEQ639" s="133"/>
      <c r="FER639" s="133"/>
      <c r="FES639" s="133"/>
      <c r="FET639" s="133"/>
      <c r="FEU639" s="133"/>
      <c r="FEV639" s="133"/>
      <c r="FEW639" s="133"/>
      <c r="FEX639" s="133"/>
      <c r="FEY639" s="133"/>
      <c r="FEZ639" s="133"/>
      <c r="FFA639" s="133"/>
      <c r="FFB639" s="133"/>
      <c r="FFC639" s="133"/>
      <c r="FFD639" s="133"/>
      <c r="FFE639" s="133"/>
      <c r="FFF639" s="133"/>
      <c r="FFG639" s="133"/>
      <c r="FFH639" s="133"/>
      <c r="FFI639" s="133"/>
      <c r="FFJ639" s="133"/>
      <c r="FFK639" s="133"/>
      <c r="FFL639" s="133"/>
      <c r="FFM639" s="133"/>
      <c r="FFN639" s="133"/>
      <c r="FFO639" s="133"/>
      <c r="FFP639" s="133"/>
      <c r="FFQ639" s="133"/>
      <c r="FFR639" s="133"/>
      <c r="FFS639" s="133"/>
      <c r="FFT639" s="133"/>
      <c r="FFU639" s="133"/>
      <c r="FFV639" s="133"/>
      <c r="FFW639" s="133"/>
      <c r="FFX639" s="133"/>
      <c r="FFY639" s="133"/>
      <c r="FFZ639" s="133"/>
      <c r="FGA639" s="133"/>
      <c r="FGB639" s="133"/>
      <c r="FGC639" s="133"/>
      <c r="FGD639" s="133"/>
      <c r="FGE639" s="133"/>
      <c r="FGF639" s="133"/>
      <c r="FGG639" s="133"/>
      <c r="FGH639" s="133"/>
      <c r="FGI639" s="133"/>
      <c r="FGJ639" s="133"/>
      <c r="FGK639" s="133"/>
      <c r="FGL639" s="133"/>
      <c r="FGM639" s="133"/>
      <c r="FGN639" s="133"/>
      <c r="FGO639" s="133"/>
      <c r="FGP639" s="133"/>
      <c r="FGQ639" s="133"/>
      <c r="FGR639" s="133"/>
      <c r="FGS639" s="133"/>
      <c r="FGT639" s="133"/>
      <c r="FGU639" s="133"/>
      <c r="FGV639" s="133"/>
      <c r="FGW639" s="133"/>
      <c r="FGX639" s="133"/>
      <c r="FGY639" s="133"/>
      <c r="FGZ639" s="133"/>
      <c r="FHA639" s="133"/>
      <c r="FHB639" s="133"/>
      <c r="FHC639" s="133"/>
      <c r="FHD639" s="133"/>
      <c r="FHE639" s="133"/>
      <c r="FHF639" s="133"/>
      <c r="FHG639" s="133"/>
      <c r="FHH639" s="133"/>
      <c r="FHI639" s="133"/>
      <c r="FHJ639" s="133"/>
      <c r="FHK639" s="133"/>
      <c r="FHL639" s="133"/>
      <c r="FHM639" s="133"/>
      <c r="FHN639" s="133"/>
      <c r="FHO639" s="133"/>
      <c r="FHP639" s="133"/>
      <c r="FHQ639" s="133"/>
      <c r="FHR639" s="133"/>
      <c r="FHS639" s="133"/>
      <c r="FHT639" s="133"/>
      <c r="FHU639" s="133"/>
      <c r="FHV639" s="133"/>
      <c r="FHW639" s="133"/>
      <c r="FHX639" s="133"/>
      <c r="FHY639" s="133"/>
      <c r="FHZ639" s="133"/>
      <c r="FIA639" s="133"/>
      <c r="FIB639" s="133"/>
      <c r="FIC639" s="133"/>
      <c r="FID639" s="133"/>
      <c r="FIE639" s="133"/>
      <c r="FIF639" s="133"/>
      <c r="FIG639" s="133"/>
      <c r="FIH639" s="133"/>
      <c r="FII639" s="133"/>
      <c r="FIJ639" s="133"/>
      <c r="FIK639" s="133"/>
      <c r="FIL639" s="133"/>
      <c r="FIM639" s="133"/>
      <c r="FIN639" s="133"/>
      <c r="FIO639" s="133"/>
      <c r="FIP639" s="133"/>
      <c r="FIQ639" s="133"/>
      <c r="FIR639" s="133"/>
      <c r="FIS639" s="133"/>
      <c r="FIT639" s="133"/>
      <c r="FIU639" s="133"/>
      <c r="FIV639" s="133"/>
      <c r="FIW639" s="133"/>
      <c r="FIX639" s="133"/>
      <c r="FIY639" s="133"/>
      <c r="FIZ639" s="133"/>
      <c r="FJA639" s="133"/>
      <c r="FJB639" s="133"/>
      <c r="FJC639" s="133"/>
      <c r="FJD639" s="133"/>
      <c r="FJE639" s="133"/>
      <c r="FJF639" s="133"/>
      <c r="FJG639" s="133"/>
      <c r="FJH639" s="133"/>
      <c r="FJI639" s="133"/>
      <c r="FJJ639" s="133"/>
      <c r="FJK639" s="133"/>
      <c r="FJL639" s="133"/>
      <c r="FJM639" s="133"/>
      <c r="FJN639" s="133"/>
      <c r="FJO639" s="133"/>
      <c r="FJP639" s="133"/>
      <c r="FJQ639" s="133"/>
      <c r="FJR639" s="133"/>
      <c r="FJS639" s="133"/>
      <c r="FJT639" s="133"/>
      <c r="FJU639" s="133"/>
      <c r="FJV639" s="133"/>
      <c r="FJW639" s="133"/>
      <c r="FJX639" s="133"/>
      <c r="FJY639" s="133"/>
      <c r="FJZ639" s="133"/>
      <c r="FKA639" s="133"/>
      <c r="FKB639" s="133"/>
      <c r="FKC639" s="133"/>
      <c r="FKD639" s="133"/>
      <c r="FKE639" s="133"/>
      <c r="FKF639" s="133"/>
      <c r="FKG639" s="133"/>
      <c r="FKH639" s="133"/>
      <c r="FKI639" s="133"/>
      <c r="FKJ639" s="133"/>
      <c r="FKK639" s="133"/>
      <c r="FKL639" s="133"/>
      <c r="FKM639" s="133"/>
      <c r="FKN639" s="133"/>
      <c r="FKO639" s="133"/>
      <c r="FKP639" s="133"/>
      <c r="FKQ639" s="133"/>
      <c r="FKR639" s="133"/>
      <c r="FKS639" s="133"/>
      <c r="FKT639" s="133"/>
      <c r="FKU639" s="133"/>
      <c r="FKV639" s="133"/>
      <c r="FKW639" s="133"/>
      <c r="FKX639" s="133"/>
      <c r="FKY639" s="133"/>
      <c r="FKZ639" s="133"/>
      <c r="FLA639" s="133"/>
      <c r="FLB639" s="133"/>
      <c r="FLC639" s="133"/>
      <c r="FLD639" s="133"/>
      <c r="FLE639" s="133"/>
      <c r="FLF639" s="133"/>
      <c r="FLG639" s="133"/>
      <c r="FLH639" s="133"/>
      <c r="FLI639" s="133"/>
      <c r="FLJ639" s="133"/>
      <c r="FLK639" s="133"/>
      <c r="FLL639" s="133"/>
      <c r="FLM639" s="133"/>
      <c r="FLN639" s="133"/>
      <c r="FLO639" s="133"/>
      <c r="FLP639" s="133"/>
      <c r="FLQ639" s="133"/>
      <c r="FLR639" s="133"/>
      <c r="FLS639" s="133"/>
      <c r="FLT639" s="133"/>
      <c r="FLU639" s="133"/>
      <c r="FLV639" s="133"/>
      <c r="FLW639" s="133"/>
      <c r="FLX639" s="133"/>
      <c r="FLY639" s="133"/>
      <c r="FLZ639" s="133"/>
      <c r="FMA639" s="133"/>
      <c r="FMB639" s="133"/>
      <c r="FMC639" s="133"/>
      <c r="FMD639" s="133"/>
      <c r="FME639" s="133"/>
      <c r="FMF639" s="133"/>
      <c r="FMG639" s="133"/>
      <c r="FMH639" s="133"/>
      <c r="FMI639" s="133"/>
      <c r="FMJ639" s="133"/>
      <c r="FMK639" s="133"/>
      <c r="FML639" s="133"/>
      <c r="FMM639" s="133"/>
      <c r="FMN639" s="133"/>
      <c r="FMO639" s="133"/>
      <c r="FMP639" s="133"/>
      <c r="FMQ639" s="133"/>
      <c r="FMR639" s="133"/>
      <c r="FMS639" s="133"/>
      <c r="FMT639" s="133"/>
      <c r="FMU639" s="133"/>
      <c r="FMV639" s="133"/>
      <c r="FMW639" s="133"/>
      <c r="FMX639" s="133"/>
      <c r="FMY639" s="133"/>
      <c r="FMZ639" s="133"/>
      <c r="FNA639" s="133"/>
      <c r="FNB639" s="133"/>
      <c r="FNC639" s="133"/>
      <c r="FND639" s="133"/>
      <c r="FNE639" s="133"/>
      <c r="FNF639" s="133"/>
      <c r="FNG639" s="133"/>
      <c r="FNH639" s="133"/>
      <c r="FNI639" s="133"/>
      <c r="FNJ639" s="133"/>
      <c r="FNK639" s="133"/>
      <c r="FNL639" s="133"/>
      <c r="FNM639" s="133"/>
      <c r="FNN639" s="133"/>
      <c r="FNO639" s="133"/>
      <c r="FNP639" s="133"/>
      <c r="FNQ639" s="133"/>
      <c r="FNR639" s="133"/>
      <c r="FNS639" s="133"/>
      <c r="FNT639" s="133"/>
      <c r="FNU639" s="133"/>
      <c r="FNV639" s="133"/>
      <c r="FNW639" s="133"/>
      <c r="FNX639" s="133"/>
      <c r="FNY639" s="133"/>
      <c r="FNZ639" s="133"/>
      <c r="FOA639" s="133"/>
      <c r="FOB639" s="133"/>
      <c r="FOC639" s="133"/>
      <c r="FOD639" s="133"/>
      <c r="FOE639" s="133"/>
      <c r="FOF639" s="133"/>
      <c r="FOG639" s="133"/>
      <c r="FOH639" s="133"/>
      <c r="FOI639" s="133"/>
      <c r="FOJ639" s="133"/>
      <c r="FOK639" s="133"/>
      <c r="FOL639" s="133"/>
      <c r="FOM639" s="133"/>
      <c r="FON639" s="133"/>
      <c r="FOO639" s="133"/>
      <c r="FOP639" s="133"/>
      <c r="FOQ639" s="133"/>
      <c r="FOR639" s="133"/>
      <c r="FOS639" s="133"/>
      <c r="FOT639" s="133"/>
      <c r="FOU639" s="133"/>
      <c r="FOV639" s="133"/>
      <c r="FOW639" s="133"/>
      <c r="FOX639" s="133"/>
      <c r="FOY639" s="133"/>
      <c r="FOZ639" s="133"/>
      <c r="FPA639" s="133"/>
      <c r="FPB639" s="133"/>
      <c r="FPC639" s="133"/>
      <c r="FPD639" s="133"/>
      <c r="FPE639" s="133"/>
      <c r="FPF639" s="133"/>
      <c r="FPG639" s="133"/>
      <c r="FPH639" s="133"/>
      <c r="FPI639" s="133"/>
      <c r="FPJ639" s="133"/>
      <c r="FPK639" s="133"/>
      <c r="FPL639" s="133"/>
      <c r="FPM639" s="133"/>
      <c r="FPN639" s="133"/>
      <c r="FPO639" s="133"/>
      <c r="FPP639" s="133"/>
      <c r="FPQ639" s="133"/>
      <c r="FPR639" s="133"/>
      <c r="FPS639" s="133"/>
      <c r="FPT639" s="133"/>
      <c r="FPU639" s="133"/>
      <c r="FPV639" s="133"/>
      <c r="FPW639" s="133"/>
      <c r="FPX639" s="133"/>
      <c r="FPY639" s="133"/>
      <c r="FPZ639" s="133"/>
      <c r="FQA639" s="133"/>
      <c r="FQB639" s="133"/>
      <c r="FQC639" s="133"/>
      <c r="FQD639" s="133"/>
      <c r="FQE639" s="133"/>
      <c r="FQF639" s="133"/>
      <c r="FQG639" s="133"/>
      <c r="FQH639" s="133"/>
      <c r="FQI639" s="133"/>
      <c r="FQJ639" s="133"/>
      <c r="FQK639" s="133"/>
      <c r="FQL639" s="133"/>
      <c r="FQM639" s="133"/>
      <c r="FQN639" s="133"/>
      <c r="FQO639" s="133"/>
      <c r="FQP639" s="133"/>
      <c r="FQQ639" s="133"/>
      <c r="FQR639" s="133"/>
      <c r="FQS639" s="133"/>
      <c r="FQT639" s="133"/>
      <c r="FQU639" s="133"/>
      <c r="FQV639" s="133"/>
      <c r="FQW639" s="133"/>
      <c r="FQX639" s="133"/>
      <c r="FQY639" s="133"/>
      <c r="FQZ639" s="133"/>
      <c r="FRA639" s="133"/>
      <c r="FRB639" s="133"/>
      <c r="FRC639" s="133"/>
      <c r="FRD639" s="133"/>
      <c r="FRE639" s="133"/>
      <c r="FRF639" s="133"/>
      <c r="FRG639" s="133"/>
      <c r="FRH639" s="133"/>
      <c r="FRI639" s="133"/>
      <c r="FRJ639" s="133"/>
      <c r="FRK639" s="133"/>
      <c r="FRL639" s="133"/>
      <c r="FRM639" s="133"/>
      <c r="FRN639" s="133"/>
      <c r="FRO639" s="133"/>
      <c r="FRP639" s="133"/>
      <c r="FRQ639" s="133"/>
      <c r="FRR639" s="133"/>
      <c r="FRS639" s="133"/>
      <c r="FRT639" s="133"/>
      <c r="FRU639" s="133"/>
      <c r="FRV639" s="133"/>
      <c r="FRW639" s="133"/>
      <c r="FRX639" s="133"/>
      <c r="FRY639" s="133"/>
      <c r="FRZ639" s="133"/>
      <c r="FSA639" s="133"/>
      <c r="FSB639" s="133"/>
      <c r="FSC639" s="133"/>
      <c r="FSD639" s="133"/>
      <c r="FSE639" s="133"/>
      <c r="FSF639" s="133"/>
      <c r="FSG639" s="133"/>
      <c r="FSH639" s="133"/>
      <c r="FSI639" s="133"/>
      <c r="FSJ639" s="133"/>
      <c r="FSK639" s="133"/>
      <c r="FSL639" s="133"/>
      <c r="FSM639" s="133"/>
      <c r="FSN639" s="133"/>
      <c r="FSO639" s="133"/>
      <c r="FSP639" s="133"/>
      <c r="FSQ639" s="133"/>
      <c r="FSR639" s="133"/>
      <c r="FSS639" s="133"/>
      <c r="FST639" s="133"/>
      <c r="FSU639" s="133"/>
      <c r="FSV639" s="133"/>
      <c r="FSW639" s="133"/>
      <c r="FSX639" s="133"/>
      <c r="FSY639" s="133"/>
      <c r="FSZ639" s="133"/>
      <c r="FTA639" s="133"/>
      <c r="FTB639" s="133"/>
      <c r="FTC639" s="133"/>
      <c r="FTD639" s="133"/>
      <c r="FTE639" s="133"/>
      <c r="FTF639" s="133"/>
      <c r="FTG639" s="133"/>
      <c r="FTH639" s="133"/>
      <c r="FTI639" s="133"/>
      <c r="FTJ639" s="133"/>
      <c r="FTK639" s="133"/>
      <c r="FTL639" s="133"/>
      <c r="FTM639" s="133"/>
      <c r="FTN639" s="133"/>
      <c r="FTO639" s="133"/>
      <c r="FTP639" s="133"/>
      <c r="FTQ639" s="133"/>
      <c r="FTR639" s="133"/>
      <c r="FTS639" s="133"/>
      <c r="FTT639" s="133"/>
      <c r="FTU639" s="133"/>
      <c r="FTV639" s="133"/>
      <c r="FTW639" s="133"/>
      <c r="FTX639" s="133"/>
      <c r="FTY639" s="133"/>
      <c r="FTZ639" s="133"/>
      <c r="FUA639" s="133"/>
      <c r="FUB639" s="133"/>
      <c r="FUC639" s="133"/>
      <c r="FUD639" s="133"/>
      <c r="FUE639" s="133"/>
      <c r="FUF639" s="133"/>
      <c r="FUG639" s="133"/>
      <c r="FUH639" s="133"/>
      <c r="FUI639" s="133"/>
      <c r="FUJ639" s="133"/>
      <c r="FUK639" s="133"/>
      <c r="FUL639" s="133"/>
      <c r="FUM639" s="133"/>
      <c r="FUN639" s="133"/>
      <c r="FUO639" s="133"/>
      <c r="FUP639" s="133"/>
      <c r="FUQ639" s="133"/>
      <c r="FUR639" s="133"/>
      <c r="FUS639" s="133"/>
      <c r="FUT639" s="133"/>
      <c r="FUU639" s="133"/>
      <c r="FUV639" s="133"/>
      <c r="FUW639" s="133"/>
      <c r="FUX639" s="133"/>
      <c r="FUY639" s="133"/>
      <c r="FUZ639" s="133"/>
      <c r="FVA639" s="133"/>
      <c r="FVB639" s="133"/>
      <c r="FVC639" s="133"/>
      <c r="FVD639" s="133"/>
      <c r="FVE639" s="133"/>
      <c r="FVF639" s="133"/>
      <c r="FVG639" s="133"/>
      <c r="FVH639" s="133"/>
      <c r="FVI639" s="133"/>
      <c r="FVJ639" s="133"/>
      <c r="FVK639" s="133"/>
      <c r="FVL639" s="133"/>
      <c r="FVM639" s="133"/>
      <c r="FVN639" s="133"/>
      <c r="FVO639" s="133"/>
      <c r="FVP639" s="133"/>
      <c r="FVQ639" s="133"/>
      <c r="FVR639" s="133"/>
      <c r="FVS639" s="133"/>
      <c r="FVT639" s="133"/>
      <c r="FVU639" s="133"/>
      <c r="FVV639" s="133"/>
      <c r="FVW639" s="133"/>
      <c r="FVX639" s="133"/>
      <c r="FVY639" s="133"/>
      <c r="FVZ639" s="133"/>
      <c r="FWA639" s="133"/>
      <c r="FWB639" s="133"/>
      <c r="FWC639" s="133"/>
      <c r="FWD639" s="133"/>
      <c r="FWE639" s="133"/>
      <c r="FWF639" s="133"/>
      <c r="FWG639" s="133"/>
      <c r="FWH639" s="133"/>
      <c r="FWI639" s="133"/>
      <c r="FWJ639" s="133"/>
      <c r="FWK639" s="133"/>
      <c r="FWL639" s="133"/>
      <c r="FWM639" s="133"/>
      <c r="FWN639" s="133"/>
      <c r="FWO639" s="133"/>
      <c r="FWP639" s="133"/>
      <c r="FWQ639" s="133"/>
      <c r="FWR639" s="133"/>
      <c r="FWS639" s="133"/>
      <c r="FWT639" s="133"/>
      <c r="FWU639" s="133"/>
      <c r="FWV639" s="133"/>
      <c r="FWW639" s="133"/>
      <c r="FWX639" s="133"/>
      <c r="FWY639" s="133"/>
      <c r="FWZ639" s="133"/>
      <c r="FXA639" s="133"/>
      <c r="FXB639" s="133"/>
      <c r="FXC639" s="133"/>
      <c r="FXD639" s="133"/>
      <c r="FXE639" s="133"/>
      <c r="FXF639" s="133"/>
      <c r="FXG639" s="133"/>
      <c r="FXH639" s="133"/>
      <c r="FXI639" s="133"/>
      <c r="FXJ639" s="133"/>
      <c r="FXK639" s="133"/>
      <c r="FXL639" s="133"/>
      <c r="FXM639" s="133"/>
      <c r="FXN639" s="133"/>
      <c r="FXO639" s="133"/>
      <c r="FXP639" s="133"/>
      <c r="FXQ639" s="133"/>
      <c r="FXR639" s="133"/>
      <c r="FXS639" s="133"/>
      <c r="FXT639" s="133"/>
      <c r="FXU639" s="133"/>
      <c r="FXV639" s="133"/>
      <c r="FXW639" s="133"/>
      <c r="FXX639" s="133"/>
      <c r="FXY639" s="133"/>
      <c r="FXZ639" s="133"/>
      <c r="FYA639" s="133"/>
      <c r="FYB639" s="133"/>
      <c r="FYC639" s="133"/>
      <c r="FYD639" s="133"/>
      <c r="FYE639" s="133"/>
      <c r="FYF639" s="133"/>
      <c r="FYG639" s="133"/>
      <c r="FYH639" s="133"/>
      <c r="FYI639" s="133"/>
      <c r="FYJ639" s="133"/>
      <c r="FYK639" s="133"/>
      <c r="FYL639" s="133"/>
      <c r="FYM639" s="133"/>
      <c r="FYN639" s="133"/>
      <c r="FYO639" s="133"/>
      <c r="FYP639" s="133"/>
      <c r="FYQ639" s="133"/>
      <c r="FYR639" s="133"/>
      <c r="FYS639" s="133"/>
      <c r="FYT639" s="133"/>
      <c r="FYU639" s="133"/>
      <c r="FYV639" s="133"/>
      <c r="FYW639" s="133"/>
      <c r="FYX639" s="133"/>
      <c r="FYY639" s="133"/>
      <c r="FYZ639" s="133"/>
      <c r="FZA639" s="133"/>
      <c r="FZB639" s="133"/>
      <c r="FZC639" s="133"/>
      <c r="FZD639" s="133"/>
      <c r="FZE639" s="133"/>
      <c r="FZF639" s="133"/>
      <c r="FZG639" s="133"/>
      <c r="FZH639" s="133"/>
      <c r="FZI639" s="133"/>
      <c r="FZJ639" s="133"/>
      <c r="FZK639" s="133"/>
      <c r="FZL639" s="133"/>
      <c r="FZM639" s="133"/>
      <c r="FZN639" s="133"/>
      <c r="FZO639" s="133"/>
      <c r="FZP639" s="133"/>
      <c r="FZQ639" s="133"/>
      <c r="FZR639" s="133"/>
      <c r="FZS639" s="133"/>
      <c r="FZT639" s="133"/>
      <c r="FZU639" s="133"/>
      <c r="FZV639" s="133"/>
      <c r="FZW639" s="133"/>
      <c r="FZX639" s="133"/>
      <c r="FZY639" s="133"/>
      <c r="FZZ639" s="133"/>
      <c r="GAA639" s="133"/>
      <c r="GAB639" s="133"/>
      <c r="GAC639" s="133"/>
      <c r="GAD639" s="133"/>
      <c r="GAE639" s="133"/>
      <c r="GAF639" s="133"/>
      <c r="GAG639" s="133"/>
      <c r="GAH639" s="133"/>
      <c r="GAI639" s="133"/>
      <c r="GAJ639" s="133"/>
      <c r="GAK639" s="133"/>
      <c r="GAL639" s="133"/>
      <c r="GAM639" s="133"/>
      <c r="GAN639" s="133"/>
      <c r="GAO639" s="133"/>
      <c r="GAP639" s="133"/>
      <c r="GAQ639" s="133"/>
      <c r="GAR639" s="133"/>
      <c r="GAS639" s="133"/>
      <c r="GAT639" s="133"/>
      <c r="GAU639" s="133"/>
      <c r="GAV639" s="133"/>
      <c r="GAW639" s="133"/>
      <c r="GAX639" s="133"/>
      <c r="GAY639" s="133"/>
      <c r="GAZ639" s="133"/>
      <c r="GBA639" s="133"/>
      <c r="GBB639" s="133"/>
      <c r="GBC639" s="133"/>
      <c r="GBD639" s="133"/>
      <c r="GBE639" s="133"/>
      <c r="GBF639" s="133"/>
      <c r="GBG639" s="133"/>
      <c r="GBH639" s="133"/>
      <c r="GBI639" s="133"/>
      <c r="GBJ639" s="133"/>
      <c r="GBK639" s="133"/>
      <c r="GBL639" s="133"/>
      <c r="GBM639" s="133"/>
      <c r="GBN639" s="133"/>
      <c r="GBO639" s="133"/>
      <c r="GBP639" s="133"/>
      <c r="GBQ639" s="133"/>
      <c r="GBR639" s="133"/>
      <c r="GBS639" s="133"/>
      <c r="GBT639" s="133"/>
      <c r="GBU639" s="133"/>
      <c r="GBV639" s="133"/>
      <c r="GBW639" s="133"/>
      <c r="GBX639" s="133"/>
      <c r="GBY639" s="133"/>
      <c r="GBZ639" s="133"/>
      <c r="GCA639" s="133"/>
      <c r="GCB639" s="133"/>
      <c r="GCC639" s="133"/>
      <c r="GCD639" s="133"/>
      <c r="GCE639" s="133"/>
      <c r="GCF639" s="133"/>
      <c r="GCG639" s="133"/>
      <c r="GCH639" s="133"/>
      <c r="GCI639" s="133"/>
      <c r="GCJ639" s="133"/>
      <c r="GCK639" s="133"/>
      <c r="GCL639" s="133"/>
      <c r="GCM639" s="133"/>
      <c r="GCN639" s="133"/>
      <c r="GCO639" s="133"/>
      <c r="GCP639" s="133"/>
      <c r="GCQ639" s="133"/>
      <c r="GCR639" s="133"/>
      <c r="GCS639" s="133"/>
      <c r="GCT639" s="133"/>
      <c r="GCU639" s="133"/>
      <c r="GCV639" s="133"/>
      <c r="GCW639" s="133"/>
      <c r="GCX639" s="133"/>
      <c r="GCY639" s="133"/>
      <c r="GCZ639" s="133"/>
      <c r="GDA639" s="133"/>
      <c r="GDB639" s="133"/>
      <c r="GDC639" s="133"/>
      <c r="GDD639" s="133"/>
      <c r="GDE639" s="133"/>
      <c r="GDF639" s="133"/>
      <c r="GDG639" s="133"/>
      <c r="GDH639" s="133"/>
      <c r="GDI639" s="133"/>
      <c r="GDJ639" s="133"/>
      <c r="GDK639" s="133"/>
      <c r="GDL639" s="133"/>
      <c r="GDM639" s="133"/>
      <c r="GDN639" s="133"/>
      <c r="GDO639" s="133"/>
      <c r="GDP639" s="133"/>
      <c r="GDQ639" s="133"/>
      <c r="GDR639" s="133"/>
      <c r="GDS639" s="133"/>
      <c r="GDT639" s="133"/>
      <c r="GDU639" s="133"/>
      <c r="GDV639" s="133"/>
      <c r="GDW639" s="133"/>
      <c r="GDX639" s="133"/>
      <c r="GDY639" s="133"/>
      <c r="GDZ639" s="133"/>
      <c r="GEA639" s="133"/>
      <c r="GEB639" s="133"/>
      <c r="GEC639" s="133"/>
      <c r="GED639" s="133"/>
      <c r="GEE639" s="133"/>
      <c r="GEF639" s="133"/>
      <c r="GEG639" s="133"/>
      <c r="GEH639" s="133"/>
      <c r="GEI639" s="133"/>
      <c r="GEJ639" s="133"/>
      <c r="GEK639" s="133"/>
      <c r="GEL639" s="133"/>
      <c r="GEM639" s="133"/>
      <c r="GEN639" s="133"/>
      <c r="GEO639" s="133"/>
      <c r="GEP639" s="133"/>
      <c r="GEQ639" s="133"/>
      <c r="GER639" s="133"/>
      <c r="GES639" s="133"/>
      <c r="GET639" s="133"/>
      <c r="GEU639" s="133"/>
      <c r="GEV639" s="133"/>
      <c r="GEW639" s="133"/>
      <c r="GEX639" s="133"/>
      <c r="GEY639" s="133"/>
      <c r="GEZ639" s="133"/>
      <c r="GFA639" s="133"/>
      <c r="GFB639" s="133"/>
      <c r="GFC639" s="133"/>
      <c r="GFD639" s="133"/>
      <c r="GFE639" s="133"/>
      <c r="GFF639" s="133"/>
      <c r="GFG639" s="133"/>
      <c r="GFH639" s="133"/>
      <c r="GFI639" s="133"/>
      <c r="GFJ639" s="133"/>
      <c r="GFK639" s="133"/>
      <c r="GFL639" s="133"/>
      <c r="GFM639" s="133"/>
      <c r="GFN639" s="133"/>
      <c r="GFO639" s="133"/>
      <c r="GFP639" s="133"/>
      <c r="GFQ639" s="133"/>
      <c r="GFR639" s="133"/>
      <c r="GFS639" s="133"/>
      <c r="GFT639" s="133"/>
      <c r="GFU639" s="133"/>
      <c r="GFV639" s="133"/>
      <c r="GFW639" s="133"/>
      <c r="GFX639" s="133"/>
      <c r="GFY639" s="133"/>
      <c r="GFZ639" s="133"/>
      <c r="GGA639" s="133"/>
      <c r="GGB639" s="133"/>
      <c r="GGC639" s="133"/>
      <c r="GGD639" s="133"/>
      <c r="GGE639" s="133"/>
      <c r="GGF639" s="133"/>
      <c r="GGG639" s="133"/>
      <c r="GGH639" s="133"/>
      <c r="GGI639" s="133"/>
      <c r="GGJ639" s="133"/>
      <c r="GGK639" s="133"/>
      <c r="GGL639" s="133"/>
      <c r="GGM639" s="133"/>
      <c r="GGN639" s="133"/>
      <c r="GGO639" s="133"/>
      <c r="GGP639" s="133"/>
      <c r="GGQ639" s="133"/>
      <c r="GGR639" s="133"/>
      <c r="GGS639" s="133"/>
      <c r="GGT639" s="133"/>
      <c r="GGU639" s="133"/>
      <c r="GGV639" s="133"/>
      <c r="GGW639" s="133"/>
      <c r="GGX639" s="133"/>
      <c r="GGY639" s="133"/>
      <c r="GGZ639" s="133"/>
      <c r="GHA639" s="133"/>
      <c r="GHB639" s="133"/>
      <c r="GHC639" s="133"/>
      <c r="GHD639" s="133"/>
      <c r="GHE639" s="133"/>
      <c r="GHF639" s="133"/>
      <c r="GHG639" s="133"/>
      <c r="GHH639" s="133"/>
      <c r="GHI639" s="133"/>
      <c r="GHJ639" s="133"/>
      <c r="GHK639" s="133"/>
      <c r="GHL639" s="133"/>
      <c r="GHM639" s="133"/>
      <c r="GHN639" s="133"/>
      <c r="GHO639" s="133"/>
      <c r="GHP639" s="133"/>
      <c r="GHQ639" s="133"/>
      <c r="GHR639" s="133"/>
      <c r="GHS639" s="133"/>
      <c r="GHT639" s="133"/>
      <c r="GHU639" s="133"/>
      <c r="GHV639" s="133"/>
      <c r="GHW639" s="133"/>
      <c r="GHX639" s="133"/>
      <c r="GHY639" s="133"/>
      <c r="GHZ639" s="133"/>
      <c r="GIA639" s="133"/>
      <c r="GIB639" s="133"/>
      <c r="GIC639" s="133"/>
      <c r="GID639" s="133"/>
      <c r="GIE639" s="133"/>
      <c r="GIF639" s="133"/>
      <c r="GIG639" s="133"/>
      <c r="GIH639" s="133"/>
      <c r="GII639" s="133"/>
      <c r="GIJ639" s="133"/>
      <c r="GIK639" s="133"/>
      <c r="GIL639" s="133"/>
      <c r="GIM639" s="133"/>
      <c r="GIN639" s="133"/>
      <c r="GIO639" s="133"/>
      <c r="GIP639" s="133"/>
      <c r="GIQ639" s="133"/>
      <c r="GIR639" s="133"/>
      <c r="GIS639" s="133"/>
      <c r="GIT639" s="133"/>
      <c r="GIU639" s="133"/>
      <c r="GIV639" s="133"/>
      <c r="GIW639" s="133"/>
      <c r="GIX639" s="133"/>
      <c r="GIY639" s="133"/>
      <c r="GIZ639" s="133"/>
      <c r="GJA639" s="133"/>
      <c r="GJB639" s="133"/>
      <c r="GJC639" s="133"/>
      <c r="GJD639" s="133"/>
      <c r="GJE639" s="133"/>
      <c r="GJF639" s="133"/>
      <c r="GJG639" s="133"/>
      <c r="GJH639" s="133"/>
      <c r="GJI639" s="133"/>
      <c r="GJJ639" s="133"/>
      <c r="GJK639" s="133"/>
      <c r="GJL639" s="133"/>
      <c r="GJM639" s="133"/>
      <c r="GJN639" s="133"/>
      <c r="GJO639" s="133"/>
      <c r="GJP639" s="133"/>
      <c r="GJQ639" s="133"/>
      <c r="GJR639" s="133"/>
      <c r="GJS639" s="133"/>
      <c r="GJT639" s="133"/>
      <c r="GJU639" s="133"/>
      <c r="GJV639" s="133"/>
      <c r="GJW639" s="133"/>
      <c r="GJX639" s="133"/>
      <c r="GJY639" s="133"/>
      <c r="GJZ639" s="133"/>
      <c r="GKA639" s="133"/>
      <c r="GKB639" s="133"/>
      <c r="GKC639" s="133"/>
      <c r="GKD639" s="133"/>
      <c r="GKE639" s="133"/>
      <c r="GKF639" s="133"/>
      <c r="GKG639" s="133"/>
      <c r="GKH639" s="133"/>
      <c r="GKI639" s="133"/>
      <c r="GKJ639" s="133"/>
      <c r="GKK639" s="133"/>
      <c r="GKL639" s="133"/>
      <c r="GKM639" s="133"/>
      <c r="GKN639" s="133"/>
      <c r="GKO639" s="133"/>
      <c r="GKP639" s="133"/>
      <c r="GKQ639" s="133"/>
      <c r="GKR639" s="133"/>
      <c r="GKS639" s="133"/>
      <c r="GKT639" s="133"/>
      <c r="GKU639" s="133"/>
      <c r="GKV639" s="133"/>
      <c r="GKW639" s="133"/>
      <c r="GKX639" s="133"/>
      <c r="GKY639" s="133"/>
      <c r="GKZ639" s="133"/>
      <c r="GLA639" s="133"/>
      <c r="GLB639" s="133"/>
      <c r="GLC639" s="133"/>
      <c r="GLD639" s="133"/>
      <c r="GLE639" s="133"/>
      <c r="GLF639" s="133"/>
      <c r="GLG639" s="133"/>
      <c r="GLH639" s="133"/>
      <c r="GLI639" s="133"/>
      <c r="GLJ639" s="133"/>
      <c r="GLK639" s="133"/>
      <c r="GLL639" s="133"/>
      <c r="GLM639" s="133"/>
      <c r="GLN639" s="133"/>
      <c r="GLO639" s="133"/>
      <c r="GLP639" s="133"/>
      <c r="GLQ639" s="133"/>
      <c r="GLR639" s="133"/>
      <c r="GLS639" s="133"/>
      <c r="GLT639" s="133"/>
      <c r="GLU639" s="133"/>
      <c r="GLV639" s="133"/>
      <c r="GLW639" s="133"/>
      <c r="GLX639" s="133"/>
      <c r="GLY639" s="133"/>
      <c r="GLZ639" s="133"/>
      <c r="GMA639" s="133"/>
      <c r="GMB639" s="133"/>
      <c r="GMC639" s="133"/>
      <c r="GMD639" s="133"/>
      <c r="GME639" s="133"/>
      <c r="GMF639" s="133"/>
      <c r="GMG639" s="133"/>
      <c r="GMH639" s="133"/>
      <c r="GMI639" s="133"/>
      <c r="GMJ639" s="133"/>
      <c r="GMK639" s="133"/>
      <c r="GML639" s="133"/>
      <c r="GMM639" s="133"/>
      <c r="GMN639" s="133"/>
      <c r="GMO639" s="133"/>
      <c r="GMP639" s="133"/>
      <c r="GMQ639" s="133"/>
      <c r="GMR639" s="133"/>
      <c r="GMS639" s="133"/>
      <c r="GMT639" s="133"/>
      <c r="GMU639" s="133"/>
      <c r="GMV639" s="133"/>
      <c r="GMW639" s="133"/>
      <c r="GMX639" s="133"/>
      <c r="GMY639" s="133"/>
      <c r="GMZ639" s="133"/>
      <c r="GNA639" s="133"/>
      <c r="GNB639" s="133"/>
      <c r="GNC639" s="133"/>
      <c r="GND639" s="133"/>
      <c r="GNE639" s="133"/>
      <c r="GNF639" s="133"/>
      <c r="GNG639" s="133"/>
      <c r="GNH639" s="133"/>
      <c r="GNI639" s="133"/>
      <c r="GNJ639" s="133"/>
      <c r="GNK639" s="133"/>
      <c r="GNL639" s="133"/>
      <c r="GNM639" s="133"/>
      <c r="GNN639" s="133"/>
      <c r="GNO639" s="133"/>
      <c r="GNP639" s="133"/>
      <c r="GNQ639" s="133"/>
      <c r="GNR639" s="133"/>
      <c r="GNS639" s="133"/>
      <c r="GNT639" s="133"/>
      <c r="GNU639" s="133"/>
      <c r="GNV639" s="133"/>
      <c r="GNW639" s="133"/>
      <c r="GNX639" s="133"/>
      <c r="GNY639" s="133"/>
      <c r="GNZ639" s="133"/>
      <c r="GOA639" s="133"/>
      <c r="GOB639" s="133"/>
      <c r="GOC639" s="133"/>
      <c r="GOD639" s="133"/>
      <c r="GOE639" s="133"/>
      <c r="GOF639" s="133"/>
      <c r="GOG639" s="133"/>
      <c r="GOH639" s="133"/>
      <c r="GOI639" s="133"/>
      <c r="GOJ639" s="133"/>
      <c r="GOK639" s="133"/>
      <c r="GOL639" s="133"/>
      <c r="GOM639" s="133"/>
      <c r="GON639" s="133"/>
      <c r="GOO639" s="133"/>
      <c r="GOP639" s="133"/>
      <c r="GOQ639" s="133"/>
      <c r="GOR639" s="133"/>
      <c r="GOS639" s="133"/>
      <c r="GOT639" s="133"/>
      <c r="GOU639" s="133"/>
      <c r="GOV639" s="133"/>
      <c r="GOW639" s="133"/>
      <c r="GOX639" s="133"/>
      <c r="GOY639" s="133"/>
      <c r="GOZ639" s="133"/>
      <c r="GPA639" s="133"/>
      <c r="GPB639" s="133"/>
      <c r="GPC639" s="133"/>
      <c r="GPD639" s="133"/>
      <c r="GPE639" s="133"/>
      <c r="GPF639" s="133"/>
      <c r="GPG639" s="133"/>
      <c r="GPH639" s="133"/>
      <c r="GPI639" s="133"/>
      <c r="GPJ639" s="133"/>
      <c r="GPK639" s="133"/>
      <c r="GPL639" s="133"/>
      <c r="GPM639" s="133"/>
      <c r="GPN639" s="133"/>
      <c r="GPO639" s="133"/>
      <c r="GPP639" s="133"/>
      <c r="GPQ639" s="133"/>
      <c r="GPR639" s="133"/>
      <c r="GPS639" s="133"/>
      <c r="GPT639" s="133"/>
      <c r="GPU639" s="133"/>
      <c r="GPV639" s="133"/>
      <c r="GPW639" s="133"/>
      <c r="GPX639" s="133"/>
      <c r="GPY639" s="133"/>
      <c r="GPZ639" s="133"/>
      <c r="GQA639" s="133"/>
      <c r="GQB639" s="133"/>
      <c r="GQC639" s="133"/>
      <c r="GQD639" s="133"/>
      <c r="GQE639" s="133"/>
      <c r="GQF639" s="133"/>
      <c r="GQG639" s="133"/>
      <c r="GQH639" s="133"/>
      <c r="GQI639" s="133"/>
      <c r="GQJ639" s="133"/>
      <c r="GQK639" s="133"/>
      <c r="GQL639" s="133"/>
      <c r="GQM639" s="133"/>
      <c r="GQN639" s="133"/>
      <c r="GQO639" s="133"/>
      <c r="GQP639" s="133"/>
      <c r="GQQ639" s="133"/>
      <c r="GQR639" s="133"/>
      <c r="GQS639" s="133"/>
      <c r="GQT639" s="133"/>
      <c r="GQU639" s="133"/>
      <c r="GQV639" s="133"/>
      <c r="GQW639" s="133"/>
      <c r="GQX639" s="133"/>
      <c r="GQY639" s="133"/>
      <c r="GQZ639" s="133"/>
      <c r="GRA639" s="133"/>
      <c r="GRB639" s="133"/>
      <c r="GRC639" s="133"/>
      <c r="GRD639" s="133"/>
      <c r="GRE639" s="133"/>
      <c r="GRF639" s="133"/>
      <c r="GRG639" s="133"/>
      <c r="GRH639" s="133"/>
      <c r="GRI639" s="133"/>
      <c r="GRJ639" s="133"/>
      <c r="GRK639" s="133"/>
      <c r="GRL639" s="133"/>
      <c r="GRM639" s="133"/>
      <c r="GRN639" s="133"/>
      <c r="GRO639" s="133"/>
      <c r="GRP639" s="133"/>
      <c r="GRQ639" s="133"/>
      <c r="GRR639" s="133"/>
      <c r="GRS639" s="133"/>
      <c r="GRT639" s="133"/>
      <c r="GRU639" s="133"/>
      <c r="GRV639" s="133"/>
      <c r="GRW639" s="133"/>
      <c r="GRX639" s="133"/>
      <c r="GRY639" s="133"/>
      <c r="GRZ639" s="133"/>
      <c r="GSA639" s="133"/>
      <c r="GSB639" s="133"/>
      <c r="GSC639" s="133"/>
      <c r="GSD639" s="133"/>
      <c r="GSE639" s="133"/>
      <c r="GSF639" s="133"/>
      <c r="GSG639" s="133"/>
      <c r="GSH639" s="133"/>
      <c r="GSI639" s="133"/>
      <c r="GSJ639" s="133"/>
      <c r="GSK639" s="133"/>
      <c r="GSL639" s="133"/>
      <c r="GSM639" s="133"/>
      <c r="GSN639" s="133"/>
      <c r="GSO639" s="133"/>
      <c r="GSP639" s="133"/>
      <c r="GSQ639" s="133"/>
      <c r="GSR639" s="133"/>
      <c r="GSS639" s="133"/>
      <c r="GST639" s="133"/>
      <c r="GSU639" s="133"/>
      <c r="GSV639" s="133"/>
      <c r="GSW639" s="133"/>
      <c r="GSX639" s="133"/>
      <c r="GSY639" s="133"/>
      <c r="GSZ639" s="133"/>
      <c r="GTA639" s="133"/>
      <c r="GTB639" s="133"/>
      <c r="GTC639" s="133"/>
      <c r="GTD639" s="133"/>
      <c r="GTE639" s="133"/>
      <c r="GTF639" s="133"/>
      <c r="GTG639" s="133"/>
      <c r="GTH639" s="133"/>
      <c r="GTI639" s="133"/>
      <c r="GTJ639" s="133"/>
      <c r="GTK639" s="133"/>
      <c r="GTL639" s="133"/>
      <c r="GTM639" s="133"/>
      <c r="GTN639" s="133"/>
      <c r="GTO639" s="133"/>
      <c r="GTP639" s="133"/>
      <c r="GTQ639" s="133"/>
      <c r="GTR639" s="133"/>
      <c r="GTS639" s="133"/>
      <c r="GTT639" s="133"/>
      <c r="GTU639" s="133"/>
      <c r="GTV639" s="133"/>
      <c r="GTW639" s="133"/>
      <c r="GTX639" s="133"/>
      <c r="GTY639" s="133"/>
      <c r="GTZ639" s="133"/>
      <c r="GUA639" s="133"/>
      <c r="GUB639" s="133"/>
      <c r="GUC639" s="133"/>
      <c r="GUD639" s="133"/>
      <c r="GUE639" s="133"/>
      <c r="GUF639" s="133"/>
      <c r="GUG639" s="133"/>
      <c r="GUH639" s="133"/>
      <c r="GUI639" s="133"/>
      <c r="GUJ639" s="133"/>
      <c r="GUK639" s="133"/>
      <c r="GUL639" s="133"/>
      <c r="GUM639" s="133"/>
      <c r="GUN639" s="133"/>
      <c r="GUO639" s="133"/>
      <c r="GUP639" s="133"/>
      <c r="GUQ639" s="133"/>
      <c r="GUR639" s="133"/>
      <c r="GUS639" s="133"/>
      <c r="GUT639" s="133"/>
      <c r="GUU639" s="133"/>
      <c r="GUV639" s="133"/>
      <c r="GUW639" s="133"/>
      <c r="GUX639" s="133"/>
      <c r="GUY639" s="133"/>
      <c r="GUZ639" s="133"/>
      <c r="GVA639" s="133"/>
      <c r="GVB639" s="133"/>
      <c r="GVC639" s="133"/>
      <c r="GVD639" s="133"/>
      <c r="GVE639" s="133"/>
      <c r="GVF639" s="133"/>
      <c r="GVG639" s="133"/>
      <c r="GVH639" s="133"/>
      <c r="GVI639" s="133"/>
      <c r="GVJ639" s="133"/>
      <c r="GVK639" s="133"/>
      <c r="GVL639" s="133"/>
      <c r="GVM639" s="133"/>
      <c r="GVN639" s="133"/>
      <c r="GVO639" s="133"/>
      <c r="GVP639" s="133"/>
      <c r="GVQ639" s="133"/>
      <c r="GVR639" s="133"/>
      <c r="GVS639" s="133"/>
      <c r="GVT639" s="133"/>
      <c r="GVU639" s="133"/>
      <c r="GVV639" s="133"/>
      <c r="GVW639" s="133"/>
      <c r="GVX639" s="133"/>
      <c r="GVY639" s="133"/>
      <c r="GVZ639" s="133"/>
      <c r="GWA639" s="133"/>
      <c r="GWB639" s="133"/>
      <c r="GWC639" s="133"/>
      <c r="GWD639" s="133"/>
      <c r="GWE639" s="133"/>
      <c r="GWF639" s="133"/>
      <c r="GWG639" s="133"/>
      <c r="GWH639" s="133"/>
      <c r="GWI639" s="133"/>
      <c r="GWJ639" s="133"/>
      <c r="GWK639" s="133"/>
      <c r="GWL639" s="133"/>
      <c r="GWM639" s="133"/>
      <c r="GWN639" s="133"/>
      <c r="GWO639" s="133"/>
      <c r="GWP639" s="133"/>
      <c r="GWQ639" s="133"/>
      <c r="GWR639" s="133"/>
      <c r="GWS639" s="133"/>
      <c r="GWT639" s="133"/>
      <c r="GWU639" s="133"/>
      <c r="GWV639" s="133"/>
      <c r="GWW639" s="133"/>
      <c r="GWX639" s="133"/>
      <c r="GWY639" s="133"/>
      <c r="GWZ639" s="133"/>
      <c r="GXA639" s="133"/>
      <c r="GXB639" s="133"/>
      <c r="GXC639" s="133"/>
      <c r="GXD639" s="133"/>
      <c r="GXE639" s="133"/>
      <c r="GXF639" s="133"/>
      <c r="GXG639" s="133"/>
      <c r="GXH639" s="133"/>
      <c r="GXI639" s="133"/>
      <c r="GXJ639" s="133"/>
      <c r="GXK639" s="133"/>
      <c r="GXL639" s="133"/>
      <c r="GXM639" s="133"/>
      <c r="GXN639" s="133"/>
      <c r="GXO639" s="133"/>
      <c r="GXP639" s="133"/>
      <c r="GXQ639" s="133"/>
      <c r="GXR639" s="133"/>
      <c r="GXS639" s="133"/>
      <c r="GXT639" s="133"/>
      <c r="GXU639" s="133"/>
      <c r="GXV639" s="133"/>
      <c r="GXW639" s="133"/>
      <c r="GXX639" s="133"/>
      <c r="GXY639" s="133"/>
      <c r="GXZ639" s="133"/>
      <c r="GYA639" s="133"/>
      <c r="GYB639" s="133"/>
      <c r="GYC639" s="133"/>
      <c r="GYD639" s="133"/>
      <c r="GYE639" s="133"/>
      <c r="GYF639" s="133"/>
      <c r="GYG639" s="133"/>
      <c r="GYH639" s="133"/>
      <c r="GYI639" s="133"/>
      <c r="GYJ639" s="133"/>
      <c r="GYK639" s="133"/>
      <c r="GYL639" s="133"/>
      <c r="GYM639" s="133"/>
      <c r="GYN639" s="133"/>
      <c r="GYO639" s="133"/>
      <c r="GYP639" s="133"/>
      <c r="GYQ639" s="133"/>
      <c r="GYR639" s="133"/>
      <c r="GYS639" s="133"/>
      <c r="GYT639" s="133"/>
      <c r="GYU639" s="133"/>
      <c r="GYV639" s="133"/>
      <c r="GYW639" s="133"/>
      <c r="GYX639" s="133"/>
      <c r="GYY639" s="133"/>
      <c r="GYZ639" s="133"/>
      <c r="GZA639" s="133"/>
      <c r="GZB639" s="133"/>
      <c r="GZC639" s="133"/>
      <c r="GZD639" s="133"/>
      <c r="GZE639" s="133"/>
      <c r="GZF639" s="133"/>
      <c r="GZG639" s="133"/>
      <c r="GZH639" s="133"/>
      <c r="GZI639" s="133"/>
      <c r="GZJ639" s="133"/>
      <c r="GZK639" s="133"/>
      <c r="GZL639" s="133"/>
      <c r="GZM639" s="133"/>
      <c r="GZN639" s="133"/>
      <c r="GZO639" s="133"/>
      <c r="GZP639" s="133"/>
      <c r="GZQ639" s="133"/>
      <c r="GZR639" s="133"/>
      <c r="GZS639" s="133"/>
      <c r="GZT639" s="133"/>
      <c r="GZU639" s="133"/>
      <c r="GZV639" s="133"/>
      <c r="GZW639" s="133"/>
      <c r="GZX639" s="133"/>
      <c r="GZY639" s="133"/>
      <c r="GZZ639" s="133"/>
      <c r="HAA639" s="133"/>
      <c r="HAB639" s="133"/>
      <c r="HAC639" s="133"/>
      <c r="HAD639" s="133"/>
      <c r="HAE639" s="133"/>
      <c r="HAF639" s="133"/>
      <c r="HAG639" s="133"/>
      <c r="HAH639" s="133"/>
      <c r="HAI639" s="133"/>
      <c r="HAJ639" s="133"/>
      <c r="HAK639" s="133"/>
      <c r="HAL639" s="133"/>
      <c r="HAM639" s="133"/>
      <c r="HAN639" s="133"/>
      <c r="HAO639" s="133"/>
      <c r="HAP639" s="133"/>
      <c r="HAQ639" s="133"/>
      <c r="HAR639" s="133"/>
      <c r="HAS639" s="133"/>
      <c r="HAT639" s="133"/>
      <c r="HAU639" s="133"/>
      <c r="HAV639" s="133"/>
      <c r="HAW639" s="133"/>
      <c r="HAX639" s="133"/>
      <c r="HAY639" s="133"/>
      <c r="HAZ639" s="133"/>
      <c r="HBA639" s="133"/>
      <c r="HBB639" s="133"/>
      <c r="HBC639" s="133"/>
      <c r="HBD639" s="133"/>
      <c r="HBE639" s="133"/>
      <c r="HBF639" s="133"/>
      <c r="HBG639" s="133"/>
      <c r="HBH639" s="133"/>
      <c r="HBI639" s="133"/>
      <c r="HBJ639" s="133"/>
      <c r="HBK639" s="133"/>
      <c r="HBL639" s="133"/>
      <c r="HBM639" s="133"/>
      <c r="HBN639" s="133"/>
      <c r="HBO639" s="133"/>
      <c r="HBP639" s="133"/>
      <c r="HBQ639" s="133"/>
      <c r="HBR639" s="133"/>
      <c r="HBS639" s="133"/>
      <c r="HBT639" s="133"/>
      <c r="HBU639" s="133"/>
      <c r="HBV639" s="133"/>
      <c r="HBW639" s="133"/>
      <c r="HBX639" s="133"/>
      <c r="HBY639" s="133"/>
      <c r="HBZ639" s="133"/>
      <c r="HCA639" s="133"/>
      <c r="HCB639" s="133"/>
      <c r="HCC639" s="133"/>
      <c r="HCD639" s="133"/>
      <c r="HCE639" s="133"/>
      <c r="HCF639" s="133"/>
      <c r="HCG639" s="133"/>
      <c r="HCH639" s="133"/>
      <c r="HCI639" s="133"/>
      <c r="HCJ639" s="133"/>
      <c r="HCK639" s="133"/>
      <c r="HCL639" s="133"/>
      <c r="HCM639" s="133"/>
      <c r="HCN639" s="133"/>
      <c r="HCO639" s="133"/>
      <c r="HCP639" s="133"/>
      <c r="HCQ639" s="133"/>
      <c r="HCR639" s="133"/>
      <c r="HCS639" s="133"/>
      <c r="HCT639" s="133"/>
      <c r="HCU639" s="133"/>
      <c r="HCV639" s="133"/>
      <c r="HCW639" s="133"/>
      <c r="HCX639" s="133"/>
      <c r="HCY639" s="133"/>
      <c r="HCZ639" s="133"/>
      <c r="HDA639" s="133"/>
      <c r="HDB639" s="133"/>
      <c r="HDC639" s="133"/>
      <c r="HDD639" s="133"/>
      <c r="HDE639" s="133"/>
      <c r="HDF639" s="133"/>
      <c r="HDG639" s="133"/>
      <c r="HDH639" s="133"/>
      <c r="HDI639" s="133"/>
      <c r="HDJ639" s="133"/>
      <c r="HDK639" s="133"/>
      <c r="HDL639" s="133"/>
      <c r="HDM639" s="133"/>
      <c r="HDN639" s="133"/>
      <c r="HDO639" s="133"/>
      <c r="HDP639" s="133"/>
      <c r="HDQ639" s="133"/>
      <c r="HDR639" s="133"/>
      <c r="HDS639" s="133"/>
      <c r="HDT639" s="133"/>
      <c r="HDU639" s="133"/>
      <c r="HDV639" s="133"/>
      <c r="HDW639" s="133"/>
      <c r="HDX639" s="133"/>
      <c r="HDY639" s="133"/>
      <c r="HDZ639" s="133"/>
      <c r="HEA639" s="133"/>
      <c r="HEB639" s="133"/>
      <c r="HEC639" s="133"/>
      <c r="HED639" s="133"/>
      <c r="HEE639" s="133"/>
      <c r="HEF639" s="133"/>
      <c r="HEG639" s="133"/>
      <c r="HEH639" s="133"/>
      <c r="HEI639" s="133"/>
      <c r="HEJ639" s="133"/>
      <c r="HEK639" s="133"/>
      <c r="HEL639" s="133"/>
      <c r="HEM639" s="133"/>
      <c r="HEN639" s="133"/>
      <c r="HEO639" s="133"/>
      <c r="HEP639" s="133"/>
      <c r="HEQ639" s="133"/>
      <c r="HER639" s="133"/>
      <c r="HES639" s="133"/>
      <c r="HET639" s="133"/>
      <c r="HEU639" s="133"/>
      <c r="HEV639" s="133"/>
      <c r="HEW639" s="133"/>
      <c r="HEX639" s="133"/>
      <c r="HEY639" s="133"/>
      <c r="HEZ639" s="133"/>
      <c r="HFA639" s="133"/>
      <c r="HFB639" s="133"/>
      <c r="HFC639" s="133"/>
      <c r="HFD639" s="133"/>
      <c r="HFE639" s="133"/>
      <c r="HFF639" s="133"/>
      <c r="HFG639" s="133"/>
      <c r="HFH639" s="133"/>
      <c r="HFI639" s="133"/>
      <c r="HFJ639" s="133"/>
      <c r="HFK639" s="133"/>
      <c r="HFL639" s="133"/>
      <c r="HFM639" s="133"/>
      <c r="HFN639" s="133"/>
      <c r="HFO639" s="133"/>
      <c r="HFP639" s="133"/>
      <c r="HFQ639" s="133"/>
      <c r="HFR639" s="133"/>
      <c r="HFS639" s="133"/>
      <c r="HFT639" s="133"/>
      <c r="HFU639" s="133"/>
      <c r="HFV639" s="133"/>
      <c r="HFW639" s="133"/>
      <c r="HFX639" s="133"/>
      <c r="HFY639" s="133"/>
      <c r="HFZ639" s="133"/>
      <c r="HGA639" s="133"/>
      <c r="HGB639" s="133"/>
      <c r="HGC639" s="133"/>
      <c r="HGD639" s="133"/>
      <c r="HGE639" s="133"/>
      <c r="HGF639" s="133"/>
      <c r="HGG639" s="133"/>
      <c r="HGH639" s="133"/>
      <c r="HGI639" s="133"/>
      <c r="HGJ639" s="133"/>
      <c r="HGK639" s="133"/>
      <c r="HGL639" s="133"/>
      <c r="HGM639" s="133"/>
      <c r="HGN639" s="133"/>
      <c r="HGO639" s="133"/>
      <c r="HGP639" s="133"/>
      <c r="HGQ639" s="133"/>
      <c r="HGR639" s="133"/>
      <c r="HGS639" s="133"/>
      <c r="HGT639" s="133"/>
      <c r="HGU639" s="133"/>
      <c r="HGV639" s="133"/>
      <c r="HGW639" s="133"/>
      <c r="HGX639" s="133"/>
      <c r="HGY639" s="133"/>
      <c r="HGZ639" s="133"/>
      <c r="HHA639" s="133"/>
      <c r="HHB639" s="133"/>
      <c r="HHC639" s="133"/>
      <c r="HHD639" s="133"/>
      <c r="HHE639" s="133"/>
      <c r="HHF639" s="133"/>
      <c r="HHG639" s="133"/>
      <c r="HHH639" s="133"/>
      <c r="HHI639" s="133"/>
      <c r="HHJ639" s="133"/>
      <c r="HHK639" s="133"/>
      <c r="HHL639" s="133"/>
      <c r="HHM639" s="133"/>
      <c r="HHN639" s="133"/>
      <c r="HHO639" s="133"/>
      <c r="HHP639" s="133"/>
      <c r="HHQ639" s="133"/>
      <c r="HHR639" s="133"/>
      <c r="HHS639" s="133"/>
      <c r="HHT639" s="133"/>
      <c r="HHU639" s="133"/>
      <c r="HHV639" s="133"/>
      <c r="HHW639" s="133"/>
      <c r="HHX639" s="133"/>
      <c r="HHY639" s="133"/>
      <c r="HHZ639" s="133"/>
      <c r="HIA639" s="133"/>
      <c r="HIB639" s="133"/>
      <c r="HIC639" s="133"/>
      <c r="HID639" s="133"/>
      <c r="HIE639" s="133"/>
      <c r="HIF639" s="133"/>
      <c r="HIG639" s="133"/>
      <c r="HIH639" s="133"/>
      <c r="HII639" s="133"/>
      <c r="HIJ639" s="133"/>
      <c r="HIK639" s="133"/>
      <c r="HIL639" s="133"/>
      <c r="HIM639" s="133"/>
      <c r="HIN639" s="133"/>
      <c r="HIO639" s="133"/>
      <c r="HIP639" s="133"/>
      <c r="HIQ639" s="133"/>
      <c r="HIR639" s="133"/>
      <c r="HIS639" s="133"/>
      <c r="HIT639" s="133"/>
      <c r="HIU639" s="133"/>
      <c r="HIV639" s="133"/>
      <c r="HIW639" s="133"/>
      <c r="HIX639" s="133"/>
      <c r="HIY639" s="133"/>
      <c r="HIZ639" s="133"/>
      <c r="HJA639" s="133"/>
      <c r="HJB639" s="133"/>
      <c r="HJC639" s="133"/>
      <c r="HJD639" s="133"/>
      <c r="HJE639" s="133"/>
      <c r="HJF639" s="133"/>
      <c r="HJG639" s="133"/>
      <c r="HJH639" s="133"/>
      <c r="HJI639" s="133"/>
      <c r="HJJ639" s="133"/>
      <c r="HJK639" s="133"/>
      <c r="HJL639" s="133"/>
      <c r="HJM639" s="133"/>
      <c r="HJN639" s="133"/>
      <c r="HJO639" s="133"/>
      <c r="HJP639" s="133"/>
      <c r="HJQ639" s="133"/>
      <c r="HJR639" s="133"/>
      <c r="HJS639" s="133"/>
      <c r="HJT639" s="133"/>
      <c r="HJU639" s="133"/>
      <c r="HJV639" s="133"/>
      <c r="HJW639" s="133"/>
      <c r="HJX639" s="133"/>
      <c r="HJY639" s="133"/>
      <c r="HJZ639" s="133"/>
      <c r="HKA639" s="133"/>
      <c r="HKB639" s="133"/>
      <c r="HKC639" s="133"/>
      <c r="HKD639" s="133"/>
      <c r="HKE639" s="133"/>
      <c r="HKF639" s="133"/>
      <c r="HKG639" s="133"/>
      <c r="HKH639" s="133"/>
      <c r="HKI639" s="133"/>
      <c r="HKJ639" s="133"/>
      <c r="HKK639" s="133"/>
      <c r="HKL639" s="133"/>
      <c r="HKM639" s="133"/>
      <c r="HKN639" s="133"/>
      <c r="HKO639" s="133"/>
      <c r="HKP639" s="133"/>
      <c r="HKQ639" s="133"/>
      <c r="HKR639" s="133"/>
      <c r="HKS639" s="133"/>
      <c r="HKT639" s="133"/>
      <c r="HKU639" s="133"/>
      <c r="HKV639" s="133"/>
      <c r="HKW639" s="133"/>
      <c r="HKX639" s="133"/>
      <c r="HKY639" s="133"/>
      <c r="HKZ639" s="133"/>
      <c r="HLA639" s="133"/>
      <c r="HLB639" s="133"/>
      <c r="HLC639" s="133"/>
      <c r="HLD639" s="133"/>
      <c r="HLE639" s="133"/>
      <c r="HLF639" s="133"/>
      <c r="HLG639" s="133"/>
      <c r="HLH639" s="133"/>
      <c r="HLI639" s="133"/>
      <c r="HLJ639" s="133"/>
      <c r="HLK639" s="133"/>
      <c r="HLL639" s="133"/>
      <c r="HLM639" s="133"/>
      <c r="HLN639" s="133"/>
      <c r="HLO639" s="133"/>
      <c r="HLP639" s="133"/>
      <c r="HLQ639" s="133"/>
      <c r="HLR639" s="133"/>
      <c r="HLS639" s="133"/>
      <c r="HLT639" s="133"/>
      <c r="HLU639" s="133"/>
      <c r="HLV639" s="133"/>
      <c r="HLW639" s="133"/>
      <c r="HLX639" s="133"/>
      <c r="HLY639" s="133"/>
      <c r="HLZ639" s="133"/>
      <c r="HMA639" s="133"/>
      <c r="HMB639" s="133"/>
      <c r="HMC639" s="133"/>
      <c r="HMD639" s="133"/>
      <c r="HME639" s="133"/>
      <c r="HMF639" s="133"/>
      <c r="HMG639" s="133"/>
      <c r="HMH639" s="133"/>
      <c r="HMI639" s="133"/>
      <c r="HMJ639" s="133"/>
      <c r="HMK639" s="133"/>
      <c r="HML639" s="133"/>
      <c r="HMM639" s="133"/>
      <c r="HMN639" s="133"/>
      <c r="HMO639" s="133"/>
      <c r="HMP639" s="133"/>
      <c r="HMQ639" s="133"/>
      <c r="HMR639" s="133"/>
      <c r="HMS639" s="133"/>
      <c r="HMT639" s="133"/>
      <c r="HMU639" s="133"/>
      <c r="HMV639" s="133"/>
      <c r="HMW639" s="133"/>
      <c r="HMX639" s="133"/>
      <c r="HMY639" s="133"/>
      <c r="HMZ639" s="133"/>
      <c r="HNA639" s="133"/>
      <c r="HNB639" s="133"/>
      <c r="HNC639" s="133"/>
      <c r="HND639" s="133"/>
      <c r="HNE639" s="133"/>
      <c r="HNF639" s="133"/>
      <c r="HNG639" s="133"/>
      <c r="HNH639" s="133"/>
      <c r="HNI639" s="133"/>
      <c r="HNJ639" s="133"/>
      <c r="HNK639" s="133"/>
      <c r="HNL639" s="133"/>
      <c r="HNM639" s="133"/>
      <c r="HNN639" s="133"/>
      <c r="HNO639" s="133"/>
      <c r="HNP639" s="133"/>
      <c r="HNQ639" s="133"/>
      <c r="HNR639" s="133"/>
      <c r="HNS639" s="133"/>
      <c r="HNT639" s="133"/>
      <c r="HNU639" s="133"/>
      <c r="HNV639" s="133"/>
      <c r="HNW639" s="133"/>
      <c r="HNX639" s="133"/>
      <c r="HNY639" s="133"/>
      <c r="HNZ639" s="133"/>
      <c r="HOA639" s="133"/>
      <c r="HOB639" s="133"/>
      <c r="HOC639" s="133"/>
      <c r="HOD639" s="133"/>
      <c r="HOE639" s="133"/>
      <c r="HOF639" s="133"/>
      <c r="HOG639" s="133"/>
      <c r="HOH639" s="133"/>
      <c r="HOI639" s="133"/>
      <c r="HOJ639" s="133"/>
      <c r="HOK639" s="133"/>
      <c r="HOL639" s="133"/>
      <c r="HOM639" s="133"/>
      <c r="HON639" s="133"/>
      <c r="HOO639" s="133"/>
      <c r="HOP639" s="133"/>
      <c r="HOQ639" s="133"/>
      <c r="HOR639" s="133"/>
      <c r="HOS639" s="133"/>
      <c r="HOT639" s="133"/>
      <c r="HOU639" s="133"/>
      <c r="HOV639" s="133"/>
      <c r="HOW639" s="133"/>
      <c r="HOX639" s="133"/>
      <c r="HOY639" s="133"/>
      <c r="HOZ639" s="133"/>
      <c r="HPA639" s="133"/>
      <c r="HPB639" s="133"/>
      <c r="HPC639" s="133"/>
      <c r="HPD639" s="133"/>
      <c r="HPE639" s="133"/>
      <c r="HPF639" s="133"/>
      <c r="HPG639" s="133"/>
      <c r="HPH639" s="133"/>
      <c r="HPI639" s="133"/>
      <c r="HPJ639" s="133"/>
      <c r="HPK639" s="133"/>
      <c r="HPL639" s="133"/>
      <c r="HPM639" s="133"/>
      <c r="HPN639" s="133"/>
      <c r="HPO639" s="133"/>
      <c r="HPP639" s="133"/>
      <c r="HPQ639" s="133"/>
      <c r="HPR639" s="133"/>
      <c r="HPS639" s="133"/>
      <c r="HPT639" s="133"/>
      <c r="HPU639" s="133"/>
      <c r="HPV639" s="133"/>
      <c r="HPW639" s="133"/>
      <c r="HPX639" s="133"/>
      <c r="HPY639" s="133"/>
      <c r="HPZ639" s="133"/>
      <c r="HQA639" s="133"/>
      <c r="HQB639" s="133"/>
      <c r="HQC639" s="133"/>
      <c r="HQD639" s="133"/>
      <c r="HQE639" s="133"/>
      <c r="HQF639" s="133"/>
      <c r="HQG639" s="133"/>
      <c r="HQH639" s="133"/>
      <c r="HQI639" s="133"/>
      <c r="HQJ639" s="133"/>
      <c r="HQK639" s="133"/>
      <c r="HQL639" s="133"/>
      <c r="HQM639" s="133"/>
      <c r="HQN639" s="133"/>
      <c r="HQO639" s="133"/>
      <c r="HQP639" s="133"/>
      <c r="HQQ639" s="133"/>
      <c r="HQR639" s="133"/>
      <c r="HQS639" s="133"/>
      <c r="HQT639" s="133"/>
      <c r="HQU639" s="133"/>
      <c r="HQV639" s="133"/>
      <c r="HQW639" s="133"/>
      <c r="HQX639" s="133"/>
      <c r="HQY639" s="133"/>
      <c r="HQZ639" s="133"/>
      <c r="HRA639" s="133"/>
      <c r="HRB639" s="133"/>
      <c r="HRC639" s="133"/>
      <c r="HRD639" s="133"/>
      <c r="HRE639" s="133"/>
      <c r="HRF639" s="133"/>
      <c r="HRG639" s="133"/>
      <c r="HRH639" s="133"/>
      <c r="HRI639" s="133"/>
      <c r="HRJ639" s="133"/>
      <c r="HRK639" s="133"/>
      <c r="HRL639" s="133"/>
      <c r="HRM639" s="133"/>
      <c r="HRN639" s="133"/>
      <c r="HRO639" s="133"/>
      <c r="HRP639" s="133"/>
      <c r="HRQ639" s="133"/>
      <c r="HRR639" s="133"/>
      <c r="HRS639" s="133"/>
      <c r="HRT639" s="133"/>
      <c r="HRU639" s="133"/>
      <c r="HRV639" s="133"/>
      <c r="HRW639" s="133"/>
      <c r="HRX639" s="133"/>
      <c r="HRY639" s="133"/>
      <c r="HRZ639" s="133"/>
      <c r="HSA639" s="133"/>
      <c r="HSB639" s="133"/>
      <c r="HSC639" s="133"/>
      <c r="HSD639" s="133"/>
      <c r="HSE639" s="133"/>
      <c r="HSF639" s="133"/>
      <c r="HSG639" s="133"/>
      <c r="HSH639" s="133"/>
      <c r="HSI639" s="133"/>
      <c r="HSJ639" s="133"/>
      <c r="HSK639" s="133"/>
      <c r="HSL639" s="133"/>
      <c r="HSM639" s="133"/>
      <c r="HSN639" s="133"/>
      <c r="HSO639" s="133"/>
      <c r="HSP639" s="133"/>
      <c r="HSQ639" s="133"/>
      <c r="HSR639" s="133"/>
      <c r="HSS639" s="133"/>
      <c r="HST639" s="133"/>
      <c r="HSU639" s="133"/>
      <c r="HSV639" s="133"/>
      <c r="HSW639" s="133"/>
      <c r="HSX639" s="133"/>
      <c r="HSY639" s="133"/>
      <c r="HSZ639" s="133"/>
      <c r="HTA639" s="133"/>
      <c r="HTB639" s="133"/>
      <c r="HTC639" s="133"/>
      <c r="HTD639" s="133"/>
      <c r="HTE639" s="133"/>
      <c r="HTF639" s="133"/>
      <c r="HTG639" s="133"/>
      <c r="HTH639" s="133"/>
      <c r="HTI639" s="133"/>
      <c r="HTJ639" s="133"/>
      <c r="HTK639" s="133"/>
      <c r="HTL639" s="133"/>
      <c r="HTM639" s="133"/>
      <c r="HTN639" s="133"/>
      <c r="HTO639" s="133"/>
      <c r="HTP639" s="133"/>
      <c r="HTQ639" s="133"/>
      <c r="HTR639" s="133"/>
      <c r="HTS639" s="133"/>
      <c r="HTT639" s="133"/>
      <c r="HTU639" s="133"/>
      <c r="HTV639" s="133"/>
      <c r="HTW639" s="133"/>
      <c r="HTX639" s="133"/>
      <c r="HTY639" s="133"/>
      <c r="HTZ639" s="133"/>
      <c r="HUA639" s="133"/>
      <c r="HUB639" s="133"/>
      <c r="HUC639" s="133"/>
      <c r="HUD639" s="133"/>
      <c r="HUE639" s="133"/>
      <c r="HUF639" s="133"/>
      <c r="HUG639" s="133"/>
      <c r="HUH639" s="133"/>
      <c r="HUI639" s="133"/>
      <c r="HUJ639" s="133"/>
      <c r="HUK639" s="133"/>
      <c r="HUL639" s="133"/>
      <c r="HUM639" s="133"/>
      <c r="HUN639" s="133"/>
      <c r="HUO639" s="133"/>
      <c r="HUP639" s="133"/>
      <c r="HUQ639" s="133"/>
      <c r="HUR639" s="133"/>
      <c r="HUS639" s="133"/>
      <c r="HUT639" s="133"/>
      <c r="HUU639" s="133"/>
      <c r="HUV639" s="133"/>
      <c r="HUW639" s="133"/>
      <c r="HUX639" s="133"/>
      <c r="HUY639" s="133"/>
      <c r="HUZ639" s="133"/>
      <c r="HVA639" s="133"/>
      <c r="HVB639" s="133"/>
      <c r="HVC639" s="133"/>
      <c r="HVD639" s="133"/>
      <c r="HVE639" s="133"/>
      <c r="HVF639" s="133"/>
      <c r="HVG639" s="133"/>
      <c r="HVH639" s="133"/>
      <c r="HVI639" s="133"/>
      <c r="HVJ639" s="133"/>
      <c r="HVK639" s="133"/>
      <c r="HVL639" s="133"/>
      <c r="HVM639" s="133"/>
      <c r="HVN639" s="133"/>
      <c r="HVO639" s="133"/>
      <c r="HVP639" s="133"/>
      <c r="HVQ639" s="133"/>
      <c r="HVR639" s="133"/>
      <c r="HVS639" s="133"/>
      <c r="HVT639" s="133"/>
      <c r="HVU639" s="133"/>
      <c r="HVV639" s="133"/>
      <c r="HVW639" s="133"/>
      <c r="HVX639" s="133"/>
      <c r="HVY639" s="133"/>
      <c r="HVZ639" s="133"/>
      <c r="HWA639" s="133"/>
      <c r="HWB639" s="133"/>
      <c r="HWC639" s="133"/>
      <c r="HWD639" s="133"/>
      <c r="HWE639" s="133"/>
      <c r="HWF639" s="133"/>
      <c r="HWG639" s="133"/>
      <c r="HWH639" s="133"/>
      <c r="HWI639" s="133"/>
      <c r="HWJ639" s="133"/>
      <c r="HWK639" s="133"/>
      <c r="HWL639" s="133"/>
      <c r="HWM639" s="133"/>
      <c r="HWN639" s="133"/>
      <c r="HWO639" s="133"/>
      <c r="HWP639" s="133"/>
      <c r="HWQ639" s="133"/>
      <c r="HWR639" s="133"/>
      <c r="HWS639" s="133"/>
      <c r="HWT639" s="133"/>
      <c r="HWU639" s="133"/>
      <c r="HWV639" s="133"/>
      <c r="HWW639" s="133"/>
      <c r="HWX639" s="133"/>
      <c r="HWY639" s="133"/>
      <c r="HWZ639" s="133"/>
      <c r="HXA639" s="133"/>
      <c r="HXB639" s="133"/>
      <c r="HXC639" s="133"/>
      <c r="HXD639" s="133"/>
      <c r="HXE639" s="133"/>
      <c r="HXF639" s="133"/>
      <c r="HXG639" s="133"/>
      <c r="HXH639" s="133"/>
      <c r="HXI639" s="133"/>
      <c r="HXJ639" s="133"/>
      <c r="HXK639" s="133"/>
      <c r="HXL639" s="133"/>
      <c r="HXM639" s="133"/>
      <c r="HXN639" s="133"/>
      <c r="HXO639" s="133"/>
      <c r="HXP639" s="133"/>
      <c r="HXQ639" s="133"/>
      <c r="HXR639" s="133"/>
      <c r="HXS639" s="133"/>
      <c r="HXT639" s="133"/>
      <c r="HXU639" s="133"/>
      <c r="HXV639" s="133"/>
      <c r="HXW639" s="133"/>
      <c r="HXX639" s="133"/>
      <c r="HXY639" s="133"/>
      <c r="HXZ639" s="133"/>
      <c r="HYA639" s="133"/>
      <c r="HYB639" s="133"/>
      <c r="HYC639" s="133"/>
      <c r="HYD639" s="133"/>
      <c r="HYE639" s="133"/>
      <c r="HYF639" s="133"/>
      <c r="HYG639" s="133"/>
      <c r="HYH639" s="133"/>
      <c r="HYI639" s="133"/>
      <c r="HYJ639" s="133"/>
      <c r="HYK639" s="133"/>
      <c r="HYL639" s="133"/>
      <c r="HYM639" s="133"/>
      <c r="HYN639" s="133"/>
      <c r="HYO639" s="133"/>
      <c r="HYP639" s="133"/>
      <c r="HYQ639" s="133"/>
      <c r="HYR639" s="133"/>
      <c r="HYS639" s="133"/>
      <c r="HYT639" s="133"/>
      <c r="HYU639" s="133"/>
      <c r="HYV639" s="133"/>
      <c r="HYW639" s="133"/>
      <c r="HYX639" s="133"/>
      <c r="HYY639" s="133"/>
      <c r="HYZ639" s="133"/>
      <c r="HZA639" s="133"/>
      <c r="HZB639" s="133"/>
      <c r="HZC639" s="133"/>
      <c r="HZD639" s="133"/>
      <c r="HZE639" s="133"/>
      <c r="HZF639" s="133"/>
      <c r="HZG639" s="133"/>
      <c r="HZH639" s="133"/>
      <c r="HZI639" s="133"/>
      <c r="HZJ639" s="133"/>
      <c r="HZK639" s="133"/>
      <c r="HZL639" s="133"/>
      <c r="HZM639" s="133"/>
      <c r="HZN639" s="133"/>
      <c r="HZO639" s="133"/>
      <c r="HZP639" s="133"/>
      <c r="HZQ639" s="133"/>
      <c r="HZR639" s="133"/>
      <c r="HZS639" s="133"/>
      <c r="HZT639" s="133"/>
      <c r="HZU639" s="133"/>
      <c r="HZV639" s="133"/>
      <c r="HZW639" s="133"/>
      <c r="HZX639" s="133"/>
      <c r="HZY639" s="133"/>
      <c r="HZZ639" s="133"/>
      <c r="IAA639" s="133"/>
      <c r="IAB639" s="133"/>
      <c r="IAC639" s="133"/>
      <c r="IAD639" s="133"/>
      <c r="IAE639" s="133"/>
      <c r="IAF639" s="133"/>
      <c r="IAG639" s="133"/>
      <c r="IAH639" s="133"/>
      <c r="IAI639" s="133"/>
      <c r="IAJ639" s="133"/>
      <c r="IAK639" s="133"/>
      <c r="IAL639" s="133"/>
      <c r="IAM639" s="133"/>
      <c r="IAN639" s="133"/>
      <c r="IAO639" s="133"/>
      <c r="IAP639" s="133"/>
      <c r="IAQ639" s="133"/>
      <c r="IAR639" s="133"/>
      <c r="IAS639" s="133"/>
      <c r="IAT639" s="133"/>
      <c r="IAU639" s="133"/>
      <c r="IAV639" s="133"/>
      <c r="IAW639" s="133"/>
      <c r="IAX639" s="133"/>
      <c r="IAY639" s="133"/>
      <c r="IAZ639" s="133"/>
      <c r="IBA639" s="133"/>
      <c r="IBB639" s="133"/>
      <c r="IBC639" s="133"/>
      <c r="IBD639" s="133"/>
      <c r="IBE639" s="133"/>
      <c r="IBF639" s="133"/>
      <c r="IBG639" s="133"/>
      <c r="IBH639" s="133"/>
      <c r="IBI639" s="133"/>
      <c r="IBJ639" s="133"/>
      <c r="IBK639" s="133"/>
      <c r="IBL639" s="133"/>
      <c r="IBM639" s="133"/>
      <c r="IBN639" s="133"/>
      <c r="IBO639" s="133"/>
      <c r="IBP639" s="133"/>
      <c r="IBQ639" s="133"/>
      <c r="IBR639" s="133"/>
      <c r="IBS639" s="133"/>
      <c r="IBT639" s="133"/>
      <c r="IBU639" s="133"/>
      <c r="IBV639" s="133"/>
      <c r="IBW639" s="133"/>
      <c r="IBX639" s="133"/>
      <c r="IBY639" s="133"/>
      <c r="IBZ639" s="133"/>
      <c r="ICA639" s="133"/>
      <c r="ICB639" s="133"/>
      <c r="ICC639" s="133"/>
      <c r="ICD639" s="133"/>
      <c r="ICE639" s="133"/>
      <c r="ICF639" s="133"/>
      <c r="ICG639" s="133"/>
      <c r="ICH639" s="133"/>
      <c r="ICI639" s="133"/>
      <c r="ICJ639" s="133"/>
      <c r="ICK639" s="133"/>
      <c r="ICL639" s="133"/>
      <c r="ICM639" s="133"/>
      <c r="ICN639" s="133"/>
      <c r="ICO639" s="133"/>
      <c r="ICP639" s="133"/>
      <c r="ICQ639" s="133"/>
      <c r="ICR639" s="133"/>
      <c r="ICS639" s="133"/>
      <c r="ICT639" s="133"/>
      <c r="ICU639" s="133"/>
      <c r="ICV639" s="133"/>
      <c r="ICW639" s="133"/>
      <c r="ICX639" s="133"/>
      <c r="ICY639" s="133"/>
      <c r="ICZ639" s="133"/>
      <c r="IDA639" s="133"/>
      <c r="IDB639" s="133"/>
      <c r="IDC639" s="133"/>
      <c r="IDD639" s="133"/>
      <c r="IDE639" s="133"/>
      <c r="IDF639" s="133"/>
      <c r="IDG639" s="133"/>
      <c r="IDH639" s="133"/>
      <c r="IDI639" s="133"/>
      <c r="IDJ639" s="133"/>
      <c r="IDK639" s="133"/>
      <c r="IDL639" s="133"/>
      <c r="IDM639" s="133"/>
      <c r="IDN639" s="133"/>
      <c r="IDO639" s="133"/>
      <c r="IDP639" s="133"/>
      <c r="IDQ639" s="133"/>
      <c r="IDR639" s="133"/>
      <c r="IDS639" s="133"/>
      <c r="IDT639" s="133"/>
      <c r="IDU639" s="133"/>
      <c r="IDV639" s="133"/>
      <c r="IDW639" s="133"/>
      <c r="IDX639" s="133"/>
      <c r="IDY639" s="133"/>
      <c r="IDZ639" s="133"/>
      <c r="IEA639" s="133"/>
      <c r="IEB639" s="133"/>
      <c r="IEC639" s="133"/>
      <c r="IED639" s="133"/>
      <c r="IEE639" s="133"/>
      <c r="IEF639" s="133"/>
      <c r="IEG639" s="133"/>
      <c r="IEH639" s="133"/>
      <c r="IEI639" s="133"/>
      <c r="IEJ639" s="133"/>
      <c r="IEK639" s="133"/>
      <c r="IEL639" s="133"/>
      <c r="IEM639" s="133"/>
      <c r="IEN639" s="133"/>
      <c r="IEO639" s="133"/>
      <c r="IEP639" s="133"/>
      <c r="IEQ639" s="133"/>
      <c r="IER639" s="133"/>
      <c r="IES639" s="133"/>
      <c r="IET639" s="133"/>
      <c r="IEU639" s="133"/>
      <c r="IEV639" s="133"/>
      <c r="IEW639" s="133"/>
      <c r="IEX639" s="133"/>
      <c r="IEY639" s="133"/>
      <c r="IEZ639" s="133"/>
      <c r="IFA639" s="133"/>
      <c r="IFB639" s="133"/>
      <c r="IFC639" s="133"/>
      <c r="IFD639" s="133"/>
      <c r="IFE639" s="133"/>
      <c r="IFF639" s="133"/>
      <c r="IFG639" s="133"/>
      <c r="IFH639" s="133"/>
      <c r="IFI639" s="133"/>
      <c r="IFJ639" s="133"/>
      <c r="IFK639" s="133"/>
      <c r="IFL639" s="133"/>
      <c r="IFM639" s="133"/>
      <c r="IFN639" s="133"/>
      <c r="IFO639" s="133"/>
      <c r="IFP639" s="133"/>
      <c r="IFQ639" s="133"/>
      <c r="IFR639" s="133"/>
      <c r="IFS639" s="133"/>
      <c r="IFT639" s="133"/>
      <c r="IFU639" s="133"/>
      <c r="IFV639" s="133"/>
      <c r="IFW639" s="133"/>
      <c r="IFX639" s="133"/>
      <c r="IFY639" s="133"/>
      <c r="IFZ639" s="133"/>
      <c r="IGA639" s="133"/>
      <c r="IGB639" s="133"/>
      <c r="IGC639" s="133"/>
      <c r="IGD639" s="133"/>
      <c r="IGE639" s="133"/>
      <c r="IGF639" s="133"/>
      <c r="IGG639" s="133"/>
      <c r="IGH639" s="133"/>
      <c r="IGI639" s="133"/>
      <c r="IGJ639" s="133"/>
      <c r="IGK639" s="133"/>
      <c r="IGL639" s="133"/>
      <c r="IGM639" s="133"/>
      <c r="IGN639" s="133"/>
      <c r="IGO639" s="133"/>
      <c r="IGP639" s="133"/>
      <c r="IGQ639" s="133"/>
      <c r="IGR639" s="133"/>
      <c r="IGS639" s="133"/>
      <c r="IGT639" s="133"/>
      <c r="IGU639" s="133"/>
      <c r="IGV639" s="133"/>
      <c r="IGW639" s="133"/>
      <c r="IGX639" s="133"/>
      <c r="IGY639" s="133"/>
      <c r="IGZ639" s="133"/>
      <c r="IHA639" s="133"/>
      <c r="IHB639" s="133"/>
      <c r="IHC639" s="133"/>
      <c r="IHD639" s="133"/>
      <c r="IHE639" s="133"/>
      <c r="IHF639" s="133"/>
      <c r="IHG639" s="133"/>
      <c r="IHH639" s="133"/>
      <c r="IHI639" s="133"/>
      <c r="IHJ639" s="133"/>
      <c r="IHK639" s="133"/>
      <c r="IHL639" s="133"/>
      <c r="IHM639" s="133"/>
      <c r="IHN639" s="133"/>
      <c r="IHO639" s="133"/>
      <c r="IHP639" s="133"/>
      <c r="IHQ639" s="133"/>
      <c r="IHR639" s="133"/>
      <c r="IHS639" s="133"/>
      <c r="IHT639" s="133"/>
      <c r="IHU639" s="133"/>
      <c r="IHV639" s="133"/>
      <c r="IHW639" s="133"/>
      <c r="IHX639" s="133"/>
      <c r="IHY639" s="133"/>
      <c r="IHZ639" s="133"/>
      <c r="IIA639" s="133"/>
      <c r="IIB639" s="133"/>
      <c r="IIC639" s="133"/>
      <c r="IID639" s="133"/>
      <c r="IIE639" s="133"/>
      <c r="IIF639" s="133"/>
      <c r="IIG639" s="133"/>
      <c r="IIH639" s="133"/>
      <c r="III639" s="133"/>
      <c r="IIJ639" s="133"/>
      <c r="IIK639" s="133"/>
      <c r="IIL639" s="133"/>
      <c r="IIM639" s="133"/>
      <c r="IIN639" s="133"/>
      <c r="IIO639" s="133"/>
      <c r="IIP639" s="133"/>
      <c r="IIQ639" s="133"/>
      <c r="IIR639" s="133"/>
      <c r="IIS639" s="133"/>
      <c r="IIT639" s="133"/>
      <c r="IIU639" s="133"/>
      <c r="IIV639" s="133"/>
      <c r="IIW639" s="133"/>
      <c r="IIX639" s="133"/>
      <c r="IIY639" s="133"/>
      <c r="IIZ639" s="133"/>
      <c r="IJA639" s="133"/>
      <c r="IJB639" s="133"/>
      <c r="IJC639" s="133"/>
      <c r="IJD639" s="133"/>
      <c r="IJE639" s="133"/>
      <c r="IJF639" s="133"/>
      <c r="IJG639" s="133"/>
      <c r="IJH639" s="133"/>
      <c r="IJI639" s="133"/>
      <c r="IJJ639" s="133"/>
      <c r="IJK639" s="133"/>
      <c r="IJL639" s="133"/>
      <c r="IJM639" s="133"/>
      <c r="IJN639" s="133"/>
      <c r="IJO639" s="133"/>
      <c r="IJP639" s="133"/>
      <c r="IJQ639" s="133"/>
      <c r="IJR639" s="133"/>
      <c r="IJS639" s="133"/>
      <c r="IJT639" s="133"/>
      <c r="IJU639" s="133"/>
      <c r="IJV639" s="133"/>
      <c r="IJW639" s="133"/>
      <c r="IJX639" s="133"/>
      <c r="IJY639" s="133"/>
      <c r="IJZ639" s="133"/>
      <c r="IKA639" s="133"/>
      <c r="IKB639" s="133"/>
      <c r="IKC639" s="133"/>
      <c r="IKD639" s="133"/>
      <c r="IKE639" s="133"/>
      <c r="IKF639" s="133"/>
      <c r="IKG639" s="133"/>
      <c r="IKH639" s="133"/>
      <c r="IKI639" s="133"/>
      <c r="IKJ639" s="133"/>
      <c r="IKK639" s="133"/>
      <c r="IKL639" s="133"/>
      <c r="IKM639" s="133"/>
      <c r="IKN639" s="133"/>
      <c r="IKO639" s="133"/>
      <c r="IKP639" s="133"/>
      <c r="IKQ639" s="133"/>
      <c r="IKR639" s="133"/>
      <c r="IKS639" s="133"/>
      <c r="IKT639" s="133"/>
      <c r="IKU639" s="133"/>
      <c r="IKV639" s="133"/>
      <c r="IKW639" s="133"/>
      <c r="IKX639" s="133"/>
      <c r="IKY639" s="133"/>
      <c r="IKZ639" s="133"/>
      <c r="ILA639" s="133"/>
      <c r="ILB639" s="133"/>
      <c r="ILC639" s="133"/>
      <c r="ILD639" s="133"/>
      <c r="ILE639" s="133"/>
      <c r="ILF639" s="133"/>
      <c r="ILG639" s="133"/>
      <c r="ILH639" s="133"/>
      <c r="ILI639" s="133"/>
      <c r="ILJ639" s="133"/>
      <c r="ILK639" s="133"/>
      <c r="ILL639" s="133"/>
      <c r="ILM639" s="133"/>
      <c r="ILN639" s="133"/>
      <c r="ILO639" s="133"/>
      <c r="ILP639" s="133"/>
      <c r="ILQ639" s="133"/>
      <c r="ILR639" s="133"/>
      <c r="ILS639" s="133"/>
      <c r="ILT639" s="133"/>
      <c r="ILU639" s="133"/>
      <c r="ILV639" s="133"/>
      <c r="ILW639" s="133"/>
      <c r="ILX639" s="133"/>
      <c r="ILY639" s="133"/>
      <c r="ILZ639" s="133"/>
      <c r="IMA639" s="133"/>
      <c r="IMB639" s="133"/>
      <c r="IMC639" s="133"/>
      <c r="IMD639" s="133"/>
      <c r="IME639" s="133"/>
      <c r="IMF639" s="133"/>
      <c r="IMG639" s="133"/>
      <c r="IMH639" s="133"/>
      <c r="IMI639" s="133"/>
      <c r="IMJ639" s="133"/>
      <c r="IMK639" s="133"/>
      <c r="IML639" s="133"/>
      <c r="IMM639" s="133"/>
      <c r="IMN639" s="133"/>
      <c r="IMO639" s="133"/>
      <c r="IMP639" s="133"/>
      <c r="IMQ639" s="133"/>
      <c r="IMR639" s="133"/>
      <c r="IMS639" s="133"/>
      <c r="IMT639" s="133"/>
      <c r="IMU639" s="133"/>
      <c r="IMV639" s="133"/>
      <c r="IMW639" s="133"/>
      <c r="IMX639" s="133"/>
      <c r="IMY639" s="133"/>
      <c r="IMZ639" s="133"/>
      <c r="INA639" s="133"/>
      <c r="INB639" s="133"/>
      <c r="INC639" s="133"/>
      <c r="IND639" s="133"/>
      <c r="INE639" s="133"/>
      <c r="INF639" s="133"/>
      <c r="ING639" s="133"/>
      <c r="INH639" s="133"/>
      <c r="INI639" s="133"/>
      <c r="INJ639" s="133"/>
      <c r="INK639" s="133"/>
      <c r="INL639" s="133"/>
      <c r="INM639" s="133"/>
      <c r="INN639" s="133"/>
      <c r="INO639" s="133"/>
      <c r="INP639" s="133"/>
      <c r="INQ639" s="133"/>
      <c r="INR639" s="133"/>
      <c r="INS639" s="133"/>
      <c r="INT639" s="133"/>
      <c r="INU639" s="133"/>
      <c r="INV639" s="133"/>
      <c r="INW639" s="133"/>
      <c r="INX639" s="133"/>
      <c r="INY639" s="133"/>
      <c r="INZ639" s="133"/>
      <c r="IOA639" s="133"/>
      <c r="IOB639" s="133"/>
      <c r="IOC639" s="133"/>
      <c r="IOD639" s="133"/>
      <c r="IOE639" s="133"/>
      <c r="IOF639" s="133"/>
      <c r="IOG639" s="133"/>
      <c r="IOH639" s="133"/>
      <c r="IOI639" s="133"/>
      <c r="IOJ639" s="133"/>
      <c r="IOK639" s="133"/>
      <c r="IOL639" s="133"/>
      <c r="IOM639" s="133"/>
      <c r="ION639" s="133"/>
      <c r="IOO639" s="133"/>
      <c r="IOP639" s="133"/>
      <c r="IOQ639" s="133"/>
      <c r="IOR639" s="133"/>
      <c r="IOS639" s="133"/>
      <c r="IOT639" s="133"/>
      <c r="IOU639" s="133"/>
      <c r="IOV639" s="133"/>
      <c r="IOW639" s="133"/>
      <c r="IOX639" s="133"/>
      <c r="IOY639" s="133"/>
      <c r="IOZ639" s="133"/>
      <c r="IPA639" s="133"/>
      <c r="IPB639" s="133"/>
      <c r="IPC639" s="133"/>
      <c r="IPD639" s="133"/>
      <c r="IPE639" s="133"/>
      <c r="IPF639" s="133"/>
      <c r="IPG639" s="133"/>
      <c r="IPH639" s="133"/>
      <c r="IPI639" s="133"/>
      <c r="IPJ639" s="133"/>
      <c r="IPK639" s="133"/>
      <c r="IPL639" s="133"/>
      <c r="IPM639" s="133"/>
      <c r="IPN639" s="133"/>
      <c r="IPO639" s="133"/>
      <c r="IPP639" s="133"/>
      <c r="IPQ639" s="133"/>
      <c r="IPR639" s="133"/>
      <c r="IPS639" s="133"/>
      <c r="IPT639" s="133"/>
      <c r="IPU639" s="133"/>
      <c r="IPV639" s="133"/>
      <c r="IPW639" s="133"/>
      <c r="IPX639" s="133"/>
      <c r="IPY639" s="133"/>
      <c r="IPZ639" s="133"/>
      <c r="IQA639" s="133"/>
      <c r="IQB639" s="133"/>
      <c r="IQC639" s="133"/>
      <c r="IQD639" s="133"/>
      <c r="IQE639" s="133"/>
      <c r="IQF639" s="133"/>
      <c r="IQG639" s="133"/>
      <c r="IQH639" s="133"/>
      <c r="IQI639" s="133"/>
      <c r="IQJ639" s="133"/>
      <c r="IQK639" s="133"/>
      <c r="IQL639" s="133"/>
      <c r="IQM639" s="133"/>
      <c r="IQN639" s="133"/>
      <c r="IQO639" s="133"/>
      <c r="IQP639" s="133"/>
      <c r="IQQ639" s="133"/>
      <c r="IQR639" s="133"/>
      <c r="IQS639" s="133"/>
      <c r="IQT639" s="133"/>
      <c r="IQU639" s="133"/>
      <c r="IQV639" s="133"/>
      <c r="IQW639" s="133"/>
      <c r="IQX639" s="133"/>
      <c r="IQY639" s="133"/>
      <c r="IQZ639" s="133"/>
      <c r="IRA639" s="133"/>
      <c r="IRB639" s="133"/>
      <c r="IRC639" s="133"/>
      <c r="IRD639" s="133"/>
      <c r="IRE639" s="133"/>
      <c r="IRF639" s="133"/>
      <c r="IRG639" s="133"/>
      <c r="IRH639" s="133"/>
      <c r="IRI639" s="133"/>
      <c r="IRJ639" s="133"/>
      <c r="IRK639" s="133"/>
      <c r="IRL639" s="133"/>
      <c r="IRM639" s="133"/>
      <c r="IRN639" s="133"/>
      <c r="IRO639" s="133"/>
      <c r="IRP639" s="133"/>
      <c r="IRQ639" s="133"/>
      <c r="IRR639" s="133"/>
      <c r="IRS639" s="133"/>
      <c r="IRT639" s="133"/>
      <c r="IRU639" s="133"/>
      <c r="IRV639" s="133"/>
      <c r="IRW639" s="133"/>
      <c r="IRX639" s="133"/>
      <c r="IRY639" s="133"/>
      <c r="IRZ639" s="133"/>
      <c r="ISA639" s="133"/>
      <c r="ISB639" s="133"/>
      <c r="ISC639" s="133"/>
      <c r="ISD639" s="133"/>
      <c r="ISE639" s="133"/>
      <c r="ISF639" s="133"/>
      <c r="ISG639" s="133"/>
      <c r="ISH639" s="133"/>
      <c r="ISI639" s="133"/>
      <c r="ISJ639" s="133"/>
      <c r="ISK639" s="133"/>
      <c r="ISL639" s="133"/>
      <c r="ISM639" s="133"/>
      <c r="ISN639" s="133"/>
      <c r="ISO639" s="133"/>
      <c r="ISP639" s="133"/>
      <c r="ISQ639" s="133"/>
      <c r="ISR639" s="133"/>
      <c r="ISS639" s="133"/>
      <c r="IST639" s="133"/>
      <c r="ISU639" s="133"/>
      <c r="ISV639" s="133"/>
      <c r="ISW639" s="133"/>
      <c r="ISX639" s="133"/>
      <c r="ISY639" s="133"/>
      <c r="ISZ639" s="133"/>
      <c r="ITA639" s="133"/>
      <c r="ITB639" s="133"/>
      <c r="ITC639" s="133"/>
      <c r="ITD639" s="133"/>
      <c r="ITE639" s="133"/>
      <c r="ITF639" s="133"/>
      <c r="ITG639" s="133"/>
      <c r="ITH639" s="133"/>
      <c r="ITI639" s="133"/>
      <c r="ITJ639" s="133"/>
      <c r="ITK639" s="133"/>
      <c r="ITL639" s="133"/>
      <c r="ITM639" s="133"/>
      <c r="ITN639" s="133"/>
      <c r="ITO639" s="133"/>
      <c r="ITP639" s="133"/>
      <c r="ITQ639" s="133"/>
      <c r="ITR639" s="133"/>
      <c r="ITS639" s="133"/>
      <c r="ITT639" s="133"/>
      <c r="ITU639" s="133"/>
      <c r="ITV639" s="133"/>
      <c r="ITW639" s="133"/>
      <c r="ITX639" s="133"/>
      <c r="ITY639" s="133"/>
      <c r="ITZ639" s="133"/>
      <c r="IUA639" s="133"/>
      <c r="IUB639" s="133"/>
      <c r="IUC639" s="133"/>
      <c r="IUD639" s="133"/>
      <c r="IUE639" s="133"/>
      <c r="IUF639" s="133"/>
      <c r="IUG639" s="133"/>
      <c r="IUH639" s="133"/>
      <c r="IUI639" s="133"/>
      <c r="IUJ639" s="133"/>
      <c r="IUK639" s="133"/>
      <c r="IUL639" s="133"/>
      <c r="IUM639" s="133"/>
      <c r="IUN639" s="133"/>
      <c r="IUO639" s="133"/>
      <c r="IUP639" s="133"/>
      <c r="IUQ639" s="133"/>
      <c r="IUR639" s="133"/>
      <c r="IUS639" s="133"/>
      <c r="IUT639" s="133"/>
      <c r="IUU639" s="133"/>
      <c r="IUV639" s="133"/>
      <c r="IUW639" s="133"/>
      <c r="IUX639" s="133"/>
      <c r="IUY639" s="133"/>
      <c r="IUZ639" s="133"/>
      <c r="IVA639" s="133"/>
      <c r="IVB639" s="133"/>
      <c r="IVC639" s="133"/>
      <c r="IVD639" s="133"/>
      <c r="IVE639" s="133"/>
      <c r="IVF639" s="133"/>
      <c r="IVG639" s="133"/>
      <c r="IVH639" s="133"/>
      <c r="IVI639" s="133"/>
      <c r="IVJ639" s="133"/>
      <c r="IVK639" s="133"/>
      <c r="IVL639" s="133"/>
      <c r="IVM639" s="133"/>
      <c r="IVN639" s="133"/>
      <c r="IVO639" s="133"/>
      <c r="IVP639" s="133"/>
      <c r="IVQ639" s="133"/>
      <c r="IVR639" s="133"/>
      <c r="IVS639" s="133"/>
      <c r="IVT639" s="133"/>
      <c r="IVU639" s="133"/>
      <c r="IVV639" s="133"/>
      <c r="IVW639" s="133"/>
      <c r="IVX639" s="133"/>
      <c r="IVY639" s="133"/>
      <c r="IVZ639" s="133"/>
      <c r="IWA639" s="133"/>
      <c r="IWB639" s="133"/>
      <c r="IWC639" s="133"/>
      <c r="IWD639" s="133"/>
      <c r="IWE639" s="133"/>
      <c r="IWF639" s="133"/>
      <c r="IWG639" s="133"/>
      <c r="IWH639" s="133"/>
      <c r="IWI639" s="133"/>
      <c r="IWJ639" s="133"/>
      <c r="IWK639" s="133"/>
      <c r="IWL639" s="133"/>
      <c r="IWM639" s="133"/>
      <c r="IWN639" s="133"/>
      <c r="IWO639" s="133"/>
      <c r="IWP639" s="133"/>
      <c r="IWQ639" s="133"/>
      <c r="IWR639" s="133"/>
      <c r="IWS639" s="133"/>
      <c r="IWT639" s="133"/>
      <c r="IWU639" s="133"/>
      <c r="IWV639" s="133"/>
      <c r="IWW639" s="133"/>
      <c r="IWX639" s="133"/>
      <c r="IWY639" s="133"/>
      <c r="IWZ639" s="133"/>
      <c r="IXA639" s="133"/>
      <c r="IXB639" s="133"/>
      <c r="IXC639" s="133"/>
      <c r="IXD639" s="133"/>
      <c r="IXE639" s="133"/>
      <c r="IXF639" s="133"/>
      <c r="IXG639" s="133"/>
      <c r="IXH639" s="133"/>
      <c r="IXI639" s="133"/>
      <c r="IXJ639" s="133"/>
      <c r="IXK639" s="133"/>
      <c r="IXL639" s="133"/>
      <c r="IXM639" s="133"/>
      <c r="IXN639" s="133"/>
      <c r="IXO639" s="133"/>
      <c r="IXP639" s="133"/>
      <c r="IXQ639" s="133"/>
      <c r="IXR639" s="133"/>
      <c r="IXS639" s="133"/>
      <c r="IXT639" s="133"/>
      <c r="IXU639" s="133"/>
      <c r="IXV639" s="133"/>
      <c r="IXW639" s="133"/>
      <c r="IXX639" s="133"/>
      <c r="IXY639" s="133"/>
      <c r="IXZ639" s="133"/>
      <c r="IYA639" s="133"/>
      <c r="IYB639" s="133"/>
      <c r="IYC639" s="133"/>
      <c r="IYD639" s="133"/>
      <c r="IYE639" s="133"/>
      <c r="IYF639" s="133"/>
      <c r="IYG639" s="133"/>
      <c r="IYH639" s="133"/>
      <c r="IYI639" s="133"/>
      <c r="IYJ639" s="133"/>
      <c r="IYK639" s="133"/>
      <c r="IYL639" s="133"/>
      <c r="IYM639" s="133"/>
      <c r="IYN639" s="133"/>
      <c r="IYO639" s="133"/>
      <c r="IYP639" s="133"/>
      <c r="IYQ639" s="133"/>
      <c r="IYR639" s="133"/>
      <c r="IYS639" s="133"/>
      <c r="IYT639" s="133"/>
      <c r="IYU639" s="133"/>
      <c r="IYV639" s="133"/>
      <c r="IYW639" s="133"/>
      <c r="IYX639" s="133"/>
      <c r="IYY639" s="133"/>
      <c r="IYZ639" s="133"/>
      <c r="IZA639" s="133"/>
      <c r="IZB639" s="133"/>
      <c r="IZC639" s="133"/>
      <c r="IZD639" s="133"/>
      <c r="IZE639" s="133"/>
      <c r="IZF639" s="133"/>
      <c r="IZG639" s="133"/>
      <c r="IZH639" s="133"/>
      <c r="IZI639" s="133"/>
      <c r="IZJ639" s="133"/>
      <c r="IZK639" s="133"/>
      <c r="IZL639" s="133"/>
      <c r="IZM639" s="133"/>
      <c r="IZN639" s="133"/>
      <c r="IZO639" s="133"/>
      <c r="IZP639" s="133"/>
      <c r="IZQ639" s="133"/>
      <c r="IZR639" s="133"/>
      <c r="IZS639" s="133"/>
      <c r="IZT639" s="133"/>
      <c r="IZU639" s="133"/>
      <c r="IZV639" s="133"/>
      <c r="IZW639" s="133"/>
      <c r="IZX639" s="133"/>
      <c r="IZY639" s="133"/>
      <c r="IZZ639" s="133"/>
      <c r="JAA639" s="133"/>
      <c r="JAB639" s="133"/>
      <c r="JAC639" s="133"/>
      <c r="JAD639" s="133"/>
      <c r="JAE639" s="133"/>
      <c r="JAF639" s="133"/>
      <c r="JAG639" s="133"/>
      <c r="JAH639" s="133"/>
      <c r="JAI639" s="133"/>
      <c r="JAJ639" s="133"/>
      <c r="JAK639" s="133"/>
      <c r="JAL639" s="133"/>
      <c r="JAM639" s="133"/>
      <c r="JAN639" s="133"/>
      <c r="JAO639" s="133"/>
      <c r="JAP639" s="133"/>
      <c r="JAQ639" s="133"/>
      <c r="JAR639" s="133"/>
      <c r="JAS639" s="133"/>
      <c r="JAT639" s="133"/>
      <c r="JAU639" s="133"/>
      <c r="JAV639" s="133"/>
      <c r="JAW639" s="133"/>
      <c r="JAX639" s="133"/>
      <c r="JAY639" s="133"/>
      <c r="JAZ639" s="133"/>
      <c r="JBA639" s="133"/>
      <c r="JBB639" s="133"/>
      <c r="JBC639" s="133"/>
      <c r="JBD639" s="133"/>
      <c r="JBE639" s="133"/>
      <c r="JBF639" s="133"/>
      <c r="JBG639" s="133"/>
      <c r="JBH639" s="133"/>
      <c r="JBI639" s="133"/>
      <c r="JBJ639" s="133"/>
      <c r="JBK639" s="133"/>
      <c r="JBL639" s="133"/>
      <c r="JBM639" s="133"/>
      <c r="JBN639" s="133"/>
      <c r="JBO639" s="133"/>
      <c r="JBP639" s="133"/>
      <c r="JBQ639" s="133"/>
      <c r="JBR639" s="133"/>
      <c r="JBS639" s="133"/>
      <c r="JBT639" s="133"/>
      <c r="JBU639" s="133"/>
      <c r="JBV639" s="133"/>
      <c r="JBW639" s="133"/>
      <c r="JBX639" s="133"/>
      <c r="JBY639" s="133"/>
      <c r="JBZ639" s="133"/>
      <c r="JCA639" s="133"/>
      <c r="JCB639" s="133"/>
      <c r="JCC639" s="133"/>
      <c r="JCD639" s="133"/>
      <c r="JCE639" s="133"/>
      <c r="JCF639" s="133"/>
      <c r="JCG639" s="133"/>
      <c r="JCH639" s="133"/>
      <c r="JCI639" s="133"/>
      <c r="JCJ639" s="133"/>
      <c r="JCK639" s="133"/>
      <c r="JCL639" s="133"/>
      <c r="JCM639" s="133"/>
      <c r="JCN639" s="133"/>
      <c r="JCO639" s="133"/>
      <c r="JCP639" s="133"/>
      <c r="JCQ639" s="133"/>
      <c r="JCR639" s="133"/>
      <c r="JCS639" s="133"/>
      <c r="JCT639" s="133"/>
      <c r="JCU639" s="133"/>
      <c r="JCV639" s="133"/>
      <c r="JCW639" s="133"/>
      <c r="JCX639" s="133"/>
      <c r="JCY639" s="133"/>
      <c r="JCZ639" s="133"/>
      <c r="JDA639" s="133"/>
      <c r="JDB639" s="133"/>
      <c r="JDC639" s="133"/>
      <c r="JDD639" s="133"/>
      <c r="JDE639" s="133"/>
      <c r="JDF639" s="133"/>
      <c r="JDG639" s="133"/>
      <c r="JDH639" s="133"/>
      <c r="JDI639" s="133"/>
      <c r="JDJ639" s="133"/>
      <c r="JDK639" s="133"/>
      <c r="JDL639" s="133"/>
      <c r="JDM639" s="133"/>
      <c r="JDN639" s="133"/>
      <c r="JDO639" s="133"/>
      <c r="JDP639" s="133"/>
      <c r="JDQ639" s="133"/>
      <c r="JDR639" s="133"/>
      <c r="JDS639" s="133"/>
      <c r="JDT639" s="133"/>
      <c r="JDU639" s="133"/>
      <c r="JDV639" s="133"/>
      <c r="JDW639" s="133"/>
      <c r="JDX639" s="133"/>
      <c r="JDY639" s="133"/>
      <c r="JDZ639" s="133"/>
      <c r="JEA639" s="133"/>
      <c r="JEB639" s="133"/>
      <c r="JEC639" s="133"/>
      <c r="JED639" s="133"/>
      <c r="JEE639" s="133"/>
      <c r="JEF639" s="133"/>
      <c r="JEG639" s="133"/>
      <c r="JEH639" s="133"/>
      <c r="JEI639" s="133"/>
      <c r="JEJ639" s="133"/>
      <c r="JEK639" s="133"/>
      <c r="JEL639" s="133"/>
      <c r="JEM639" s="133"/>
      <c r="JEN639" s="133"/>
      <c r="JEO639" s="133"/>
      <c r="JEP639" s="133"/>
      <c r="JEQ639" s="133"/>
      <c r="JER639" s="133"/>
      <c r="JES639" s="133"/>
      <c r="JET639" s="133"/>
      <c r="JEU639" s="133"/>
      <c r="JEV639" s="133"/>
      <c r="JEW639" s="133"/>
      <c r="JEX639" s="133"/>
      <c r="JEY639" s="133"/>
      <c r="JEZ639" s="133"/>
      <c r="JFA639" s="133"/>
      <c r="JFB639" s="133"/>
      <c r="JFC639" s="133"/>
      <c r="JFD639" s="133"/>
      <c r="JFE639" s="133"/>
      <c r="JFF639" s="133"/>
      <c r="JFG639" s="133"/>
      <c r="JFH639" s="133"/>
      <c r="JFI639" s="133"/>
      <c r="JFJ639" s="133"/>
      <c r="JFK639" s="133"/>
      <c r="JFL639" s="133"/>
      <c r="JFM639" s="133"/>
      <c r="JFN639" s="133"/>
      <c r="JFO639" s="133"/>
      <c r="JFP639" s="133"/>
      <c r="JFQ639" s="133"/>
      <c r="JFR639" s="133"/>
      <c r="JFS639" s="133"/>
      <c r="JFT639" s="133"/>
      <c r="JFU639" s="133"/>
      <c r="JFV639" s="133"/>
      <c r="JFW639" s="133"/>
      <c r="JFX639" s="133"/>
      <c r="JFY639" s="133"/>
      <c r="JFZ639" s="133"/>
      <c r="JGA639" s="133"/>
      <c r="JGB639" s="133"/>
      <c r="JGC639" s="133"/>
      <c r="JGD639" s="133"/>
      <c r="JGE639" s="133"/>
      <c r="JGF639" s="133"/>
      <c r="JGG639" s="133"/>
      <c r="JGH639" s="133"/>
      <c r="JGI639" s="133"/>
      <c r="JGJ639" s="133"/>
      <c r="JGK639" s="133"/>
      <c r="JGL639" s="133"/>
      <c r="JGM639" s="133"/>
      <c r="JGN639" s="133"/>
      <c r="JGO639" s="133"/>
      <c r="JGP639" s="133"/>
      <c r="JGQ639" s="133"/>
      <c r="JGR639" s="133"/>
      <c r="JGS639" s="133"/>
      <c r="JGT639" s="133"/>
      <c r="JGU639" s="133"/>
      <c r="JGV639" s="133"/>
      <c r="JGW639" s="133"/>
      <c r="JGX639" s="133"/>
      <c r="JGY639" s="133"/>
      <c r="JGZ639" s="133"/>
      <c r="JHA639" s="133"/>
      <c r="JHB639" s="133"/>
      <c r="JHC639" s="133"/>
      <c r="JHD639" s="133"/>
      <c r="JHE639" s="133"/>
      <c r="JHF639" s="133"/>
      <c r="JHG639" s="133"/>
      <c r="JHH639" s="133"/>
      <c r="JHI639" s="133"/>
      <c r="JHJ639" s="133"/>
      <c r="JHK639" s="133"/>
      <c r="JHL639" s="133"/>
      <c r="JHM639" s="133"/>
      <c r="JHN639" s="133"/>
      <c r="JHO639" s="133"/>
      <c r="JHP639" s="133"/>
      <c r="JHQ639" s="133"/>
      <c r="JHR639" s="133"/>
      <c r="JHS639" s="133"/>
      <c r="JHT639" s="133"/>
      <c r="JHU639" s="133"/>
      <c r="JHV639" s="133"/>
      <c r="JHW639" s="133"/>
      <c r="JHX639" s="133"/>
      <c r="JHY639" s="133"/>
      <c r="JHZ639" s="133"/>
      <c r="JIA639" s="133"/>
      <c r="JIB639" s="133"/>
      <c r="JIC639" s="133"/>
      <c r="JID639" s="133"/>
      <c r="JIE639" s="133"/>
      <c r="JIF639" s="133"/>
      <c r="JIG639" s="133"/>
      <c r="JIH639" s="133"/>
      <c r="JII639" s="133"/>
      <c r="JIJ639" s="133"/>
      <c r="JIK639" s="133"/>
      <c r="JIL639" s="133"/>
      <c r="JIM639" s="133"/>
      <c r="JIN639" s="133"/>
      <c r="JIO639" s="133"/>
      <c r="JIP639" s="133"/>
      <c r="JIQ639" s="133"/>
      <c r="JIR639" s="133"/>
      <c r="JIS639" s="133"/>
      <c r="JIT639" s="133"/>
      <c r="JIU639" s="133"/>
      <c r="JIV639" s="133"/>
      <c r="JIW639" s="133"/>
      <c r="JIX639" s="133"/>
      <c r="JIY639" s="133"/>
      <c r="JIZ639" s="133"/>
      <c r="JJA639" s="133"/>
      <c r="JJB639" s="133"/>
      <c r="JJC639" s="133"/>
      <c r="JJD639" s="133"/>
      <c r="JJE639" s="133"/>
      <c r="JJF639" s="133"/>
      <c r="JJG639" s="133"/>
      <c r="JJH639" s="133"/>
      <c r="JJI639" s="133"/>
      <c r="JJJ639" s="133"/>
      <c r="JJK639" s="133"/>
      <c r="JJL639" s="133"/>
      <c r="JJM639" s="133"/>
      <c r="JJN639" s="133"/>
      <c r="JJO639" s="133"/>
      <c r="JJP639" s="133"/>
      <c r="JJQ639" s="133"/>
      <c r="JJR639" s="133"/>
      <c r="JJS639" s="133"/>
      <c r="JJT639" s="133"/>
      <c r="JJU639" s="133"/>
      <c r="JJV639" s="133"/>
      <c r="JJW639" s="133"/>
      <c r="JJX639" s="133"/>
      <c r="JJY639" s="133"/>
      <c r="JJZ639" s="133"/>
      <c r="JKA639" s="133"/>
      <c r="JKB639" s="133"/>
      <c r="JKC639" s="133"/>
      <c r="JKD639" s="133"/>
      <c r="JKE639" s="133"/>
      <c r="JKF639" s="133"/>
      <c r="JKG639" s="133"/>
      <c r="JKH639" s="133"/>
      <c r="JKI639" s="133"/>
      <c r="JKJ639" s="133"/>
      <c r="JKK639" s="133"/>
      <c r="JKL639" s="133"/>
      <c r="JKM639" s="133"/>
      <c r="JKN639" s="133"/>
      <c r="JKO639" s="133"/>
      <c r="JKP639" s="133"/>
      <c r="JKQ639" s="133"/>
      <c r="JKR639" s="133"/>
      <c r="JKS639" s="133"/>
      <c r="JKT639" s="133"/>
      <c r="JKU639" s="133"/>
      <c r="JKV639" s="133"/>
      <c r="JKW639" s="133"/>
      <c r="JKX639" s="133"/>
      <c r="JKY639" s="133"/>
      <c r="JKZ639" s="133"/>
      <c r="JLA639" s="133"/>
      <c r="JLB639" s="133"/>
      <c r="JLC639" s="133"/>
      <c r="JLD639" s="133"/>
      <c r="JLE639" s="133"/>
      <c r="JLF639" s="133"/>
      <c r="JLG639" s="133"/>
      <c r="JLH639" s="133"/>
      <c r="JLI639" s="133"/>
      <c r="JLJ639" s="133"/>
      <c r="JLK639" s="133"/>
      <c r="JLL639" s="133"/>
      <c r="JLM639" s="133"/>
      <c r="JLN639" s="133"/>
      <c r="JLO639" s="133"/>
      <c r="JLP639" s="133"/>
      <c r="JLQ639" s="133"/>
      <c r="JLR639" s="133"/>
      <c r="JLS639" s="133"/>
      <c r="JLT639" s="133"/>
      <c r="JLU639" s="133"/>
      <c r="JLV639" s="133"/>
      <c r="JLW639" s="133"/>
      <c r="JLX639" s="133"/>
      <c r="JLY639" s="133"/>
      <c r="JLZ639" s="133"/>
      <c r="JMA639" s="133"/>
      <c r="JMB639" s="133"/>
      <c r="JMC639" s="133"/>
      <c r="JMD639" s="133"/>
      <c r="JME639" s="133"/>
      <c r="JMF639" s="133"/>
      <c r="JMG639" s="133"/>
      <c r="JMH639" s="133"/>
      <c r="JMI639" s="133"/>
      <c r="JMJ639" s="133"/>
      <c r="JMK639" s="133"/>
      <c r="JML639" s="133"/>
      <c r="JMM639" s="133"/>
      <c r="JMN639" s="133"/>
      <c r="JMO639" s="133"/>
      <c r="JMP639" s="133"/>
      <c r="JMQ639" s="133"/>
      <c r="JMR639" s="133"/>
      <c r="JMS639" s="133"/>
      <c r="JMT639" s="133"/>
      <c r="JMU639" s="133"/>
      <c r="JMV639" s="133"/>
      <c r="JMW639" s="133"/>
      <c r="JMX639" s="133"/>
      <c r="JMY639" s="133"/>
      <c r="JMZ639" s="133"/>
      <c r="JNA639" s="133"/>
      <c r="JNB639" s="133"/>
      <c r="JNC639" s="133"/>
      <c r="JND639" s="133"/>
      <c r="JNE639" s="133"/>
      <c r="JNF639" s="133"/>
      <c r="JNG639" s="133"/>
      <c r="JNH639" s="133"/>
      <c r="JNI639" s="133"/>
      <c r="JNJ639" s="133"/>
      <c r="JNK639" s="133"/>
      <c r="JNL639" s="133"/>
      <c r="JNM639" s="133"/>
      <c r="JNN639" s="133"/>
      <c r="JNO639" s="133"/>
      <c r="JNP639" s="133"/>
      <c r="JNQ639" s="133"/>
      <c r="JNR639" s="133"/>
      <c r="JNS639" s="133"/>
      <c r="JNT639" s="133"/>
      <c r="JNU639" s="133"/>
      <c r="JNV639" s="133"/>
      <c r="JNW639" s="133"/>
      <c r="JNX639" s="133"/>
      <c r="JNY639" s="133"/>
      <c r="JNZ639" s="133"/>
      <c r="JOA639" s="133"/>
      <c r="JOB639" s="133"/>
      <c r="JOC639" s="133"/>
      <c r="JOD639" s="133"/>
      <c r="JOE639" s="133"/>
      <c r="JOF639" s="133"/>
      <c r="JOG639" s="133"/>
      <c r="JOH639" s="133"/>
      <c r="JOI639" s="133"/>
      <c r="JOJ639" s="133"/>
      <c r="JOK639" s="133"/>
      <c r="JOL639" s="133"/>
      <c r="JOM639" s="133"/>
      <c r="JON639" s="133"/>
      <c r="JOO639" s="133"/>
      <c r="JOP639" s="133"/>
      <c r="JOQ639" s="133"/>
      <c r="JOR639" s="133"/>
      <c r="JOS639" s="133"/>
      <c r="JOT639" s="133"/>
      <c r="JOU639" s="133"/>
      <c r="JOV639" s="133"/>
      <c r="JOW639" s="133"/>
      <c r="JOX639" s="133"/>
      <c r="JOY639" s="133"/>
      <c r="JOZ639" s="133"/>
      <c r="JPA639" s="133"/>
      <c r="JPB639" s="133"/>
      <c r="JPC639" s="133"/>
      <c r="JPD639" s="133"/>
      <c r="JPE639" s="133"/>
      <c r="JPF639" s="133"/>
      <c r="JPG639" s="133"/>
      <c r="JPH639" s="133"/>
      <c r="JPI639" s="133"/>
      <c r="JPJ639" s="133"/>
      <c r="JPK639" s="133"/>
      <c r="JPL639" s="133"/>
      <c r="JPM639" s="133"/>
      <c r="JPN639" s="133"/>
      <c r="JPO639" s="133"/>
      <c r="JPP639" s="133"/>
      <c r="JPQ639" s="133"/>
      <c r="JPR639" s="133"/>
      <c r="JPS639" s="133"/>
      <c r="JPT639" s="133"/>
      <c r="JPU639" s="133"/>
      <c r="JPV639" s="133"/>
      <c r="JPW639" s="133"/>
      <c r="JPX639" s="133"/>
      <c r="JPY639" s="133"/>
      <c r="JPZ639" s="133"/>
      <c r="JQA639" s="133"/>
      <c r="JQB639" s="133"/>
      <c r="JQC639" s="133"/>
      <c r="JQD639" s="133"/>
      <c r="JQE639" s="133"/>
      <c r="JQF639" s="133"/>
      <c r="JQG639" s="133"/>
      <c r="JQH639" s="133"/>
      <c r="JQI639" s="133"/>
      <c r="JQJ639" s="133"/>
      <c r="JQK639" s="133"/>
      <c r="JQL639" s="133"/>
      <c r="JQM639" s="133"/>
      <c r="JQN639" s="133"/>
      <c r="JQO639" s="133"/>
      <c r="JQP639" s="133"/>
      <c r="JQQ639" s="133"/>
      <c r="JQR639" s="133"/>
      <c r="JQS639" s="133"/>
      <c r="JQT639" s="133"/>
      <c r="JQU639" s="133"/>
      <c r="JQV639" s="133"/>
      <c r="JQW639" s="133"/>
      <c r="JQX639" s="133"/>
      <c r="JQY639" s="133"/>
      <c r="JQZ639" s="133"/>
      <c r="JRA639" s="133"/>
      <c r="JRB639" s="133"/>
      <c r="JRC639" s="133"/>
      <c r="JRD639" s="133"/>
      <c r="JRE639" s="133"/>
      <c r="JRF639" s="133"/>
      <c r="JRG639" s="133"/>
      <c r="JRH639" s="133"/>
      <c r="JRI639" s="133"/>
      <c r="JRJ639" s="133"/>
      <c r="JRK639" s="133"/>
      <c r="JRL639" s="133"/>
      <c r="JRM639" s="133"/>
      <c r="JRN639" s="133"/>
      <c r="JRO639" s="133"/>
      <c r="JRP639" s="133"/>
      <c r="JRQ639" s="133"/>
      <c r="JRR639" s="133"/>
      <c r="JRS639" s="133"/>
      <c r="JRT639" s="133"/>
      <c r="JRU639" s="133"/>
      <c r="JRV639" s="133"/>
      <c r="JRW639" s="133"/>
      <c r="JRX639" s="133"/>
      <c r="JRY639" s="133"/>
      <c r="JRZ639" s="133"/>
      <c r="JSA639" s="133"/>
      <c r="JSB639" s="133"/>
      <c r="JSC639" s="133"/>
      <c r="JSD639" s="133"/>
      <c r="JSE639" s="133"/>
      <c r="JSF639" s="133"/>
      <c r="JSG639" s="133"/>
      <c r="JSH639" s="133"/>
      <c r="JSI639" s="133"/>
      <c r="JSJ639" s="133"/>
      <c r="JSK639" s="133"/>
      <c r="JSL639" s="133"/>
      <c r="JSM639" s="133"/>
      <c r="JSN639" s="133"/>
      <c r="JSO639" s="133"/>
      <c r="JSP639" s="133"/>
      <c r="JSQ639" s="133"/>
      <c r="JSR639" s="133"/>
      <c r="JSS639" s="133"/>
      <c r="JST639" s="133"/>
      <c r="JSU639" s="133"/>
      <c r="JSV639" s="133"/>
      <c r="JSW639" s="133"/>
      <c r="JSX639" s="133"/>
      <c r="JSY639" s="133"/>
      <c r="JSZ639" s="133"/>
      <c r="JTA639" s="133"/>
      <c r="JTB639" s="133"/>
      <c r="JTC639" s="133"/>
      <c r="JTD639" s="133"/>
      <c r="JTE639" s="133"/>
      <c r="JTF639" s="133"/>
      <c r="JTG639" s="133"/>
      <c r="JTH639" s="133"/>
      <c r="JTI639" s="133"/>
      <c r="JTJ639" s="133"/>
      <c r="JTK639" s="133"/>
      <c r="JTL639" s="133"/>
      <c r="JTM639" s="133"/>
      <c r="JTN639" s="133"/>
      <c r="JTO639" s="133"/>
      <c r="JTP639" s="133"/>
      <c r="JTQ639" s="133"/>
      <c r="JTR639" s="133"/>
      <c r="JTS639" s="133"/>
      <c r="JTT639" s="133"/>
      <c r="JTU639" s="133"/>
      <c r="JTV639" s="133"/>
      <c r="JTW639" s="133"/>
      <c r="JTX639" s="133"/>
      <c r="JTY639" s="133"/>
      <c r="JTZ639" s="133"/>
      <c r="JUA639" s="133"/>
      <c r="JUB639" s="133"/>
      <c r="JUC639" s="133"/>
      <c r="JUD639" s="133"/>
      <c r="JUE639" s="133"/>
      <c r="JUF639" s="133"/>
      <c r="JUG639" s="133"/>
      <c r="JUH639" s="133"/>
      <c r="JUI639" s="133"/>
      <c r="JUJ639" s="133"/>
      <c r="JUK639" s="133"/>
      <c r="JUL639" s="133"/>
      <c r="JUM639" s="133"/>
      <c r="JUN639" s="133"/>
      <c r="JUO639" s="133"/>
      <c r="JUP639" s="133"/>
      <c r="JUQ639" s="133"/>
      <c r="JUR639" s="133"/>
      <c r="JUS639" s="133"/>
      <c r="JUT639" s="133"/>
      <c r="JUU639" s="133"/>
      <c r="JUV639" s="133"/>
      <c r="JUW639" s="133"/>
      <c r="JUX639" s="133"/>
      <c r="JUY639" s="133"/>
      <c r="JUZ639" s="133"/>
      <c r="JVA639" s="133"/>
      <c r="JVB639" s="133"/>
      <c r="JVC639" s="133"/>
      <c r="JVD639" s="133"/>
      <c r="JVE639" s="133"/>
      <c r="JVF639" s="133"/>
      <c r="JVG639" s="133"/>
      <c r="JVH639" s="133"/>
      <c r="JVI639" s="133"/>
      <c r="JVJ639" s="133"/>
      <c r="JVK639" s="133"/>
      <c r="JVL639" s="133"/>
      <c r="JVM639" s="133"/>
      <c r="JVN639" s="133"/>
      <c r="JVO639" s="133"/>
      <c r="JVP639" s="133"/>
      <c r="JVQ639" s="133"/>
      <c r="JVR639" s="133"/>
      <c r="JVS639" s="133"/>
      <c r="JVT639" s="133"/>
      <c r="JVU639" s="133"/>
      <c r="JVV639" s="133"/>
      <c r="JVW639" s="133"/>
      <c r="JVX639" s="133"/>
      <c r="JVY639" s="133"/>
      <c r="JVZ639" s="133"/>
      <c r="JWA639" s="133"/>
      <c r="JWB639" s="133"/>
      <c r="JWC639" s="133"/>
      <c r="JWD639" s="133"/>
      <c r="JWE639" s="133"/>
      <c r="JWF639" s="133"/>
      <c r="JWG639" s="133"/>
      <c r="JWH639" s="133"/>
      <c r="JWI639" s="133"/>
      <c r="JWJ639" s="133"/>
      <c r="JWK639" s="133"/>
      <c r="JWL639" s="133"/>
      <c r="JWM639" s="133"/>
      <c r="JWN639" s="133"/>
      <c r="JWO639" s="133"/>
      <c r="JWP639" s="133"/>
      <c r="JWQ639" s="133"/>
      <c r="JWR639" s="133"/>
      <c r="JWS639" s="133"/>
      <c r="JWT639" s="133"/>
      <c r="JWU639" s="133"/>
      <c r="JWV639" s="133"/>
      <c r="JWW639" s="133"/>
      <c r="JWX639" s="133"/>
      <c r="JWY639" s="133"/>
      <c r="JWZ639" s="133"/>
      <c r="JXA639" s="133"/>
      <c r="JXB639" s="133"/>
      <c r="JXC639" s="133"/>
      <c r="JXD639" s="133"/>
      <c r="JXE639" s="133"/>
      <c r="JXF639" s="133"/>
      <c r="JXG639" s="133"/>
      <c r="JXH639" s="133"/>
      <c r="JXI639" s="133"/>
      <c r="JXJ639" s="133"/>
      <c r="JXK639" s="133"/>
      <c r="JXL639" s="133"/>
      <c r="JXM639" s="133"/>
      <c r="JXN639" s="133"/>
      <c r="JXO639" s="133"/>
      <c r="JXP639" s="133"/>
      <c r="JXQ639" s="133"/>
      <c r="JXR639" s="133"/>
      <c r="JXS639" s="133"/>
      <c r="JXT639" s="133"/>
      <c r="JXU639" s="133"/>
      <c r="JXV639" s="133"/>
      <c r="JXW639" s="133"/>
      <c r="JXX639" s="133"/>
      <c r="JXY639" s="133"/>
      <c r="JXZ639" s="133"/>
      <c r="JYA639" s="133"/>
      <c r="JYB639" s="133"/>
      <c r="JYC639" s="133"/>
      <c r="JYD639" s="133"/>
      <c r="JYE639" s="133"/>
      <c r="JYF639" s="133"/>
      <c r="JYG639" s="133"/>
      <c r="JYH639" s="133"/>
      <c r="JYI639" s="133"/>
      <c r="JYJ639" s="133"/>
      <c r="JYK639" s="133"/>
      <c r="JYL639" s="133"/>
      <c r="JYM639" s="133"/>
      <c r="JYN639" s="133"/>
      <c r="JYO639" s="133"/>
      <c r="JYP639" s="133"/>
      <c r="JYQ639" s="133"/>
      <c r="JYR639" s="133"/>
      <c r="JYS639" s="133"/>
      <c r="JYT639" s="133"/>
      <c r="JYU639" s="133"/>
      <c r="JYV639" s="133"/>
      <c r="JYW639" s="133"/>
      <c r="JYX639" s="133"/>
      <c r="JYY639" s="133"/>
      <c r="JYZ639" s="133"/>
      <c r="JZA639" s="133"/>
      <c r="JZB639" s="133"/>
      <c r="JZC639" s="133"/>
      <c r="JZD639" s="133"/>
      <c r="JZE639" s="133"/>
      <c r="JZF639" s="133"/>
      <c r="JZG639" s="133"/>
      <c r="JZH639" s="133"/>
      <c r="JZI639" s="133"/>
      <c r="JZJ639" s="133"/>
      <c r="JZK639" s="133"/>
      <c r="JZL639" s="133"/>
      <c r="JZM639" s="133"/>
      <c r="JZN639" s="133"/>
      <c r="JZO639" s="133"/>
      <c r="JZP639" s="133"/>
      <c r="JZQ639" s="133"/>
      <c r="JZR639" s="133"/>
      <c r="JZS639" s="133"/>
      <c r="JZT639" s="133"/>
      <c r="JZU639" s="133"/>
      <c r="JZV639" s="133"/>
      <c r="JZW639" s="133"/>
      <c r="JZX639" s="133"/>
      <c r="JZY639" s="133"/>
      <c r="JZZ639" s="133"/>
      <c r="KAA639" s="133"/>
      <c r="KAB639" s="133"/>
      <c r="KAC639" s="133"/>
      <c r="KAD639" s="133"/>
      <c r="KAE639" s="133"/>
      <c r="KAF639" s="133"/>
      <c r="KAG639" s="133"/>
      <c r="KAH639" s="133"/>
      <c r="KAI639" s="133"/>
      <c r="KAJ639" s="133"/>
      <c r="KAK639" s="133"/>
      <c r="KAL639" s="133"/>
      <c r="KAM639" s="133"/>
      <c r="KAN639" s="133"/>
      <c r="KAO639" s="133"/>
      <c r="KAP639" s="133"/>
      <c r="KAQ639" s="133"/>
      <c r="KAR639" s="133"/>
      <c r="KAS639" s="133"/>
      <c r="KAT639" s="133"/>
      <c r="KAU639" s="133"/>
      <c r="KAV639" s="133"/>
      <c r="KAW639" s="133"/>
      <c r="KAX639" s="133"/>
      <c r="KAY639" s="133"/>
      <c r="KAZ639" s="133"/>
      <c r="KBA639" s="133"/>
      <c r="KBB639" s="133"/>
      <c r="KBC639" s="133"/>
      <c r="KBD639" s="133"/>
      <c r="KBE639" s="133"/>
      <c r="KBF639" s="133"/>
      <c r="KBG639" s="133"/>
      <c r="KBH639" s="133"/>
      <c r="KBI639" s="133"/>
      <c r="KBJ639" s="133"/>
      <c r="KBK639" s="133"/>
      <c r="KBL639" s="133"/>
      <c r="KBM639" s="133"/>
      <c r="KBN639" s="133"/>
      <c r="KBO639" s="133"/>
      <c r="KBP639" s="133"/>
      <c r="KBQ639" s="133"/>
      <c r="KBR639" s="133"/>
      <c r="KBS639" s="133"/>
      <c r="KBT639" s="133"/>
      <c r="KBU639" s="133"/>
      <c r="KBV639" s="133"/>
      <c r="KBW639" s="133"/>
      <c r="KBX639" s="133"/>
      <c r="KBY639" s="133"/>
      <c r="KBZ639" s="133"/>
      <c r="KCA639" s="133"/>
      <c r="KCB639" s="133"/>
      <c r="KCC639" s="133"/>
      <c r="KCD639" s="133"/>
      <c r="KCE639" s="133"/>
      <c r="KCF639" s="133"/>
      <c r="KCG639" s="133"/>
      <c r="KCH639" s="133"/>
      <c r="KCI639" s="133"/>
      <c r="KCJ639" s="133"/>
      <c r="KCK639" s="133"/>
      <c r="KCL639" s="133"/>
      <c r="KCM639" s="133"/>
      <c r="KCN639" s="133"/>
      <c r="KCO639" s="133"/>
      <c r="KCP639" s="133"/>
      <c r="KCQ639" s="133"/>
      <c r="KCR639" s="133"/>
      <c r="KCS639" s="133"/>
      <c r="KCT639" s="133"/>
      <c r="KCU639" s="133"/>
      <c r="KCV639" s="133"/>
      <c r="KCW639" s="133"/>
      <c r="KCX639" s="133"/>
      <c r="KCY639" s="133"/>
      <c r="KCZ639" s="133"/>
      <c r="KDA639" s="133"/>
      <c r="KDB639" s="133"/>
      <c r="KDC639" s="133"/>
      <c r="KDD639" s="133"/>
      <c r="KDE639" s="133"/>
      <c r="KDF639" s="133"/>
      <c r="KDG639" s="133"/>
      <c r="KDH639" s="133"/>
      <c r="KDI639" s="133"/>
      <c r="KDJ639" s="133"/>
      <c r="KDK639" s="133"/>
      <c r="KDL639" s="133"/>
      <c r="KDM639" s="133"/>
      <c r="KDN639" s="133"/>
      <c r="KDO639" s="133"/>
      <c r="KDP639" s="133"/>
      <c r="KDQ639" s="133"/>
      <c r="KDR639" s="133"/>
      <c r="KDS639" s="133"/>
      <c r="KDT639" s="133"/>
      <c r="KDU639" s="133"/>
      <c r="KDV639" s="133"/>
      <c r="KDW639" s="133"/>
      <c r="KDX639" s="133"/>
      <c r="KDY639" s="133"/>
      <c r="KDZ639" s="133"/>
      <c r="KEA639" s="133"/>
      <c r="KEB639" s="133"/>
      <c r="KEC639" s="133"/>
      <c r="KED639" s="133"/>
      <c r="KEE639" s="133"/>
      <c r="KEF639" s="133"/>
      <c r="KEG639" s="133"/>
      <c r="KEH639" s="133"/>
      <c r="KEI639" s="133"/>
      <c r="KEJ639" s="133"/>
      <c r="KEK639" s="133"/>
      <c r="KEL639" s="133"/>
      <c r="KEM639" s="133"/>
      <c r="KEN639" s="133"/>
      <c r="KEO639" s="133"/>
      <c r="KEP639" s="133"/>
      <c r="KEQ639" s="133"/>
      <c r="KER639" s="133"/>
      <c r="KES639" s="133"/>
      <c r="KET639" s="133"/>
      <c r="KEU639" s="133"/>
      <c r="KEV639" s="133"/>
      <c r="KEW639" s="133"/>
      <c r="KEX639" s="133"/>
      <c r="KEY639" s="133"/>
      <c r="KEZ639" s="133"/>
      <c r="KFA639" s="133"/>
      <c r="KFB639" s="133"/>
      <c r="KFC639" s="133"/>
      <c r="KFD639" s="133"/>
      <c r="KFE639" s="133"/>
      <c r="KFF639" s="133"/>
      <c r="KFG639" s="133"/>
      <c r="KFH639" s="133"/>
      <c r="KFI639" s="133"/>
      <c r="KFJ639" s="133"/>
      <c r="KFK639" s="133"/>
      <c r="KFL639" s="133"/>
      <c r="KFM639" s="133"/>
      <c r="KFN639" s="133"/>
      <c r="KFO639" s="133"/>
      <c r="KFP639" s="133"/>
      <c r="KFQ639" s="133"/>
      <c r="KFR639" s="133"/>
      <c r="KFS639" s="133"/>
      <c r="KFT639" s="133"/>
      <c r="KFU639" s="133"/>
      <c r="KFV639" s="133"/>
      <c r="KFW639" s="133"/>
      <c r="KFX639" s="133"/>
      <c r="KFY639" s="133"/>
      <c r="KFZ639" s="133"/>
      <c r="KGA639" s="133"/>
      <c r="KGB639" s="133"/>
      <c r="KGC639" s="133"/>
      <c r="KGD639" s="133"/>
      <c r="KGE639" s="133"/>
      <c r="KGF639" s="133"/>
      <c r="KGG639" s="133"/>
      <c r="KGH639" s="133"/>
      <c r="KGI639" s="133"/>
      <c r="KGJ639" s="133"/>
      <c r="KGK639" s="133"/>
      <c r="KGL639" s="133"/>
      <c r="KGM639" s="133"/>
      <c r="KGN639" s="133"/>
      <c r="KGO639" s="133"/>
      <c r="KGP639" s="133"/>
      <c r="KGQ639" s="133"/>
      <c r="KGR639" s="133"/>
      <c r="KGS639" s="133"/>
      <c r="KGT639" s="133"/>
      <c r="KGU639" s="133"/>
      <c r="KGV639" s="133"/>
      <c r="KGW639" s="133"/>
      <c r="KGX639" s="133"/>
      <c r="KGY639" s="133"/>
      <c r="KGZ639" s="133"/>
      <c r="KHA639" s="133"/>
      <c r="KHB639" s="133"/>
      <c r="KHC639" s="133"/>
      <c r="KHD639" s="133"/>
      <c r="KHE639" s="133"/>
      <c r="KHF639" s="133"/>
      <c r="KHG639" s="133"/>
      <c r="KHH639" s="133"/>
      <c r="KHI639" s="133"/>
      <c r="KHJ639" s="133"/>
      <c r="KHK639" s="133"/>
      <c r="KHL639" s="133"/>
      <c r="KHM639" s="133"/>
      <c r="KHN639" s="133"/>
      <c r="KHO639" s="133"/>
      <c r="KHP639" s="133"/>
      <c r="KHQ639" s="133"/>
      <c r="KHR639" s="133"/>
      <c r="KHS639" s="133"/>
      <c r="KHT639" s="133"/>
      <c r="KHU639" s="133"/>
      <c r="KHV639" s="133"/>
      <c r="KHW639" s="133"/>
      <c r="KHX639" s="133"/>
      <c r="KHY639" s="133"/>
      <c r="KHZ639" s="133"/>
      <c r="KIA639" s="133"/>
      <c r="KIB639" s="133"/>
      <c r="KIC639" s="133"/>
      <c r="KID639" s="133"/>
      <c r="KIE639" s="133"/>
      <c r="KIF639" s="133"/>
      <c r="KIG639" s="133"/>
      <c r="KIH639" s="133"/>
      <c r="KII639" s="133"/>
      <c r="KIJ639" s="133"/>
      <c r="KIK639" s="133"/>
      <c r="KIL639" s="133"/>
      <c r="KIM639" s="133"/>
      <c r="KIN639" s="133"/>
      <c r="KIO639" s="133"/>
      <c r="KIP639" s="133"/>
      <c r="KIQ639" s="133"/>
      <c r="KIR639" s="133"/>
      <c r="KIS639" s="133"/>
      <c r="KIT639" s="133"/>
      <c r="KIU639" s="133"/>
      <c r="KIV639" s="133"/>
      <c r="KIW639" s="133"/>
      <c r="KIX639" s="133"/>
      <c r="KIY639" s="133"/>
      <c r="KIZ639" s="133"/>
      <c r="KJA639" s="133"/>
      <c r="KJB639" s="133"/>
      <c r="KJC639" s="133"/>
      <c r="KJD639" s="133"/>
      <c r="KJE639" s="133"/>
      <c r="KJF639" s="133"/>
      <c r="KJG639" s="133"/>
      <c r="KJH639" s="133"/>
      <c r="KJI639" s="133"/>
      <c r="KJJ639" s="133"/>
      <c r="KJK639" s="133"/>
      <c r="KJL639" s="133"/>
      <c r="KJM639" s="133"/>
      <c r="KJN639" s="133"/>
      <c r="KJO639" s="133"/>
      <c r="KJP639" s="133"/>
      <c r="KJQ639" s="133"/>
      <c r="KJR639" s="133"/>
      <c r="KJS639" s="133"/>
      <c r="KJT639" s="133"/>
      <c r="KJU639" s="133"/>
      <c r="KJV639" s="133"/>
      <c r="KJW639" s="133"/>
      <c r="KJX639" s="133"/>
      <c r="KJY639" s="133"/>
      <c r="KJZ639" s="133"/>
      <c r="KKA639" s="133"/>
      <c r="KKB639" s="133"/>
      <c r="KKC639" s="133"/>
      <c r="KKD639" s="133"/>
      <c r="KKE639" s="133"/>
      <c r="KKF639" s="133"/>
      <c r="KKG639" s="133"/>
      <c r="KKH639" s="133"/>
      <c r="KKI639" s="133"/>
      <c r="KKJ639" s="133"/>
      <c r="KKK639" s="133"/>
      <c r="KKL639" s="133"/>
      <c r="KKM639" s="133"/>
      <c r="KKN639" s="133"/>
      <c r="KKO639" s="133"/>
      <c r="KKP639" s="133"/>
      <c r="KKQ639" s="133"/>
      <c r="KKR639" s="133"/>
      <c r="KKS639" s="133"/>
      <c r="KKT639" s="133"/>
      <c r="KKU639" s="133"/>
      <c r="KKV639" s="133"/>
      <c r="KKW639" s="133"/>
      <c r="KKX639" s="133"/>
      <c r="KKY639" s="133"/>
      <c r="KKZ639" s="133"/>
      <c r="KLA639" s="133"/>
      <c r="KLB639" s="133"/>
      <c r="KLC639" s="133"/>
      <c r="KLD639" s="133"/>
      <c r="KLE639" s="133"/>
      <c r="KLF639" s="133"/>
      <c r="KLG639" s="133"/>
      <c r="KLH639" s="133"/>
      <c r="KLI639" s="133"/>
      <c r="KLJ639" s="133"/>
      <c r="KLK639" s="133"/>
      <c r="KLL639" s="133"/>
      <c r="KLM639" s="133"/>
      <c r="KLN639" s="133"/>
      <c r="KLO639" s="133"/>
      <c r="KLP639" s="133"/>
      <c r="KLQ639" s="133"/>
      <c r="KLR639" s="133"/>
      <c r="KLS639" s="133"/>
      <c r="KLT639" s="133"/>
      <c r="KLU639" s="133"/>
      <c r="KLV639" s="133"/>
      <c r="KLW639" s="133"/>
      <c r="KLX639" s="133"/>
      <c r="KLY639" s="133"/>
      <c r="KLZ639" s="133"/>
      <c r="KMA639" s="133"/>
      <c r="KMB639" s="133"/>
      <c r="KMC639" s="133"/>
      <c r="KMD639" s="133"/>
      <c r="KME639" s="133"/>
      <c r="KMF639" s="133"/>
      <c r="KMG639" s="133"/>
      <c r="KMH639" s="133"/>
      <c r="KMI639" s="133"/>
      <c r="KMJ639" s="133"/>
      <c r="KMK639" s="133"/>
      <c r="KML639" s="133"/>
      <c r="KMM639" s="133"/>
      <c r="KMN639" s="133"/>
      <c r="KMO639" s="133"/>
      <c r="KMP639" s="133"/>
      <c r="KMQ639" s="133"/>
      <c r="KMR639" s="133"/>
      <c r="KMS639" s="133"/>
      <c r="KMT639" s="133"/>
      <c r="KMU639" s="133"/>
      <c r="KMV639" s="133"/>
      <c r="KMW639" s="133"/>
      <c r="KMX639" s="133"/>
      <c r="KMY639" s="133"/>
      <c r="KMZ639" s="133"/>
      <c r="KNA639" s="133"/>
      <c r="KNB639" s="133"/>
      <c r="KNC639" s="133"/>
      <c r="KND639" s="133"/>
      <c r="KNE639" s="133"/>
      <c r="KNF639" s="133"/>
      <c r="KNG639" s="133"/>
      <c r="KNH639" s="133"/>
      <c r="KNI639" s="133"/>
      <c r="KNJ639" s="133"/>
      <c r="KNK639" s="133"/>
      <c r="KNL639" s="133"/>
      <c r="KNM639" s="133"/>
      <c r="KNN639" s="133"/>
      <c r="KNO639" s="133"/>
      <c r="KNP639" s="133"/>
      <c r="KNQ639" s="133"/>
      <c r="KNR639" s="133"/>
      <c r="KNS639" s="133"/>
      <c r="KNT639" s="133"/>
      <c r="KNU639" s="133"/>
      <c r="KNV639" s="133"/>
      <c r="KNW639" s="133"/>
      <c r="KNX639" s="133"/>
      <c r="KNY639" s="133"/>
      <c r="KNZ639" s="133"/>
      <c r="KOA639" s="133"/>
      <c r="KOB639" s="133"/>
      <c r="KOC639" s="133"/>
      <c r="KOD639" s="133"/>
      <c r="KOE639" s="133"/>
      <c r="KOF639" s="133"/>
      <c r="KOG639" s="133"/>
      <c r="KOH639" s="133"/>
      <c r="KOI639" s="133"/>
      <c r="KOJ639" s="133"/>
      <c r="KOK639" s="133"/>
      <c r="KOL639" s="133"/>
      <c r="KOM639" s="133"/>
      <c r="KON639" s="133"/>
      <c r="KOO639" s="133"/>
      <c r="KOP639" s="133"/>
      <c r="KOQ639" s="133"/>
      <c r="KOR639" s="133"/>
      <c r="KOS639" s="133"/>
      <c r="KOT639" s="133"/>
      <c r="KOU639" s="133"/>
      <c r="KOV639" s="133"/>
      <c r="KOW639" s="133"/>
      <c r="KOX639" s="133"/>
      <c r="KOY639" s="133"/>
      <c r="KOZ639" s="133"/>
      <c r="KPA639" s="133"/>
      <c r="KPB639" s="133"/>
      <c r="KPC639" s="133"/>
      <c r="KPD639" s="133"/>
      <c r="KPE639" s="133"/>
      <c r="KPF639" s="133"/>
      <c r="KPG639" s="133"/>
      <c r="KPH639" s="133"/>
      <c r="KPI639" s="133"/>
      <c r="KPJ639" s="133"/>
      <c r="KPK639" s="133"/>
      <c r="KPL639" s="133"/>
      <c r="KPM639" s="133"/>
      <c r="KPN639" s="133"/>
      <c r="KPO639" s="133"/>
      <c r="KPP639" s="133"/>
      <c r="KPQ639" s="133"/>
      <c r="KPR639" s="133"/>
      <c r="KPS639" s="133"/>
      <c r="KPT639" s="133"/>
      <c r="KPU639" s="133"/>
      <c r="KPV639" s="133"/>
      <c r="KPW639" s="133"/>
      <c r="KPX639" s="133"/>
      <c r="KPY639" s="133"/>
      <c r="KPZ639" s="133"/>
      <c r="KQA639" s="133"/>
      <c r="KQB639" s="133"/>
      <c r="KQC639" s="133"/>
      <c r="KQD639" s="133"/>
      <c r="KQE639" s="133"/>
      <c r="KQF639" s="133"/>
      <c r="KQG639" s="133"/>
      <c r="KQH639" s="133"/>
      <c r="KQI639" s="133"/>
      <c r="KQJ639" s="133"/>
      <c r="KQK639" s="133"/>
      <c r="KQL639" s="133"/>
      <c r="KQM639" s="133"/>
      <c r="KQN639" s="133"/>
      <c r="KQO639" s="133"/>
      <c r="KQP639" s="133"/>
      <c r="KQQ639" s="133"/>
      <c r="KQR639" s="133"/>
      <c r="KQS639" s="133"/>
      <c r="KQT639" s="133"/>
      <c r="KQU639" s="133"/>
      <c r="KQV639" s="133"/>
      <c r="KQW639" s="133"/>
      <c r="KQX639" s="133"/>
      <c r="KQY639" s="133"/>
      <c r="KQZ639" s="133"/>
      <c r="KRA639" s="133"/>
      <c r="KRB639" s="133"/>
      <c r="KRC639" s="133"/>
      <c r="KRD639" s="133"/>
      <c r="KRE639" s="133"/>
      <c r="KRF639" s="133"/>
      <c r="KRG639" s="133"/>
      <c r="KRH639" s="133"/>
      <c r="KRI639" s="133"/>
      <c r="KRJ639" s="133"/>
      <c r="KRK639" s="133"/>
      <c r="KRL639" s="133"/>
      <c r="KRM639" s="133"/>
      <c r="KRN639" s="133"/>
      <c r="KRO639" s="133"/>
      <c r="KRP639" s="133"/>
      <c r="KRQ639" s="133"/>
      <c r="KRR639" s="133"/>
      <c r="KRS639" s="133"/>
      <c r="KRT639" s="133"/>
      <c r="KRU639" s="133"/>
      <c r="KRV639" s="133"/>
      <c r="KRW639" s="133"/>
      <c r="KRX639" s="133"/>
      <c r="KRY639" s="133"/>
      <c r="KRZ639" s="133"/>
      <c r="KSA639" s="133"/>
      <c r="KSB639" s="133"/>
      <c r="KSC639" s="133"/>
      <c r="KSD639" s="133"/>
      <c r="KSE639" s="133"/>
      <c r="KSF639" s="133"/>
      <c r="KSG639" s="133"/>
      <c r="KSH639" s="133"/>
      <c r="KSI639" s="133"/>
      <c r="KSJ639" s="133"/>
      <c r="KSK639" s="133"/>
      <c r="KSL639" s="133"/>
      <c r="KSM639" s="133"/>
      <c r="KSN639" s="133"/>
      <c r="KSO639" s="133"/>
      <c r="KSP639" s="133"/>
      <c r="KSQ639" s="133"/>
      <c r="KSR639" s="133"/>
      <c r="KSS639" s="133"/>
      <c r="KST639" s="133"/>
      <c r="KSU639" s="133"/>
      <c r="KSV639" s="133"/>
      <c r="KSW639" s="133"/>
      <c r="KSX639" s="133"/>
      <c r="KSY639" s="133"/>
      <c r="KSZ639" s="133"/>
      <c r="KTA639" s="133"/>
      <c r="KTB639" s="133"/>
      <c r="KTC639" s="133"/>
      <c r="KTD639" s="133"/>
      <c r="KTE639" s="133"/>
      <c r="KTF639" s="133"/>
      <c r="KTG639" s="133"/>
      <c r="KTH639" s="133"/>
      <c r="KTI639" s="133"/>
      <c r="KTJ639" s="133"/>
      <c r="KTK639" s="133"/>
      <c r="KTL639" s="133"/>
      <c r="KTM639" s="133"/>
      <c r="KTN639" s="133"/>
      <c r="KTO639" s="133"/>
      <c r="KTP639" s="133"/>
      <c r="KTQ639" s="133"/>
      <c r="KTR639" s="133"/>
      <c r="KTS639" s="133"/>
      <c r="KTT639" s="133"/>
      <c r="KTU639" s="133"/>
      <c r="KTV639" s="133"/>
      <c r="KTW639" s="133"/>
      <c r="KTX639" s="133"/>
      <c r="KTY639" s="133"/>
      <c r="KTZ639" s="133"/>
      <c r="KUA639" s="133"/>
      <c r="KUB639" s="133"/>
      <c r="KUC639" s="133"/>
      <c r="KUD639" s="133"/>
      <c r="KUE639" s="133"/>
      <c r="KUF639" s="133"/>
      <c r="KUG639" s="133"/>
      <c r="KUH639" s="133"/>
      <c r="KUI639" s="133"/>
      <c r="KUJ639" s="133"/>
      <c r="KUK639" s="133"/>
      <c r="KUL639" s="133"/>
      <c r="KUM639" s="133"/>
      <c r="KUN639" s="133"/>
      <c r="KUO639" s="133"/>
      <c r="KUP639" s="133"/>
      <c r="KUQ639" s="133"/>
      <c r="KUR639" s="133"/>
      <c r="KUS639" s="133"/>
      <c r="KUT639" s="133"/>
      <c r="KUU639" s="133"/>
      <c r="KUV639" s="133"/>
      <c r="KUW639" s="133"/>
      <c r="KUX639" s="133"/>
      <c r="KUY639" s="133"/>
      <c r="KUZ639" s="133"/>
      <c r="KVA639" s="133"/>
      <c r="KVB639" s="133"/>
      <c r="KVC639" s="133"/>
      <c r="KVD639" s="133"/>
      <c r="KVE639" s="133"/>
      <c r="KVF639" s="133"/>
      <c r="KVG639" s="133"/>
      <c r="KVH639" s="133"/>
      <c r="KVI639" s="133"/>
      <c r="KVJ639" s="133"/>
      <c r="KVK639" s="133"/>
      <c r="KVL639" s="133"/>
      <c r="KVM639" s="133"/>
      <c r="KVN639" s="133"/>
      <c r="KVO639" s="133"/>
      <c r="KVP639" s="133"/>
      <c r="KVQ639" s="133"/>
      <c r="KVR639" s="133"/>
      <c r="KVS639" s="133"/>
      <c r="KVT639" s="133"/>
      <c r="KVU639" s="133"/>
      <c r="KVV639" s="133"/>
      <c r="KVW639" s="133"/>
      <c r="KVX639" s="133"/>
      <c r="KVY639" s="133"/>
      <c r="KVZ639" s="133"/>
      <c r="KWA639" s="133"/>
      <c r="KWB639" s="133"/>
      <c r="KWC639" s="133"/>
      <c r="KWD639" s="133"/>
      <c r="KWE639" s="133"/>
      <c r="KWF639" s="133"/>
      <c r="KWG639" s="133"/>
      <c r="KWH639" s="133"/>
      <c r="KWI639" s="133"/>
      <c r="KWJ639" s="133"/>
      <c r="KWK639" s="133"/>
      <c r="KWL639" s="133"/>
      <c r="KWM639" s="133"/>
      <c r="KWN639" s="133"/>
      <c r="KWO639" s="133"/>
      <c r="KWP639" s="133"/>
      <c r="KWQ639" s="133"/>
      <c r="KWR639" s="133"/>
      <c r="KWS639" s="133"/>
      <c r="KWT639" s="133"/>
      <c r="KWU639" s="133"/>
      <c r="KWV639" s="133"/>
      <c r="KWW639" s="133"/>
      <c r="KWX639" s="133"/>
      <c r="KWY639" s="133"/>
      <c r="KWZ639" s="133"/>
      <c r="KXA639" s="133"/>
      <c r="KXB639" s="133"/>
      <c r="KXC639" s="133"/>
      <c r="KXD639" s="133"/>
      <c r="KXE639" s="133"/>
      <c r="KXF639" s="133"/>
      <c r="KXG639" s="133"/>
      <c r="KXH639" s="133"/>
      <c r="KXI639" s="133"/>
      <c r="KXJ639" s="133"/>
      <c r="KXK639" s="133"/>
      <c r="KXL639" s="133"/>
      <c r="KXM639" s="133"/>
      <c r="KXN639" s="133"/>
      <c r="KXO639" s="133"/>
      <c r="KXP639" s="133"/>
      <c r="KXQ639" s="133"/>
      <c r="KXR639" s="133"/>
      <c r="KXS639" s="133"/>
      <c r="KXT639" s="133"/>
      <c r="KXU639" s="133"/>
      <c r="KXV639" s="133"/>
      <c r="KXW639" s="133"/>
      <c r="KXX639" s="133"/>
      <c r="KXY639" s="133"/>
      <c r="KXZ639" s="133"/>
      <c r="KYA639" s="133"/>
      <c r="KYB639" s="133"/>
      <c r="KYC639" s="133"/>
      <c r="KYD639" s="133"/>
      <c r="KYE639" s="133"/>
      <c r="KYF639" s="133"/>
      <c r="KYG639" s="133"/>
      <c r="KYH639" s="133"/>
      <c r="KYI639" s="133"/>
      <c r="KYJ639" s="133"/>
      <c r="KYK639" s="133"/>
      <c r="KYL639" s="133"/>
      <c r="KYM639" s="133"/>
      <c r="KYN639" s="133"/>
      <c r="KYO639" s="133"/>
      <c r="KYP639" s="133"/>
      <c r="KYQ639" s="133"/>
      <c r="KYR639" s="133"/>
      <c r="KYS639" s="133"/>
      <c r="KYT639" s="133"/>
      <c r="KYU639" s="133"/>
      <c r="KYV639" s="133"/>
      <c r="KYW639" s="133"/>
      <c r="KYX639" s="133"/>
      <c r="KYY639" s="133"/>
      <c r="KYZ639" s="133"/>
      <c r="KZA639" s="133"/>
      <c r="KZB639" s="133"/>
      <c r="KZC639" s="133"/>
      <c r="KZD639" s="133"/>
      <c r="KZE639" s="133"/>
      <c r="KZF639" s="133"/>
      <c r="KZG639" s="133"/>
      <c r="KZH639" s="133"/>
      <c r="KZI639" s="133"/>
      <c r="KZJ639" s="133"/>
      <c r="KZK639" s="133"/>
      <c r="KZL639" s="133"/>
      <c r="KZM639" s="133"/>
      <c r="KZN639" s="133"/>
      <c r="KZO639" s="133"/>
      <c r="KZP639" s="133"/>
      <c r="KZQ639" s="133"/>
      <c r="KZR639" s="133"/>
      <c r="KZS639" s="133"/>
      <c r="KZT639" s="133"/>
      <c r="KZU639" s="133"/>
      <c r="KZV639" s="133"/>
      <c r="KZW639" s="133"/>
      <c r="KZX639" s="133"/>
      <c r="KZY639" s="133"/>
      <c r="KZZ639" s="133"/>
      <c r="LAA639" s="133"/>
      <c r="LAB639" s="133"/>
      <c r="LAC639" s="133"/>
      <c r="LAD639" s="133"/>
      <c r="LAE639" s="133"/>
      <c r="LAF639" s="133"/>
      <c r="LAG639" s="133"/>
      <c r="LAH639" s="133"/>
      <c r="LAI639" s="133"/>
      <c r="LAJ639" s="133"/>
      <c r="LAK639" s="133"/>
      <c r="LAL639" s="133"/>
      <c r="LAM639" s="133"/>
      <c r="LAN639" s="133"/>
      <c r="LAO639" s="133"/>
      <c r="LAP639" s="133"/>
      <c r="LAQ639" s="133"/>
      <c r="LAR639" s="133"/>
      <c r="LAS639" s="133"/>
      <c r="LAT639" s="133"/>
      <c r="LAU639" s="133"/>
      <c r="LAV639" s="133"/>
      <c r="LAW639" s="133"/>
      <c r="LAX639" s="133"/>
      <c r="LAY639" s="133"/>
      <c r="LAZ639" s="133"/>
      <c r="LBA639" s="133"/>
      <c r="LBB639" s="133"/>
      <c r="LBC639" s="133"/>
      <c r="LBD639" s="133"/>
      <c r="LBE639" s="133"/>
      <c r="LBF639" s="133"/>
      <c r="LBG639" s="133"/>
      <c r="LBH639" s="133"/>
      <c r="LBI639" s="133"/>
      <c r="LBJ639" s="133"/>
      <c r="LBK639" s="133"/>
      <c r="LBL639" s="133"/>
      <c r="LBM639" s="133"/>
      <c r="LBN639" s="133"/>
      <c r="LBO639" s="133"/>
      <c r="LBP639" s="133"/>
      <c r="LBQ639" s="133"/>
      <c r="LBR639" s="133"/>
      <c r="LBS639" s="133"/>
      <c r="LBT639" s="133"/>
      <c r="LBU639" s="133"/>
      <c r="LBV639" s="133"/>
      <c r="LBW639" s="133"/>
      <c r="LBX639" s="133"/>
      <c r="LBY639" s="133"/>
      <c r="LBZ639" s="133"/>
      <c r="LCA639" s="133"/>
      <c r="LCB639" s="133"/>
      <c r="LCC639" s="133"/>
      <c r="LCD639" s="133"/>
      <c r="LCE639" s="133"/>
      <c r="LCF639" s="133"/>
      <c r="LCG639" s="133"/>
      <c r="LCH639" s="133"/>
      <c r="LCI639" s="133"/>
      <c r="LCJ639" s="133"/>
      <c r="LCK639" s="133"/>
      <c r="LCL639" s="133"/>
      <c r="LCM639" s="133"/>
      <c r="LCN639" s="133"/>
      <c r="LCO639" s="133"/>
      <c r="LCP639" s="133"/>
      <c r="LCQ639" s="133"/>
      <c r="LCR639" s="133"/>
      <c r="LCS639" s="133"/>
      <c r="LCT639" s="133"/>
      <c r="LCU639" s="133"/>
      <c r="LCV639" s="133"/>
      <c r="LCW639" s="133"/>
      <c r="LCX639" s="133"/>
      <c r="LCY639" s="133"/>
      <c r="LCZ639" s="133"/>
      <c r="LDA639" s="133"/>
      <c r="LDB639" s="133"/>
      <c r="LDC639" s="133"/>
      <c r="LDD639" s="133"/>
      <c r="LDE639" s="133"/>
      <c r="LDF639" s="133"/>
      <c r="LDG639" s="133"/>
      <c r="LDH639" s="133"/>
      <c r="LDI639" s="133"/>
      <c r="LDJ639" s="133"/>
      <c r="LDK639" s="133"/>
      <c r="LDL639" s="133"/>
      <c r="LDM639" s="133"/>
      <c r="LDN639" s="133"/>
      <c r="LDO639" s="133"/>
      <c r="LDP639" s="133"/>
      <c r="LDQ639" s="133"/>
      <c r="LDR639" s="133"/>
      <c r="LDS639" s="133"/>
      <c r="LDT639" s="133"/>
      <c r="LDU639" s="133"/>
      <c r="LDV639" s="133"/>
      <c r="LDW639" s="133"/>
      <c r="LDX639" s="133"/>
      <c r="LDY639" s="133"/>
      <c r="LDZ639" s="133"/>
      <c r="LEA639" s="133"/>
      <c r="LEB639" s="133"/>
      <c r="LEC639" s="133"/>
      <c r="LED639" s="133"/>
      <c r="LEE639" s="133"/>
      <c r="LEF639" s="133"/>
      <c r="LEG639" s="133"/>
      <c r="LEH639" s="133"/>
      <c r="LEI639" s="133"/>
      <c r="LEJ639" s="133"/>
      <c r="LEK639" s="133"/>
      <c r="LEL639" s="133"/>
      <c r="LEM639" s="133"/>
      <c r="LEN639" s="133"/>
      <c r="LEO639" s="133"/>
      <c r="LEP639" s="133"/>
      <c r="LEQ639" s="133"/>
      <c r="LER639" s="133"/>
      <c r="LES639" s="133"/>
      <c r="LET639" s="133"/>
      <c r="LEU639" s="133"/>
      <c r="LEV639" s="133"/>
      <c r="LEW639" s="133"/>
      <c r="LEX639" s="133"/>
      <c r="LEY639" s="133"/>
      <c r="LEZ639" s="133"/>
      <c r="LFA639" s="133"/>
      <c r="LFB639" s="133"/>
      <c r="LFC639" s="133"/>
      <c r="LFD639" s="133"/>
      <c r="LFE639" s="133"/>
      <c r="LFF639" s="133"/>
      <c r="LFG639" s="133"/>
      <c r="LFH639" s="133"/>
      <c r="LFI639" s="133"/>
      <c r="LFJ639" s="133"/>
      <c r="LFK639" s="133"/>
      <c r="LFL639" s="133"/>
      <c r="LFM639" s="133"/>
      <c r="LFN639" s="133"/>
      <c r="LFO639" s="133"/>
      <c r="LFP639" s="133"/>
      <c r="LFQ639" s="133"/>
      <c r="LFR639" s="133"/>
      <c r="LFS639" s="133"/>
      <c r="LFT639" s="133"/>
      <c r="LFU639" s="133"/>
      <c r="LFV639" s="133"/>
      <c r="LFW639" s="133"/>
      <c r="LFX639" s="133"/>
      <c r="LFY639" s="133"/>
      <c r="LFZ639" s="133"/>
      <c r="LGA639" s="133"/>
      <c r="LGB639" s="133"/>
      <c r="LGC639" s="133"/>
      <c r="LGD639" s="133"/>
      <c r="LGE639" s="133"/>
      <c r="LGF639" s="133"/>
      <c r="LGG639" s="133"/>
      <c r="LGH639" s="133"/>
      <c r="LGI639" s="133"/>
      <c r="LGJ639" s="133"/>
      <c r="LGK639" s="133"/>
      <c r="LGL639" s="133"/>
      <c r="LGM639" s="133"/>
      <c r="LGN639" s="133"/>
      <c r="LGO639" s="133"/>
      <c r="LGP639" s="133"/>
      <c r="LGQ639" s="133"/>
      <c r="LGR639" s="133"/>
      <c r="LGS639" s="133"/>
      <c r="LGT639" s="133"/>
      <c r="LGU639" s="133"/>
      <c r="LGV639" s="133"/>
      <c r="LGW639" s="133"/>
      <c r="LGX639" s="133"/>
      <c r="LGY639" s="133"/>
      <c r="LGZ639" s="133"/>
      <c r="LHA639" s="133"/>
      <c r="LHB639" s="133"/>
      <c r="LHC639" s="133"/>
      <c r="LHD639" s="133"/>
      <c r="LHE639" s="133"/>
      <c r="LHF639" s="133"/>
      <c r="LHG639" s="133"/>
      <c r="LHH639" s="133"/>
      <c r="LHI639" s="133"/>
      <c r="LHJ639" s="133"/>
      <c r="LHK639" s="133"/>
      <c r="LHL639" s="133"/>
      <c r="LHM639" s="133"/>
      <c r="LHN639" s="133"/>
      <c r="LHO639" s="133"/>
      <c r="LHP639" s="133"/>
      <c r="LHQ639" s="133"/>
      <c r="LHR639" s="133"/>
      <c r="LHS639" s="133"/>
      <c r="LHT639" s="133"/>
      <c r="LHU639" s="133"/>
      <c r="LHV639" s="133"/>
      <c r="LHW639" s="133"/>
      <c r="LHX639" s="133"/>
      <c r="LHY639" s="133"/>
      <c r="LHZ639" s="133"/>
      <c r="LIA639" s="133"/>
      <c r="LIB639" s="133"/>
      <c r="LIC639" s="133"/>
      <c r="LID639" s="133"/>
      <c r="LIE639" s="133"/>
      <c r="LIF639" s="133"/>
      <c r="LIG639" s="133"/>
      <c r="LIH639" s="133"/>
      <c r="LII639" s="133"/>
      <c r="LIJ639" s="133"/>
      <c r="LIK639" s="133"/>
      <c r="LIL639" s="133"/>
      <c r="LIM639" s="133"/>
      <c r="LIN639" s="133"/>
      <c r="LIO639" s="133"/>
      <c r="LIP639" s="133"/>
      <c r="LIQ639" s="133"/>
      <c r="LIR639" s="133"/>
      <c r="LIS639" s="133"/>
      <c r="LIT639" s="133"/>
      <c r="LIU639" s="133"/>
      <c r="LIV639" s="133"/>
      <c r="LIW639" s="133"/>
      <c r="LIX639" s="133"/>
      <c r="LIY639" s="133"/>
      <c r="LIZ639" s="133"/>
      <c r="LJA639" s="133"/>
      <c r="LJB639" s="133"/>
      <c r="LJC639" s="133"/>
      <c r="LJD639" s="133"/>
      <c r="LJE639" s="133"/>
      <c r="LJF639" s="133"/>
      <c r="LJG639" s="133"/>
      <c r="LJH639" s="133"/>
      <c r="LJI639" s="133"/>
      <c r="LJJ639" s="133"/>
      <c r="LJK639" s="133"/>
      <c r="LJL639" s="133"/>
      <c r="LJM639" s="133"/>
      <c r="LJN639" s="133"/>
      <c r="LJO639" s="133"/>
      <c r="LJP639" s="133"/>
      <c r="LJQ639" s="133"/>
      <c r="LJR639" s="133"/>
      <c r="LJS639" s="133"/>
      <c r="LJT639" s="133"/>
      <c r="LJU639" s="133"/>
      <c r="LJV639" s="133"/>
      <c r="LJW639" s="133"/>
      <c r="LJX639" s="133"/>
      <c r="LJY639" s="133"/>
      <c r="LJZ639" s="133"/>
      <c r="LKA639" s="133"/>
      <c r="LKB639" s="133"/>
      <c r="LKC639" s="133"/>
      <c r="LKD639" s="133"/>
      <c r="LKE639" s="133"/>
      <c r="LKF639" s="133"/>
      <c r="LKG639" s="133"/>
      <c r="LKH639" s="133"/>
      <c r="LKI639" s="133"/>
      <c r="LKJ639" s="133"/>
      <c r="LKK639" s="133"/>
      <c r="LKL639" s="133"/>
      <c r="LKM639" s="133"/>
      <c r="LKN639" s="133"/>
      <c r="LKO639" s="133"/>
      <c r="LKP639" s="133"/>
      <c r="LKQ639" s="133"/>
      <c r="LKR639" s="133"/>
      <c r="LKS639" s="133"/>
      <c r="LKT639" s="133"/>
      <c r="LKU639" s="133"/>
      <c r="LKV639" s="133"/>
      <c r="LKW639" s="133"/>
      <c r="LKX639" s="133"/>
      <c r="LKY639" s="133"/>
      <c r="LKZ639" s="133"/>
      <c r="LLA639" s="133"/>
      <c r="LLB639" s="133"/>
      <c r="LLC639" s="133"/>
      <c r="LLD639" s="133"/>
      <c r="LLE639" s="133"/>
      <c r="LLF639" s="133"/>
      <c r="LLG639" s="133"/>
      <c r="LLH639" s="133"/>
      <c r="LLI639" s="133"/>
      <c r="LLJ639" s="133"/>
      <c r="LLK639" s="133"/>
      <c r="LLL639" s="133"/>
      <c r="LLM639" s="133"/>
      <c r="LLN639" s="133"/>
      <c r="LLO639" s="133"/>
      <c r="LLP639" s="133"/>
      <c r="LLQ639" s="133"/>
      <c r="LLR639" s="133"/>
      <c r="LLS639" s="133"/>
      <c r="LLT639" s="133"/>
      <c r="LLU639" s="133"/>
      <c r="LLV639" s="133"/>
      <c r="LLW639" s="133"/>
      <c r="LLX639" s="133"/>
      <c r="LLY639" s="133"/>
      <c r="LLZ639" s="133"/>
      <c r="LMA639" s="133"/>
      <c r="LMB639" s="133"/>
      <c r="LMC639" s="133"/>
      <c r="LMD639" s="133"/>
      <c r="LME639" s="133"/>
      <c r="LMF639" s="133"/>
      <c r="LMG639" s="133"/>
      <c r="LMH639" s="133"/>
      <c r="LMI639" s="133"/>
      <c r="LMJ639" s="133"/>
      <c r="LMK639" s="133"/>
      <c r="LML639" s="133"/>
      <c r="LMM639" s="133"/>
      <c r="LMN639" s="133"/>
      <c r="LMO639" s="133"/>
      <c r="LMP639" s="133"/>
      <c r="LMQ639" s="133"/>
      <c r="LMR639" s="133"/>
      <c r="LMS639" s="133"/>
      <c r="LMT639" s="133"/>
      <c r="LMU639" s="133"/>
      <c r="LMV639" s="133"/>
      <c r="LMW639" s="133"/>
      <c r="LMX639" s="133"/>
      <c r="LMY639" s="133"/>
      <c r="LMZ639" s="133"/>
      <c r="LNA639" s="133"/>
      <c r="LNB639" s="133"/>
      <c r="LNC639" s="133"/>
      <c r="LND639" s="133"/>
      <c r="LNE639" s="133"/>
      <c r="LNF639" s="133"/>
      <c r="LNG639" s="133"/>
      <c r="LNH639" s="133"/>
      <c r="LNI639" s="133"/>
      <c r="LNJ639" s="133"/>
      <c r="LNK639" s="133"/>
      <c r="LNL639" s="133"/>
      <c r="LNM639" s="133"/>
      <c r="LNN639" s="133"/>
      <c r="LNO639" s="133"/>
      <c r="LNP639" s="133"/>
      <c r="LNQ639" s="133"/>
      <c r="LNR639" s="133"/>
      <c r="LNS639" s="133"/>
      <c r="LNT639" s="133"/>
      <c r="LNU639" s="133"/>
      <c r="LNV639" s="133"/>
      <c r="LNW639" s="133"/>
      <c r="LNX639" s="133"/>
      <c r="LNY639" s="133"/>
      <c r="LNZ639" s="133"/>
      <c r="LOA639" s="133"/>
      <c r="LOB639" s="133"/>
      <c r="LOC639" s="133"/>
      <c r="LOD639" s="133"/>
      <c r="LOE639" s="133"/>
      <c r="LOF639" s="133"/>
      <c r="LOG639" s="133"/>
      <c r="LOH639" s="133"/>
      <c r="LOI639" s="133"/>
      <c r="LOJ639" s="133"/>
      <c r="LOK639" s="133"/>
      <c r="LOL639" s="133"/>
      <c r="LOM639" s="133"/>
      <c r="LON639" s="133"/>
      <c r="LOO639" s="133"/>
      <c r="LOP639" s="133"/>
      <c r="LOQ639" s="133"/>
      <c r="LOR639" s="133"/>
      <c r="LOS639" s="133"/>
      <c r="LOT639" s="133"/>
      <c r="LOU639" s="133"/>
      <c r="LOV639" s="133"/>
      <c r="LOW639" s="133"/>
      <c r="LOX639" s="133"/>
      <c r="LOY639" s="133"/>
      <c r="LOZ639" s="133"/>
      <c r="LPA639" s="133"/>
      <c r="LPB639" s="133"/>
      <c r="LPC639" s="133"/>
      <c r="LPD639" s="133"/>
      <c r="LPE639" s="133"/>
      <c r="LPF639" s="133"/>
      <c r="LPG639" s="133"/>
      <c r="LPH639" s="133"/>
      <c r="LPI639" s="133"/>
      <c r="LPJ639" s="133"/>
      <c r="LPK639" s="133"/>
      <c r="LPL639" s="133"/>
      <c r="LPM639" s="133"/>
      <c r="LPN639" s="133"/>
      <c r="LPO639" s="133"/>
      <c r="LPP639" s="133"/>
      <c r="LPQ639" s="133"/>
      <c r="LPR639" s="133"/>
      <c r="LPS639" s="133"/>
      <c r="LPT639" s="133"/>
      <c r="LPU639" s="133"/>
      <c r="LPV639" s="133"/>
      <c r="LPW639" s="133"/>
      <c r="LPX639" s="133"/>
      <c r="LPY639" s="133"/>
      <c r="LPZ639" s="133"/>
      <c r="LQA639" s="133"/>
      <c r="LQB639" s="133"/>
      <c r="LQC639" s="133"/>
      <c r="LQD639" s="133"/>
      <c r="LQE639" s="133"/>
      <c r="LQF639" s="133"/>
      <c r="LQG639" s="133"/>
      <c r="LQH639" s="133"/>
      <c r="LQI639" s="133"/>
      <c r="LQJ639" s="133"/>
      <c r="LQK639" s="133"/>
      <c r="LQL639" s="133"/>
      <c r="LQM639" s="133"/>
      <c r="LQN639" s="133"/>
      <c r="LQO639" s="133"/>
      <c r="LQP639" s="133"/>
      <c r="LQQ639" s="133"/>
      <c r="LQR639" s="133"/>
      <c r="LQS639" s="133"/>
      <c r="LQT639" s="133"/>
      <c r="LQU639" s="133"/>
      <c r="LQV639" s="133"/>
      <c r="LQW639" s="133"/>
      <c r="LQX639" s="133"/>
      <c r="LQY639" s="133"/>
      <c r="LQZ639" s="133"/>
      <c r="LRA639" s="133"/>
      <c r="LRB639" s="133"/>
      <c r="LRC639" s="133"/>
      <c r="LRD639" s="133"/>
      <c r="LRE639" s="133"/>
      <c r="LRF639" s="133"/>
      <c r="LRG639" s="133"/>
      <c r="LRH639" s="133"/>
      <c r="LRI639" s="133"/>
      <c r="LRJ639" s="133"/>
      <c r="LRK639" s="133"/>
      <c r="LRL639" s="133"/>
      <c r="LRM639" s="133"/>
      <c r="LRN639" s="133"/>
      <c r="LRO639" s="133"/>
      <c r="LRP639" s="133"/>
      <c r="LRQ639" s="133"/>
      <c r="LRR639" s="133"/>
      <c r="LRS639" s="133"/>
      <c r="LRT639" s="133"/>
      <c r="LRU639" s="133"/>
      <c r="LRV639" s="133"/>
      <c r="LRW639" s="133"/>
      <c r="LRX639" s="133"/>
      <c r="LRY639" s="133"/>
      <c r="LRZ639" s="133"/>
      <c r="LSA639" s="133"/>
      <c r="LSB639" s="133"/>
      <c r="LSC639" s="133"/>
      <c r="LSD639" s="133"/>
      <c r="LSE639" s="133"/>
      <c r="LSF639" s="133"/>
      <c r="LSG639" s="133"/>
      <c r="LSH639" s="133"/>
      <c r="LSI639" s="133"/>
      <c r="LSJ639" s="133"/>
      <c r="LSK639" s="133"/>
      <c r="LSL639" s="133"/>
      <c r="LSM639" s="133"/>
      <c r="LSN639" s="133"/>
      <c r="LSO639" s="133"/>
      <c r="LSP639" s="133"/>
      <c r="LSQ639" s="133"/>
      <c r="LSR639" s="133"/>
      <c r="LSS639" s="133"/>
      <c r="LST639" s="133"/>
      <c r="LSU639" s="133"/>
      <c r="LSV639" s="133"/>
      <c r="LSW639" s="133"/>
      <c r="LSX639" s="133"/>
      <c r="LSY639" s="133"/>
      <c r="LSZ639" s="133"/>
      <c r="LTA639" s="133"/>
      <c r="LTB639" s="133"/>
      <c r="LTC639" s="133"/>
      <c r="LTD639" s="133"/>
      <c r="LTE639" s="133"/>
      <c r="LTF639" s="133"/>
      <c r="LTG639" s="133"/>
      <c r="LTH639" s="133"/>
      <c r="LTI639" s="133"/>
      <c r="LTJ639" s="133"/>
      <c r="LTK639" s="133"/>
      <c r="LTL639" s="133"/>
      <c r="LTM639" s="133"/>
      <c r="LTN639" s="133"/>
      <c r="LTO639" s="133"/>
      <c r="LTP639" s="133"/>
      <c r="LTQ639" s="133"/>
      <c r="LTR639" s="133"/>
      <c r="LTS639" s="133"/>
      <c r="LTT639" s="133"/>
      <c r="LTU639" s="133"/>
      <c r="LTV639" s="133"/>
      <c r="LTW639" s="133"/>
      <c r="LTX639" s="133"/>
      <c r="LTY639" s="133"/>
      <c r="LTZ639" s="133"/>
      <c r="LUA639" s="133"/>
      <c r="LUB639" s="133"/>
      <c r="LUC639" s="133"/>
      <c r="LUD639" s="133"/>
      <c r="LUE639" s="133"/>
      <c r="LUF639" s="133"/>
      <c r="LUG639" s="133"/>
      <c r="LUH639" s="133"/>
      <c r="LUI639" s="133"/>
      <c r="LUJ639" s="133"/>
      <c r="LUK639" s="133"/>
      <c r="LUL639" s="133"/>
      <c r="LUM639" s="133"/>
      <c r="LUN639" s="133"/>
      <c r="LUO639" s="133"/>
      <c r="LUP639" s="133"/>
      <c r="LUQ639" s="133"/>
      <c r="LUR639" s="133"/>
      <c r="LUS639" s="133"/>
      <c r="LUT639" s="133"/>
      <c r="LUU639" s="133"/>
      <c r="LUV639" s="133"/>
      <c r="LUW639" s="133"/>
      <c r="LUX639" s="133"/>
      <c r="LUY639" s="133"/>
      <c r="LUZ639" s="133"/>
      <c r="LVA639" s="133"/>
      <c r="LVB639" s="133"/>
      <c r="LVC639" s="133"/>
      <c r="LVD639" s="133"/>
      <c r="LVE639" s="133"/>
      <c r="LVF639" s="133"/>
      <c r="LVG639" s="133"/>
      <c r="LVH639" s="133"/>
      <c r="LVI639" s="133"/>
      <c r="LVJ639" s="133"/>
      <c r="LVK639" s="133"/>
      <c r="LVL639" s="133"/>
      <c r="LVM639" s="133"/>
      <c r="LVN639" s="133"/>
      <c r="LVO639" s="133"/>
      <c r="LVP639" s="133"/>
      <c r="LVQ639" s="133"/>
      <c r="LVR639" s="133"/>
      <c r="LVS639" s="133"/>
      <c r="LVT639" s="133"/>
      <c r="LVU639" s="133"/>
      <c r="LVV639" s="133"/>
      <c r="LVW639" s="133"/>
      <c r="LVX639" s="133"/>
      <c r="LVY639" s="133"/>
      <c r="LVZ639" s="133"/>
      <c r="LWA639" s="133"/>
      <c r="LWB639" s="133"/>
      <c r="LWC639" s="133"/>
      <c r="LWD639" s="133"/>
      <c r="LWE639" s="133"/>
      <c r="LWF639" s="133"/>
      <c r="LWG639" s="133"/>
      <c r="LWH639" s="133"/>
      <c r="LWI639" s="133"/>
      <c r="LWJ639" s="133"/>
      <c r="LWK639" s="133"/>
      <c r="LWL639" s="133"/>
      <c r="LWM639" s="133"/>
      <c r="LWN639" s="133"/>
      <c r="LWO639" s="133"/>
      <c r="LWP639" s="133"/>
      <c r="LWQ639" s="133"/>
      <c r="LWR639" s="133"/>
      <c r="LWS639" s="133"/>
      <c r="LWT639" s="133"/>
      <c r="LWU639" s="133"/>
      <c r="LWV639" s="133"/>
      <c r="LWW639" s="133"/>
      <c r="LWX639" s="133"/>
      <c r="LWY639" s="133"/>
      <c r="LWZ639" s="133"/>
      <c r="LXA639" s="133"/>
      <c r="LXB639" s="133"/>
      <c r="LXC639" s="133"/>
      <c r="LXD639" s="133"/>
      <c r="LXE639" s="133"/>
      <c r="LXF639" s="133"/>
      <c r="LXG639" s="133"/>
      <c r="LXH639" s="133"/>
      <c r="LXI639" s="133"/>
      <c r="LXJ639" s="133"/>
      <c r="LXK639" s="133"/>
      <c r="LXL639" s="133"/>
      <c r="LXM639" s="133"/>
      <c r="LXN639" s="133"/>
      <c r="LXO639" s="133"/>
      <c r="LXP639" s="133"/>
      <c r="LXQ639" s="133"/>
      <c r="LXR639" s="133"/>
      <c r="LXS639" s="133"/>
      <c r="LXT639" s="133"/>
      <c r="LXU639" s="133"/>
      <c r="LXV639" s="133"/>
      <c r="LXW639" s="133"/>
      <c r="LXX639" s="133"/>
      <c r="LXY639" s="133"/>
      <c r="LXZ639" s="133"/>
      <c r="LYA639" s="133"/>
      <c r="LYB639" s="133"/>
      <c r="LYC639" s="133"/>
      <c r="LYD639" s="133"/>
      <c r="LYE639" s="133"/>
      <c r="LYF639" s="133"/>
      <c r="LYG639" s="133"/>
      <c r="LYH639" s="133"/>
      <c r="LYI639" s="133"/>
      <c r="LYJ639" s="133"/>
      <c r="LYK639" s="133"/>
      <c r="LYL639" s="133"/>
      <c r="LYM639" s="133"/>
      <c r="LYN639" s="133"/>
      <c r="LYO639" s="133"/>
      <c r="LYP639" s="133"/>
      <c r="LYQ639" s="133"/>
      <c r="LYR639" s="133"/>
      <c r="LYS639" s="133"/>
      <c r="LYT639" s="133"/>
      <c r="LYU639" s="133"/>
      <c r="LYV639" s="133"/>
      <c r="LYW639" s="133"/>
      <c r="LYX639" s="133"/>
      <c r="LYY639" s="133"/>
      <c r="LYZ639" s="133"/>
      <c r="LZA639" s="133"/>
      <c r="LZB639" s="133"/>
      <c r="LZC639" s="133"/>
      <c r="LZD639" s="133"/>
      <c r="LZE639" s="133"/>
      <c r="LZF639" s="133"/>
      <c r="LZG639" s="133"/>
      <c r="LZH639" s="133"/>
      <c r="LZI639" s="133"/>
      <c r="LZJ639" s="133"/>
      <c r="LZK639" s="133"/>
      <c r="LZL639" s="133"/>
      <c r="LZM639" s="133"/>
      <c r="LZN639" s="133"/>
      <c r="LZO639" s="133"/>
      <c r="LZP639" s="133"/>
      <c r="LZQ639" s="133"/>
      <c r="LZR639" s="133"/>
      <c r="LZS639" s="133"/>
      <c r="LZT639" s="133"/>
      <c r="LZU639" s="133"/>
      <c r="LZV639" s="133"/>
      <c r="LZW639" s="133"/>
      <c r="LZX639" s="133"/>
      <c r="LZY639" s="133"/>
      <c r="LZZ639" s="133"/>
      <c r="MAA639" s="133"/>
      <c r="MAB639" s="133"/>
      <c r="MAC639" s="133"/>
      <c r="MAD639" s="133"/>
      <c r="MAE639" s="133"/>
      <c r="MAF639" s="133"/>
      <c r="MAG639" s="133"/>
      <c r="MAH639" s="133"/>
      <c r="MAI639" s="133"/>
      <c r="MAJ639" s="133"/>
      <c r="MAK639" s="133"/>
      <c r="MAL639" s="133"/>
      <c r="MAM639" s="133"/>
      <c r="MAN639" s="133"/>
      <c r="MAO639" s="133"/>
      <c r="MAP639" s="133"/>
      <c r="MAQ639" s="133"/>
      <c r="MAR639" s="133"/>
      <c r="MAS639" s="133"/>
      <c r="MAT639" s="133"/>
      <c r="MAU639" s="133"/>
      <c r="MAV639" s="133"/>
      <c r="MAW639" s="133"/>
      <c r="MAX639" s="133"/>
      <c r="MAY639" s="133"/>
      <c r="MAZ639" s="133"/>
      <c r="MBA639" s="133"/>
      <c r="MBB639" s="133"/>
      <c r="MBC639" s="133"/>
      <c r="MBD639" s="133"/>
      <c r="MBE639" s="133"/>
      <c r="MBF639" s="133"/>
      <c r="MBG639" s="133"/>
      <c r="MBH639" s="133"/>
      <c r="MBI639" s="133"/>
      <c r="MBJ639" s="133"/>
      <c r="MBK639" s="133"/>
      <c r="MBL639" s="133"/>
      <c r="MBM639" s="133"/>
      <c r="MBN639" s="133"/>
      <c r="MBO639" s="133"/>
      <c r="MBP639" s="133"/>
      <c r="MBQ639" s="133"/>
      <c r="MBR639" s="133"/>
      <c r="MBS639" s="133"/>
      <c r="MBT639" s="133"/>
      <c r="MBU639" s="133"/>
      <c r="MBV639" s="133"/>
      <c r="MBW639" s="133"/>
      <c r="MBX639" s="133"/>
      <c r="MBY639" s="133"/>
      <c r="MBZ639" s="133"/>
      <c r="MCA639" s="133"/>
      <c r="MCB639" s="133"/>
      <c r="MCC639" s="133"/>
      <c r="MCD639" s="133"/>
      <c r="MCE639" s="133"/>
      <c r="MCF639" s="133"/>
      <c r="MCG639" s="133"/>
      <c r="MCH639" s="133"/>
      <c r="MCI639" s="133"/>
      <c r="MCJ639" s="133"/>
      <c r="MCK639" s="133"/>
      <c r="MCL639" s="133"/>
      <c r="MCM639" s="133"/>
      <c r="MCN639" s="133"/>
      <c r="MCO639" s="133"/>
      <c r="MCP639" s="133"/>
      <c r="MCQ639" s="133"/>
      <c r="MCR639" s="133"/>
      <c r="MCS639" s="133"/>
      <c r="MCT639" s="133"/>
      <c r="MCU639" s="133"/>
      <c r="MCV639" s="133"/>
      <c r="MCW639" s="133"/>
      <c r="MCX639" s="133"/>
      <c r="MCY639" s="133"/>
      <c r="MCZ639" s="133"/>
      <c r="MDA639" s="133"/>
      <c r="MDB639" s="133"/>
      <c r="MDC639" s="133"/>
      <c r="MDD639" s="133"/>
      <c r="MDE639" s="133"/>
      <c r="MDF639" s="133"/>
      <c r="MDG639" s="133"/>
      <c r="MDH639" s="133"/>
      <c r="MDI639" s="133"/>
      <c r="MDJ639" s="133"/>
      <c r="MDK639" s="133"/>
      <c r="MDL639" s="133"/>
      <c r="MDM639" s="133"/>
      <c r="MDN639" s="133"/>
      <c r="MDO639" s="133"/>
      <c r="MDP639" s="133"/>
      <c r="MDQ639" s="133"/>
      <c r="MDR639" s="133"/>
      <c r="MDS639" s="133"/>
      <c r="MDT639" s="133"/>
      <c r="MDU639" s="133"/>
      <c r="MDV639" s="133"/>
      <c r="MDW639" s="133"/>
      <c r="MDX639" s="133"/>
      <c r="MDY639" s="133"/>
      <c r="MDZ639" s="133"/>
      <c r="MEA639" s="133"/>
      <c r="MEB639" s="133"/>
      <c r="MEC639" s="133"/>
      <c r="MED639" s="133"/>
      <c r="MEE639" s="133"/>
      <c r="MEF639" s="133"/>
      <c r="MEG639" s="133"/>
      <c r="MEH639" s="133"/>
      <c r="MEI639" s="133"/>
      <c r="MEJ639" s="133"/>
      <c r="MEK639" s="133"/>
      <c r="MEL639" s="133"/>
      <c r="MEM639" s="133"/>
      <c r="MEN639" s="133"/>
      <c r="MEO639" s="133"/>
      <c r="MEP639" s="133"/>
      <c r="MEQ639" s="133"/>
      <c r="MER639" s="133"/>
      <c r="MES639" s="133"/>
      <c r="MET639" s="133"/>
      <c r="MEU639" s="133"/>
      <c r="MEV639" s="133"/>
      <c r="MEW639" s="133"/>
      <c r="MEX639" s="133"/>
      <c r="MEY639" s="133"/>
      <c r="MEZ639" s="133"/>
      <c r="MFA639" s="133"/>
      <c r="MFB639" s="133"/>
      <c r="MFC639" s="133"/>
      <c r="MFD639" s="133"/>
      <c r="MFE639" s="133"/>
      <c r="MFF639" s="133"/>
      <c r="MFG639" s="133"/>
      <c r="MFH639" s="133"/>
      <c r="MFI639" s="133"/>
      <c r="MFJ639" s="133"/>
      <c r="MFK639" s="133"/>
      <c r="MFL639" s="133"/>
      <c r="MFM639" s="133"/>
      <c r="MFN639" s="133"/>
      <c r="MFO639" s="133"/>
      <c r="MFP639" s="133"/>
      <c r="MFQ639" s="133"/>
      <c r="MFR639" s="133"/>
      <c r="MFS639" s="133"/>
      <c r="MFT639" s="133"/>
      <c r="MFU639" s="133"/>
      <c r="MFV639" s="133"/>
      <c r="MFW639" s="133"/>
      <c r="MFX639" s="133"/>
      <c r="MFY639" s="133"/>
      <c r="MFZ639" s="133"/>
      <c r="MGA639" s="133"/>
      <c r="MGB639" s="133"/>
      <c r="MGC639" s="133"/>
      <c r="MGD639" s="133"/>
      <c r="MGE639" s="133"/>
      <c r="MGF639" s="133"/>
      <c r="MGG639" s="133"/>
      <c r="MGH639" s="133"/>
      <c r="MGI639" s="133"/>
      <c r="MGJ639" s="133"/>
      <c r="MGK639" s="133"/>
      <c r="MGL639" s="133"/>
      <c r="MGM639" s="133"/>
      <c r="MGN639" s="133"/>
      <c r="MGO639" s="133"/>
      <c r="MGP639" s="133"/>
      <c r="MGQ639" s="133"/>
      <c r="MGR639" s="133"/>
      <c r="MGS639" s="133"/>
      <c r="MGT639" s="133"/>
      <c r="MGU639" s="133"/>
      <c r="MGV639" s="133"/>
      <c r="MGW639" s="133"/>
      <c r="MGX639" s="133"/>
      <c r="MGY639" s="133"/>
      <c r="MGZ639" s="133"/>
      <c r="MHA639" s="133"/>
      <c r="MHB639" s="133"/>
      <c r="MHC639" s="133"/>
      <c r="MHD639" s="133"/>
      <c r="MHE639" s="133"/>
      <c r="MHF639" s="133"/>
      <c r="MHG639" s="133"/>
      <c r="MHH639" s="133"/>
      <c r="MHI639" s="133"/>
      <c r="MHJ639" s="133"/>
      <c r="MHK639" s="133"/>
      <c r="MHL639" s="133"/>
      <c r="MHM639" s="133"/>
      <c r="MHN639" s="133"/>
      <c r="MHO639" s="133"/>
      <c r="MHP639" s="133"/>
      <c r="MHQ639" s="133"/>
      <c r="MHR639" s="133"/>
      <c r="MHS639" s="133"/>
      <c r="MHT639" s="133"/>
      <c r="MHU639" s="133"/>
      <c r="MHV639" s="133"/>
      <c r="MHW639" s="133"/>
      <c r="MHX639" s="133"/>
      <c r="MHY639" s="133"/>
      <c r="MHZ639" s="133"/>
      <c r="MIA639" s="133"/>
      <c r="MIB639" s="133"/>
      <c r="MIC639" s="133"/>
      <c r="MID639" s="133"/>
      <c r="MIE639" s="133"/>
      <c r="MIF639" s="133"/>
      <c r="MIG639" s="133"/>
      <c r="MIH639" s="133"/>
      <c r="MII639" s="133"/>
      <c r="MIJ639" s="133"/>
      <c r="MIK639" s="133"/>
      <c r="MIL639" s="133"/>
      <c r="MIM639" s="133"/>
      <c r="MIN639" s="133"/>
      <c r="MIO639" s="133"/>
      <c r="MIP639" s="133"/>
      <c r="MIQ639" s="133"/>
      <c r="MIR639" s="133"/>
      <c r="MIS639" s="133"/>
      <c r="MIT639" s="133"/>
      <c r="MIU639" s="133"/>
      <c r="MIV639" s="133"/>
      <c r="MIW639" s="133"/>
      <c r="MIX639" s="133"/>
      <c r="MIY639" s="133"/>
      <c r="MIZ639" s="133"/>
      <c r="MJA639" s="133"/>
      <c r="MJB639" s="133"/>
      <c r="MJC639" s="133"/>
      <c r="MJD639" s="133"/>
      <c r="MJE639" s="133"/>
      <c r="MJF639" s="133"/>
      <c r="MJG639" s="133"/>
      <c r="MJH639" s="133"/>
      <c r="MJI639" s="133"/>
      <c r="MJJ639" s="133"/>
      <c r="MJK639" s="133"/>
      <c r="MJL639" s="133"/>
      <c r="MJM639" s="133"/>
      <c r="MJN639" s="133"/>
      <c r="MJO639" s="133"/>
      <c r="MJP639" s="133"/>
      <c r="MJQ639" s="133"/>
      <c r="MJR639" s="133"/>
      <c r="MJS639" s="133"/>
      <c r="MJT639" s="133"/>
      <c r="MJU639" s="133"/>
      <c r="MJV639" s="133"/>
      <c r="MJW639" s="133"/>
      <c r="MJX639" s="133"/>
      <c r="MJY639" s="133"/>
      <c r="MJZ639" s="133"/>
      <c r="MKA639" s="133"/>
      <c r="MKB639" s="133"/>
      <c r="MKC639" s="133"/>
      <c r="MKD639" s="133"/>
      <c r="MKE639" s="133"/>
      <c r="MKF639" s="133"/>
      <c r="MKG639" s="133"/>
      <c r="MKH639" s="133"/>
      <c r="MKI639" s="133"/>
      <c r="MKJ639" s="133"/>
      <c r="MKK639" s="133"/>
      <c r="MKL639" s="133"/>
      <c r="MKM639" s="133"/>
      <c r="MKN639" s="133"/>
      <c r="MKO639" s="133"/>
      <c r="MKP639" s="133"/>
      <c r="MKQ639" s="133"/>
      <c r="MKR639" s="133"/>
      <c r="MKS639" s="133"/>
      <c r="MKT639" s="133"/>
      <c r="MKU639" s="133"/>
      <c r="MKV639" s="133"/>
      <c r="MKW639" s="133"/>
      <c r="MKX639" s="133"/>
      <c r="MKY639" s="133"/>
      <c r="MKZ639" s="133"/>
      <c r="MLA639" s="133"/>
      <c r="MLB639" s="133"/>
      <c r="MLC639" s="133"/>
      <c r="MLD639" s="133"/>
      <c r="MLE639" s="133"/>
      <c r="MLF639" s="133"/>
      <c r="MLG639" s="133"/>
      <c r="MLH639" s="133"/>
      <c r="MLI639" s="133"/>
      <c r="MLJ639" s="133"/>
      <c r="MLK639" s="133"/>
      <c r="MLL639" s="133"/>
      <c r="MLM639" s="133"/>
      <c r="MLN639" s="133"/>
      <c r="MLO639" s="133"/>
      <c r="MLP639" s="133"/>
      <c r="MLQ639" s="133"/>
      <c r="MLR639" s="133"/>
      <c r="MLS639" s="133"/>
      <c r="MLT639" s="133"/>
      <c r="MLU639" s="133"/>
      <c r="MLV639" s="133"/>
      <c r="MLW639" s="133"/>
      <c r="MLX639" s="133"/>
      <c r="MLY639" s="133"/>
      <c r="MLZ639" s="133"/>
      <c r="MMA639" s="133"/>
      <c r="MMB639" s="133"/>
      <c r="MMC639" s="133"/>
      <c r="MMD639" s="133"/>
      <c r="MME639" s="133"/>
      <c r="MMF639" s="133"/>
      <c r="MMG639" s="133"/>
      <c r="MMH639" s="133"/>
      <c r="MMI639" s="133"/>
      <c r="MMJ639" s="133"/>
      <c r="MMK639" s="133"/>
      <c r="MML639" s="133"/>
      <c r="MMM639" s="133"/>
      <c r="MMN639" s="133"/>
      <c r="MMO639" s="133"/>
      <c r="MMP639" s="133"/>
      <c r="MMQ639" s="133"/>
      <c r="MMR639" s="133"/>
      <c r="MMS639" s="133"/>
      <c r="MMT639" s="133"/>
      <c r="MMU639" s="133"/>
      <c r="MMV639" s="133"/>
      <c r="MMW639" s="133"/>
      <c r="MMX639" s="133"/>
      <c r="MMY639" s="133"/>
      <c r="MMZ639" s="133"/>
      <c r="MNA639" s="133"/>
      <c r="MNB639" s="133"/>
      <c r="MNC639" s="133"/>
      <c r="MND639" s="133"/>
      <c r="MNE639" s="133"/>
      <c r="MNF639" s="133"/>
      <c r="MNG639" s="133"/>
      <c r="MNH639" s="133"/>
      <c r="MNI639" s="133"/>
      <c r="MNJ639" s="133"/>
      <c r="MNK639" s="133"/>
      <c r="MNL639" s="133"/>
      <c r="MNM639" s="133"/>
      <c r="MNN639" s="133"/>
      <c r="MNO639" s="133"/>
      <c r="MNP639" s="133"/>
      <c r="MNQ639" s="133"/>
      <c r="MNR639" s="133"/>
      <c r="MNS639" s="133"/>
      <c r="MNT639" s="133"/>
      <c r="MNU639" s="133"/>
      <c r="MNV639" s="133"/>
      <c r="MNW639" s="133"/>
      <c r="MNX639" s="133"/>
      <c r="MNY639" s="133"/>
      <c r="MNZ639" s="133"/>
      <c r="MOA639" s="133"/>
      <c r="MOB639" s="133"/>
      <c r="MOC639" s="133"/>
      <c r="MOD639" s="133"/>
      <c r="MOE639" s="133"/>
      <c r="MOF639" s="133"/>
      <c r="MOG639" s="133"/>
      <c r="MOH639" s="133"/>
      <c r="MOI639" s="133"/>
      <c r="MOJ639" s="133"/>
      <c r="MOK639" s="133"/>
      <c r="MOL639" s="133"/>
      <c r="MOM639" s="133"/>
      <c r="MON639" s="133"/>
      <c r="MOO639" s="133"/>
      <c r="MOP639" s="133"/>
      <c r="MOQ639" s="133"/>
      <c r="MOR639" s="133"/>
      <c r="MOS639" s="133"/>
      <c r="MOT639" s="133"/>
      <c r="MOU639" s="133"/>
      <c r="MOV639" s="133"/>
      <c r="MOW639" s="133"/>
      <c r="MOX639" s="133"/>
      <c r="MOY639" s="133"/>
      <c r="MOZ639" s="133"/>
      <c r="MPA639" s="133"/>
      <c r="MPB639" s="133"/>
      <c r="MPC639" s="133"/>
      <c r="MPD639" s="133"/>
      <c r="MPE639" s="133"/>
      <c r="MPF639" s="133"/>
      <c r="MPG639" s="133"/>
      <c r="MPH639" s="133"/>
      <c r="MPI639" s="133"/>
      <c r="MPJ639" s="133"/>
      <c r="MPK639" s="133"/>
      <c r="MPL639" s="133"/>
      <c r="MPM639" s="133"/>
      <c r="MPN639" s="133"/>
      <c r="MPO639" s="133"/>
      <c r="MPP639" s="133"/>
      <c r="MPQ639" s="133"/>
      <c r="MPR639" s="133"/>
      <c r="MPS639" s="133"/>
      <c r="MPT639" s="133"/>
      <c r="MPU639" s="133"/>
      <c r="MPV639" s="133"/>
      <c r="MPW639" s="133"/>
      <c r="MPX639" s="133"/>
      <c r="MPY639" s="133"/>
      <c r="MPZ639" s="133"/>
      <c r="MQA639" s="133"/>
      <c r="MQB639" s="133"/>
      <c r="MQC639" s="133"/>
      <c r="MQD639" s="133"/>
      <c r="MQE639" s="133"/>
      <c r="MQF639" s="133"/>
      <c r="MQG639" s="133"/>
      <c r="MQH639" s="133"/>
      <c r="MQI639" s="133"/>
      <c r="MQJ639" s="133"/>
      <c r="MQK639" s="133"/>
      <c r="MQL639" s="133"/>
      <c r="MQM639" s="133"/>
      <c r="MQN639" s="133"/>
      <c r="MQO639" s="133"/>
      <c r="MQP639" s="133"/>
      <c r="MQQ639" s="133"/>
      <c r="MQR639" s="133"/>
      <c r="MQS639" s="133"/>
      <c r="MQT639" s="133"/>
      <c r="MQU639" s="133"/>
      <c r="MQV639" s="133"/>
      <c r="MQW639" s="133"/>
      <c r="MQX639" s="133"/>
      <c r="MQY639" s="133"/>
      <c r="MQZ639" s="133"/>
      <c r="MRA639" s="133"/>
      <c r="MRB639" s="133"/>
      <c r="MRC639" s="133"/>
      <c r="MRD639" s="133"/>
      <c r="MRE639" s="133"/>
      <c r="MRF639" s="133"/>
      <c r="MRG639" s="133"/>
      <c r="MRH639" s="133"/>
      <c r="MRI639" s="133"/>
      <c r="MRJ639" s="133"/>
      <c r="MRK639" s="133"/>
      <c r="MRL639" s="133"/>
      <c r="MRM639" s="133"/>
      <c r="MRN639" s="133"/>
      <c r="MRO639" s="133"/>
      <c r="MRP639" s="133"/>
      <c r="MRQ639" s="133"/>
      <c r="MRR639" s="133"/>
      <c r="MRS639" s="133"/>
      <c r="MRT639" s="133"/>
      <c r="MRU639" s="133"/>
      <c r="MRV639" s="133"/>
      <c r="MRW639" s="133"/>
      <c r="MRX639" s="133"/>
      <c r="MRY639" s="133"/>
      <c r="MRZ639" s="133"/>
      <c r="MSA639" s="133"/>
      <c r="MSB639" s="133"/>
      <c r="MSC639" s="133"/>
      <c r="MSD639" s="133"/>
      <c r="MSE639" s="133"/>
      <c r="MSF639" s="133"/>
      <c r="MSG639" s="133"/>
      <c r="MSH639" s="133"/>
      <c r="MSI639" s="133"/>
      <c r="MSJ639" s="133"/>
      <c r="MSK639" s="133"/>
      <c r="MSL639" s="133"/>
      <c r="MSM639" s="133"/>
      <c r="MSN639" s="133"/>
      <c r="MSO639" s="133"/>
      <c r="MSP639" s="133"/>
      <c r="MSQ639" s="133"/>
      <c r="MSR639" s="133"/>
      <c r="MSS639" s="133"/>
      <c r="MST639" s="133"/>
      <c r="MSU639" s="133"/>
      <c r="MSV639" s="133"/>
      <c r="MSW639" s="133"/>
      <c r="MSX639" s="133"/>
      <c r="MSY639" s="133"/>
      <c r="MSZ639" s="133"/>
      <c r="MTA639" s="133"/>
      <c r="MTB639" s="133"/>
      <c r="MTC639" s="133"/>
      <c r="MTD639" s="133"/>
      <c r="MTE639" s="133"/>
      <c r="MTF639" s="133"/>
      <c r="MTG639" s="133"/>
      <c r="MTH639" s="133"/>
      <c r="MTI639" s="133"/>
      <c r="MTJ639" s="133"/>
      <c r="MTK639" s="133"/>
      <c r="MTL639" s="133"/>
      <c r="MTM639" s="133"/>
      <c r="MTN639" s="133"/>
      <c r="MTO639" s="133"/>
      <c r="MTP639" s="133"/>
      <c r="MTQ639" s="133"/>
      <c r="MTR639" s="133"/>
      <c r="MTS639" s="133"/>
      <c r="MTT639" s="133"/>
      <c r="MTU639" s="133"/>
      <c r="MTV639" s="133"/>
      <c r="MTW639" s="133"/>
      <c r="MTX639" s="133"/>
      <c r="MTY639" s="133"/>
      <c r="MTZ639" s="133"/>
      <c r="MUA639" s="133"/>
      <c r="MUB639" s="133"/>
      <c r="MUC639" s="133"/>
      <c r="MUD639" s="133"/>
      <c r="MUE639" s="133"/>
      <c r="MUF639" s="133"/>
      <c r="MUG639" s="133"/>
      <c r="MUH639" s="133"/>
      <c r="MUI639" s="133"/>
      <c r="MUJ639" s="133"/>
      <c r="MUK639" s="133"/>
      <c r="MUL639" s="133"/>
      <c r="MUM639" s="133"/>
      <c r="MUN639" s="133"/>
      <c r="MUO639" s="133"/>
      <c r="MUP639" s="133"/>
      <c r="MUQ639" s="133"/>
      <c r="MUR639" s="133"/>
      <c r="MUS639" s="133"/>
      <c r="MUT639" s="133"/>
      <c r="MUU639" s="133"/>
      <c r="MUV639" s="133"/>
      <c r="MUW639" s="133"/>
      <c r="MUX639" s="133"/>
      <c r="MUY639" s="133"/>
      <c r="MUZ639" s="133"/>
      <c r="MVA639" s="133"/>
      <c r="MVB639" s="133"/>
      <c r="MVC639" s="133"/>
      <c r="MVD639" s="133"/>
      <c r="MVE639" s="133"/>
      <c r="MVF639" s="133"/>
      <c r="MVG639" s="133"/>
      <c r="MVH639" s="133"/>
      <c r="MVI639" s="133"/>
      <c r="MVJ639" s="133"/>
      <c r="MVK639" s="133"/>
      <c r="MVL639" s="133"/>
      <c r="MVM639" s="133"/>
      <c r="MVN639" s="133"/>
      <c r="MVO639" s="133"/>
      <c r="MVP639" s="133"/>
      <c r="MVQ639" s="133"/>
      <c r="MVR639" s="133"/>
      <c r="MVS639" s="133"/>
      <c r="MVT639" s="133"/>
      <c r="MVU639" s="133"/>
      <c r="MVV639" s="133"/>
      <c r="MVW639" s="133"/>
      <c r="MVX639" s="133"/>
      <c r="MVY639" s="133"/>
      <c r="MVZ639" s="133"/>
      <c r="MWA639" s="133"/>
      <c r="MWB639" s="133"/>
      <c r="MWC639" s="133"/>
      <c r="MWD639" s="133"/>
      <c r="MWE639" s="133"/>
      <c r="MWF639" s="133"/>
      <c r="MWG639" s="133"/>
      <c r="MWH639" s="133"/>
      <c r="MWI639" s="133"/>
      <c r="MWJ639" s="133"/>
      <c r="MWK639" s="133"/>
      <c r="MWL639" s="133"/>
      <c r="MWM639" s="133"/>
      <c r="MWN639" s="133"/>
      <c r="MWO639" s="133"/>
      <c r="MWP639" s="133"/>
      <c r="MWQ639" s="133"/>
      <c r="MWR639" s="133"/>
      <c r="MWS639" s="133"/>
      <c r="MWT639" s="133"/>
      <c r="MWU639" s="133"/>
      <c r="MWV639" s="133"/>
      <c r="MWW639" s="133"/>
      <c r="MWX639" s="133"/>
      <c r="MWY639" s="133"/>
      <c r="MWZ639" s="133"/>
      <c r="MXA639" s="133"/>
      <c r="MXB639" s="133"/>
      <c r="MXC639" s="133"/>
      <c r="MXD639" s="133"/>
      <c r="MXE639" s="133"/>
      <c r="MXF639" s="133"/>
      <c r="MXG639" s="133"/>
      <c r="MXH639" s="133"/>
      <c r="MXI639" s="133"/>
      <c r="MXJ639" s="133"/>
      <c r="MXK639" s="133"/>
      <c r="MXL639" s="133"/>
      <c r="MXM639" s="133"/>
      <c r="MXN639" s="133"/>
      <c r="MXO639" s="133"/>
      <c r="MXP639" s="133"/>
      <c r="MXQ639" s="133"/>
      <c r="MXR639" s="133"/>
      <c r="MXS639" s="133"/>
      <c r="MXT639" s="133"/>
      <c r="MXU639" s="133"/>
      <c r="MXV639" s="133"/>
      <c r="MXW639" s="133"/>
      <c r="MXX639" s="133"/>
      <c r="MXY639" s="133"/>
      <c r="MXZ639" s="133"/>
      <c r="MYA639" s="133"/>
      <c r="MYB639" s="133"/>
      <c r="MYC639" s="133"/>
      <c r="MYD639" s="133"/>
      <c r="MYE639" s="133"/>
      <c r="MYF639" s="133"/>
      <c r="MYG639" s="133"/>
      <c r="MYH639" s="133"/>
      <c r="MYI639" s="133"/>
      <c r="MYJ639" s="133"/>
      <c r="MYK639" s="133"/>
      <c r="MYL639" s="133"/>
      <c r="MYM639" s="133"/>
      <c r="MYN639" s="133"/>
      <c r="MYO639" s="133"/>
      <c r="MYP639" s="133"/>
      <c r="MYQ639" s="133"/>
      <c r="MYR639" s="133"/>
      <c r="MYS639" s="133"/>
      <c r="MYT639" s="133"/>
      <c r="MYU639" s="133"/>
      <c r="MYV639" s="133"/>
      <c r="MYW639" s="133"/>
      <c r="MYX639" s="133"/>
      <c r="MYY639" s="133"/>
      <c r="MYZ639" s="133"/>
      <c r="MZA639" s="133"/>
      <c r="MZB639" s="133"/>
      <c r="MZC639" s="133"/>
      <c r="MZD639" s="133"/>
      <c r="MZE639" s="133"/>
      <c r="MZF639" s="133"/>
      <c r="MZG639" s="133"/>
      <c r="MZH639" s="133"/>
      <c r="MZI639" s="133"/>
      <c r="MZJ639" s="133"/>
      <c r="MZK639" s="133"/>
      <c r="MZL639" s="133"/>
      <c r="MZM639" s="133"/>
      <c r="MZN639" s="133"/>
      <c r="MZO639" s="133"/>
      <c r="MZP639" s="133"/>
      <c r="MZQ639" s="133"/>
      <c r="MZR639" s="133"/>
      <c r="MZS639" s="133"/>
      <c r="MZT639" s="133"/>
      <c r="MZU639" s="133"/>
      <c r="MZV639" s="133"/>
      <c r="MZW639" s="133"/>
      <c r="MZX639" s="133"/>
      <c r="MZY639" s="133"/>
      <c r="MZZ639" s="133"/>
      <c r="NAA639" s="133"/>
      <c r="NAB639" s="133"/>
      <c r="NAC639" s="133"/>
      <c r="NAD639" s="133"/>
      <c r="NAE639" s="133"/>
      <c r="NAF639" s="133"/>
      <c r="NAG639" s="133"/>
      <c r="NAH639" s="133"/>
      <c r="NAI639" s="133"/>
      <c r="NAJ639" s="133"/>
      <c r="NAK639" s="133"/>
      <c r="NAL639" s="133"/>
      <c r="NAM639" s="133"/>
      <c r="NAN639" s="133"/>
      <c r="NAO639" s="133"/>
      <c r="NAP639" s="133"/>
      <c r="NAQ639" s="133"/>
      <c r="NAR639" s="133"/>
      <c r="NAS639" s="133"/>
      <c r="NAT639" s="133"/>
      <c r="NAU639" s="133"/>
      <c r="NAV639" s="133"/>
      <c r="NAW639" s="133"/>
      <c r="NAX639" s="133"/>
      <c r="NAY639" s="133"/>
      <c r="NAZ639" s="133"/>
      <c r="NBA639" s="133"/>
      <c r="NBB639" s="133"/>
      <c r="NBC639" s="133"/>
      <c r="NBD639" s="133"/>
      <c r="NBE639" s="133"/>
      <c r="NBF639" s="133"/>
      <c r="NBG639" s="133"/>
      <c r="NBH639" s="133"/>
      <c r="NBI639" s="133"/>
      <c r="NBJ639" s="133"/>
      <c r="NBK639" s="133"/>
      <c r="NBL639" s="133"/>
      <c r="NBM639" s="133"/>
      <c r="NBN639" s="133"/>
      <c r="NBO639" s="133"/>
      <c r="NBP639" s="133"/>
      <c r="NBQ639" s="133"/>
      <c r="NBR639" s="133"/>
      <c r="NBS639" s="133"/>
      <c r="NBT639" s="133"/>
      <c r="NBU639" s="133"/>
      <c r="NBV639" s="133"/>
      <c r="NBW639" s="133"/>
      <c r="NBX639" s="133"/>
      <c r="NBY639" s="133"/>
      <c r="NBZ639" s="133"/>
      <c r="NCA639" s="133"/>
      <c r="NCB639" s="133"/>
      <c r="NCC639" s="133"/>
      <c r="NCD639" s="133"/>
      <c r="NCE639" s="133"/>
      <c r="NCF639" s="133"/>
      <c r="NCG639" s="133"/>
      <c r="NCH639" s="133"/>
      <c r="NCI639" s="133"/>
      <c r="NCJ639" s="133"/>
      <c r="NCK639" s="133"/>
      <c r="NCL639" s="133"/>
      <c r="NCM639" s="133"/>
      <c r="NCN639" s="133"/>
      <c r="NCO639" s="133"/>
      <c r="NCP639" s="133"/>
      <c r="NCQ639" s="133"/>
      <c r="NCR639" s="133"/>
      <c r="NCS639" s="133"/>
      <c r="NCT639" s="133"/>
      <c r="NCU639" s="133"/>
      <c r="NCV639" s="133"/>
      <c r="NCW639" s="133"/>
      <c r="NCX639" s="133"/>
      <c r="NCY639" s="133"/>
      <c r="NCZ639" s="133"/>
      <c r="NDA639" s="133"/>
      <c r="NDB639" s="133"/>
      <c r="NDC639" s="133"/>
      <c r="NDD639" s="133"/>
      <c r="NDE639" s="133"/>
      <c r="NDF639" s="133"/>
      <c r="NDG639" s="133"/>
      <c r="NDH639" s="133"/>
      <c r="NDI639" s="133"/>
      <c r="NDJ639" s="133"/>
      <c r="NDK639" s="133"/>
      <c r="NDL639" s="133"/>
      <c r="NDM639" s="133"/>
      <c r="NDN639" s="133"/>
      <c r="NDO639" s="133"/>
      <c r="NDP639" s="133"/>
      <c r="NDQ639" s="133"/>
      <c r="NDR639" s="133"/>
      <c r="NDS639" s="133"/>
      <c r="NDT639" s="133"/>
      <c r="NDU639" s="133"/>
      <c r="NDV639" s="133"/>
      <c r="NDW639" s="133"/>
      <c r="NDX639" s="133"/>
      <c r="NDY639" s="133"/>
      <c r="NDZ639" s="133"/>
      <c r="NEA639" s="133"/>
      <c r="NEB639" s="133"/>
      <c r="NEC639" s="133"/>
      <c r="NED639" s="133"/>
      <c r="NEE639" s="133"/>
      <c r="NEF639" s="133"/>
      <c r="NEG639" s="133"/>
      <c r="NEH639" s="133"/>
      <c r="NEI639" s="133"/>
      <c r="NEJ639" s="133"/>
      <c r="NEK639" s="133"/>
      <c r="NEL639" s="133"/>
      <c r="NEM639" s="133"/>
      <c r="NEN639" s="133"/>
      <c r="NEO639" s="133"/>
      <c r="NEP639" s="133"/>
      <c r="NEQ639" s="133"/>
      <c r="NER639" s="133"/>
      <c r="NES639" s="133"/>
      <c r="NET639" s="133"/>
      <c r="NEU639" s="133"/>
      <c r="NEV639" s="133"/>
      <c r="NEW639" s="133"/>
      <c r="NEX639" s="133"/>
      <c r="NEY639" s="133"/>
      <c r="NEZ639" s="133"/>
      <c r="NFA639" s="133"/>
      <c r="NFB639" s="133"/>
      <c r="NFC639" s="133"/>
      <c r="NFD639" s="133"/>
      <c r="NFE639" s="133"/>
      <c r="NFF639" s="133"/>
      <c r="NFG639" s="133"/>
      <c r="NFH639" s="133"/>
      <c r="NFI639" s="133"/>
      <c r="NFJ639" s="133"/>
      <c r="NFK639" s="133"/>
      <c r="NFL639" s="133"/>
      <c r="NFM639" s="133"/>
      <c r="NFN639" s="133"/>
      <c r="NFO639" s="133"/>
      <c r="NFP639" s="133"/>
      <c r="NFQ639" s="133"/>
      <c r="NFR639" s="133"/>
      <c r="NFS639" s="133"/>
      <c r="NFT639" s="133"/>
      <c r="NFU639" s="133"/>
      <c r="NFV639" s="133"/>
      <c r="NFW639" s="133"/>
      <c r="NFX639" s="133"/>
      <c r="NFY639" s="133"/>
      <c r="NFZ639" s="133"/>
      <c r="NGA639" s="133"/>
      <c r="NGB639" s="133"/>
      <c r="NGC639" s="133"/>
      <c r="NGD639" s="133"/>
      <c r="NGE639" s="133"/>
      <c r="NGF639" s="133"/>
      <c r="NGG639" s="133"/>
      <c r="NGH639" s="133"/>
      <c r="NGI639" s="133"/>
      <c r="NGJ639" s="133"/>
      <c r="NGK639" s="133"/>
      <c r="NGL639" s="133"/>
      <c r="NGM639" s="133"/>
      <c r="NGN639" s="133"/>
      <c r="NGO639" s="133"/>
      <c r="NGP639" s="133"/>
      <c r="NGQ639" s="133"/>
      <c r="NGR639" s="133"/>
      <c r="NGS639" s="133"/>
      <c r="NGT639" s="133"/>
      <c r="NGU639" s="133"/>
      <c r="NGV639" s="133"/>
      <c r="NGW639" s="133"/>
      <c r="NGX639" s="133"/>
      <c r="NGY639" s="133"/>
      <c r="NGZ639" s="133"/>
      <c r="NHA639" s="133"/>
      <c r="NHB639" s="133"/>
      <c r="NHC639" s="133"/>
      <c r="NHD639" s="133"/>
      <c r="NHE639" s="133"/>
      <c r="NHF639" s="133"/>
      <c r="NHG639" s="133"/>
      <c r="NHH639" s="133"/>
      <c r="NHI639" s="133"/>
      <c r="NHJ639" s="133"/>
      <c r="NHK639" s="133"/>
      <c r="NHL639" s="133"/>
      <c r="NHM639" s="133"/>
      <c r="NHN639" s="133"/>
      <c r="NHO639" s="133"/>
      <c r="NHP639" s="133"/>
      <c r="NHQ639" s="133"/>
      <c r="NHR639" s="133"/>
      <c r="NHS639" s="133"/>
      <c r="NHT639" s="133"/>
      <c r="NHU639" s="133"/>
      <c r="NHV639" s="133"/>
      <c r="NHW639" s="133"/>
      <c r="NHX639" s="133"/>
      <c r="NHY639" s="133"/>
      <c r="NHZ639" s="133"/>
      <c r="NIA639" s="133"/>
      <c r="NIB639" s="133"/>
      <c r="NIC639" s="133"/>
      <c r="NID639" s="133"/>
      <c r="NIE639" s="133"/>
      <c r="NIF639" s="133"/>
      <c r="NIG639" s="133"/>
      <c r="NIH639" s="133"/>
      <c r="NII639" s="133"/>
      <c r="NIJ639" s="133"/>
      <c r="NIK639" s="133"/>
      <c r="NIL639" s="133"/>
      <c r="NIM639" s="133"/>
      <c r="NIN639" s="133"/>
      <c r="NIO639" s="133"/>
      <c r="NIP639" s="133"/>
      <c r="NIQ639" s="133"/>
      <c r="NIR639" s="133"/>
      <c r="NIS639" s="133"/>
      <c r="NIT639" s="133"/>
      <c r="NIU639" s="133"/>
      <c r="NIV639" s="133"/>
      <c r="NIW639" s="133"/>
      <c r="NIX639" s="133"/>
      <c r="NIY639" s="133"/>
      <c r="NIZ639" s="133"/>
      <c r="NJA639" s="133"/>
      <c r="NJB639" s="133"/>
      <c r="NJC639" s="133"/>
      <c r="NJD639" s="133"/>
      <c r="NJE639" s="133"/>
      <c r="NJF639" s="133"/>
      <c r="NJG639" s="133"/>
      <c r="NJH639" s="133"/>
      <c r="NJI639" s="133"/>
      <c r="NJJ639" s="133"/>
      <c r="NJK639" s="133"/>
      <c r="NJL639" s="133"/>
      <c r="NJM639" s="133"/>
      <c r="NJN639" s="133"/>
      <c r="NJO639" s="133"/>
      <c r="NJP639" s="133"/>
      <c r="NJQ639" s="133"/>
      <c r="NJR639" s="133"/>
      <c r="NJS639" s="133"/>
      <c r="NJT639" s="133"/>
      <c r="NJU639" s="133"/>
      <c r="NJV639" s="133"/>
      <c r="NJW639" s="133"/>
      <c r="NJX639" s="133"/>
      <c r="NJY639" s="133"/>
      <c r="NJZ639" s="133"/>
      <c r="NKA639" s="133"/>
      <c r="NKB639" s="133"/>
      <c r="NKC639" s="133"/>
      <c r="NKD639" s="133"/>
      <c r="NKE639" s="133"/>
      <c r="NKF639" s="133"/>
      <c r="NKG639" s="133"/>
      <c r="NKH639" s="133"/>
      <c r="NKI639" s="133"/>
      <c r="NKJ639" s="133"/>
      <c r="NKK639" s="133"/>
      <c r="NKL639" s="133"/>
      <c r="NKM639" s="133"/>
      <c r="NKN639" s="133"/>
      <c r="NKO639" s="133"/>
      <c r="NKP639" s="133"/>
      <c r="NKQ639" s="133"/>
      <c r="NKR639" s="133"/>
      <c r="NKS639" s="133"/>
      <c r="NKT639" s="133"/>
      <c r="NKU639" s="133"/>
      <c r="NKV639" s="133"/>
      <c r="NKW639" s="133"/>
      <c r="NKX639" s="133"/>
      <c r="NKY639" s="133"/>
      <c r="NKZ639" s="133"/>
      <c r="NLA639" s="133"/>
      <c r="NLB639" s="133"/>
      <c r="NLC639" s="133"/>
      <c r="NLD639" s="133"/>
      <c r="NLE639" s="133"/>
      <c r="NLF639" s="133"/>
      <c r="NLG639" s="133"/>
      <c r="NLH639" s="133"/>
      <c r="NLI639" s="133"/>
      <c r="NLJ639" s="133"/>
      <c r="NLK639" s="133"/>
      <c r="NLL639" s="133"/>
      <c r="NLM639" s="133"/>
      <c r="NLN639" s="133"/>
      <c r="NLO639" s="133"/>
      <c r="NLP639" s="133"/>
      <c r="NLQ639" s="133"/>
      <c r="NLR639" s="133"/>
      <c r="NLS639" s="133"/>
      <c r="NLT639" s="133"/>
      <c r="NLU639" s="133"/>
      <c r="NLV639" s="133"/>
      <c r="NLW639" s="133"/>
      <c r="NLX639" s="133"/>
      <c r="NLY639" s="133"/>
      <c r="NLZ639" s="133"/>
      <c r="NMA639" s="133"/>
      <c r="NMB639" s="133"/>
      <c r="NMC639" s="133"/>
      <c r="NMD639" s="133"/>
      <c r="NME639" s="133"/>
      <c r="NMF639" s="133"/>
      <c r="NMG639" s="133"/>
      <c r="NMH639" s="133"/>
      <c r="NMI639" s="133"/>
      <c r="NMJ639" s="133"/>
      <c r="NMK639" s="133"/>
      <c r="NML639" s="133"/>
      <c r="NMM639" s="133"/>
      <c r="NMN639" s="133"/>
      <c r="NMO639" s="133"/>
      <c r="NMP639" s="133"/>
      <c r="NMQ639" s="133"/>
      <c r="NMR639" s="133"/>
      <c r="NMS639" s="133"/>
      <c r="NMT639" s="133"/>
      <c r="NMU639" s="133"/>
      <c r="NMV639" s="133"/>
      <c r="NMW639" s="133"/>
      <c r="NMX639" s="133"/>
      <c r="NMY639" s="133"/>
      <c r="NMZ639" s="133"/>
      <c r="NNA639" s="133"/>
      <c r="NNB639" s="133"/>
      <c r="NNC639" s="133"/>
      <c r="NND639" s="133"/>
      <c r="NNE639" s="133"/>
      <c r="NNF639" s="133"/>
      <c r="NNG639" s="133"/>
      <c r="NNH639" s="133"/>
      <c r="NNI639" s="133"/>
      <c r="NNJ639" s="133"/>
      <c r="NNK639" s="133"/>
      <c r="NNL639" s="133"/>
      <c r="NNM639" s="133"/>
      <c r="NNN639" s="133"/>
      <c r="NNO639" s="133"/>
      <c r="NNP639" s="133"/>
      <c r="NNQ639" s="133"/>
      <c r="NNR639" s="133"/>
      <c r="NNS639" s="133"/>
      <c r="NNT639" s="133"/>
      <c r="NNU639" s="133"/>
      <c r="NNV639" s="133"/>
      <c r="NNW639" s="133"/>
      <c r="NNX639" s="133"/>
      <c r="NNY639" s="133"/>
      <c r="NNZ639" s="133"/>
      <c r="NOA639" s="133"/>
      <c r="NOB639" s="133"/>
      <c r="NOC639" s="133"/>
      <c r="NOD639" s="133"/>
      <c r="NOE639" s="133"/>
      <c r="NOF639" s="133"/>
      <c r="NOG639" s="133"/>
      <c r="NOH639" s="133"/>
      <c r="NOI639" s="133"/>
      <c r="NOJ639" s="133"/>
      <c r="NOK639" s="133"/>
      <c r="NOL639" s="133"/>
      <c r="NOM639" s="133"/>
      <c r="NON639" s="133"/>
      <c r="NOO639" s="133"/>
      <c r="NOP639" s="133"/>
      <c r="NOQ639" s="133"/>
      <c r="NOR639" s="133"/>
      <c r="NOS639" s="133"/>
      <c r="NOT639" s="133"/>
      <c r="NOU639" s="133"/>
      <c r="NOV639" s="133"/>
      <c r="NOW639" s="133"/>
      <c r="NOX639" s="133"/>
      <c r="NOY639" s="133"/>
      <c r="NOZ639" s="133"/>
      <c r="NPA639" s="133"/>
      <c r="NPB639" s="133"/>
      <c r="NPC639" s="133"/>
      <c r="NPD639" s="133"/>
      <c r="NPE639" s="133"/>
      <c r="NPF639" s="133"/>
      <c r="NPG639" s="133"/>
      <c r="NPH639" s="133"/>
      <c r="NPI639" s="133"/>
      <c r="NPJ639" s="133"/>
      <c r="NPK639" s="133"/>
      <c r="NPL639" s="133"/>
      <c r="NPM639" s="133"/>
      <c r="NPN639" s="133"/>
      <c r="NPO639" s="133"/>
      <c r="NPP639" s="133"/>
      <c r="NPQ639" s="133"/>
      <c r="NPR639" s="133"/>
      <c r="NPS639" s="133"/>
      <c r="NPT639" s="133"/>
      <c r="NPU639" s="133"/>
      <c r="NPV639" s="133"/>
      <c r="NPW639" s="133"/>
      <c r="NPX639" s="133"/>
      <c r="NPY639" s="133"/>
      <c r="NPZ639" s="133"/>
      <c r="NQA639" s="133"/>
      <c r="NQB639" s="133"/>
      <c r="NQC639" s="133"/>
      <c r="NQD639" s="133"/>
      <c r="NQE639" s="133"/>
      <c r="NQF639" s="133"/>
      <c r="NQG639" s="133"/>
      <c r="NQH639" s="133"/>
      <c r="NQI639" s="133"/>
      <c r="NQJ639" s="133"/>
      <c r="NQK639" s="133"/>
      <c r="NQL639" s="133"/>
      <c r="NQM639" s="133"/>
      <c r="NQN639" s="133"/>
      <c r="NQO639" s="133"/>
      <c r="NQP639" s="133"/>
      <c r="NQQ639" s="133"/>
      <c r="NQR639" s="133"/>
      <c r="NQS639" s="133"/>
      <c r="NQT639" s="133"/>
      <c r="NQU639" s="133"/>
      <c r="NQV639" s="133"/>
      <c r="NQW639" s="133"/>
      <c r="NQX639" s="133"/>
      <c r="NQY639" s="133"/>
      <c r="NQZ639" s="133"/>
      <c r="NRA639" s="133"/>
      <c r="NRB639" s="133"/>
      <c r="NRC639" s="133"/>
      <c r="NRD639" s="133"/>
      <c r="NRE639" s="133"/>
      <c r="NRF639" s="133"/>
      <c r="NRG639" s="133"/>
      <c r="NRH639" s="133"/>
      <c r="NRI639" s="133"/>
      <c r="NRJ639" s="133"/>
      <c r="NRK639" s="133"/>
      <c r="NRL639" s="133"/>
      <c r="NRM639" s="133"/>
      <c r="NRN639" s="133"/>
      <c r="NRO639" s="133"/>
      <c r="NRP639" s="133"/>
      <c r="NRQ639" s="133"/>
      <c r="NRR639" s="133"/>
      <c r="NRS639" s="133"/>
      <c r="NRT639" s="133"/>
      <c r="NRU639" s="133"/>
      <c r="NRV639" s="133"/>
      <c r="NRW639" s="133"/>
      <c r="NRX639" s="133"/>
      <c r="NRY639" s="133"/>
      <c r="NRZ639" s="133"/>
      <c r="NSA639" s="133"/>
      <c r="NSB639" s="133"/>
      <c r="NSC639" s="133"/>
      <c r="NSD639" s="133"/>
      <c r="NSE639" s="133"/>
      <c r="NSF639" s="133"/>
      <c r="NSG639" s="133"/>
      <c r="NSH639" s="133"/>
      <c r="NSI639" s="133"/>
      <c r="NSJ639" s="133"/>
      <c r="NSK639" s="133"/>
      <c r="NSL639" s="133"/>
      <c r="NSM639" s="133"/>
      <c r="NSN639" s="133"/>
      <c r="NSO639" s="133"/>
      <c r="NSP639" s="133"/>
      <c r="NSQ639" s="133"/>
      <c r="NSR639" s="133"/>
      <c r="NSS639" s="133"/>
      <c r="NST639" s="133"/>
      <c r="NSU639" s="133"/>
      <c r="NSV639" s="133"/>
      <c r="NSW639" s="133"/>
      <c r="NSX639" s="133"/>
      <c r="NSY639" s="133"/>
      <c r="NSZ639" s="133"/>
      <c r="NTA639" s="133"/>
      <c r="NTB639" s="133"/>
      <c r="NTC639" s="133"/>
      <c r="NTD639" s="133"/>
      <c r="NTE639" s="133"/>
      <c r="NTF639" s="133"/>
      <c r="NTG639" s="133"/>
      <c r="NTH639" s="133"/>
      <c r="NTI639" s="133"/>
      <c r="NTJ639" s="133"/>
      <c r="NTK639" s="133"/>
      <c r="NTL639" s="133"/>
      <c r="NTM639" s="133"/>
      <c r="NTN639" s="133"/>
      <c r="NTO639" s="133"/>
      <c r="NTP639" s="133"/>
      <c r="NTQ639" s="133"/>
      <c r="NTR639" s="133"/>
      <c r="NTS639" s="133"/>
      <c r="NTT639" s="133"/>
      <c r="NTU639" s="133"/>
      <c r="NTV639" s="133"/>
      <c r="NTW639" s="133"/>
      <c r="NTX639" s="133"/>
      <c r="NTY639" s="133"/>
      <c r="NTZ639" s="133"/>
      <c r="NUA639" s="133"/>
      <c r="NUB639" s="133"/>
      <c r="NUC639" s="133"/>
      <c r="NUD639" s="133"/>
      <c r="NUE639" s="133"/>
      <c r="NUF639" s="133"/>
      <c r="NUG639" s="133"/>
      <c r="NUH639" s="133"/>
      <c r="NUI639" s="133"/>
      <c r="NUJ639" s="133"/>
      <c r="NUK639" s="133"/>
      <c r="NUL639" s="133"/>
      <c r="NUM639" s="133"/>
      <c r="NUN639" s="133"/>
      <c r="NUO639" s="133"/>
      <c r="NUP639" s="133"/>
      <c r="NUQ639" s="133"/>
      <c r="NUR639" s="133"/>
      <c r="NUS639" s="133"/>
      <c r="NUT639" s="133"/>
      <c r="NUU639" s="133"/>
      <c r="NUV639" s="133"/>
      <c r="NUW639" s="133"/>
      <c r="NUX639" s="133"/>
      <c r="NUY639" s="133"/>
      <c r="NUZ639" s="133"/>
      <c r="NVA639" s="133"/>
      <c r="NVB639" s="133"/>
      <c r="NVC639" s="133"/>
      <c r="NVD639" s="133"/>
      <c r="NVE639" s="133"/>
      <c r="NVF639" s="133"/>
      <c r="NVG639" s="133"/>
      <c r="NVH639" s="133"/>
      <c r="NVI639" s="133"/>
      <c r="NVJ639" s="133"/>
      <c r="NVK639" s="133"/>
      <c r="NVL639" s="133"/>
      <c r="NVM639" s="133"/>
      <c r="NVN639" s="133"/>
      <c r="NVO639" s="133"/>
      <c r="NVP639" s="133"/>
      <c r="NVQ639" s="133"/>
      <c r="NVR639" s="133"/>
      <c r="NVS639" s="133"/>
      <c r="NVT639" s="133"/>
      <c r="NVU639" s="133"/>
      <c r="NVV639" s="133"/>
      <c r="NVW639" s="133"/>
      <c r="NVX639" s="133"/>
      <c r="NVY639" s="133"/>
      <c r="NVZ639" s="133"/>
      <c r="NWA639" s="133"/>
      <c r="NWB639" s="133"/>
      <c r="NWC639" s="133"/>
      <c r="NWD639" s="133"/>
      <c r="NWE639" s="133"/>
      <c r="NWF639" s="133"/>
      <c r="NWG639" s="133"/>
      <c r="NWH639" s="133"/>
      <c r="NWI639" s="133"/>
      <c r="NWJ639" s="133"/>
      <c r="NWK639" s="133"/>
      <c r="NWL639" s="133"/>
      <c r="NWM639" s="133"/>
      <c r="NWN639" s="133"/>
      <c r="NWO639" s="133"/>
      <c r="NWP639" s="133"/>
      <c r="NWQ639" s="133"/>
      <c r="NWR639" s="133"/>
      <c r="NWS639" s="133"/>
      <c r="NWT639" s="133"/>
      <c r="NWU639" s="133"/>
      <c r="NWV639" s="133"/>
      <c r="NWW639" s="133"/>
      <c r="NWX639" s="133"/>
      <c r="NWY639" s="133"/>
      <c r="NWZ639" s="133"/>
      <c r="NXA639" s="133"/>
      <c r="NXB639" s="133"/>
      <c r="NXC639" s="133"/>
      <c r="NXD639" s="133"/>
      <c r="NXE639" s="133"/>
      <c r="NXF639" s="133"/>
      <c r="NXG639" s="133"/>
      <c r="NXH639" s="133"/>
      <c r="NXI639" s="133"/>
      <c r="NXJ639" s="133"/>
      <c r="NXK639" s="133"/>
      <c r="NXL639" s="133"/>
      <c r="NXM639" s="133"/>
      <c r="NXN639" s="133"/>
      <c r="NXO639" s="133"/>
      <c r="NXP639" s="133"/>
      <c r="NXQ639" s="133"/>
      <c r="NXR639" s="133"/>
      <c r="NXS639" s="133"/>
      <c r="NXT639" s="133"/>
      <c r="NXU639" s="133"/>
      <c r="NXV639" s="133"/>
      <c r="NXW639" s="133"/>
      <c r="NXX639" s="133"/>
      <c r="NXY639" s="133"/>
      <c r="NXZ639" s="133"/>
      <c r="NYA639" s="133"/>
      <c r="NYB639" s="133"/>
      <c r="NYC639" s="133"/>
      <c r="NYD639" s="133"/>
      <c r="NYE639" s="133"/>
      <c r="NYF639" s="133"/>
      <c r="NYG639" s="133"/>
      <c r="NYH639" s="133"/>
      <c r="NYI639" s="133"/>
      <c r="NYJ639" s="133"/>
      <c r="NYK639" s="133"/>
      <c r="NYL639" s="133"/>
      <c r="NYM639" s="133"/>
      <c r="NYN639" s="133"/>
      <c r="NYO639" s="133"/>
      <c r="NYP639" s="133"/>
      <c r="NYQ639" s="133"/>
      <c r="NYR639" s="133"/>
      <c r="NYS639" s="133"/>
      <c r="NYT639" s="133"/>
      <c r="NYU639" s="133"/>
      <c r="NYV639" s="133"/>
      <c r="NYW639" s="133"/>
      <c r="NYX639" s="133"/>
      <c r="NYY639" s="133"/>
      <c r="NYZ639" s="133"/>
      <c r="NZA639" s="133"/>
      <c r="NZB639" s="133"/>
      <c r="NZC639" s="133"/>
      <c r="NZD639" s="133"/>
      <c r="NZE639" s="133"/>
      <c r="NZF639" s="133"/>
      <c r="NZG639" s="133"/>
      <c r="NZH639" s="133"/>
      <c r="NZI639" s="133"/>
      <c r="NZJ639" s="133"/>
      <c r="NZK639" s="133"/>
      <c r="NZL639" s="133"/>
      <c r="NZM639" s="133"/>
      <c r="NZN639" s="133"/>
      <c r="NZO639" s="133"/>
      <c r="NZP639" s="133"/>
      <c r="NZQ639" s="133"/>
      <c r="NZR639" s="133"/>
      <c r="NZS639" s="133"/>
      <c r="NZT639" s="133"/>
      <c r="NZU639" s="133"/>
      <c r="NZV639" s="133"/>
      <c r="NZW639" s="133"/>
      <c r="NZX639" s="133"/>
      <c r="NZY639" s="133"/>
      <c r="NZZ639" s="133"/>
      <c r="OAA639" s="133"/>
      <c r="OAB639" s="133"/>
      <c r="OAC639" s="133"/>
      <c r="OAD639" s="133"/>
      <c r="OAE639" s="133"/>
      <c r="OAF639" s="133"/>
      <c r="OAG639" s="133"/>
      <c r="OAH639" s="133"/>
      <c r="OAI639" s="133"/>
      <c r="OAJ639" s="133"/>
      <c r="OAK639" s="133"/>
      <c r="OAL639" s="133"/>
      <c r="OAM639" s="133"/>
      <c r="OAN639" s="133"/>
      <c r="OAO639" s="133"/>
      <c r="OAP639" s="133"/>
      <c r="OAQ639" s="133"/>
      <c r="OAR639" s="133"/>
      <c r="OAS639" s="133"/>
      <c r="OAT639" s="133"/>
      <c r="OAU639" s="133"/>
      <c r="OAV639" s="133"/>
      <c r="OAW639" s="133"/>
      <c r="OAX639" s="133"/>
      <c r="OAY639" s="133"/>
      <c r="OAZ639" s="133"/>
      <c r="OBA639" s="133"/>
      <c r="OBB639" s="133"/>
      <c r="OBC639" s="133"/>
      <c r="OBD639" s="133"/>
      <c r="OBE639" s="133"/>
      <c r="OBF639" s="133"/>
      <c r="OBG639" s="133"/>
      <c r="OBH639" s="133"/>
      <c r="OBI639" s="133"/>
      <c r="OBJ639" s="133"/>
      <c r="OBK639" s="133"/>
      <c r="OBL639" s="133"/>
      <c r="OBM639" s="133"/>
      <c r="OBN639" s="133"/>
      <c r="OBO639" s="133"/>
      <c r="OBP639" s="133"/>
      <c r="OBQ639" s="133"/>
      <c r="OBR639" s="133"/>
      <c r="OBS639" s="133"/>
      <c r="OBT639" s="133"/>
      <c r="OBU639" s="133"/>
      <c r="OBV639" s="133"/>
      <c r="OBW639" s="133"/>
      <c r="OBX639" s="133"/>
      <c r="OBY639" s="133"/>
      <c r="OBZ639" s="133"/>
      <c r="OCA639" s="133"/>
      <c r="OCB639" s="133"/>
      <c r="OCC639" s="133"/>
      <c r="OCD639" s="133"/>
      <c r="OCE639" s="133"/>
      <c r="OCF639" s="133"/>
      <c r="OCG639" s="133"/>
      <c r="OCH639" s="133"/>
      <c r="OCI639" s="133"/>
      <c r="OCJ639" s="133"/>
      <c r="OCK639" s="133"/>
      <c r="OCL639" s="133"/>
      <c r="OCM639" s="133"/>
      <c r="OCN639" s="133"/>
      <c r="OCO639" s="133"/>
      <c r="OCP639" s="133"/>
      <c r="OCQ639" s="133"/>
      <c r="OCR639" s="133"/>
      <c r="OCS639" s="133"/>
      <c r="OCT639" s="133"/>
      <c r="OCU639" s="133"/>
      <c r="OCV639" s="133"/>
      <c r="OCW639" s="133"/>
      <c r="OCX639" s="133"/>
      <c r="OCY639" s="133"/>
      <c r="OCZ639" s="133"/>
      <c r="ODA639" s="133"/>
      <c r="ODB639" s="133"/>
      <c r="ODC639" s="133"/>
      <c r="ODD639" s="133"/>
      <c r="ODE639" s="133"/>
      <c r="ODF639" s="133"/>
      <c r="ODG639" s="133"/>
      <c r="ODH639" s="133"/>
      <c r="ODI639" s="133"/>
      <c r="ODJ639" s="133"/>
      <c r="ODK639" s="133"/>
      <c r="ODL639" s="133"/>
      <c r="ODM639" s="133"/>
      <c r="ODN639" s="133"/>
      <c r="ODO639" s="133"/>
      <c r="ODP639" s="133"/>
      <c r="ODQ639" s="133"/>
      <c r="ODR639" s="133"/>
      <c r="ODS639" s="133"/>
      <c r="ODT639" s="133"/>
      <c r="ODU639" s="133"/>
      <c r="ODV639" s="133"/>
      <c r="ODW639" s="133"/>
      <c r="ODX639" s="133"/>
      <c r="ODY639" s="133"/>
      <c r="ODZ639" s="133"/>
      <c r="OEA639" s="133"/>
      <c r="OEB639" s="133"/>
      <c r="OEC639" s="133"/>
      <c r="OED639" s="133"/>
      <c r="OEE639" s="133"/>
      <c r="OEF639" s="133"/>
      <c r="OEG639" s="133"/>
      <c r="OEH639" s="133"/>
      <c r="OEI639" s="133"/>
      <c r="OEJ639" s="133"/>
      <c r="OEK639" s="133"/>
      <c r="OEL639" s="133"/>
      <c r="OEM639" s="133"/>
      <c r="OEN639" s="133"/>
      <c r="OEO639" s="133"/>
      <c r="OEP639" s="133"/>
      <c r="OEQ639" s="133"/>
      <c r="OER639" s="133"/>
      <c r="OES639" s="133"/>
      <c r="OET639" s="133"/>
      <c r="OEU639" s="133"/>
      <c r="OEV639" s="133"/>
      <c r="OEW639" s="133"/>
      <c r="OEX639" s="133"/>
      <c r="OEY639" s="133"/>
      <c r="OEZ639" s="133"/>
      <c r="OFA639" s="133"/>
      <c r="OFB639" s="133"/>
      <c r="OFC639" s="133"/>
      <c r="OFD639" s="133"/>
      <c r="OFE639" s="133"/>
      <c r="OFF639" s="133"/>
      <c r="OFG639" s="133"/>
      <c r="OFH639" s="133"/>
      <c r="OFI639" s="133"/>
      <c r="OFJ639" s="133"/>
      <c r="OFK639" s="133"/>
      <c r="OFL639" s="133"/>
      <c r="OFM639" s="133"/>
      <c r="OFN639" s="133"/>
      <c r="OFO639" s="133"/>
      <c r="OFP639" s="133"/>
      <c r="OFQ639" s="133"/>
      <c r="OFR639" s="133"/>
      <c r="OFS639" s="133"/>
      <c r="OFT639" s="133"/>
      <c r="OFU639" s="133"/>
      <c r="OFV639" s="133"/>
      <c r="OFW639" s="133"/>
      <c r="OFX639" s="133"/>
      <c r="OFY639" s="133"/>
      <c r="OFZ639" s="133"/>
      <c r="OGA639" s="133"/>
      <c r="OGB639" s="133"/>
      <c r="OGC639" s="133"/>
      <c r="OGD639" s="133"/>
      <c r="OGE639" s="133"/>
      <c r="OGF639" s="133"/>
      <c r="OGG639" s="133"/>
      <c r="OGH639" s="133"/>
      <c r="OGI639" s="133"/>
      <c r="OGJ639" s="133"/>
      <c r="OGK639" s="133"/>
      <c r="OGL639" s="133"/>
      <c r="OGM639" s="133"/>
      <c r="OGN639" s="133"/>
      <c r="OGO639" s="133"/>
      <c r="OGP639" s="133"/>
      <c r="OGQ639" s="133"/>
      <c r="OGR639" s="133"/>
      <c r="OGS639" s="133"/>
      <c r="OGT639" s="133"/>
      <c r="OGU639" s="133"/>
      <c r="OGV639" s="133"/>
      <c r="OGW639" s="133"/>
      <c r="OGX639" s="133"/>
      <c r="OGY639" s="133"/>
      <c r="OGZ639" s="133"/>
      <c r="OHA639" s="133"/>
      <c r="OHB639" s="133"/>
      <c r="OHC639" s="133"/>
      <c r="OHD639" s="133"/>
      <c r="OHE639" s="133"/>
      <c r="OHF639" s="133"/>
      <c r="OHG639" s="133"/>
      <c r="OHH639" s="133"/>
      <c r="OHI639" s="133"/>
      <c r="OHJ639" s="133"/>
      <c r="OHK639" s="133"/>
      <c r="OHL639" s="133"/>
      <c r="OHM639" s="133"/>
      <c r="OHN639" s="133"/>
      <c r="OHO639" s="133"/>
      <c r="OHP639" s="133"/>
      <c r="OHQ639" s="133"/>
      <c r="OHR639" s="133"/>
      <c r="OHS639" s="133"/>
      <c r="OHT639" s="133"/>
      <c r="OHU639" s="133"/>
      <c r="OHV639" s="133"/>
      <c r="OHW639" s="133"/>
      <c r="OHX639" s="133"/>
      <c r="OHY639" s="133"/>
      <c r="OHZ639" s="133"/>
      <c r="OIA639" s="133"/>
      <c r="OIB639" s="133"/>
      <c r="OIC639" s="133"/>
      <c r="OID639" s="133"/>
      <c r="OIE639" s="133"/>
      <c r="OIF639" s="133"/>
      <c r="OIG639" s="133"/>
      <c r="OIH639" s="133"/>
      <c r="OII639" s="133"/>
      <c r="OIJ639" s="133"/>
      <c r="OIK639" s="133"/>
      <c r="OIL639" s="133"/>
      <c r="OIM639" s="133"/>
      <c r="OIN639" s="133"/>
      <c r="OIO639" s="133"/>
      <c r="OIP639" s="133"/>
      <c r="OIQ639" s="133"/>
      <c r="OIR639" s="133"/>
      <c r="OIS639" s="133"/>
      <c r="OIT639" s="133"/>
      <c r="OIU639" s="133"/>
      <c r="OIV639" s="133"/>
      <c r="OIW639" s="133"/>
      <c r="OIX639" s="133"/>
      <c r="OIY639" s="133"/>
      <c r="OIZ639" s="133"/>
      <c r="OJA639" s="133"/>
      <c r="OJB639" s="133"/>
      <c r="OJC639" s="133"/>
      <c r="OJD639" s="133"/>
      <c r="OJE639" s="133"/>
      <c r="OJF639" s="133"/>
      <c r="OJG639" s="133"/>
      <c r="OJH639" s="133"/>
      <c r="OJI639" s="133"/>
      <c r="OJJ639" s="133"/>
      <c r="OJK639" s="133"/>
      <c r="OJL639" s="133"/>
      <c r="OJM639" s="133"/>
      <c r="OJN639" s="133"/>
      <c r="OJO639" s="133"/>
      <c r="OJP639" s="133"/>
      <c r="OJQ639" s="133"/>
      <c r="OJR639" s="133"/>
      <c r="OJS639" s="133"/>
      <c r="OJT639" s="133"/>
      <c r="OJU639" s="133"/>
      <c r="OJV639" s="133"/>
      <c r="OJW639" s="133"/>
      <c r="OJX639" s="133"/>
      <c r="OJY639" s="133"/>
      <c r="OJZ639" s="133"/>
      <c r="OKA639" s="133"/>
      <c r="OKB639" s="133"/>
      <c r="OKC639" s="133"/>
      <c r="OKD639" s="133"/>
      <c r="OKE639" s="133"/>
      <c r="OKF639" s="133"/>
      <c r="OKG639" s="133"/>
      <c r="OKH639" s="133"/>
      <c r="OKI639" s="133"/>
      <c r="OKJ639" s="133"/>
      <c r="OKK639" s="133"/>
      <c r="OKL639" s="133"/>
      <c r="OKM639" s="133"/>
      <c r="OKN639" s="133"/>
      <c r="OKO639" s="133"/>
      <c r="OKP639" s="133"/>
      <c r="OKQ639" s="133"/>
      <c r="OKR639" s="133"/>
      <c r="OKS639" s="133"/>
      <c r="OKT639" s="133"/>
      <c r="OKU639" s="133"/>
      <c r="OKV639" s="133"/>
      <c r="OKW639" s="133"/>
      <c r="OKX639" s="133"/>
      <c r="OKY639" s="133"/>
      <c r="OKZ639" s="133"/>
      <c r="OLA639" s="133"/>
      <c r="OLB639" s="133"/>
      <c r="OLC639" s="133"/>
      <c r="OLD639" s="133"/>
      <c r="OLE639" s="133"/>
      <c r="OLF639" s="133"/>
      <c r="OLG639" s="133"/>
      <c r="OLH639" s="133"/>
      <c r="OLI639" s="133"/>
      <c r="OLJ639" s="133"/>
      <c r="OLK639" s="133"/>
      <c r="OLL639" s="133"/>
      <c r="OLM639" s="133"/>
      <c r="OLN639" s="133"/>
      <c r="OLO639" s="133"/>
      <c r="OLP639" s="133"/>
      <c r="OLQ639" s="133"/>
      <c r="OLR639" s="133"/>
      <c r="OLS639" s="133"/>
      <c r="OLT639" s="133"/>
      <c r="OLU639" s="133"/>
      <c r="OLV639" s="133"/>
      <c r="OLW639" s="133"/>
      <c r="OLX639" s="133"/>
      <c r="OLY639" s="133"/>
      <c r="OLZ639" s="133"/>
      <c r="OMA639" s="133"/>
      <c r="OMB639" s="133"/>
      <c r="OMC639" s="133"/>
      <c r="OMD639" s="133"/>
      <c r="OME639" s="133"/>
      <c r="OMF639" s="133"/>
      <c r="OMG639" s="133"/>
      <c r="OMH639" s="133"/>
      <c r="OMI639" s="133"/>
      <c r="OMJ639" s="133"/>
      <c r="OMK639" s="133"/>
      <c r="OML639" s="133"/>
      <c r="OMM639" s="133"/>
      <c r="OMN639" s="133"/>
      <c r="OMO639" s="133"/>
      <c r="OMP639" s="133"/>
      <c r="OMQ639" s="133"/>
      <c r="OMR639" s="133"/>
      <c r="OMS639" s="133"/>
      <c r="OMT639" s="133"/>
      <c r="OMU639" s="133"/>
      <c r="OMV639" s="133"/>
      <c r="OMW639" s="133"/>
      <c r="OMX639" s="133"/>
      <c r="OMY639" s="133"/>
      <c r="OMZ639" s="133"/>
      <c r="ONA639" s="133"/>
      <c r="ONB639" s="133"/>
      <c r="ONC639" s="133"/>
      <c r="OND639" s="133"/>
      <c r="ONE639" s="133"/>
      <c r="ONF639" s="133"/>
      <c r="ONG639" s="133"/>
      <c r="ONH639" s="133"/>
      <c r="ONI639" s="133"/>
      <c r="ONJ639" s="133"/>
      <c r="ONK639" s="133"/>
      <c r="ONL639" s="133"/>
      <c r="ONM639" s="133"/>
      <c r="ONN639" s="133"/>
      <c r="ONO639" s="133"/>
      <c r="ONP639" s="133"/>
      <c r="ONQ639" s="133"/>
      <c r="ONR639" s="133"/>
      <c r="ONS639" s="133"/>
      <c r="ONT639" s="133"/>
      <c r="ONU639" s="133"/>
      <c r="ONV639" s="133"/>
      <c r="ONW639" s="133"/>
      <c r="ONX639" s="133"/>
      <c r="ONY639" s="133"/>
      <c r="ONZ639" s="133"/>
      <c r="OOA639" s="133"/>
      <c r="OOB639" s="133"/>
      <c r="OOC639" s="133"/>
      <c r="OOD639" s="133"/>
      <c r="OOE639" s="133"/>
      <c r="OOF639" s="133"/>
      <c r="OOG639" s="133"/>
      <c r="OOH639" s="133"/>
      <c r="OOI639" s="133"/>
      <c r="OOJ639" s="133"/>
      <c r="OOK639" s="133"/>
      <c r="OOL639" s="133"/>
      <c r="OOM639" s="133"/>
      <c r="OON639" s="133"/>
      <c r="OOO639" s="133"/>
      <c r="OOP639" s="133"/>
      <c r="OOQ639" s="133"/>
      <c r="OOR639" s="133"/>
      <c r="OOS639" s="133"/>
      <c r="OOT639" s="133"/>
      <c r="OOU639" s="133"/>
      <c r="OOV639" s="133"/>
      <c r="OOW639" s="133"/>
      <c r="OOX639" s="133"/>
      <c r="OOY639" s="133"/>
      <c r="OOZ639" s="133"/>
      <c r="OPA639" s="133"/>
      <c r="OPB639" s="133"/>
      <c r="OPC639" s="133"/>
      <c r="OPD639" s="133"/>
      <c r="OPE639" s="133"/>
      <c r="OPF639" s="133"/>
      <c r="OPG639" s="133"/>
      <c r="OPH639" s="133"/>
      <c r="OPI639" s="133"/>
      <c r="OPJ639" s="133"/>
      <c r="OPK639" s="133"/>
      <c r="OPL639" s="133"/>
      <c r="OPM639" s="133"/>
      <c r="OPN639" s="133"/>
      <c r="OPO639" s="133"/>
      <c r="OPP639" s="133"/>
      <c r="OPQ639" s="133"/>
      <c r="OPR639" s="133"/>
      <c r="OPS639" s="133"/>
      <c r="OPT639" s="133"/>
      <c r="OPU639" s="133"/>
      <c r="OPV639" s="133"/>
      <c r="OPW639" s="133"/>
      <c r="OPX639" s="133"/>
      <c r="OPY639" s="133"/>
      <c r="OPZ639" s="133"/>
      <c r="OQA639" s="133"/>
      <c r="OQB639" s="133"/>
      <c r="OQC639" s="133"/>
      <c r="OQD639" s="133"/>
      <c r="OQE639" s="133"/>
      <c r="OQF639" s="133"/>
      <c r="OQG639" s="133"/>
      <c r="OQH639" s="133"/>
      <c r="OQI639" s="133"/>
      <c r="OQJ639" s="133"/>
      <c r="OQK639" s="133"/>
      <c r="OQL639" s="133"/>
      <c r="OQM639" s="133"/>
      <c r="OQN639" s="133"/>
      <c r="OQO639" s="133"/>
      <c r="OQP639" s="133"/>
      <c r="OQQ639" s="133"/>
      <c r="OQR639" s="133"/>
      <c r="OQS639" s="133"/>
      <c r="OQT639" s="133"/>
      <c r="OQU639" s="133"/>
      <c r="OQV639" s="133"/>
      <c r="OQW639" s="133"/>
      <c r="OQX639" s="133"/>
      <c r="OQY639" s="133"/>
      <c r="OQZ639" s="133"/>
      <c r="ORA639" s="133"/>
      <c r="ORB639" s="133"/>
      <c r="ORC639" s="133"/>
      <c r="ORD639" s="133"/>
      <c r="ORE639" s="133"/>
      <c r="ORF639" s="133"/>
      <c r="ORG639" s="133"/>
      <c r="ORH639" s="133"/>
      <c r="ORI639" s="133"/>
      <c r="ORJ639" s="133"/>
      <c r="ORK639" s="133"/>
      <c r="ORL639" s="133"/>
      <c r="ORM639" s="133"/>
      <c r="ORN639" s="133"/>
      <c r="ORO639" s="133"/>
      <c r="ORP639" s="133"/>
      <c r="ORQ639" s="133"/>
      <c r="ORR639" s="133"/>
      <c r="ORS639" s="133"/>
      <c r="ORT639" s="133"/>
      <c r="ORU639" s="133"/>
      <c r="ORV639" s="133"/>
      <c r="ORW639" s="133"/>
      <c r="ORX639" s="133"/>
      <c r="ORY639" s="133"/>
      <c r="ORZ639" s="133"/>
      <c r="OSA639" s="133"/>
      <c r="OSB639" s="133"/>
      <c r="OSC639" s="133"/>
      <c r="OSD639" s="133"/>
      <c r="OSE639" s="133"/>
      <c r="OSF639" s="133"/>
      <c r="OSG639" s="133"/>
      <c r="OSH639" s="133"/>
      <c r="OSI639" s="133"/>
      <c r="OSJ639" s="133"/>
      <c r="OSK639" s="133"/>
      <c r="OSL639" s="133"/>
      <c r="OSM639" s="133"/>
      <c r="OSN639" s="133"/>
      <c r="OSO639" s="133"/>
      <c r="OSP639" s="133"/>
      <c r="OSQ639" s="133"/>
      <c r="OSR639" s="133"/>
      <c r="OSS639" s="133"/>
      <c r="OST639" s="133"/>
      <c r="OSU639" s="133"/>
      <c r="OSV639" s="133"/>
      <c r="OSW639" s="133"/>
      <c r="OSX639" s="133"/>
      <c r="OSY639" s="133"/>
      <c r="OSZ639" s="133"/>
      <c r="OTA639" s="133"/>
      <c r="OTB639" s="133"/>
      <c r="OTC639" s="133"/>
      <c r="OTD639" s="133"/>
      <c r="OTE639" s="133"/>
      <c r="OTF639" s="133"/>
      <c r="OTG639" s="133"/>
      <c r="OTH639" s="133"/>
      <c r="OTI639" s="133"/>
      <c r="OTJ639" s="133"/>
      <c r="OTK639" s="133"/>
      <c r="OTL639" s="133"/>
      <c r="OTM639" s="133"/>
      <c r="OTN639" s="133"/>
      <c r="OTO639" s="133"/>
      <c r="OTP639" s="133"/>
      <c r="OTQ639" s="133"/>
      <c r="OTR639" s="133"/>
      <c r="OTS639" s="133"/>
      <c r="OTT639" s="133"/>
      <c r="OTU639" s="133"/>
      <c r="OTV639" s="133"/>
      <c r="OTW639" s="133"/>
      <c r="OTX639" s="133"/>
      <c r="OTY639" s="133"/>
      <c r="OTZ639" s="133"/>
      <c r="OUA639" s="133"/>
      <c r="OUB639" s="133"/>
      <c r="OUC639" s="133"/>
      <c r="OUD639" s="133"/>
      <c r="OUE639" s="133"/>
      <c r="OUF639" s="133"/>
      <c r="OUG639" s="133"/>
      <c r="OUH639" s="133"/>
      <c r="OUI639" s="133"/>
      <c r="OUJ639" s="133"/>
      <c r="OUK639" s="133"/>
      <c r="OUL639" s="133"/>
      <c r="OUM639" s="133"/>
      <c r="OUN639" s="133"/>
      <c r="OUO639" s="133"/>
      <c r="OUP639" s="133"/>
      <c r="OUQ639" s="133"/>
      <c r="OUR639" s="133"/>
      <c r="OUS639" s="133"/>
      <c r="OUT639" s="133"/>
      <c r="OUU639" s="133"/>
      <c r="OUV639" s="133"/>
      <c r="OUW639" s="133"/>
      <c r="OUX639" s="133"/>
      <c r="OUY639" s="133"/>
      <c r="OUZ639" s="133"/>
      <c r="OVA639" s="133"/>
      <c r="OVB639" s="133"/>
      <c r="OVC639" s="133"/>
      <c r="OVD639" s="133"/>
      <c r="OVE639" s="133"/>
      <c r="OVF639" s="133"/>
      <c r="OVG639" s="133"/>
      <c r="OVH639" s="133"/>
      <c r="OVI639" s="133"/>
      <c r="OVJ639" s="133"/>
      <c r="OVK639" s="133"/>
      <c r="OVL639" s="133"/>
      <c r="OVM639" s="133"/>
      <c r="OVN639" s="133"/>
      <c r="OVO639" s="133"/>
      <c r="OVP639" s="133"/>
      <c r="OVQ639" s="133"/>
      <c r="OVR639" s="133"/>
      <c r="OVS639" s="133"/>
      <c r="OVT639" s="133"/>
      <c r="OVU639" s="133"/>
      <c r="OVV639" s="133"/>
      <c r="OVW639" s="133"/>
      <c r="OVX639" s="133"/>
      <c r="OVY639" s="133"/>
      <c r="OVZ639" s="133"/>
      <c r="OWA639" s="133"/>
      <c r="OWB639" s="133"/>
      <c r="OWC639" s="133"/>
      <c r="OWD639" s="133"/>
      <c r="OWE639" s="133"/>
      <c r="OWF639" s="133"/>
      <c r="OWG639" s="133"/>
      <c r="OWH639" s="133"/>
      <c r="OWI639" s="133"/>
      <c r="OWJ639" s="133"/>
      <c r="OWK639" s="133"/>
      <c r="OWL639" s="133"/>
      <c r="OWM639" s="133"/>
      <c r="OWN639" s="133"/>
      <c r="OWO639" s="133"/>
      <c r="OWP639" s="133"/>
      <c r="OWQ639" s="133"/>
      <c r="OWR639" s="133"/>
      <c r="OWS639" s="133"/>
      <c r="OWT639" s="133"/>
      <c r="OWU639" s="133"/>
      <c r="OWV639" s="133"/>
      <c r="OWW639" s="133"/>
      <c r="OWX639" s="133"/>
      <c r="OWY639" s="133"/>
      <c r="OWZ639" s="133"/>
      <c r="OXA639" s="133"/>
      <c r="OXB639" s="133"/>
      <c r="OXC639" s="133"/>
      <c r="OXD639" s="133"/>
      <c r="OXE639" s="133"/>
      <c r="OXF639" s="133"/>
      <c r="OXG639" s="133"/>
      <c r="OXH639" s="133"/>
      <c r="OXI639" s="133"/>
      <c r="OXJ639" s="133"/>
      <c r="OXK639" s="133"/>
      <c r="OXL639" s="133"/>
      <c r="OXM639" s="133"/>
      <c r="OXN639" s="133"/>
      <c r="OXO639" s="133"/>
      <c r="OXP639" s="133"/>
      <c r="OXQ639" s="133"/>
      <c r="OXR639" s="133"/>
      <c r="OXS639" s="133"/>
      <c r="OXT639" s="133"/>
      <c r="OXU639" s="133"/>
      <c r="OXV639" s="133"/>
      <c r="OXW639" s="133"/>
      <c r="OXX639" s="133"/>
      <c r="OXY639" s="133"/>
      <c r="OXZ639" s="133"/>
      <c r="OYA639" s="133"/>
      <c r="OYB639" s="133"/>
      <c r="OYC639" s="133"/>
      <c r="OYD639" s="133"/>
      <c r="OYE639" s="133"/>
      <c r="OYF639" s="133"/>
      <c r="OYG639" s="133"/>
      <c r="OYH639" s="133"/>
      <c r="OYI639" s="133"/>
      <c r="OYJ639" s="133"/>
      <c r="OYK639" s="133"/>
      <c r="OYL639" s="133"/>
      <c r="OYM639" s="133"/>
      <c r="OYN639" s="133"/>
      <c r="OYO639" s="133"/>
      <c r="OYP639" s="133"/>
      <c r="OYQ639" s="133"/>
      <c r="OYR639" s="133"/>
      <c r="OYS639" s="133"/>
      <c r="OYT639" s="133"/>
      <c r="OYU639" s="133"/>
      <c r="OYV639" s="133"/>
      <c r="OYW639" s="133"/>
      <c r="OYX639" s="133"/>
      <c r="OYY639" s="133"/>
      <c r="OYZ639" s="133"/>
      <c r="OZA639" s="133"/>
      <c r="OZB639" s="133"/>
      <c r="OZC639" s="133"/>
      <c r="OZD639" s="133"/>
      <c r="OZE639" s="133"/>
      <c r="OZF639" s="133"/>
      <c r="OZG639" s="133"/>
      <c r="OZH639" s="133"/>
      <c r="OZI639" s="133"/>
      <c r="OZJ639" s="133"/>
      <c r="OZK639" s="133"/>
      <c r="OZL639" s="133"/>
      <c r="OZM639" s="133"/>
      <c r="OZN639" s="133"/>
      <c r="OZO639" s="133"/>
      <c r="OZP639" s="133"/>
      <c r="OZQ639" s="133"/>
      <c r="OZR639" s="133"/>
      <c r="OZS639" s="133"/>
      <c r="OZT639" s="133"/>
      <c r="OZU639" s="133"/>
      <c r="OZV639" s="133"/>
      <c r="OZW639" s="133"/>
      <c r="OZX639" s="133"/>
      <c r="OZY639" s="133"/>
      <c r="OZZ639" s="133"/>
      <c r="PAA639" s="133"/>
      <c r="PAB639" s="133"/>
      <c r="PAC639" s="133"/>
      <c r="PAD639" s="133"/>
      <c r="PAE639" s="133"/>
      <c r="PAF639" s="133"/>
      <c r="PAG639" s="133"/>
      <c r="PAH639" s="133"/>
      <c r="PAI639" s="133"/>
      <c r="PAJ639" s="133"/>
      <c r="PAK639" s="133"/>
      <c r="PAL639" s="133"/>
      <c r="PAM639" s="133"/>
      <c r="PAN639" s="133"/>
      <c r="PAO639" s="133"/>
      <c r="PAP639" s="133"/>
      <c r="PAQ639" s="133"/>
      <c r="PAR639" s="133"/>
      <c r="PAS639" s="133"/>
      <c r="PAT639" s="133"/>
      <c r="PAU639" s="133"/>
      <c r="PAV639" s="133"/>
      <c r="PAW639" s="133"/>
      <c r="PAX639" s="133"/>
      <c r="PAY639" s="133"/>
      <c r="PAZ639" s="133"/>
      <c r="PBA639" s="133"/>
      <c r="PBB639" s="133"/>
      <c r="PBC639" s="133"/>
      <c r="PBD639" s="133"/>
      <c r="PBE639" s="133"/>
      <c r="PBF639" s="133"/>
      <c r="PBG639" s="133"/>
      <c r="PBH639" s="133"/>
      <c r="PBI639" s="133"/>
      <c r="PBJ639" s="133"/>
      <c r="PBK639" s="133"/>
      <c r="PBL639" s="133"/>
      <c r="PBM639" s="133"/>
      <c r="PBN639" s="133"/>
      <c r="PBO639" s="133"/>
      <c r="PBP639" s="133"/>
      <c r="PBQ639" s="133"/>
      <c r="PBR639" s="133"/>
      <c r="PBS639" s="133"/>
      <c r="PBT639" s="133"/>
      <c r="PBU639" s="133"/>
      <c r="PBV639" s="133"/>
      <c r="PBW639" s="133"/>
      <c r="PBX639" s="133"/>
      <c r="PBY639" s="133"/>
      <c r="PBZ639" s="133"/>
      <c r="PCA639" s="133"/>
      <c r="PCB639" s="133"/>
      <c r="PCC639" s="133"/>
      <c r="PCD639" s="133"/>
      <c r="PCE639" s="133"/>
      <c r="PCF639" s="133"/>
      <c r="PCG639" s="133"/>
      <c r="PCH639" s="133"/>
      <c r="PCI639" s="133"/>
      <c r="PCJ639" s="133"/>
      <c r="PCK639" s="133"/>
      <c r="PCL639" s="133"/>
      <c r="PCM639" s="133"/>
      <c r="PCN639" s="133"/>
      <c r="PCO639" s="133"/>
      <c r="PCP639" s="133"/>
      <c r="PCQ639" s="133"/>
      <c r="PCR639" s="133"/>
      <c r="PCS639" s="133"/>
      <c r="PCT639" s="133"/>
      <c r="PCU639" s="133"/>
      <c r="PCV639" s="133"/>
      <c r="PCW639" s="133"/>
      <c r="PCX639" s="133"/>
      <c r="PCY639" s="133"/>
      <c r="PCZ639" s="133"/>
      <c r="PDA639" s="133"/>
      <c r="PDB639" s="133"/>
      <c r="PDC639" s="133"/>
      <c r="PDD639" s="133"/>
      <c r="PDE639" s="133"/>
      <c r="PDF639" s="133"/>
      <c r="PDG639" s="133"/>
      <c r="PDH639" s="133"/>
      <c r="PDI639" s="133"/>
      <c r="PDJ639" s="133"/>
      <c r="PDK639" s="133"/>
      <c r="PDL639" s="133"/>
      <c r="PDM639" s="133"/>
      <c r="PDN639" s="133"/>
      <c r="PDO639" s="133"/>
      <c r="PDP639" s="133"/>
      <c r="PDQ639" s="133"/>
      <c r="PDR639" s="133"/>
      <c r="PDS639" s="133"/>
      <c r="PDT639" s="133"/>
      <c r="PDU639" s="133"/>
      <c r="PDV639" s="133"/>
      <c r="PDW639" s="133"/>
      <c r="PDX639" s="133"/>
      <c r="PDY639" s="133"/>
      <c r="PDZ639" s="133"/>
      <c r="PEA639" s="133"/>
      <c r="PEB639" s="133"/>
      <c r="PEC639" s="133"/>
      <c r="PED639" s="133"/>
      <c r="PEE639" s="133"/>
      <c r="PEF639" s="133"/>
      <c r="PEG639" s="133"/>
      <c r="PEH639" s="133"/>
      <c r="PEI639" s="133"/>
      <c r="PEJ639" s="133"/>
      <c r="PEK639" s="133"/>
      <c r="PEL639" s="133"/>
      <c r="PEM639" s="133"/>
      <c r="PEN639" s="133"/>
      <c r="PEO639" s="133"/>
      <c r="PEP639" s="133"/>
      <c r="PEQ639" s="133"/>
      <c r="PER639" s="133"/>
      <c r="PES639" s="133"/>
      <c r="PET639" s="133"/>
      <c r="PEU639" s="133"/>
      <c r="PEV639" s="133"/>
      <c r="PEW639" s="133"/>
      <c r="PEX639" s="133"/>
      <c r="PEY639" s="133"/>
      <c r="PEZ639" s="133"/>
      <c r="PFA639" s="133"/>
      <c r="PFB639" s="133"/>
      <c r="PFC639" s="133"/>
      <c r="PFD639" s="133"/>
      <c r="PFE639" s="133"/>
      <c r="PFF639" s="133"/>
      <c r="PFG639" s="133"/>
      <c r="PFH639" s="133"/>
      <c r="PFI639" s="133"/>
      <c r="PFJ639" s="133"/>
      <c r="PFK639" s="133"/>
      <c r="PFL639" s="133"/>
      <c r="PFM639" s="133"/>
      <c r="PFN639" s="133"/>
      <c r="PFO639" s="133"/>
      <c r="PFP639" s="133"/>
      <c r="PFQ639" s="133"/>
      <c r="PFR639" s="133"/>
      <c r="PFS639" s="133"/>
      <c r="PFT639" s="133"/>
      <c r="PFU639" s="133"/>
      <c r="PFV639" s="133"/>
      <c r="PFW639" s="133"/>
      <c r="PFX639" s="133"/>
      <c r="PFY639" s="133"/>
      <c r="PFZ639" s="133"/>
      <c r="PGA639" s="133"/>
      <c r="PGB639" s="133"/>
      <c r="PGC639" s="133"/>
      <c r="PGD639" s="133"/>
      <c r="PGE639" s="133"/>
      <c r="PGF639" s="133"/>
      <c r="PGG639" s="133"/>
      <c r="PGH639" s="133"/>
      <c r="PGI639" s="133"/>
      <c r="PGJ639" s="133"/>
      <c r="PGK639" s="133"/>
      <c r="PGL639" s="133"/>
      <c r="PGM639" s="133"/>
      <c r="PGN639" s="133"/>
      <c r="PGO639" s="133"/>
      <c r="PGP639" s="133"/>
      <c r="PGQ639" s="133"/>
      <c r="PGR639" s="133"/>
      <c r="PGS639" s="133"/>
      <c r="PGT639" s="133"/>
      <c r="PGU639" s="133"/>
      <c r="PGV639" s="133"/>
      <c r="PGW639" s="133"/>
      <c r="PGX639" s="133"/>
      <c r="PGY639" s="133"/>
      <c r="PGZ639" s="133"/>
      <c r="PHA639" s="133"/>
      <c r="PHB639" s="133"/>
      <c r="PHC639" s="133"/>
      <c r="PHD639" s="133"/>
      <c r="PHE639" s="133"/>
      <c r="PHF639" s="133"/>
      <c r="PHG639" s="133"/>
      <c r="PHH639" s="133"/>
      <c r="PHI639" s="133"/>
      <c r="PHJ639" s="133"/>
      <c r="PHK639" s="133"/>
      <c r="PHL639" s="133"/>
      <c r="PHM639" s="133"/>
      <c r="PHN639" s="133"/>
      <c r="PHO639" s="133"/>
      <c r="PHP639" s="133"/>
      <c r="PHQ639" s="133"/>
      <c r="PHR639" s="133"/>
      <c r="PHS639" s="133"/>
      <c r="PHT639" s="133"/>
      <c r="PHU639" s="133"/>
      <c r="PHV639" s="133"/>
      <c r="PHW639" s="133"/>
      <c r="PHX639" s="133"/>
      <c r="PHY639" s="133"/>
      <c r="PHZ639" s="133"/>
      <c r="PIA639" s="133"/>
      <c r="PIB639" s="133"/>
      <c r="PIC639" s="133"/>
      <c r="PID639" s="133"/>
      <c r="PIE639" s="133"/>
      <c r="PIF639" s="133"/>
      <c r="PIG639" s="133"/>
      <c r="PIH639" s="133"/>
      <c r="PII639" s="133"/>
      <c r="PIJ639" s="133"/>
      <c r="PIK639" s="133"/>
      <c r="PIL639" s="133"/>
      <c r="PIM639" s="133"/>
      <c r="PIN639" s="133"/>
      <c r="PIO639" s="133"/>
      <c r="PIP639" s="133"/>
      <c r="PIQ639" s="133"/>
      <c r="PIR639" s="133"/>
      <c r="PIS639" s="133"/>
      <c r="PIT639" s="133"/>
      <c r="PIU639" s="133"/>
      <c r="PIV639" s="133"/>
      <c r="PIW639" s="133"/>
      <c r="PIX639" s="133"/>
      <c r="PIY639" s="133"/>
      <c r="PIZ639" s="133"/>
      <c r="PJA639" s="133"/>
      <c r="PJB639" s="133"/>
      <c r="PJC639" s="133"/>
      <c r="PJD639" s="133"/>
      <c r="PJE639" s="133"/>
      <c r="PJF639" s="133"/>
      <c r="PJG639" s="133"/>
      <c r="PJH639" s="133"/>
      <c r="PJI639" s="133"/>
      <c r="PJJ639" s="133"/>
      <c r="PJK639" s="133"/>
      <c r="PJL639" s="133"/>
      <c r="PJM639" s="133"/>
      <c r="PJN639" s="133"/>
      <c r="PJO639" s="133"/>
      <c r="PJP639" s="133"/>
      <c r="PJQ639" s="133"/>
      <c r="PJR639" s="133"/>
      <c r="PJS639" s="133"/>
      <c r="PJT639" s="133"/>
      <c r="PJU639" s="133"/>
      <c r="PJV639" s="133"/>
      <c r="PJW639" s="133"/>
      <c r="PJX639" s="133"/>
      <c r="PJY639" s="133"/>
      <c r="PJZ639" s="133"/>
      <c r="PKA639" s="133"/>
      <c r="PKB639" s="133"/>
      <c r="PKC639" s="133"/>
      <c r="PKD639" s="133"/>
      <c r="PKE639" s="133"/>
      <c r="PKF639" s="133"/>
      <c r="PKG639" s="133"/>
      <c r="PKH639" s="133"/>
      <c r="PKI639" s="133"/>
      <c r="PKJ639" s="133"/>
      <c r="PKK639" s="133"/>
      <c r="PKL639" s="133"/>
      <c r="PKM639" s="133"/>
      <c r="PKN639" s="133"/>
      <c r="PKO639" s="133"/>
      <c r="PKP639" s="133"/>
      <c r="PKQ639" s="133"/>
      <c r="PKR639" s="133"/>
      <c r="PKS639" s="133"/>
      <c r="PKT639" s="133"/>
      <c r="PKU639" s="133"/>
      <c r="PKV639" s="133"/>
      <c r="PKW639" s="133"/>
      <c r="PKX639" s="133"/>
      <c r="PKY639" s="133"/>
      <c r="PKZ639" s="133"/>
      <c r="PLA639" s="133"/>
      <c r="PLB639" s="133"/>
      <c r="PLC639" s="133"/>
      <c r="PLD639" s="133"/>
      <c r="PLE639" s="133"/>
      <c r="PLF639" s="133"/>
      <c r="PLG639" s="133"/>
      <c r="PLH639" s="133"/>
      <c r="PLI639" s="133"/>
      <c r="PLJ639" s="133"/>
      <c r="PLK639" s="133"/>
      <c r="PLL639" s="133"/>
      <c r="PLM639" s="133"/>
      <c r="PLN639" s="133"/>
      <c r="PLO639" s="133"/>
      <c r="PLP639" s="133"/>
      <c r="PLQ639" s="133"/>
      <c r="PLR639" s="133"/>
      <c r="PLS639" s="133"/>
      <c r="PLT639" s="133"/>
      <c r="PLU639" s="133"/>
      <c r="PLV639" s="133"/>
      <c r="PLW639" s="133"/>
      <c r="PLX639" s="133"/>
      <c r="PLY639" s="133"/>
      <c r="PLZ639" s="133"/>
      <c r="PMA639" s="133"/>
      <c r="PMB639" s="133"/>
      <c r="PMC639" s="133"/>
      <c r="PMD639" s="133"/>
      <c r="PME639" s="133"/>
      <c r="PMF639" s="133"/>
      <c r="PMG639" s="133"/>
      <c r="PMH639" s="133"/>
      <c r="PMI639" s="133"/>
      <c r="PMJ639" s="133"/>
      <c r="PMK639" s="133"/>
      <c r="PML639" s="133"/>
      <c r="PMM639" s="133"/>
      <c r="PMN639" s="133"/>
      <c r="PMO639" s="133"/>
      <c r="PMP639" s="133"/>
      <c r="PMQ639" s="133"/>
      <c r="PMR639" s="133"/>
      <c r="PMS639" s="133"/>
      <c r="PMT639" s="133"/>
      <c r="PMU639" s="133"/>
      <c r="PMV639" s="133"/>
      <c r="PMW639" s="133"/>
      <c r="PMX639" s="133"/>
      <c r="PMY639" s="133"/>
      <c r="PMZ639" s="133"/>
      <c r="PNA639" s="133"/>
      <c r="PNB639" s="133"/>
      <c r="PNC639" s="133"/>
      <c r="PND639" s="133"/>
      <c r="PNE639" s="133"/>
      <c r="PNF639" s="133"/>
      <c r="PNG639" s="133"/>
      <c r="PNH639" s="133"/>
      <c r="PNI639" s="133"/>
      <c r="PNJ639" s="133"/>
      <c r="PNK639" s="133"/>
      <c r="PNL639" s="133"/>
      <c r="PNM639" s="133"/>
      <c r="PNN639" s="133"/>
      <c r="PNO639" s="133"/>
      <c r="PNP639" s="133"/>
      <c r="PNQ639" s="133"/>
      <c r="PNR639" s="133"/>
      <c r="PNS639" s="133"/>
      <c r="PNT639" s="133"/>
      <c r="PNU639" s="133"/>
      <c r="PNV639" s="133"/>
      <c r="PNW639" s="133"/>
      <c r="PNX639" s="133"/>
      <c r="PNY639" s="133"/>
      <c r="PNZ639" s="133"/>
      <c r="POA639" s="133"/>
      <c r="POB639" s="133"/>
      <c r="POC639" s="133"/>
      <c r="POD639" s="133"/>
      <c r="POE639" s="133"/>
      <c r="POF639" s="133"/>
      <c r="POG639" s="133"/>
      <c r="POH639" s="133"/>
      <c r="POI639" s="133"/>
      <c r="POJ639" s="133"/>
      <c r="POK639" s="133"/>
      <c r="POL639" s="133"/>
      <c r="POM639" s="133"/>
      <c r="PON639" s="133"/>
      <c r="POO639" s="133"/>
      <c r="POP639" s="133"/>
      <c r="POQ639" s="133"/>
      <c r="POR639" s="133"/>
      <c r="POS639" s="133"/>
      <c r="POT639" s="133"/>
      <c r="POU639" s="133"/>
      <c r="POV639" s="133"/>
      <c r="POW639" s="133"/>
      <c r="POX639" s="133"/>
      <c r="POY639" s="133"/>
      <c r="POZ639" s="133"/>
      <c r="PPA639" s="133"/>
      <c r="PPB639" s="133"/>
      <c r="PPC639" s="133"/>
      <c r="PPD639" s="133"/>
      <c r="PPE639" s="133"/>
      <c r="PPF639" s="133"/>
      <c r="PPG639" s="133"/>
      <c r="PPH639" s="133"/>
      <c r="PPI639" s="133"/>
      <c r="PPJ639" s="133"/>
      <c r="PPK639" s="133"/>
      <c r="PPL639" s="133"/>
      <c r="PPM639" s="133"/>
      <c r="PPN639" s="133"/>
      <c r="PPO639" s="133"/>
      <c r="PPP639" s="133"/>
      <c r="PPQ639" s="133"/>
      <c r="PPR639" s="133"/>
      <c r="PPS639" s="133"/>
      <c r="PPT639" s="133"/>
      <c r="PPU639" s="133"/>
      <c r="PPV639" s="133"/>
      <c r="PPW639" s="133"/>
      <c r="PPX639" s="133"/>
      <c r="PPY639" s="133"/>
      <c r="PPZ639" s="133"/>
      <c r="PQA639" s="133"/>
      <c r="PQB639" s="133"/>
      <c r="PQC639" s="133"/>
      <c r="PQD639" s="133"/>
      <c r="PQE639" s="133"/>
      <c r="PQF639" s="133"/>
      <c r="PQG639" s="133"/>
      <c r="PQH639" s="133"/>
      <c r="PQI639" s="133"/>
      <c r="PQJ639" s="133"/>
      <c r="PQK639" s="133"/>
      <c r="PQL639" s="133"/>
      <c r="PQM639" s="133"/>
      <c r="PQN639" s="133"/>
      <c r="PQO639" s="133"/>
      <c r="PQP639" s="133"/>
      <c r="PQQ639" s="133"/>
      <c r="PQR639" s="133"/>
      <c r="PQS639" s="133"/>
      <c r="PQT639" s="133"/>
      <c r="PQU639" s="133"/>
      <c r="PQV639" s="133"/>
      <c r="PQW639" s="133"/>
      <c r="PQX639" s="133"/>
      <c r="PQY639" s="133"/>
      <c r="PQZ639" s="133"/>
      <c r="PRA639" s="133"/>
      <c r="PRB639" s="133"/>
      <c r="PRC639" s="133"/>
      <c r="PRD639" s="133"/>
      <c r="PRE639" s="133"/>
      <c r="PRF639" s="133"/>
      <c r="PRG639" s="133"/>
      <c r="PRH639" s="133"/>
      <c r="PRI639" s="133"/>
      <c r="PRJ639" s="133"/>
      <c r="PRK639" s="133"/>
      <c r="PRL639" s="133"/>
      <c r="PRM639" s="133"/>
      <c r="PRN639" s="133"/>
      <c r="PRO639" s="133"/>
      <c r="PRP639" s="133"/>
      <c r="PRQ639" s="133"/>
      <c r="PRR639" s="133"/>
      <c r="PRS639" s="133"/>
      <c r="PRT639" s="133"/>
      <c r="PRU639" s="133"/>
      <c r="PRV639" s="133"/>
      <c r="PRW639" s="133"/>
      <c r="PRX639" s="133"/>
      <c r="PRY639" s="133"/>
      <c r="PRZ639" s="133"/>
      <c r="PSA639" s="133"/>
      <c r="PSB639" s="133"/>
      <c r="PSC639" s="133"/>
      <c r="PSD639" s="133"/>
      <c r="PSE639" s="133"/>
      <c r="PSF639" s="133"/>
      <c r="PSG639" s="133"/>
      <c r="PSH639" s="133"/>
      <c r="PSI639" s="133"/>
      <c r="PSJ639" s="133"/>
      <c r="PSK639" s="133"/>
      <c r="PSL639" s="133"/>
      <c r="PSM639" s="133"/>
      <c r="PSN639" s="133"/>
      <c r="PSO639" s="133"/>
      <c r="PSP639" s="133"/>
      <c r="PSQ639" s="133"/>
      <c r="PSR639" s="133"/>
      <c r="PSS639" s="133"/>
      <c r="PST639" s="133"/>
      <c r="PSU639" s="133"/>
      <c r="PSV639" s="133"/>
      <c r="PSW639" s="133"/>
      <c r="PSX639" s="133"/>
      <c r="PSY639" s="133"/>
      <c r="PSZ639" s="133"/>
      <c r="PTA639" s="133"/>
      <c r="PTB639" s="133"/>
      <c r="PTC639" s="133"/>
      <c r="PTD639" s="133"/>
      <c r="PTE639" s="133"/>
      <c r="PTF639" s="133"/>
      <c r="PTG639" s="133"/>
      <c r="PTH639" s="133"/>
      <c r="PTI639" s="133"/>
      <c r="PTJ639" s="133"/>
      <c r="PTK639" s="133"/>
      <c r="PTL639" s="133"/>
      <c r="PTM639" s="133"/>
      <c r="PTN639" s="133"/>
      <c r="PTO639" s="133"/>
      <c r="PTP639" s="133"/>
      <c r="PTQ639" s="133"/>
      <c r="PTR639" s="133"/>
      <c r="PTS639" s="133"/>
      <c r="PTT639" s="133"/>
      <c r="PTU639" s="133"/>
      <c r="PTV639" s="133"/>
      <c r="PTW639" s="133"/>
      <c r="PTX639" s="133"/>
      <c r="PTY639" s="133"/>
      <c r="PTZ639" s="133"/>
      <c r="PUA639" s="133"/>
      <c r="PUB639" s="133"/>
      <c r="PUC639" s="133"/>
      <c r="PUD639" s="133"/>
      <c r="PUE639" s="133"/>
      <c r="PUF639" s="133"/>
      <c r="PUG639" s="133"/>
      <c r="PUH639" s="133"/>
      <c r="PUI639" s="133"/>
      <c r="PUJ639" s="133"/>
      <c r="PUK639" s="133"/>
      <c r="PUL639" s="133"/>
      <c r="PUM639" s="133"/>
      <c r="PUN639" s="133"/>
      <c r="PUO639" s="133"/>
      <c r="PUP639" s="133"/>
      <c r="PUQ639" s="133"/>
      <c r="PUR639" s="133"/>
      <c r="PUS639" s="133"/>
      <c r="PUT639" s="133"/>
      <c r="PUU639" s="133"/>
      <c r="PUV639" s="133"/>
      <c r="PUW639" s="133"/>
      <c r="PUX639" s="133"/>
      <c r="PUY639" s="133"/>
      <c r="PUZ639" s="133"/>
      <c r="PVA639" s="133"/>
      <c r="PVB639" s="133"/>
      <c r="PVC639" s="133"/>
      <c r="PVD639" s="133"/>
      <c r="PVE639" s="133"/>
      <c r="PVF639" s="133"/>
      <c r="PVG639" s="133"/>
      <c r="PVH639" s="133"/>
      <c r="PVI639" s="133"/>
      <c r="PVJ639" s="133"/>
      <c r="PVK639" s="133"/>
      <c r="PVL639" s="133"/>
      <c r="PVM639" s="133"/>
      <c r="PVN639" s="133"/>
      <c r="PVO639" s="133"/>
      <c r="PVP639" s="133"/>
      <c r="PVQ639" s="133"/>
      <c r="PVR639" s="133"/>
      <c r="PVS639" s="133"/>
      <c r="PVT639" s="133"/>
      <c r="PVU639" s="133"/>
      <c r="PVV639" s="133"/>
      <c r="PVW639" s="133"/>
      <c r="PVX639" s="133"/>
      <c r="PVY639" s="133"/>
      <c r="PVZ639" s="133"/>
      <c r="PWA639" s="133"/>
      <c r="PWB639" s="133"/>
      <c r="PWC639" s="133"/>
      <c r="PWD639" s="133"/>
      <c r="PWE639" s="133"/>
      <c r="PWF639" s="133"/>
      <c r="PWG639" s="133"/>
      <c r="PWH639" s="133"/>
      <c r="PWI639" s="133"/>
      <c r="PWJ639" s="133"/>
      <c r="PWK639" s="133"/>
      <c r="PWL639" s="133"/>
      <c r="PWM639" s="133"/>
      <c r="PWN639" s="133"/>
      <c r="PWO639" s="133"/>
      <c r="PWP639" s="133"/>
      <c r="PWQ639" s="133"/>
      <c r="PWR639" s="133"/>
      <c r="PWS639" s="133"/>
      <c r="PWT639" s="133"/>
      <c r="PWU639" s="133"/>
      <c r="PWV639" s="133"/>
      <c r="PWW639" s="133"/>
      <c r="PWX639" s="133"/>
      <c r="PWY639" s="133"/>
      <c r="PWZ639" s="133"/>
      <c r="PXA639" s="133"/>
      <c r="PXB639" s="133"/>
      <c r="PXC639" s="133"/>
      <c r="PXD639" s="133"/>
      <c r="PXE639" s="133"/>
      <c r="PXF639" s="133"/>
      <c r="PXG639" s="133"/>
      <c r="PXH639" s="133"/>
      <c r="PXI639" s="133"/>
      <c r="PXJ639" s="133"/>
      <c r="PXK639" s="133"/>
      <c r="PXL639" s="133"/>
      <c r="PXM639" s="133"/>
      <c r="PXN639" s="133"/>
      <c r="PXO639" s="133"/>
      <c r="PXP639" s="133"/>
      <c r="PXQ639" s="133"/>
      <c r="PXR639" s="133"/>
      <c r="PXS639" s="133"/>
      <c r="PXT639" s="133"/>
      <c r="PXU639" s="133"/>
      <c r="PXV639" s="133"/>
      <c r="PXW639" s="133"/>
      <c r="PXX639" s="133"/>
      <c r="PXY639" s="133"/>
      <c r="PXZ639" s="133"/>
      <c r="PYA639" s="133"/>
      <c r="PYB639" s="133"/>
      <c r="PYC639" s="133"/>
      <c r="PYD639" s="133"/>
      <c r="PYE639" s="133"/>
      <c r="PYF639" s="133"/>
      <c r="PYG639" s="133"/>
      <c r="PYH639" s="133"/>
      <c r="PYI639" s="133"/>
      <c r="PYJ639" s="133"/>
      <c r="PYK639" s="133"/>
      <c r="PYL639" s="133"/>
      <c r="PYM639" s="133"/>
      <c r="PYN639" s="133"/>
      <c r="PYO639" s="133"/>
      <c r="PYP639" s="133"/>
      <c r="PYQ639" s="133"/>
      <c r="PYR639" s="133"/>
      <c r="PYS639" s="133"/>
      <c r="PYT639" s="133"/>
      <c r="PYU639" s="133"/>
      <c r="PYV639" s="133"/>
      <c r="PYW639" s="133"/>
      <c r="PYX639" s="133"/>
      <c r="PYY639" s="133"/>
      <c r="PYZ639" s="133"/>
      <c r="PZA639" s="133"/>
      <c r="PZB639" s="133"/>
      <c r="PZC639" s="133"/>
      <c r="PZD639" s="133"/>
      <c r="PZE639" s="133"/>
      <c r="PZF639" s="133"/>
      <c r="PZG639" s="133"/>
      <c r="PZH639" s="133"/>
      <c r="PZI639" s="133"/>
      <c r="PZJ639" s="133"/>
      <c r="PZK639" s="133"/>
      <c r="PZL639" s="133"/>
      <c r="PZM639" s="133"/>
      <c r="PZN639" s="133"/>
      <c r="PZO639" s="133"/>
      <c r="PZP639" s="133"/>
      <c r="PZQ639" s="133"/>
      <c r="PZR639" s="133"/>
      <c r="PZS639" s="133"/>
      <c r="PZT639" s="133"/>
      <c r="PZU639" s="133"/>
      <c r="PZV639" s="133"/>
      <c r="PZW639" s="133"/>
      <c r="PZX639" s="133"/>
      <c r="PZY639" s="133"/>
      <c r="PZZ639" s="133"/>
      <c r="QAA639" s="133"/>
      <c r="QAB639" s="133"/>
      <c r="QAC639" s="133"/>
      <c r="QAD639" s="133"/>
      <c r="QAE639" s="133"/>
      <c r="QAF639" s="133"/>
      <c r="QAG639" s="133"/>
      <c r="QAH639" s="133"/>
      <c r="QAI639" s="133"/>
      <c r="QAJ639" s="133"/>
      <c r="QAK639" s="133"/>
      <c r="QAL639" s="133"/>
      <c r="QAM639" s="133"/>
      <c r="QAN639" s="133"/>
      <c r="QAO639" s="133"/>
      <c r="QAP639" s="133"/>
      <c r="QAQ639" s="133"/>
      <c r="QAR639" s="133"/>
      <c r="QAS639" s="133"/>
      <c r="QAT639" s="133"/>
      <c r="QAU639" s="133"/>
      <c r="QAV639" s="133"/>
      <c r="QAW639" s="133"/>
      <c r="QAX639" s="133"/>
      <c r="QAY639" s="133"/>
      <c r="QAZ639" s="133"/>
      <c r="QBA639" s="133"/>
      <c r="QBB639" s="133"/>
      <c r="QBC639" s="133"/>
      <c r="QBD639" s="133"/>
      <c r="QBE639" s="133"/>
      <c r="QBF639" s="133"/>
      <c r="QBG639" s="133"/>
      <c r="QBH639" s="133"/>
      <c r="QBI639" s="133"/>
      <c r="QBJ639" s="133"/>
      <c r="QBK639" s="133"/>
      <c r="QBL639" s="133"/>
      <c r="QBM639" s="133"/>
      <c r="QBN639" s="133"/>
      <c r="QBO639" s="133"/>
      <c r="QBP639" s="133"/>
      <c r="QBQ639" s="133"/>
      <c r="QBR639" s="133"/>
      <c r="QBS639" s="133"/>
      <c r="QBT639" s="133"/>
      <c r="QBU639" s="133"/>
      <c r="QBV639" s="133"/>
      <c r="QBW639" s="133"/>
      <c r="QBX639" s="133"/>
      <c r="QBY639" s="133"/>
      <c r="QBZ639" s="133"/>
      <c r="QCA639" s="133"/>
      <c r="QCB639" s="133"/>
      <c r="QCC639" s="133"/>
      <c r="QCD639" s="133"/>
      <c r="QCE639" s="133"/>
      <c r="QCF639" s="133"/>
      <c r="QCG639" s="133"/>
      <c r="QCH639" s="133"/>
      <c r="QCI639" s="133"/>
      <c r="QCJ639" s="133"/>
      <c r="QCK639" s="133"/>
      <c r="QCL639" s="133"/>
      <c r="QCM639" s="133"/>
      <c r="QCN639" s="133"/>
      <c r="QCO639" s="133"/>
      <c r="QCP639" s="133"/>
      <c r="QCQ639" s="133"/>
      <c r="QCR639" s="133"/>
      <c r="QCS639" s="133"/>
      <c r="QCT639" s="133"/>
      <c r="QCU639" s="133"/>
      <c r="QCV639" s="133"/>
      <c r="QCW639" s="133"/>
      <c r="QCX639" s="133"/>
      <c r="QCY639" s="133"/>
      <c r="QCZ639" s="133"/>
      <c r="QDA639" s="133"/>
      <c r="QDB639" s="133"/>
      <c r="QDC639" s="133"/>
      <c r="QDD639" s="133"/>
      <c r="QDE639" s="133"/>
      <c r="QDF639" s="133"/>
      <c r="QDG639" s="133"/>
      <c r="QDH639" s="133"/>
      <c r="QDI639" s="133"/>
      <c r="QDJ639" s="133"/>
      <c r="QDK639" s="133"/>
      <c r="QDL639" s="133"/>
      <c r="QDM639" s="133"/>
      <c r="QDN639" s="133"/>
      <c r="QDO639" s="133"/>
      <c r="QDP639" s="133"/>
      <c r="QDQ639" s="133"/>
      <c r="QDR639" s="133"/>
      <c r="QDS639" s="133"/>
      <c r="QDT639" s="133"/>
      <c r="QDU639" s="133"/>
      <c r="QDV639" s="133"/>
      <c r="QDW639" s="133"/>
      <c r="QDX639" s="133"/>
      <c r="QDY639" s="133"/>
      <c r="QDZ639" s="133"/>
      <c r="QEA639" s="133"/>
      <c r="QEB639" s="133"/>
      <c r="QEC639" s="133"/>
      <c r="QED639" s="133"/>
      <c r="QEE639" s="133"/>
      <c r="QEF639" s="133"/>
      <c r="QEG639" s="133"/>
      <c r="QEH639" s="133"/>
      <c r="QEI639" s="133"/>
      <c r="QEJ639" s="133"/>
      <c r="QEK639" s="133"/>
      <c r="QEL639" s="133"/>
      <c r="QEM639" s="133"/>
      <c r="QEN639" s="133"/>
      <c r="QEO639" s="133"/>
      <c r="QEP639" s="133"/>
      <c r="QEQ639" s="133"/>
      <c r="QER639" s="133"/>
      <c r="QES639" s="133"/>
      <c r="QET639" s="133"/>
      <c r="QEU639" s="133"/>
      <c r="QEV639" s="133"/>
      <c r="QEW639" s="133"/>
      <c r="QEX639" s="133"/>
      <c r="QEY639" s="133"/>
      <c r="QEZ639" s="133"/>
      <c r="QFA639" s="133"/>
      <c r="QFB639" s="133"/>
      <c r="QFC639" s="133"/>
      <c r="QFD639" s="133"/>
      <c r="QFE639" s="133"/>
      <c r="QFF639" s="133"/>
      <c r="QFG639" s="133"/>
      <c r="QFH639" s="133"/>
      <c r="QFI639" s="133"/>
      <c r="QFJ639" s="133"/>
      <c r="QFK639" s="133"/>
      <c r="QFL639" s="133"/>
      <c r="QFM639" s="133"/>
      <c r="QFN639" s="133"/>
      <c r="QFO639" s="133"/>
      <c r="QFP639" s="133"/>
      <c r="QFQ639" s="133"/>
      <c r="QFR639" s="133"/>
      <c r="QFS639" s="133"/>
      <c r="QFT639" s="133"/>
      <c r="QFU639" s="133"/>
      <c r="QFV639" s="133"/>
      <c r="QFW639" s="133"/>
      <c r="QFX639" s="133"/>
      <c r="QFY639" s="133"/>
      <c r="QFZ639" s="133"/>
      <c r="QGA639" s="133"/>
      <c r="QGB639" s="133"/>
      <c r="QGC639" s="133"/>
      <c r="QGD639" s="133"/>
      <c r="QGE639" s="133"/>
      <c r="QGF639" s="133"/>
      <c r="QGG639" s="133"/>
      <c r="QGH639" s="133"/>
      <c r="QGI639" s="133"/>
      <c r="QGJ639" s="133"/>
      <c r="QGK639" s="133"/>
      <c r="QGL639" s="133"/>
      <c r="QGM639" s="133"/>
      <c r="QGN639" s="133"/>
      <c r="QGO639" s="133"/>
      <c r="QGP639" s="133"/>
      <c r="QGQ639" s="133"/>
      <c r="QGR639" s="133"/>
      <c r="QGS639" s="133"/>
      <c r="QGT639" s="133"/>
      <c r="QGU639" s="133"/>
      <c r="QGV639" s="133"/>
      <c r="QGW639" s="133"/>
      <c r="QGX639" s="133"/>
      <c r="QGY639" s="133"/>
      <c r="QGZ639" s="133"/>
      <c r="QHA639" s="133"/>
      <c r="QHB639" s="133"/>
      <c r="QHC639" s="133"/>
      <c r="QHD639" s="133"/>
      <c r="QHE639" s="133"/>
      <c r="QHF639" s="133"/>
      <c r="QHG639" s="133"/>
      <c r="QHH639" s="133"/>
      <c r="QHI639" s="133"/>
      <c r="QHJ639" s="133"/>
      <c r="QHK639" s="133"/>
      <c r="QHL639" s="133"/>
      <c r="QHM639" s="133"/>
      <c r="QHN639" s="133"/>
      <c r="QHO639" s="133"/>
      <c r="QHP639" s="133"/>
      <c r="QHQ639" s="133"/>
      <c r="QHR639" s="133"/>
      <c r="QHS639" s="133"/>
      <c r="QHT639" s="133"/>
      <c r="QHU639" s="133"/>
      <c r="QHV639" s="133"/>
      <c r="QHW639" s="133"/>
      <c r="QHX639" s="133"/>
      <c r="QHY639" s="133"/>
      <c r="QHZ639" s="133"/>
      <c r="QIA639" s="133"/>
      <c r="QIB639" s="133"/>
      <c r="QIC639" s="133"/>
      <c r="QID639" s="133"/>
      <c r="QIE639" s="133"/>
      <c r="QIF639" s="133"/>
      <c r="QIG639" s="133"/>
      <c r="QIH639" s="133"/>
      <c r="QII639" s="133"/>
      <c r="QIJ639" s="133"/>
      <c r="QIK639" s="133"/>
      <c r="QIL639" s="133"/>
      <c r="QIM639" s="133"/>
      <c r="QIN639" s="133"/>
      <c r="QIO639" s="133"/>
      <c r="QIP639" s="133"/>
      <c r="QIQ639" s="133"/>
      <c r="QIR639" s="133"/>
      <c r="QIS639" s="133"/>
      <c r="QIT639" s="133"/>
      <c r="QIU639" s="133"/>
      <c r="QIV639" s="133"/>
      <c r="QIW639" s="133"/>
      <c r="QIX639" s="133"/>
      <c r="QIY639" s="133"/>
      <c r="QIZ639" s="133"/>
      <c r="QJA639" s="133"/>
      <c r="QJB639" s="133"/>
      <c r="QJC639" s="133"/>
      <c r="QJD639" s="133"/>
      <c r="QJE639" s="133"/>
      <c r="QJF639" s="133"/>
      <c r="QJG639" s="133"/>
      <c r="QJH639" s="133"/>
      <c r="QJI639" s="133"/>
      <c r="QJJ639" s="133"/>
      <c r="QJK639" s="133"/>
      <c r="QJL639" s="133"/>
      <c r="QJM639" s="133"/>
      <c r="QJN639" s="133"/>
      <c r="QJO639" s="133"/>
      <c r="QJP639" s="133"/>
      <c r="QJQ639" s="133"/>
      <c r="QJR639" s="133"/>
      <c r="QJS639" s="133"/>
      <c r="QJT639" s="133"/>
      <c r="QJU639" s="133"/>
      <c r="QJV639" s="133"/>
      <c r="QJW639" s="133"/>
      <c r="QJX639" s="133"/>
      <c r="QJY639" s="133"/>
      <c r="QJZ639" s="133"/>
      <c r="QKA639" s="133"/>
      <c r="QKB639" s="133"/>
      <c r="QKC639" s="133"/>
      <c r="QKD639" s="133"/>
      <c r="QKE639" s="133"/>
      <c r="QKF639" s="133"/>
      <c r="QKG639" s="133"/>
      <c r="QKH639" s="133"/>
      <c r="QKI639" s="133"/>
      <c r="QKJ639" s="133"/>
      <c r="QKK639" s="133"/>
      <c r="QKL639" s="133"/>
      <c r="QKM639" s="133"/>
      <c r="QKN639" s="133"/>
      <c r="QKO639" s="133"/>
      <c r="QKP639" s="133"/>
      <c r="QKQ639" s="133"/>
      <c r="QKR639" s="133"/>
      <c r="QKS639" s="133"/>
      <c r="QKT639" s="133"/>
      <c r="QKU639" s="133"/>
      <c r="QKV639" s="133"/>
      <c r="QKW639" s="133"/>
      <c r="QKX639" s="133"/>
      <c r="QKY639" s="133"/>
      <c r="QKZ639" s="133"/>
      <c r="QLA639" s="133"/>
      <c r="QLB639" s="133"/>
      <c r="QLC639" s="133"/>
      <c r="QLD639" s="133"/>
      <c r="QLE639" s="133"/>
      <c r="QLF639" s="133"/>
      <c r="QLG639" s="133"/>
      <c r="QLH639" s="133"/>
      <c r="QLI639" s="133"/>
      <c r="QLJ639" s="133"/>
      <c r="QLK639" s="133"/>
      <c r="QLL639" s="133"/>
      <c r="QLM639" s="133"/>
      <c r="QLN639" s="133"/>
      <c r="QLO639" s="133"/>
      <c r="QLP639" s="133"/>
      <c r="QLQ639" s="133"/>
      <c r="QLR639" s="133"/>
      <c r="QLS639" s="133"/>
      <c r="QLT639" s="133"/>
      <c r="QLU639" s="133"/>
      <c r="QLV639" s="133"/>
      <c r="QLW639" s="133"/>
      <c r="QLX639" s="133"/>
      <c r="QLY639" s="133"/>
      <c r="QLZ639" s="133"/>
      <c r="QMA639" s="133"/>
      <c r="QMB639" s="133"/>
      <c r="QMC639" s="133"/>
      <c r="QMD639" s="133"/>
      <c r="QME639" s="133"/>
      <c r="QMF639" s="133"/>
      <c r="QMG639" s="133"/>
      <c r="QMH639" s="133"/>
      <c r="QMI639" s="133"/>
      <c r="QMJ639" s="133"/>
      <c r="QMK639" s="133"/>
      <c r="QML639" s="133"/>
      <c r="QMM639" s="133"/>
      <c r="QMN639" s="133"/>
      <c r="QMO639" s="133"/>
      <c r="QMP639" s="133"/>
      <c r="QMQ639" s="133"/>
      <c r="QMR639" s="133"/>
      <c r="QMS639" s="133"/>
      <c r="QMT639" s="133"/>
      <c r="QMU639" s="133"/>
      <c r="QMV639" s="133"/>
      <c r="QMW639" s="133"/>
      <c r="QMX639" s="133"/>
      <c r="QMY639" s="133"/>
      <c r="QMZ639" s="133"/>
      <c r="QNA639" s="133"/>
      <c r="QNB639" s="133"/>
      <c r="QNC639" s="133"/>
      <c r="QND639" s="133"/>
      <c r="QNE639" s="133"/>
      <c r="QNF639" s="133"/>
      <c r="QNG639" s="133"/>
      <c r="QNH639" s="133"/>
      <c r="QNI639" s="133"/>
      <c r="QNJ639" s="133"/>
      <c r="QNK639" s="133"/>
      <c r="QNL639" s="133"/>
      <c r="QNM639" s="133"/>
      <c r="QNN639" s="133"/>
      <c r="QNO639" s="133"/>
      <c r="QNP639" s="133"/>
      <c r="QNQ639" s="133"/>
      <c r="QNR639" s="133"/>
      <c r="QNS639" s="133"/>
      <c r="QNT639" s="133"/>
      <c r="QNU639" s="133"/>
      <c r="QNV639" s="133"/>
      <c r="QNW639" s="133"/>
      <c r="QNX639" s="133"/>
      <c r="QNY639" s="133"/>
      <c r="QNZ639" s="133"/>
      <c r="QOA639" s="133"/>
      <c r="QOB639" s="133"/>
      <c r="QOC639" s="133"/>
      <c r="QOD639" s="133"/>
      <c r="QOE639" s="133"/>
      <c r="QOF639" s="133"/>
      <c r="QOG639" s="133"/>
      <c r="QOH639" s="133"/>
      <c r="QOI639" s="133"/>
      <c r="QOJ639" s="133"/>
      <c r="QOK639" s="133"/>
      <c r="QOL639" s="133"/>
      <c r="QOM639" s="133"/>
      <c r="QON639" s="133"/>
      <c r="QOO639" s="133"/>
      <c r="QOP639" s="133"/>
      <c r="QOQ639" s="133"/>
      <c r="QOR639" s="133"/>
      <c r="QOS639" s="133"/>
      <c r="QOT639" s="133"/>
      <c r="QOU639" s="133"/>
      <c r="QOV639" s="133"/>
      <c r="QOW639" s="133"/>
      <c r="QOX639" s="133"/>
      <c r="QOY639" s="133"/>
      <c r="QOZ639" s="133"/>
      <c r="QPA639" s="133"/>
      <c r="QPB639" s="133"/>
      <c r="QPC639" s="133"/>
      <c r="QPD639" s="133"/>
      <c r="QPE639" s="133"/>
      <c r="QPF639" s="133"/>
      <c r="QPG639" s="133"/>
      <c r="QPH639" s="133"/>
      <c r="QPI639" s="133"/>
      <c r="QPJ639" s="133"/>
      <c r="QPK639" s="133"/>
      <c r="QPL639" s="133"/>
      <c r="QPM639" s="133"/>
      <c r="QPN639" s="133"/>
      <c r="QPO639" s="133"/>
      <c r="QPP639" s="133"/>
      <c r="QPQ639" s="133"/>
      <c r="QPR639" s="133"/>
      <c r="QPS639" s="133"/>
      <c r="QPT639" s="133"/>
      <c r="QPU639" s="133"/>
      <c r="QPV639" s="133"/>
      <c r="QPW639" s="133"/>
      <c r="QPX639" s="133"/>
      <c r="QPY639" s="133"/>
      <c r="QPZ639" s="133"/>
      <c r="QQA639" s="133"/>
      <c r="QQB639" s="133"/>
      <c r="QQC639" s="133"/>
      <c r="QQD639" s="133"/>
      <c r="QQE639" s="133"/>
      <c r="QQF639" s="133"/>
      <c r="QQG639" s="133"/>
      <c r="QQH639" s="133"/>
      <c r="QQI639" s="133"/>
      <c r="QQJ639" s="133"/>
      <c r="QQK639" s="133"/>
      <c r="QQL639" s="133"/>
      <c r="QQM639" s="133"/>
      <c r="QQN639" s="133"/>
      <c r="QQO639" s="133"/>
      <c r="QQP639" s="133"/>
      <c r="QQQ639" s="133"/>
      <c r="QQR639" s="133"/>
      <c r="QQS639" s="133"/>
      <c r="QQT639" s="133"/>
      <c r="QQU639" s="133"/>
      <c r="QQV639" s="133"/>
      <c r="QQW639" s="133"/>
      <c r="QQX639" s="133"/>
      <c r="QQY639" s="133"/>
      <c r="QQZ639" s="133"/>
      <c r="QRA639" s="133"/>
      <c r="QRB639" s="133"/>
      <c r="QRC639" s="133"/>
      <c r="QRD639" s="133"/>
      <c r="QRE639" s="133"/>
      <c r="QRF639" s="133"/>
      <c r="QRG639" s="133"/>
      <c r="QRH639" s="133"/>
      <c r="QRI639" s="133"/>
      <c r="QRJ639" s="133"/>
      <c r="QRK639" s="133"/>
      <c r="QRL639" s="133"/>
      <c r="QRM639" s="133"/>
      <c r="QRN639" s="133"/>
      <c r="QRO639" s="133"/>
      <c r="QRP639" s="133"/>
      <c r="QRQ639" s="133"/>
      <c r="QRR639" s="133"/>
      <c r="QRS639" s="133"/>
      <c r="QRT639" s="133"/>
      <c r="QRU639" s="133"/>
      <c r="QRV639" s="133"/>
      <c r="QRW639" s="133"/>
      <c r="QRX639" s="133"/>
      <c r="QRY639" s="133"/>
      <c r="QRZ639" s="133"/>
      <c r="QSA639" s="133"/>
      <c r="QSB639" s="133"/>
      <c r="QSC639" s="133"/>
      <c r="QSD639" s="133"/>
      <c r="QSE639" s="133"/>
      <c r="QSF639" s="133"/>
      <c r="QSG639" s="133"/>
      <c r="QSH639" s="133"/>
      <c r="QSI639" s="133"/>
      <c r="QSJ639" s="133"/>
      <c r="QSK639" s="133"/>
      <c r="QSL639" s="133"/>
      <c r="QSM639" s="133"/>
      <c r="QSN639" s="133"/>
      <c r="QSO639" s="133"/>
      <c r="QSP639" s="133"/>
      <c r="QSQ639" s="133"/>
      <c r="QSR639" s="133"/>
      <c r="QSS639" s="133"/>
      <c r="QST639" s="133"/>
      <c r="QSU639" s="133"/>
      <c r="QSV639" s="133"/>
      <c r="QSW639" s="133"/>
      <c r="QSX639" s="133"/>
      <c r="QSY639" s="133"/>
      <c r="QSZ639" s="133"/>
      <c r="QTA639" s="133"/>
      <c r="QTB639" s="133"/>
      <c r="QTC639" s="133"/>
      <c r="QTD639" s="133"/>
      <c r="QTE639" s="133"/>
      <c r="QTF639" s="133"/>
      <c r="QTG639" s="133"/>
      <c r="QTH639" s="133"/>
      <c r="QTI639" s="133"/>
      <c r="QTJ639" s="133"/>
      <c r="QTK639" s="133"/>
      <c r="QTL639" s="133"/>
      <c r="QTM639" s="133"/>
      <c r="QTN639" s="133"/>
      <c r="QTO639" s="133"/>
      <c r="QTP639" s="133"/>
      <c r="QTQ639" s="133"/>
      <c r="QTR639" s="133"/>
      <c r="QTS639" s="133"/>
      <c r="QTT639" s="133"/>
      <c r="QTU639" s="133"/>
      <c r="QTV639" s="133"/>
      <c r="QTW639" s="133"/>
      <c r="QTX639" s="133"/>
      <c r="QTY639" s="133"/>
      <c r="QTZ639" s="133"/>
      <c r="QUA639" s="133"/>
      <c r="QUB639" s="133"/>
      <c r="QUC639" s="133"/>
      <c r="QUD639" s="133"/>
      <c r="QUE639" s="133"/>
      <c r="QUF639" s="133"/>
      <c r="QUG639" s="133"/>
      <c r="QUH639" s="133"/>
      <c r="QUI639" s="133"/>
      <c r="QUJ639" s="133"/>
      <c r="QUK639" s="133"/>
      <c r="QUL639" s="133"/>
      <c r="QUM639" s="133"/>
      <c r="QUN639" s="133"/>
      <c r="QUO639" s="133"/>
      <c r="QUP639" s="133"/>
      <c r="QUQ639" s="133"/>
      <c r="QUR639" s="133"/>
      <c r="QUS639" s="133"/>
      <c r="QUT639" s="133"/>
      <c r="QUU639" s="133"/>
      <c r="QUV639" s="133"/>
      <c r="QUW639" s="133"/>
      <c r="QUX639" s="133"/>
      <c r="QUY639" s="133"/>
      <c r="QUZ639" s="133"/>
      <c r="QVA639" s="133"/>
      <c r="QVB639" s="133"/>
      <c r="QVC639" s="133"/>
      <c r="QVD639" s="133"/>
      <c r="QVE639" s="133"/>
      <c r="QVF639" s="133"/>
      <c r="QVG639" s="133"/>
      <c r="QVH639" s="133"/>
      <c r="QVI639" s="133"/>
      <c r="QVJ639" s="133"/>
      <c r="QVK639" s="133"/>
      <c r="QVL639" s="133"/>
      <c r="QVM639" s="133"/>
      <c r="QVN639" s="133"/>
      <c r="QVO639" s="133"/>
      <c r="QVP639" s="133"/>
      <c r="QVQ639" s="133"/>
      <c r="QVR639" s="133"/>
      <c r="QVS639" s="133"/>
      <c r="QVT639" s="133"/>
      <c r="QVU639" s="133"/>
      <c r="QVV639" s="133"/>
      <c r="QVW639" s="133"/>
      <c r="QVX639" s="133"/>
      <c r="QVY639" s="133"/>
      <c r="QVZ639" s="133"/>
      <c r="QWA639" s="133"/>
      <c r="QWB639" s="133"/>
      <c r="QWC639" s="133"/>
      <c r="QWD639" s="133"/>
      <c r="QWE639" s="133"/>
      <c r="QWF639" s="133"/>
      <c r="QWG639" s="133"/>
      <c r="QWH639" s="133"/>
      <c r="QWI639" s="133"/>
      <c r="QWJ639" s="133"/>
      <c r="QWK639" s="133"/>
      <c r="QWL639" s="133"/>
      <c r="QWM639" s="133"/>
      <c r="QWN639" s="133"/>
      <c r="QWO639" s="133"/>
      <c r="QWP639" s="133"/>
      <c r="QWQ639" s="133"/>
      <c r="QWR639" s="133"/>
      <c r="QWS639" s="133"/>
      <c r="QWT639" s="133"/>
      <c r="QWU639" s="133"/>
      <c r="QWV639" s="133"/>
      <c r="QWW639" s="133"/>
      <c r="QWX639" s="133"/>
      <c r="QWY639" s="133"/>
      <c r="QWZ639" s="133"/>
      <c r="QXA639" s="133"/>
      <c r="QXB639" s="133"/>
      <c r="QXC639" s="133"/>
      <c r="QXD639" s="133"/>
      <c r="QXE639" s="133"/>
      <c r="QXF639" s="133"/>
      <c r="QXG639" s="133"/>
      <c r="QXH639" s="133"/>
      <c r="QXI639" s="133"/>
      <c r="QXJ639" s="133"/>
      <c r="QXK639" s="133"/>
      <c r="QXL639" s="133"/>
      <c r="QXM639" s="133"/>
      <c r="QXN639" s="133"/>
      <c r="QXO639" s="133"/>
      <c r="QXP639" s="133"/>
      <c r="QXQ639" s="133"/>
      <c r="QXR639" s="133"/>
      <c r="QXS639" s="133"/>
      <c r="QXT639" s="133"/>
      <c r="QXU639" s="133"/>
      <c r="QXV639" s="133"/>
      <c r="QXW639" s="133"/>
      <c r="QXX639" s="133"/>
      <c r="QXY639" s="133"/>
      <c r="QXZ639" s="133"/>
      <c r="QYA639" s="133"/>
      <c r="QYB639" s="133"/>
      <c r="QYC639" s="133"/>
      <c r="QYD639" s="133"/>
      <c r="QYE639" s="133"/>
      <c r="QYF639" s="133"/>
      <c r="QYG639" s="133"/>
      <c r="QYH639" s="133"/>
      <c r="QYI639" s="133"/>
      <c r="QYJ639" s="133"/>
      <c r="QYK639" s="133"/>
      <c r="QYL639" s="133"/>
      <c r="QYM639" s="133"/>
      <c r="QYN639" s="133"/>
      <c r="QYO639" s="133"/>
      <c r="QYP639" s="133"/>
      <c r="QYQ639" s="133"/>
      <c r="QYR639" s="133"/>
      <c r="QYS639" s="133"/>
      <c r="QYT639" s="133"/>
      <c r="QYU639" s="133"/>
      <c r="QYV639" s="133"/>
      <c r="QYW639" s="133"/>
      <c r="QYX639" s="133"/>
      <c r="QYY639" s="133"/>
      <c r="QYZ639" s="133"/>
      <c r="QZA639" s="133"/>
      <c r="QZB639" s="133"/>
      <c r="QZC639" s="133"/>
      <c r="QZD639" s="133"/>
      <c r="QZE639" s="133"/>
      <c r="QZF639" s="133"/>
      <c r="QZG639" s="133"/>
      <c r="QZH639" s="133"/>
      <c r="QZI639" s="133"/>
      <c r="QZJ639" s="133"/>
      <c r="QZK639" s="133"/>
      <c r="QZL639" s="133"/>
      <c r="QZM639" s="133"/>
      <c r="QZN639" s="133"/>
      <c r="QZO639" s="133"/>
      <c r="QZP639" s="133"/>
      <c r="QZQ639" s="133"/>
      <c r="QZR639" s="133"/>
      <c r="QZS639" s="133"/>
      <c r="QZT639" s="133"/>
      <c r="QZU639" s="133"/>
      <c r="QZV639" s="133"/>
      <c r="QZW639" s="133"/>
      <c r="QZX639" s="133"/>
      <c r="QZY639" s="133"/>
      <c r="QZZ639" s="133"/>
      <c r="RAA639" s="133"/>
      <c r="RAB639" s="133"/>
      <c r="RAC639" s="133"/>
      <c r="RAD639" s="133"/>
      <c r="RAE639" s="133"/>
      <c r="RAF639" s="133"/>
      <c r="RAG639" s="133"/>
      <c r="RAH639" s="133"/>
      <c r="RAI639" s="133"/>
      <c r="RAJ639" s="133"/>
      <c r="RAK639" s="133"/>
      <c r="RAL639" s="133"/>
      <c r="RAM639" s="133"/>
      <c r="RAN639" s="133"/>
      <c r="RAO639" s="133"/>
      <c r="RAP639" s="133"/>
      <c r="RAQ639" s="133"/>
      <c r="RAR639" s="133"/>
      <c r="RAS639" s="133"/>
      <c r="RAT639" s="133"/>
      <c r="RAU639" s="133"/>
      <c r="RAV639" s="133"/>
      <c r="RAW639" s="133"/>
      <c r="RAX639" s="133"/>
      <c r="RAY639" s="133"/>
      <c r="RAZ639" s="133"/>
      <c r="RBA639" s="133"/>
      <c r="RBB639" s="133"/>
      <c r="RBC639" s="133"/>
      <c r="RBD639" s="133"/>
      <c r="RBE639" s="133"/>
      <c r="RBF639" s="133"/>
      <c r="RBG639" s="133"/>
      <c r="RBH639" s="133"/>
      <c r="RBI639" s="133"/>
      <c r="RBJ639" s="133"/>
      <c r="RBK639" s="133"/>
      <c r="RBL639" s="133"/>
      <c r="RBM639" s="133"/>
      <c r="RBN639" s="133"/>
      <c r="RBO639" s="133"/>
      <c r="RBP639" s="133"/>
      <c r="RBQ639" s="133"/>
      <c r="RBR639" s="133"/>
      <c r="RBS639" s="133"/>
      <c r="RBT639" s="133"/>
      <c r="RBU639" s="133"/>
      <c r="RBV639" s="133"/>
      <c r="RBW639" s="133"/>
      <c r="RBX639" s="133"/>
      <c r="RBY639" s="133"/>
      <c r="RBZ639" s="133"/>
      <c r="RCA639" s="133"/>
      <c r="RCB639" s="133"/>
      <c r="RCC639" s="133"/>
      <c r="RCD639" s="133"/>
      <c r="RCE639" s="133"/>
      <c r="RCF639" s="133"/>
      <c r="RCG639" s="133"/>
      <c r="RCH639" s="133"/>
      <c r="RCI639" s="133"/>
      <c r="RCJ639" s="133"/>
      <c r="RCK639" s="133"/>
      <c r="RCL639" s="133"/>
      <c r="RCM639" s="133"/>
      <c r="RCN639" s="133"/>
      <c r="RCO639" s="133"/>
      <c r="RCP639" s="133"/>
      <c r="RCQ639" s="133"/>
      <c r="RCR639" s="133"/>
      <c r="RCS639" s="133"/>
      <c r="RCT639" s="133"/>
      <c r="RCU639" s="133"/>
      <c r="RCV639" s="133"/>
      <c r="RCW639" s="133"/>
      <c r="RCX639" s="133"/>
      <c r="RCY639" s="133"/>
      <c r="RCZ639" s="133"/>
      <c r="RDA639" s="133"/>
      <c r="RDB639" s="133"/>
      <c r="RDC639" s="133"/>
      <c r="RDD639" s="133"/>
      <c r="RDE639" s="133"/>
      <c r="RDF639" s="133"/>
      <c r="RDG639" s="133"/>
      <c r="RDH639" s="133"/>
      <c r="RDI639" s="133"/>
      <c r="RDJ639" s="133"/>
      <c r="RDK639" s="133"/>
      <c r="RDL639" s="133"/>
      <c r="RDM639" s="133"/>
      <c r="RDN639" s="133"/>
      <c r="RDO639" s="133"/>
      <c r="RDP639" s="133"/>
      <c r="RDQ639" s="133"/>
      <c r="RDR639" s="133"/>
      <c r="RDS639" s="133"/>
      <c r="RDT639" s="133"/>
      <c r="RDU639" s="133"/>
      <c r="RDV639" s="133"/>
      <c r="RDW639" s="133"/>
      <c r="RDX639" s="133"/>
      <c r="RDY639" s="133"/>
      <c r="RDZ639" s="133"/>
      <c r="REA639" s="133"/>
      <c r="REB639" s="133"/>
      <c r="REC639" s="133"/>
      <c r="RED639" s="133"/>
      <c r="REE639" s="133"/>
      <c r="REF639" s="133"/>
      <c r="REG639" s="133"/>
      <c r="REH639" s="133"/>
      <c r="REI639" s="133"/>
      <c r="REJ639" s="133"/>
      <c r="REK639" s="133"/>
      <c r="REL639" s="133"/>
      <c r="REM639" s="133"/>
      <c r="REN639" s="133"/>
      <c r="REO639" s="133"/>
      <c r="REP639" s="133"/>
      <c r="REQ639" s="133"/>
      <c r="RER639" s="133"/>
      <c r="RES639" s="133"/>
      <c r="RET639" s="133"/>
      <c r="REU639" s="133"/>
      <c r="REV639" s="133"/>
      <c r="REW639" s="133"/>
      <c r="REX639" s="133"/>
      <c r="REY639" s="133"/>
      <c r="REZ639" s="133"/>
      <c r="RFA639" s="133"/>
      <c r="RFB639" s="133"/>
      <c r="RFC639" s="133"/>
      <c r="RFD639" s="133"/>
      <c r="RFE639" s="133"/>
      <c r="RFF639" s="133"/>
      <c r="RFG639" s="133"/>
      <c r="RFH639" s="133"/>
      <c r="RFI639" s="133"/>
      <c r="RFJ639" s="133"/>
      <c r="RFK639" s="133"/>
      <c r="RFL639" s="133"/>
      <c r="RFM639" s="133"/>
      <c r="RFN639" s="133"/>
      <c r="RFO639" s="133"/>
      <c r="RFP639" s="133"/>
      <c r="RFQ639" s="133"/>
      <c r="RFR639" s="133"/>
      <c r="RFS639" s="133"/>
      <c r="RFT639" s="133"/>
      <c r="RFU639" s="133"/>
      <c r="RFV639" s="133"/>
      <c r="RFW639" s="133"/>
      <c r="RFX639" s="133"/>
      <c r="RFY639" s="133"/>
      <c r="RFZ639" s="133"/>
      <c r="RGA639" s="133"/>
      <c r="RGB639" s="133"/>
      <c r="RGC639" s="133"/>
      <c r="RGD639" s="133"/>
      <c r="RGE639" s="133"/>
      <c r="RGF639" s="133"/>
      <c r="RGG639" s="133"/>
      <c r="RGH639" s="133"/>
      <c r="RGI639" s="133"/>
      <c r="RGJ639" s="133"/>
      <c r="RGK639" s="133"/>
      <c r="RGL639" s="133"/>
      <c r="RGM639" s="133"/>
      <c r="RGN639" s="133"/>
      <c r="RGO639" s="133"/>
      <c r="RGP639" s="133"/>
      <c r="RGQ639" s="133"/>
      <c r="RGR639" s="133"/>
      <c r="RGS639" s="133"/>
      <c r="RGT639" s="133"/>
      <c r="RGU639" s="133"/>
      <c r="RGV639" s="133"/>
      <c r="RGW639" s="133"/>
      <c r="RGX639" s="133"/>
      <c r="RGY639" s="133"/>
      <c r="RGZ639" s="133"/>
      <c r="RHA639" s="133"/>
      <c r="RHB639" s="133"/>
      <c r="RHC639" s="133"/>
      <c r="RHD639" s="133"/>
      <c r="RHE639" s="133"/>
      <c r="RHF639" s="133"/>
      <c r="RHG639" s="133"/>
      <c r="RHH639" s="133"/>
      <c r="RHI639" s="133"/>
      <c r="RHJ639" s="133"/>
      <c r="RHK639" s="133"/>
      <c r="RHL639" s="133"/>
      <c r="RHM639" s="133"/>
      <c r="RHN639" s="133"/>
      <c r="RHO639" s="133"/>
      <c r="RHP639" s="133"/>
      <c r="RHQ639" s="133"/>
      <c r="RHR639" s="133"/>
      <c r="RHS639" s="133"/>
      <c r="RHT639" s="133"/>
      <c r="RHU639" s="133"/>
      <c r="RHV639" s="133"/>
      <c r="RHW639" s="133"/>
      <c r="RHX639" s="133"/>
      <c r="RHY639" s="133"/>
      <c r="RHZ639" s="133"/>
      <c r="RIA639" s="133"/>
      <c r="RIB639" s="133"/>
      <c r="RIC639" s="133"/>
      <c r="RID639" s="133"/>
      <c r="RIE639" s="133"/>
      <c r="RIF639" s="133"/>
      <c r="RIG639" s="133"/>
      <c r="RIH639" s="133"/>
      <c r="RII639" s="133"/>
      <c r="RIJ639" s="133"/>
      <c r="RIK639" s="133"/>
      <c r="RIL639" s="133"/>
      <c r="RIM639" s="133"/>
      <c r="RIN639" s="133"/>
      <c r="RIO639" s="133"/>
      <c r="RIP639" s="133"/>
      <c r="RIQ639" s="133"/>
      <c r="RIR639" s="133"/>
      <c r="RIS639" s="133"/>
      <c r="RIT639" s="133"/>
      <c r="RIU639" s="133"/>
      <c r="RIV639" s="133"/>
      <c r="RIW639" s="133"/>
      <c r="RIX639" s="133"/>
      <c r="RIY639" s="133"/>
      <c r="RIZ639" s="133"/>
      <c r="RJA639" s="133"/>
      <c r="RJB639" s="133"/>
      <c r="RJC639" s="133"/>
      <c r="RJD639" s="133"/>
      <c r="RJE639" s="133"/>
      <c r="RJF639" s="133"/>
      <c r="RJG639" s="133"/>
      <c r="RJH639" s="133"/>
      <c r="RJI639" s="133"/>
      <c r="RJJ639" s="133"/>
      <c r="RJK639" s="133"/>
      <c r="RJL639" s="133"/>
      <c r="RJM639" s="133"/>
      <c r="RJN639" s="133"/>
      <c r="RJO639" s="133"/>
      <c r="RJP639" s="133"/>
      <c r="RJQ639" s="133"/>
      <c r="RJR639" s="133"/>
      <c r="RJS639" s="133"/>
      <c r="RJT639" s="133"/>
      <c r="RJU639" s="133"/>
      <c r="RJV639" s="133"/>
      <c r="RJW639" s="133"/>
      <c r="RJX639" s="133"/>
      <c r="RJY639" s="133"/>
      <c r="RJZ639" s="133"/>
      <c r="RKA639" s="133"/>
      <c r="RKB639" s="133"/>
      <c r="RKC639" s="133"/>
      <c r="RKD639" s="133"/>
      <c r="RKE639" s="133"/>
      <c r="RKF639" s="133"/>
      <c r="RKG639" s="133"/>
      <c r="RKH639" s="133"/>
      <c r="RKI639" s="133"/>
      <c r="RKJ639" s="133"/>
      <c r="RKK639" s="133"/>
      <c r="RKL639" s="133"/>
      <c r="RKM639" s="133"/>
      <c r="RKN639" s="133"/>
      <c r="RKO639" s="133"/>
      <c r="RKP639" s="133"/>
      <c r="RKQ639" s="133"/>
      <c r="RKR639" s="133"/>
      <c r="RKS639" s="133"/>
      <c r="RKT639" s="133"/>
      <c r="RKU639" s="133"/>
      <c r="RKV639" s="133"/>
      <c r="RKW639" s="133"/>
      <c r="RKX639" s="133"/>
      <c r="RKY639" s="133"/>
      <c r="RKZ639" s="133"/>
      <c r="RLA639" s="133"/>
      <c r="RLB639" s="133"/>
      <c r="RLC639" s="133"/>
      <c r="RLD639" s="133"/>
      <c r="RLE639" s="133"/>
      <c r="RLF639" s="133"/>
      <c r="RLG639" s="133"/>
      <c r="RLH639" s="133"/>
      <c r="RLI639" s="133"/>
      <c r="RLJ639" s="133"/>
      <c r="RLK639" s="133"/>
      <c r="RLL639" s="133"/>
      <c r="RLM639" s="133"/>
      <c r="RLN639" s="133"/>
      <c r="RLO639" s="133"/>
      <c r="RLP639" s="133"/>
      <c r="RLQ639" s="133"/>
      <c r="RLR639" s="133"/>
      <c r="RLS639" s="133"/>
      <c r="RLT639" s="133"/>
      <c r="RLU639" s="133"/>
      <c r="RLV639" s="133"/>
      <c r="RLW639" s="133"/>
      <c r="RLX639" s="133"/>
      <c r="RLY639" s="133"/>
      <c r="RLZ639" s="133"/>
      <c r="RMA639" s="133"/>
      <c r="RMB639" s="133"/>
      <c r="RMC639" s="133"/>
      <c r="RMD639" s="133"/>
      <c r="RME639" s="133"/>
      <c r="RMF639" s="133"/>
      <c r="RMG639" s="133"/>
      <c r="RMH639" s="133"/>
      <c r="RMI639" s="133"/>
      <c r="RMJ639" s="133"/>
      <c r="RMK639" s="133"/>
      <c r="RML639" s="133"/>
      <c r="RMM639" s="133"/>
      <c r="RMN639" s="133"/>
      <c r="RMO639" s="133"/>
      <c r="RMP639" s="133"/>
      <c r="RMQ639" s="133"/>
      <c r="RMR639" s="133"/>
      <c r="RMS639" s="133"/>
      <c r="RMT639" s="133"/>
      <c r="RMU639" s="133"/>
      <c r="RMV639" s="133"/>
      <c r="RMW639" s="133"/>
      <c r="RMX639" s="133"/>
      <c r="RMY639" s="133"/>
      <c r="RMZ639" s="133"/>
      <c r="RNA639" s="133"/>
      <c r="RNB639" s="133"/>
      <c r="RNC639" s="133"/>
      <c r="RND639" s="133"/>
      <c r="RNE639" s="133"/>
      <c r="RNF639" s="133"/>
      <c r="RNG639" s="133"/>
      <c r="RNH639" s="133"/>
      <c r="RNI639" s="133"/>
      <c r="RNJ639" s="133"/>
      <c r="RNK639" s="133"/>
      <c r="RNL639" s="133"/>
      <c r="RNM639" s="133"/>
      <c r="RNN639" s="133"/>
      <c r="RNO639" s="133"/>
      <c r="RNP639" s="133"/>
      <c r="RNQ639" s="133"/>
      <c r="RNR639" s="133"/>
      <c r="RNS639" s="133"/>
      <c r="RNT639" s="133"/>
      <c r="RNU639" s="133"/>
      <c r="RNV639" s="133"/>
      <c r="RNW639" s="133"/>
      <c r="RNX639" s="133"/>
      <c r="RNY639" s="133"/>
      <c r="RNZ639" s="133"/>
      <c r="ROA639" s="133"/>
      <c r="ROB639" s="133"/>
      <c r="ROC639" s="133"/>
      <c r="ROD639" s="133"/>
      <c r="ROE639" s="133"/>
      <c r="ROF639" s="133"/>
      <c r="ROG639" s="133"/>
      <c r="ROH639" s="133"/>
      <c r="ROI639" s="133"/>
      <c r="ROJ639" s="133"/>
      <c r="ROK639" s="133"/>
      <c r="ROL639" s="133"/>
      <c r="ROM639" s="133"/>
      <c r="RON639" s="133"/>
      <c r="ROO639" s="133"/>
      <c r="ROP639" s="133"/>
      <c r="ROQ639" s="133"/>
      <c r="ROR639" s="133"/>
      <c r="ROS639" s="133"/>
      <c r="ROT639" s="133"/>
      <c r="ROU639" s="133"/>
      <c r="ROV639" s="133"/>
      <c r="ROW639" s="133"/>
      <c r="ROX639" s="133"/>
      <c r="ROY639" s="133"/>
      <c r="ROZ639" s="133"/>
      <c r="RPA639" s="133"/>
      <c r="RPB639" s="133"/>
      <c r="RPC639" s="133"/>
      <c r="RPD639" s="133"/>
      <c r="RPE639" s="133"/>
      <c r="RPF639" s="133"/>
      <c r="RPG639" s="133"/>
      <c r="RPH639" s="133"/>
      <c r="RPI639" s="133"/>
      <c r="RPJ639" s="133"/>
      <c r="RPK639" s="133"/>
      <c r="RPL639" s="133"/>
      <c r="RPM639" s="133"/>
      <c r="RPN639" s="133"/>
      <c r="RPO639" s="133"/>
      <c r="RPP639" s="133"/>
      <c r="RPQ639" s="133"/>
      <c r="RPR639" s="133"/>
      <c r="RPS639" s="133"/>
      <c r="RPT639" s="133"/>
      <c r="RPU639" s="133"/>
      <c r="RPV639" s="133"/>
      <c r="RPW639" s="133"/>
      <c r="RPX639" s="133"/>
      <c r="RPY639" s="133"/>
      <c r="RPZ639" s="133"/>
      <c r="RQA639" s="133"/>
      <c r="RQB639" s="133"/>
      <c r="RQC639" s="133"/>
      <c r="RQD639" s="133"/>
      <c r="RQE639" s="133"/>
      <c r="RQF639" s="133"/>
      <c r="RQG639" s="133"/>
      <c r="RQH639" s="133"/>
      <c r="RQI639" s="133"/>
      <c r="RQJ639" s="133"/>
      <c r="RQK639" s="133"/>
      <c r="RQL639" s="133"/>
      <c r="RQM639" s="133"/>
      <c r="RQN639" s="133"/>
      <c r="RQO639" s="133"/>
      <c r="RQP639" s="133"/>
      <c r="RQQ639" s="133"/>
      <c r="RQR639" s="133"/>
      <c r="RQS639" s="133"/>
      <c r="RQT639" s="133"/>
      <c r="RQU639" s="133"/>
      <c r="RQV639" s="133"/>
      <c r="RQW639" s="133"/>
      <c r="RQX639" s="133"/>
      <c r="RQY639" s="133"/>
      <c r="RQZ639" s="133"/>
      <c r="RRA639" s="133"/>
      <c r="RRB639" s="133"/>
      <c r="RRC639" s="133"/>
      <c r="RRD639" s="133"/>
      <c r="RRE639" s="133"/>
      <c r="RRF639" s="133"/>
      <c r="RRG639" s="133"/>
      <c r="RRH639" s="133"/>
      <c r="RRI639" s="133"/>
      <c r="RRJ639" s="133"/>
      <c r="RRK639" s="133"/>
      <c r="RRL639" s="133"/>
      <c r="RRM639" s="133"/>
      <c r="RRN639" s="133"/>
      <c r="RRO639" s="133"/>
      <c r="RRP639" s="133"/>
      <c r="RRQ639" s="133"/>
      <c r="RRR639" s="133"/>
      <c r="RRS639" s="133"/>
      <c r="RRT639" s="133"/>
      <c r="RRU639" s="133"/>
      <c r="RRV639" s="133"/>
      <c r="RRW639" s="133"/>
      <c r="RRX639" s="133"/>
      <c r="RRY639" s="133"/>
      <c r="RRZ639" s="133"/>
      <c r="RSA639" s="133"/>
      <c r="RSB639" s="133"/>
      <c r="RSC639" s="133"/>
      <c r="RSD639" s="133"/>
      <c r="RSE639" s="133"/>
      <c r="RSF639" s="133"/>
      <c r="RSG639" s="133"/>
      <c r="RSH639" s="133"/>
      <c r="RSI639" s="133"/>
      <c r="RSJ639" s="133"/>
      <c r="RSK639" s="133"/>
      <c r="RSL639" s="133"/>
      <c r="RSM639" s="133"/>
      <c r="RSN639" s="133"/>
      <c r="RSO639" s="133"/>
      <c r="RSP639" s="133"/>
      <c r="RSQ639" s="133"/>
      <c r="RSR639" s="133"/>
      <c r="RSS639" s="133"/>
      <c r="RST639" s="133"/>
      <c r="RSU639" s="133"/>
      <c r="RSV639" s="133"/>
      <c r="RSW639" s="133"/>
      <c r="RSX639" s="133"/>
      <c r="RSY639" s="133"/>
      <c r="RSZ639" s="133"/>
      <c r="RTA639" s="133"/>
      <c r="RTB639" s="133"/>
      <c r="RTC639" s="133"/>
      <c r="RTD639" s="133"/>
      <c r="RTE639" s="133"/>
      <c r="RTF639" s="133"/>
      <c r="RTG639" s="133"/>
      <c r="RTH639" s="133"/>
      <c r="RTI639" s="133"/>
      <c r="RTJ639" s="133"/>
      <c r="RTK639" s="133"/>
      <c r="RTL639" s="133"/>
      <c r="RTM639" s="133"/>
      <c r="RTN639" s="133"/>
      <c r="RTO639" s="133"/>
      <c r="RTP639" s="133"/>
      <c r="RTQ639" s="133"/>
      <c r="RTR639" s="133"/>
      <c r="RTS639" s="133"/>
      <c r="RTT639" s="133"/>
      <c r="RTU639" s="133"/>
      <c r="RTV639" s="133"/>
      <c r="RTW639" s="133"/>
      <c r="RTX639" s="133"/>
      <c r="RTY639" s="133"/>
      <c r="RTZ639" s="133"/>
      <c r="RUA639" s="133"/>
      <c r="RUB639" s="133"/>
      <c r="RUC639" s="133"/>
      <c r="RUD639" s="133"/>
      <c r="RUE639" s="133"/>
      <c r="RUF639" s="133"/>
      <c r="RUG639" s="133"/>
      <c r="RUH639" s="133"/>
      <c r="RUI639" s="133"/>
      <c r="RUJ639" s="133"/>
      <c r="RUK639" s="133"/>
      <c r="RUL639" s="133"/>
      <c r="RUM639" s="133"/>
      <c r="RUN639" s="133"/>
      <c r="RUO639" s="133"/>
      <c r="RUP639" s="133"/>
      <c r="RUQ639" s="133"/>
      <c r="RUR639" s="133"/>
      <c r="RUS639" s="133"/>
      <c r="RUT639" s="133"/>
      <c r="RUU639" s="133"/>
      <c r="RUV639" s="133"/>
      <c r="RUW639" s="133"/>
      <c r="RUX639" s="133"/>
      <c r="RUY639" s="133"/>
      <c r="RUZ639" s="133"/>
      <c r="RVA639" s="133"/>
      <c r="RVB639" s="133"/>
      <c r="RVC639" s="133"/>
      <c r="RVD639" s="133"/>
      <c r="RVE639" s="133"/>
      <c r="RVF639" s="133"/>
      <c r="RVG639" s="133"/>
      <c r="RVH639" s="133"/>
      <c r="RVI639" s="133"/>
      <c r="RVJ639" s="133"/>
      <c r="RVK639" s="133"/>
      <c r="RVL639" s="133"/>
      <c r="RVM639" s="133"/>
      <c r="RVN639" s="133"/>
      <c r="RVO639" s="133"/>
      <c r="RVP639" s="133"/>
      <c r="RVQ639" s="133"/>
      <c r="RVR639" s="133"/>
      <c r="RVS639" s="133"/>
      <c r="RVT639" s="133"/>
      <c r="RVU639" s="133"/>
      <c r="RVV639" s="133"/>
      <c r="RVW639" s="133"/>
      <c r="RVX639" s="133"/>
      <c r="RVY639" s="133"/>
      <c r="RVZ639" s="133"/>
      <c r="RWA639" s="133"/>
      <c r="RWB639" s="133"/>
      <c r="RWC639" s="133"/>
      <c r="RWD639" s="133"/>
      <c r="RWE639" s="133"/>
      <c r="RWF639" s="133"/>
      <c r="RWG639" s="133"/>
      <c r="RWH639" s="133"/>
      <c r="RWI639" s="133"/>
      <c r="RWJ639" s="133"/>
      <c r="RWK639" s="133"/>
      <c r="RWL639" s="133"/>
      <c r="RWM639" s="133"/>
      <c r="RWN639" s="133"/>
      <c r="RWO639" s="133"/>
      <c r="RWP639" s="133"/>
      <c r="RWQ639" s="133"/>
      <c r="RWR639" s="133"/>
      <c r="RWS639" s="133"/>
      <c r="RWT639" s="133"/>
      <c r="RWU639" s="133"/>
      <c r="RWV639" s="133"/>
      <c r="RWW639" s="133"/>
      <c r="RWX639" s="133"/>
      <c r="RWY639" s="133"/>
      <c r="RWZ639" s="133"/>
      <c r="RXA639" s="133"/>
      <c r="RXB639" s="133"/>
      <c r="RXC639" s="133"/>
      <c r="RXD639" s="133"/>
      <c r="RXE639" s="133"/>
      <c r="RXF639" s="133"/>
      <c r="RXG639" s="133"/>
      <c r="RXH639" s="133"/>
      <c r="RXI639" s="133"/>
      <c r="RXJ639" s="133"/>
      <c r="RXK639" s="133"/>
      <c r="RXL639" s="133"/>
      <c r="RXM639" s="133"/>
      <c r="RXN639" s="133"/>
      <c r="RXO639" s="133"/>
      <c r="RXP639" s="133"/>
      <c r="RXQ639" s="133"/>
      <c r="RXR639" s="133"/>
      <c r="RXS639" s="133"/>
      <c r="RXT639" s="133"/>
      <c r="RXU639" s="133"/>
      <c r="RXV639" s="133"/>
      <c r="RXW639" s="133"/>
      <c r="RXX639" s="133"/>
      <c r="RXY639" s="133"/>
      <c r="RXZ639" s="133"/>
      <c r="RYA639" s="133"/>
      <c r="RYB639" s="133"/>
      <c r="RYC639" s="133"/>
      <c r="RYD639" s="133"/>
      <c r="RYE639" s="133"/>
      <c r="RYF639" s="133"/>
      <c r="RYG639" s="133"/>
      <c r="RYH639" s="133"/>
      <c r="RYI639" s="133"/>
      <c r="RYJ639" s="133"/>
      <c r="RYK639" s="133"/>
      <c r="RYL639" s="133"/>
      <c r="RYM639" s="133"/>
      <c r="RYN639" s="133"/>
      <c r="RYO639" s="133"/>
      <c r="RYP639" s="133"/>
      <c r="RYQ639" s="133"/>
      <c r="RYR639" s="133"/>
      <c r="RYS639" s="133"/>
      <c r="RYT639" s="133"/>
      <c r="RYU639" s="133"/>
      <c r="RYV639" s="133"/>
      <c r="RYW639" s="133"/>
      <c r="RYX639" s="133"/>
      <c r="RYY639" s="133"/>
      <c r="RYZ639" s="133"/>
      <c r="RZA639" s="133"/>
      <c r="RZB639" s="133"/>
      <c r="RZC639" s="133"/>
      <c r="RZD639" s="133"/>
      <c r="RZE639" s="133"/>
      <c r="RZF639" s="133"/>
      <c r="RZG639" s="133"/>
      <c r="RZH639" s="133"/>
      <c r="RZI639" s="133"/>
      <c r="RZJ639" s="133"/>
      <c r="RZK639" s="133"/>
      <c r="RZL639" s="133"/>
      <c r="RZM639" s="133"/>
      <c r="RZN639" s="133"/>
      <c r="RZO639" s="133"/>
      <c r="RZP639" s="133"/>
      <c r="RZQ639" s="133"/>
      <c r="RZR639" s="133"/>
      <c r="RZS639" s="133"/>
      <c r="RZT639" s="133"/>
      <c r="RZU639" s="133"/>
      <c r="RZV639" s="133"/>
      <c r="RZW639" s="133"/>
      <c r="RZX639" s="133"/>
      <c r="RZY639" s="133"/>
      <c r="RZZ639" s="133"/>
      <c r="SAA639" s="133"/>
      <c r="SAB639" s="133"/>
      <c r="SAC639" s="133"/>
      <c r="SAD639" s="133"/>
      <c r="SAE639" s="133"/>
      <c r="SAF639" s="133"/>
      <c r="SAG639" s="133"/>
      <c r="SAH639" s="133"/>
      <c r="SAI639" s="133"/>
      <c r="SAJ639" s="133"/>
      <c r="SAK639" s="133"/>
      <c r="SAL639" s="133"/>
      <c r="SAM639" s="133"/>
      <c r="SAN639" s="133"/>
      <c r="SAO639" s="133"/>
      <c r="SAP639" s="133"/>
      <c r="SAQ639" s="133"/>
      <c r="SAR639" s="133"/>
      <c r="SAS639" s="133"/>
      <c r="SAT639" s="133"/>
      <c r="SAU639" s="133"/>
      <c r="SAV639" s="133"/>
      <c r="SAW639" s="133"/>
      <c r="SAX639" s="133"/>
      <c r="SAY639" s="133"/>
      <c r="SAZ639" s="133"/>
      <c r="SBA639" s="133"/>
      <c r="SBB639" s="133"/>
      <c r="SBC639" s="133"/>
      <c r="SBD639" s="133"/>
      <c r="SBE639" s="133"/>
      <c r="SBF639" s="133"/>
      <c r="SBG639" s="133"/>
      <c r="SBH639" s="133"/>
      <c r="SBI639" s="133"/>
      <c r="SBJ639" s="133"/>
      <c r="SBK639" s="133"/>
      <c r="SBL639" s="133"/>
      <c r="SBM639" s="133"/>
      <c r="SBN639" s="133"/>
      <c r="SBO639" s="133"/>
      <c r="SBP639" s="133"/>
      <c r="SBQ639" s="133"/>
      <c r="SBR639" s="133"/>
      <c r="SBS639" s="133"/>
      <c r="SBT639" s="133"/>
      <c r="SBU639" s="133"/>
      <c r="SBV639" s="133"/>
      <c r="SBW639" s="133"/>
      <c r="SBX639" s="133"/>
      <c r="SBY639" s="133"/>
      <c r="SBZ639" s="133"/>
      <c r="SCA639" s="133"/>
      <c r="SCB639" s="133"/>
      <c r="SCC639" s="133"/>
      <c r="SCD639" s="133"/>
      <c r="SCE639" s="133"/>
      <c r="SCF639" s="133"/>
      <c r="SCG639" s="133"/>
      <c r="SCH639" s="133"/>
      <c r="SCI639" s="133"/>
      <c r="SCJ639" s="133"/>
      <c r="SCK639" s="133"/>
      <c r="SCL639" s="133"/>
      <c r="SCM639" s="133"/>
      <c r="SCN639" s="133"/>
      <c r="SCO639" s="133"/>
      <c r="SCP639" s="133"/>
      <c r="SCQ639" s="133"/>
      <c r="SCR639" s="133"/>
      <c r="SCS639" s="133"/>
      <c r="SCT639" s="133"/>
      <c r="SCU639" s="133"/>
      <c r="SCV639" s="133"/>
      <c r="SCW639" s="133"/>
      <c r="SCX639" s="133"/>
      <c r="SCY639" s="133"/>
      <c r="SCZ639" s="133"/>
      <c r="SDA639" s="133"/>
      <c r="SDB639" s="133"/>
      <c r="SDC639" s="133"/>
      <c r="SDD639" s="133"/>
      <c r="SDE639" s="133"/>
      <c r="SDF639" s="133"/>
      <c r="SDG639" s="133"/>
      <c r="SDH639" s="133"/>
      <c r="SDI639" s="133"/>
      <c r="SDJ639" s="133"/>
      <c r="SDK639" s="133"/>
      <c r="SDL639" s="133"/>
      <c r="SDM639" s="133"/>
      <c r="SDN639" s="133"/>
      <c r="SDO639" s="133"/>
      <c r="SDP639" s="133"/>
      <c r="SDQ639" s="133"/>
      <c r="SDR639" s="133"/>
      <c r="SDS639" s="133"/>
      <c r="SDT639" s="133"/>
      <c r="SDU639" s="133"/>
      <c r="SDV639" s="133"/>
      <c r="SDW639" s="133"/>
      <c r="SDX639" s="133"/>
      <c r="SDY639" s="133"/>
      <c r="SDZ639" s="133"/>
      <c r="SEA639" s="133"/>
      <c r="SEB639" s="133"/>
      <c r="SEC639" s="133"/>
      <c r="SED639" s="133"/>
      <c r="SEE639" s="133"/>
      <c r="SEF639" s="133"/>
      <c r="SEG639" s="133"/>
      <c r="SEH639" s="133"/>
      <c r="SEI639" s="133"/>
      <c r="SEJ639" s="133"/>
      <c r="SEK639" s="133"/>
      <c r="SEL639" s="133"/>
      <c r="SEM639" s="133"/>
      <c r="SEN639" s="133"/>
      <c r="SEO639" s="133"/>
      <c r="SEP639" s="133"/>
      <c r="SEQ639" s="133"/>
      <c r="SER639" s="133"/>
      <c r="SES639" s="133"/>
      <c r="SET639" s="133"/>
      <c r="SEU639" s="133"/>
      <c r="SEV639" s="133"/>
      <c r="SEW639" s="133"/>
      <c r="SEX639" s="133"/>
      <c r="SEY639" s="133"/>
      <c r="SEZ639" s="133"/>
      <c r="SFA639" s="133"/>
      <c r="SFB639" s="133"/>
      <c r="SFC639" s="133"/>
      <c r="SFD639" s="133"/>
      <c r="SFE639" s="133"/>
      <c r="SFF639" s="133"/>
      <c r="SFG639" s="133"/>
      <c r="SFH639" s="133"/>
      <c r="SFI639" s="133"/>
      <c r="SFJ639" s="133"/>
      <c r="SFK639" s="133"/>
      <c r="SFL639" s="133"/>
      <c r="SFM639" s="133"/>
      <c r="SFN639" s="133"/>
      <c r="SFO639" s="133"/>
      <c r="SFP639" s="133"/>
      <c r="SFQ639" s="133"/>
      <c r="SFR639" s="133"/>
      <c r="SFS639" s="133"/>
      <c r="SFT639" s="133"/>
      <c r="SFU639" s="133"/>
      <c r="SFV639" s="133"/>
      <c r="SFW639" s="133"/>
      <c r="SFX639" s="133"/>
      <c r="SFY639" s="133"/>
      <c r="SFZ639" s="133"/>
      <c r="SGA639" s="133"/>
      <c r="SGB639" s="133"/>
      <c r="SGC639" s="133"/>
      <c r="SGD639" s="133"/>
      <c r="SGE639" s="133"/>
      <c r="SGF639" s="133"/>
      <c r="SGG639" s="133"/>
      <c r="SGH639" s="133"/>
      <c r="SGI639" s="133"/>
      <c r="SGJ639" s="133"/>
      <c r="SGK639" s="133"/>
      <c r="SGL639" s="133"/>
      <c r="SGM639" s="133"/>
      <c r="SGN639" s="133"/>
      <c r="SGO639" s="133"/>
      <c r="SGP639" s="133"/>
      <c r="SGQ639" s="133"/>
      <c r="SGR639" s="133"/>
      <c r="SGS639" s="133"/>
      <c r="SGT639" s="133"/>
      <c r="SGU639" s="133"/>
      <c r="SGV639" s="133"/>
      <c r="SGW639" s="133"/>
      <c r="SGX639" s="133"/>
      <c r="SGY639" s="133"/>
      <c r="SGZ639" s="133"/>
      <c r="SHA639" s="133"/>
      <c r="SHB639" s="133"/>
      <c r="SHC639" s="133"/>
      <c r="SHD639" s="133"/>
      <c r="SHE639" s="133"/>
      <c r="SHF639" s="133"/>
      <c r="SHG639" s="133"/>
      <c r="SHH639" s="133"/>
      <c r="SHI639" s="133"/>
      <c r="SHJ639" s="133"/>
      <c r="SHK639" s="133"/>
      <c r="SHL639" s="133"/>
      <c r="SHM639" s="133"/>
      <c r="SHN639" s="133"/>
      <c r="SHO639" s="133"/>
      <c r="SHP639" s="133"/>
      <c r="SHQ639" s="133"/>
      <c r="SHR639" s="133"/>
      <c r="SHS639" s="133"/>
      <c r="SHT639" s="133"/>
      <c r="SHU639" s="133"/>
      <c r="SHV639" s="133"/>
      <c r="SHW639" s="133"/>
      <c r="SHX639" s="133"/>
      <c r="SHY639" s="133"/>
      <c r="SHZ639" s="133"/>
      <c r="SIA639" s="133"/>
      <c r="SIB639" s="133"/>
      <c r="SIC639" s="133"/>
      <c r="SID639" s="133"/>
      <c r="SIE639" s="133"/>
      <c r="SIF639" s="133"/>
      <c r="SIG639" s="133"/>
      <c r="SIH639" s="133"/>
      <c r="SII639" s="133"/>
      <c r="SIJ639" s="133"/>
      <c r="SIK639" s="133"/>
      <c r="SIL639" s="133"/>
      <c r="SIM639" s="133"/>
      <c r="SIN639" s="133"/>
      <c r="SIO639" s="133"/>
      <c r="SIP639" s="133"/>
      <c r="SIQ639" s="133"/>
      <c r="SIR639" s="133"/>
      <c r="SIS639" s="133"/>
      <c r="SIT639" s="133"/>
      <c r="SIU639" s="133"/>
      <c r="SIV639" s="133"/>
      <c r="SIW639" s="133"/>
      <c r="SIX639" s="133"/>
      <c r="SIY639" s="133"/>
      <c r="SIZ639" s="133"/>
      <c r="SJA639" s="133"/>
      <c r="SJB639" s="133"/>
      <c r="SJC639" s="133"/>
      <c r="SJD639" s="133"/>
      <c r="SJE639" s="133"/>
      <c r="SJF639" s="133"/>
      <c r="SJG639" s="133"/>
      <c r="SJH639" s="133"/>
      <c r="SJI639" s="133"/>
      <c r="SJJ639" s="133"/>
      <c r="SJK639" s="133"/>
      <c r="SJL639" s="133"/>
      <c r="SJM639" s="133"/>
      <c r="SJN639" s="133"/>
      <c r="SJO639" s="133"/>
      <c r="SJP639" s="133"/>
      <c r="SJQ639" s="133"/>
      <c r="SJR639" s="133"/>
      <c r="SJS639" s="133"/>
      <c r="SJT639" s="133"/>
      <c r="SJU639" s="133"/>
      <c r="SJV639" s="133"/>
      <c r="SJW639" s="133"/>
      <c r="SJX639" s="133"/>
      <c r="SJY639" s="133"/>
      <c r="SJZ639" s="133"/>
      <c r="SKA639" s="133"/>
      <c r="SKB639" s="133"/>
      <c r="SKC639" s="133"/>
      <c r="SKD639" s="133"/>
      <c r="SKE639" s="133"/>
      <c r="SKF639" s="133"/>
      <c r="SKG639" s="133"/>
      <c r="SKH639" s="133"/>
      <c r="SKI639" s="133"/>
      <c r="SKJ639" s="133"/>
      <c r="SKK639" s="133"/>
      <c r="SKL639" s="133"/>
      <c r="SKM639" s="133"/>
      <c r="SKN639" s="133"/>
      <c r="SKO639" s="133"/>
      <c r="SKP639" s="133"/>
      <c r="SKQ639" s="133"/>
      <c r="SKR639" s="133"/>
      <c r="SKS639" s="133"/>
      <c r="SKT639" s="133"/>
      <c r="SKU639" s="133"/>
      <c r="SKV639" s="133"/>
      <c r="SKW639" s="133"/>
      <c r="SKX639" s="133"/>
      <c r="SKY639" s="133"/>
      <c r="SKZ639" s="133"/>
      <c r="SLA639" s="133"/>
      <c r="SLB639" s="133"/>
      <c r="SLC639" s="133"/>
      <c r="SLD639" s="133"/>
      <c r="SLE639" s="133"/>
      <c r="SLF639" s="133"/>
      <c r="SLG639" s="133"/>
      <c r="SLH639" s="133"/>
      <c r="SLI639" s="133"/>
      <c r="SLJ639" s="133"/>
      <c r="SLK639" s="133"/>
      <c r="SLL639" s="133"/>
      <c r="SLM639" s="133"/>
      <c r="SLN639" s="133"/>
      <c r="SLO639" s="133"/>
      <c r="SLP639" s="133"/>
      <c r="SLQ639" s="133"/>
      <c r="SLR639" s="133"/>
      <c r="SLS639" s="133"/>
      <c r="SLT639" s="133"/>
      <c r="SLU639" s="133"/>
      <c r="SLV639" s="133"/>
      <c r="SLW639" s="133"/>
      <c r="SLX639" s="133"/>
      <c r="SLY639" s="133"/>
      <c r="SLZ639" s="133"/>
      <c r="SMA639" s="133"/>
      <c r="SMB639" s="133"/>
      <c r="SMC639" s="133"/>
      <c r="SMD639" s="133"/>
      <c r="SME639" s="133"/>
      <c r="SMF639" s="133"/>
      <c r="SMG639" s="133"/>
      <c r="SMH639" s="133"/>
      <c r="SMI639" s="133"/>
      <c r="SMJ639" s="133"/>
      <c r="SMK639" s="133"/>
      <c r="SML639" s="133"/>
      <c r="SMM639" s="133"/>
      <c r="SMN639" s="133"/>
      <c r="SMO639" s="133"/>
      <c r="SMP639" s="133"/>
      <c r="SMQ639" s="133"/>
      <c r="SMR639" s="133"/>
      <c r="SMS639" s="133"/>
      <c r="SMT639" s="133"/>
      <c r="SMU639" s="133"/>
      <c r="SMV639" s="133"/>
      <c r="SMW639" s="133"/>
      <c r="SMX639" s="133"/>
      <c r="SMY639" s="133"/>
      <c r="SMZ639" s="133"/>
      <c r="SNA639" s="133"/>
      <c r="SNB639" s="133"/>
      <c r="SNC639" s="133"/>
      <c r="SND639" s="133"/>
      <c r="SNE639" s="133"/>
      <c r="SNF639" s="133"/>
      <c r="SNG639" s="133"/>
      <c r="SNH639" s="133"/>
      <c r="SNI639" s="133"/>
      <c r="SNJ639" s="133"/>
      <c r="SNK639" s="133"/>
      <c r="SNL639" s="133"/>
      <c r="SNM639" s="133"/>
      <c r="SNN639" s="133"/>
      <c r="SNO639" s="133"/>
      <c r="SNP639" s="133"/>
      <c r="SNQ639" s="133"/>
      <c r="SNR639" s="133"/>
      <c r="SNS639" s="133"/>
      <c r="SNT639" s="133"/>
      <c r="SNU639" s="133"/>
      <c r="SNV639" s="133"/>
      <c r="SNW639" s="133"/>
      <c r="SNX639" s="133"/>
      <c r="SNY639" s="133"/>
      <c r="SNZ639" s="133"/>
      <c r="SOA639" s="133"/>
      <c r="SOB639" s="133"/>
      <c r="SOC639" s="133"/>
      <c r="SOD639" s="133"/>
      <c r="SOE639" s="133"/>
      <c r="SOF639" s="133"/>
      <c r="SOG639" s="133"/>
      <c r="SOH639" s="133"/>
      <c r="SOI639" s="133"/>
      <c r="SOJ639" s="133"/>
      <c r="SOK639" s="133"/>
      <c r="SOL639" s="133"/>
      <c r="SOM639" s="133"/>
      <c r="SON639" s="133"/>
      <c r="SOO639" s="133"/>
      <c r="SOP639" s="133"/>
      <c r="SOQ639" s="133"/>
      <c r="SOR639" s="133"/>
      <c r="SOS639" s="133"/>
      <c r="SOT639" s="133"/>
      <c r="SOU639" s="133"/>
      <c r="SOV639" s="133"/>
      <c r="SOW639" s="133"/>
      <c r="SOX639" s="133"/>
      <c r="SOY639" s="133"/>
      <c r="SOZ639" s="133"/>
      <c r="SPA639" s="133"/>
      <c r="SPB639" s="133"/>
      <c r="SPC639" s="133"/>
      <c r="SPD639" s="133"/>
      <c r="SPE639" s="133"/>
      <c r="SPF639" s="133"/>
      <c r="SPG639" s="133"/>
      <c r="SPH639" s="133"/>
      <c r="SPI639" s="133"/>
      <c r="SPJ639" s="133"/>
      <c r="SPK639" s="133"/>
      <c r="SPL639" s="133"/>
      <c r="SPM639" s="133"/>
      <c r="SPN639" s="133"/>
      <c r="SPO639" s="133"/>
      <c r="SPP639" s="133"/>
      <c r="SPQ639" s="133"/>
      <c r="SPR639" s="133"/>
      <c r="SPS639" s="133"/>
      <c r="SPT639" s="133"/>
      <c r="SPU639" s="133"/>
      <c r="SPV639" s="133"/>
      <c r="SPW639" s="133"/>
      <c r="SPX639" s="133"/>
      <c r="SPY639" s="133"/>
      <c r="SPZ639" s="133"/>
      <c r="SQA639" s="133"/>
      <c r="SQB639" s="133"/>
      <c r="SQC639" s="133"/>
      <c r="SQD639" s="133"/>
      <c r="SQE639" s="133"/>
      <c r="SQF639" s="133"/>
      <c r="SQG639" s="133"/>
      <c r="SQH639" s="133"/>
      <c r="SQI639" s="133"/>
      <c r="SQJ639" s="133"/>
      <c r="SQK639" s="133"/>
      <c r="SQL639" s="133"/>
      <c r="SQM639" s="133"/>
      <c r="SQN639" s="133"/>
      <c r="SQO639" s="133"/>
      <c r="SQP639" s="133"/>
      <c r="SQQ639" s="133"/>
      <c r="SQR639" s="133"/>
      <c r="SQS639" s="133"/>
      <c r="SQT639" s="133"/>
      <c r="SQU639" s="133"/>
      <c r="SQV639" s="133"/>
      <c r="SQW639" s="133"/>
      <c r="SQX639" s="133"/>
      <c r="SQY639" s="133"/>
      <c r="SQZ639" s="133"/>
      <c r="SRA639" s="133"/>
      <c r="SRB639" s="133"/>
      <c r="SRC639" s="133"/>
      <c r="SRD639" s="133"/>
      <c r="SRE639" s="133"/>
      <c r="SRF639" s="133"/>
      <c r="SRG639" s="133"/>
      <c r="SRH639" s="133"/>
      <c r="SRI639" s="133"/>
      <c r="SRJ639" s="133"/>
      <c r="SRK639" s="133"/>
      <c r="SRL639" s="133"/>
      <c r="SRM639" s="133"/>
      <c r="SRN639" s="133"/>
      <c r="SRO639" s="133"/>
      <c r="SRP639" s="133"/>
      <c r="SRQ639" s="133"/>
      <c r="SRR639" s="133"/>
      <c r="SRS639" s="133"/>
      <c r="SRT639" s="133"/>
      <c r="SRU639" s="133"/>
      <c r="SRV639" s="133"/>
      <c r="SRW639" s="133"/>
      <c r="SRX639" s="133"/>
      <c r="SRY639" s="133"/>
      <c r="SRZ639" s="133"/>
      <c r="SSA639" s="133"/>
      <c r="SSB639" s="133"/>
      <c r="SSC639" s="133"/>
      <c r="SSD639" s="133"/>
      <c r="SSE639" s="133"/>
      <c r="SSF639" s="133"/>
      <c r="SSG639" s="133"/>
      <c r="SSH639" s="133"/>
      <c r="SSI639" s="133"/>
      <c r="SSJ639" s="133"/>
      <c r="SSK639" s="133"/>
      <c r="SSL639" s="133"/>
      <c r="SSM639" s="133"/>
      <c r="SSN639" s="133"/>
      <c r="SSO639" s="133"/>
      <c r="SSP639" s="133"/>
      <c r="SSQ639" s="133"/>
      <c r="SSR639" s="133"/>
      <c r="SSS639" s="133"/>
      <c r="SST639" s="133"/>
      <c r="SSU639" s="133"/>
      <c r="SSV639" s="133"/>
      <c r="SSW639" s="133"/>
      <c r="SSX639" s="133"/>
      <c r="SSY639" s="133"/>
      <c r="SSZ639" s="133"/>
      <c r="STA639" s="133"/>
      <c r="STB639" s="133"/>
      <c r="STC639" s="133"/>
      <c r="STD639" s="133"/>
      <c r="STE639" s="133"/>
      <c r="STF639" s="133"/>
      <c r="STG639" s="133"/>
      <c r="STH639" s="133"/>
      <c r="STI639" s="133"/>
      <c r="STJ639" s="133"/>
      <c r="STK639" s="133"/>
      <c r="STL639" s="133"/>
      <c r="STM639" s="133"/>
      <c r="STN639" s="133"/>
      <c r="STO639" s="133"/>
      <c r="STP639" s="133"/>
      <c r="STQ639" s="133"/>
      <c r="STR639" s="133"/>
      <c r="STS639" s="133"/>
      <c r="STT639" s="133"/>
      <c r="STU639" s="133"/>
      <c r="STV639" s="133"/>
      <c r="STW639" s="133"/>
      <c r="STX639" s="133"/>
      <c r="STY639" s="133"/>
      <c r="STZ639" s="133"/>
      <c r="SUA639" s="133"/>
      <c r="SUB639" s="133"/>
      <c r="SUC639" s="133"/>
      <c r="SUD639" s="133"/>
      <c r="SUE639" s="133"/>
      <c r="SUF639" s="133"/>
      <c r="SUG639" s="133"/>
      <c r="SUH639" s="133"/>
      <c r="SUI639" s="133"/>
      <c r="SUJ639" s="133"/>
      <c r="SUK639" s="133"/>
      <c r="SUL639" s="133"/>
      <c r="SUM639" s="133"/>
      <c r="SUN639" s="133"/>
      <c r="SUO639" s="133"/>
      <c r="SUP639" s="133"/>
      <c r="SUQ639" s="133"/>
      <c r="SUR639" s="133"/>
      <c r="SUS639" s="133"/>
      <c r="SUT639" s="133"/>
      <c r="SUU639" s="133"/>
      <c r="SUV639" s="133"/>
      <c r="SUW639" s="133"/>
      <c r="SUX639" s="133"/>
      <c r="SUY639" s="133"/>
      <c r="SUZ639" s="133"/>
      <c r="SVA639" s="133"/>
      <c r="SVB639" s="133"/>
      <c r="SVC639" s="133"/>
      <c r="SVD639" s="133"/>
      <c r="SVE639" s="133"/>
      <c r="SVF639" s="133"/>
      <c r="SVG639" s="133"/>
      <c r="SVH639" s="133"/>
      <c r="SVI639" s="133"/>
      <c r="SVJ639" s="133"/>
      <c r="SVK639" s="133"/>
      <c r="SVL639" s="133"/>
      <c r="SVM639" s="133"/>
      <c r="SVN639" s="133"/>
      <c r="SVO639" s="133"/>
      <c r="SVP639" s="133"/>
      <c r="SVQ639" s="133"/>
      <c r="SVR639" s="133"/>
      <c r="SVS639" s="133"/>
      <c r="SVT639" s="133"/>
      <c r="SVU639" s="133"/>
      <c r="SVV639" s="133"/>
      <c r="SVW639" s="133"/>
      <c r="SVX639" s="133"/>
      <c r="SVY639" s="133"/>
      <c r="SVZ639" s="133"/>
      <c r="SWA639" s="133"/>
      <c r="SWB639" s="133"/>
      <c r="SWC639" s="133"/>
      <c r="SWD639" s="133"/>
      <c r="SWE639" s="133"/>
      <c r="SWF639" s="133"/>
      <c r="SWG639" s="133"/>
      <c r="SWH639" s="133"/>
      <c r="SWI639" s="133"/>
      <c r="SWJ639" s="133"/>
      <c r="SWK639" s="133"/>
      <c r="SWL639" s="133"/>
      <c r="SWM639" s="133"/>
      <c r="SWN639" s="133"/>
      <c r="SWO639" s="133"/>
      <c r="SWP639" s="133"/>
      <c r="SWQ639" s="133"/>
      <c r="SWR639" s="133"/>
      <c r="SWS639" s="133"/>
      <c r="SWT639" s="133"/>
      <c r="SWU639" s="133"/>
      <c r="SWV639" s="133"/>
      <c r="SWW639" s="133"/>
      <c r="SWX639" s="133"/>
      <c r="SWY639" s="133"/>
      <c r="SWZ639" s="133"/>
      <c r="SXA639" s="133"/>
      <c r="SXB639" s="133"/>
      <c r="SXC639" s="133"/>
      <c r="SXD639" s="133"/>
      <c r="SXE639" s="133"/>
      <c r="SXF639" s="133"/>
      <c r="SXG639" s="133"/>
      <c r="SXH639" s="133"/>
      <c r="SXI639" s="133"/>
      <c r="SXJ639" s="133"/>
      <c r="SXK639" s="133"/>
      <c r="SXL639" s="133"/>
      <c r="SXM639" s="133"/>
      <c r="SXN639" s="133"/>
      <c r="SXO639" s="133"/>
      <c r="SXP639" s="133"/>
      <c r="SXQ639" s="133"/>
      <c r="SXR639" s="133"/>
      <c r="SXS639" s="133"/>
      <c r="SXT639" s="133"/>
      <c r="SXU639" s="133"/>
      <c r="SXV639" s="133"/>
      <c r="SXW639" s="133"/>
      <c r="SXX639" s="133"/>
      <c r="SXY639" s="133"/>
      <c r="SXZ639" s="133"/>
      <c r="SYA639" s="133"/>
      <c r="SYB639" s="133"/>
      <c r="SYC639" s="133"/>
      <c r="SYD639" s="133"/>
      <c r="SYE639" s="133"/>
      <c r="SYF639" s="133"/>
      <c r="SYG639" s="133"/>
      <c r="SYH639" s="133"/>
      <c r="SYI639" s="133"/>
      <c r="SYJ639" s="133"/>
      <c r="SYK639" s="133"/>
      <c r="SYL639" s="133"/>
      <c r="SYM639" s="133"/>
      <c r="SYN639" s="133"/>
      <c r="SYO639" s="133"/>
      <c r="SYP639" s="133"/>
      <c r="SYQ639" s="133"/>
      <c r="SYR639" s="133"/>
      <c r="SYS639" s="133"/>
      <c r="SYT639" s="133"/>
      <c r="SYU639" s="133"/>
      <c r="SYV639" s="133"/>
      <c r="SYW639" s="133"/>
      <c r="SYX639" s="133"/>
      <c r="SYY639" s="133"/>
      <c r="SYZ639" s="133"/>
      <c r="SZA639" s="133"/>
      <c r="SZB639" s="133"/>
      <c r="SZC639" s="133"/>
      <c r="SZD639" s="133"/>
      <c r="SZE639" s="133"/>
      <c r="SZF639" s="133"/>
      <c r="SZG639" s="133"/>
      <c r="SZH639" s="133"/>
      <c r="SZI639" s="133"/>
      <c r="SZJ639" s="133"/>
      <c r="SZK639" s="133"/>
      <c r="SZL639" s="133"/>
      <c r="SZM639" s="133"/>
      <c r="SZN639" s="133"/>
      <c r="SZO639" s="133"/>
      <c r="SZP639" s="133"/>
      <c r="SZQ639" s="133"/>
      <c r="SZR639" s="133"/>
      <c r="SZS639" s="133"/>
      <c r="SZT639" s="133"/>
      <c r="SZU639" s="133"/>
      <c r="SZV639" s="133"/>
      <c r="SZW639" s="133"/>
      <c r="SZX639" s="133"/>
      <c r="SZY639" s="133"/>
      <c r="SZZ639" s="133"/>
      <c r="TAA639" s="133"/>
      <c r="TAB639" s="133"/>
      <c r="TAC639" s="133"/>
      <c r="TAD639" s="133"/>
      <c r="TAE639" s="133"/>
      <c r="TAF639" s="133"/>
      <c r="TAG639" s="133"/>
      <c r="TAH639" s="133"/>
      <c r="TAI639" s="133"/>
      <c r="TAJ639" s="133"/>
      <c r="TAK639" s="133"/>
      <c r="TAL639" s="133"/>
      <c r="TAM639" s="133"/>
      <c r="TAN639" s="133"/>
      <c r="TAO639" s="133"/>
      <c r="TAP639" s="133"/>
      <c r="TAQ639" s="133"/>
      <c r="TAR639" s="133"/>
      <c r="TAS639" s="133"/>
      <c r="TAT639" s="133"/>
      <c r="TAU639" s="133"/>
      <c r="TAV639" s="133"/>
      <c r="TAW639" s="133"/>
      <c r="TAX639" s="133"/>
      <c r="TAY639" s="133"/>
      <c r="TAZ639" s="133"/>
      <c r="TBA639" s="133"/>
      <c r="TBB639" s="133"/>
      <c r="TBC639" s="133"/>
      <c r="TBD639" s="133"/>
      <c r="TBE639" s="133"/>
      <c r="TBF639" s="133"/>
      <c r="TBG639" s="133"/>
      <c r="TBH639" s="133"/>
      <c r="TBI639" s="133"/>
      <c r="TBJ639" s="133"/>
      <c r="TBK639" s="133"/>
      <c r="TBL639" s="133"/>
      <c r="TBM639" s="133"/>
      <c r="TBN639" s="133"/>
      <c r="TBO639" s="133"/>
      <c r="TBP639" s="133"/>
      <c r="TBQ639" s="133"/>
      <c r="TBR639" s="133"/>
      <c r="TBS639" s="133"/>
      <c r="TBT639" s="133"/>
      <c r="TBU639" s="133"/>
      <c r="TBV639" s="133"/>
      <c r="TBW639" s="133"/>
      <c r="TBX639" s="133"/>
      <c r="TBY639" s="133"/>
      <c r="TBZ639" s="133"/>
      <c r="TCA639" s="133"/>
      <c r="TCB639" s="133"/>
      <c r="TCC639" s="133"/>
      <c r="TCD639" s="133"/>
      <c r="TCE639" s="133"/>
      <c r="TCF639" s="133"/>
      <c r="TCG639" s="133"/>
      <c r="TCH639" s="133"/>
      <c r="TCI639" s="133"/>
      <c r="TCJ639" s="133"/>
      <c r="TCK639" s="133"/>
      <c r="TCL639" s="133"/>
      <c r="TCM639" s="133"/>
      <c r="TCN639" s="133"/>
      <c r="TCO639" s="133"/>
      <c r="TCP639" s="133"/>
      <c r="TCQ639" s="133"/>
      <c r="TCR639" s="133"/>
      <c r="TCS639" s="133"/>
      <c r="TCT639" s="133"/>
      <c r="TCU639" s="133"/>
      <c r="TCV639" s="133"/>
      <c r="TCW639" s="133"/>
      <c r="TCX639" s="133"/>
      <c r="TCY639" s="133"/>
      <c r="TCZ639" s="133"/>
      <c r="TDA639" s="133"/>
      <c r="TDB639" s="133"/>
      <c r="TDC639" s="133"/>
      <c r="TDD639" s="133"/>
      <c r="TDE639" s="133"/>
      <c r="TDF639" s="133"/>
      <c r="TDG639" s="133"/>
      <c r="TDH639" s="133"/>
      <c r="TDI639" s="133"/>
      <c r="TDJ639" s="133"/>
      <c r="TDK639" s="133"/>
      <c r="TDL639" s="133"/>
      <c r="TDM639" s="133"/>
      <c r="TDN639" s="133"/>
      <c r="TDO639" s="133"/>
      <c r="TDP639" s="133"/>
      <c r="TDQ639" s="133"/>
      <c r="TDR639" s="133"/>
      <c r="TDS639" s="133"/>
      <c r="TDT639" s="133"/>
      <c r="TDU639" s="133"/>
      <c r="TDV639" s="133"/>
      <c r="TDW639" s="133"/>
      <c r="TDX639" s="133"/>
      <c r="TDY639" s="133"/>
      <c r="TDZ639" s="133"/>
      <c r="TEA639" s="133"/>
      <c r="TEB639" s="133"/>
      <c r="TEC639" s="133"/>
      <c r="TED639" s="133"/>
      <c r="TEE639" s="133"/>
      <c r="TEF639" s="133"/>
      <c r="TEG639" s="133"/>
      <c r="TEH639" s="133"/>
      <c r="TEI639" s="133"/>
      <c r="TEJ639" s="133"/>
      <c r="TEK639" s="133"/>
      <c r="TEL639" s="133"/>
      <c r="TEM639" s="133"/>
      <c r="TEN639" s="133"/>
      <c r="TEO639" s="133"/>
      <c r="TEP639" s="133"/>
      <c r="TEQ639" s="133"/>
      <c r="TER639" s="133"/>
      <c r="TES639" s="133"/>
      <c r="TET639" s="133"/>
      <c r="TEU639" s="133"/>
      <c r="TEV639" s="133"/>
      <c r="TEW639" s="133"/>
      <c r="TEX639" s="133"/>
      <c r="TEY639" s="133"/>
      <c r="TEZ639" s="133"/>
      <c r="TFA639" s="133"/>
      <c r="TFB639" s="133"/>
      <c r="TFC639" s="133"/>
      <c r="TFD639" s="133"/>
      <c r="TFE639" s="133"/>
      <c r="TFF639" s="133"/>
      <c r="TFG639" s="133"/>
      <c r="TFH639" s="133"/>
      <c r="TFI639" s="133"/>
      <c r="TFJ639" s="133"/>
      <c r="TFK639" s="133"/>
      <c r="TFL639" s="133"/>
      <c r="TFM639" s="133"/>
      <c r="TFN639" s="133"/>
      <c r="TFO639" s="133"/>
      <c r="TFP639" s="133"/>
      <c r="TFQ639" s="133"/>
      <c r="TFR639" s="133"/>
      <c r="TFS639" s="133"/>
      <c r="TFT639" s="133"/>
      <c r="TFU639" s="133"/>
      <c r="TFV639" s="133"/>
      <c r="TFW639" s="133"/>
      <c r="TFX639" s="133"/>
      <c r="TFY639" s="133"/>
      <c r="TFZ639" s="133"/>
      <c r="TGA639" s="133"/>
      <c r="TGB639" s="133"/>
      <c r="TGC639" s="133"/>
      <c r="TGD639" s="133"/>
      <c r="TGE639" s="133"/>
      <c r="TGF639" s="133"/>
      <c r="TGG639" s="133"/>
      <c r="TGH639" s="133"/>
      <c r="TGI639" s="133"/>
      <c r="TGJ639" s="133"/>
      <c r="TGK639" s="133"/>
      <c r="TGL639" s="133"/>
      <c r="TGM639" s="133"/>
      <c r="TGN639" s="133"/>
      <c r="TGO639" s="133"/>
      <c r="TGP639" s="133"/>
      <c r="TGQ639" s="133"/>
      <c r="TGR639" s="133"/>
      <c r="TGS639" s="133"/>
      <c r="TGT639" s="133"/>
      <c r="TGU639" s="133"/>
      <c r="TGV639" s="133"/>
      <c r="TGW639" s="133"/>
      <c r="TGX639" s="133"/>
      <c r="TGY639" s="133"/>
      <c r="TGZ639" s="133"/>
      <c r="THA639" s="133"/>
      <c r="THB639" s="133"/>
      <c r="THC639" s="133"/>
      <c r="THD639" s="133"/>
      <c r="THE639" s="133"/>
      <c r="THF639" s="133"/>
      <c r="THG639" s="133"/>
      <c r="THH639" s="133"/>
      <c r="THI639" s="133"/>
      <c r="THJ639" s="133"/>
      <c r="THK639" s="133"/>
      <c r="THL639" s="133"/>
      <c r="THM639" s="133"/>
      <c r="THN639" s="133"/>
      <c r="THO639" s="133"/>
      <c r="THP639" s="133"/>
      <c r="THQ639" s="133"/>
      <c r="THR639" s="133"/>
      <c r="THS639" s="133"/>
      <c r="THT639" s="133"/>
      <c r="THU639" s="133"/>
      <c r="THV639" s="133"/>
      <c r="THW639" s="133"/>
      <c r="THX639" s="133"/>
      <c r="THY639" s="133"/>
      <c r="THZ639" s="133"/>
      <c r="TIA639" s="133"/>
      <c r="TIB639" s="133"/>
      <c r="TIC639" s="133"/>
      <c r="TID639" s="133"/>
      <c r="TIE639" s="133"/>
      <c r="TIF639" s="133"/>
      <c r="TIG639" s="133"/>
      <c r="TIH639" s="133"/>
      <c r="TII639" s="133"/>
      <c r="TIJ639" s="133"/>
      <c r="TIK639" s="133"/>
      <c r="TIL639" s="133"/>
      <c r="TIM639" s="133"/>
      <c r="TIN639" s="133"/>
      <c r="TIO639" s="133"/>
      <c r="TIP639" s="133"/>
      <c r="TIQ639" s="133"/>
      <c r="TIR639" s="133"/>
      <c r="TIS639" s="133"/>
      <c r="TIT639" s="133"/>
      <c r="TIU639" s="133"/>
      <c r="TIV639" s="133"/>
      <c r="TIW639" s="133"/>
      <c r="TIX639" s="133"/>
      <c r="TIY639" s="133"/>
      <c r="TIZ639" s="133"/>
      <c r="TJA639" s="133"/>
      <c r="TJB639" s="133"/>
      <c r="TJC639" s="133"/>
      <c r="TJD639" s="133"/>
      <c r="TJE639" s="133"/>
      <c r="TJF639" s="133"/>
      <c r="TJG639" s="133"/>
      <c r="TJH639" s="133"/>
      <c r="TJI639" s="133"/>
      <c r="TJJ639" s="133"/>
      <c r="TJK639" s="133"/>
      <c r="TJL639" s="133"/>
      <c r="TJM639" s="133"/>
      <c r="TJN639" s="133"/>
      <c r="TJO639" s="133"/>
      <c r="TJP639" s="133"/>
      <c r="TJQ639" s="133"/>
      <c r="TJR639" s="133"/>
      <c r="TJS639" s="133"/>
      <c r="TJT639" s="133"/>
      <c r="TJU639" s="133"/>
      <c r="TJV639" s="133"/>
      <c r="TJW639" s="133"/>
      <c r="TJX639" s="133"/>
      <c r="TJY639" s="133"/>
      <c r="TJZ639" s="133"/>
      <c r="TKA639" s="133"/>
      <c r="TKB639" s="133"/>
      <c r="TKC639" s="133"/>
      <c r="TKD639" s="133"/>
      <c r="TKE639" s="133"/>
      <c r="TKF639" s="133"/>
      <c r="TKG639" s="133"/>
      <c r="TKH639" s="133"/>
      <c r="TKI639" s="133"/>
      <c r="TKJ639" s="133"/>
      <c r="TKK639" s="133"/>
      <c r="TKL639" s="133"/>
      <c r="TKM639" s="133"/>
      <c r="TKN639" s="133"/>
      <c r="TKO639" s="133"/>
      <c r="TKP639" s="133"/>
      <c r="TKQ639" s="133"/>
      <c r="TKR639" s="133"/>
      <c r="TKS639" s="133"/>
      <c r="TKT639" s="133"/>
      <c r="TKU639" s="133"/>
      <c r="TKV639" s="133"/>
      <c r="TKW639" s="133"/>
      <c r="TKX639" s="133"/>
      <c r="TKY639" s="133"/>
      <c r="TKZ639" s="133"/>
      <c r="TLA639" s="133"/>
      <c r="TLB639" s="133"/>
      <c r="TLC639" s="133"/>
      <c r="TLD639" s="133"/>
      <c r="TLE639" s="133"/>
      <c r="TLF639" s="133"/>
      <c r="TLG639" s="133"/>
      <c r="TLH639" s="133"/>
      <c r="TLI639" s="133"/>
      <c r="TLJ639" s="133"/>
      <c r="TLK639" s="133"/>
      <c r="TLL639" s="133"/>
      <c r="TLM639" s="133"/>
      <c r="TLN639" s="133"/>
      <c r="TLO639" s="133"/>
      <c r="TLP639" s="133"/>
      <c r="TLQ639" s="133"/>
      <c r="TLR639" s="133"/>
      <c r="TLS639" s="133"/>
      <c r="TLT639" s="133"/>
      <c r="TLU639" s="133"/>
      <c r="TLV639" s="133"/>
      <c r="TLW639" s="133"/>
      <c r="TLX639" s="133"/>
      <c r="TLY639" s="133"/>
      <c r="TLZ639" s="133"/>
      <c r="TMA639" s="133"/>
      <c r="TMB639" s="133"/>
      <c r="TMC639" s="133"/>
      <c r="TMD639" s="133"/>
      <c r="TME639" s="133"/>
      <c r="TMF639" s="133"/>
      <c r="TMG639" s="133"/>
      <c r="TMH639" s="133"/>
      <c r="TMI639" s="133"/>
      <c r="TMJ639" s="133"/>
      <c r="TMK639" s="133"/>
      <c r="TML639" s="133"/>
      <c r="TMM639" s="133"/>
      <c r="TMN639" s="133"/>
      <c r="TMO639" s="133"/>
      <c r="TMP639" s="133"/>
      <c r="TMQ639" s="133"/>
      <c r="TMR639" s="133"/>
      <c r="TMS639" s="133"/>
      <c r="TMT639" s="133"/>
      <c r="TMU639" s="133"/>
      <c r="TMV639" s="133"/>
      <c r="TMW639" s="133"/>
      <c r="TMX639" s="133"/>
      <c r="TMY639" s="133"/>
      <c r="TMZ639" s="133"/>
      <c r="TNA639" s="133"/>
      <c r="TNB639" s="133"/>
      <c r="TNC639" s="133"/>
      <c r="TND639" s="133"/>
      <c r="TNE639" s="133"/>
      <c r="TNF639" s="133"/>
      <c r="TNG639" s="133"/>
      <c r="TNH639" s="133"/>
      <c r="TNI639" s="133"/>
      <c r="TNJ639" s="133"/>
      <c r="TNK639" s="133"/>
      <c r="TNL639" s="133"/>
      <c r="TNM639" s="133"/>
      <c r="TNN639" s="133"/>
      <c r="TNO639" s="133"/>
      <c r="TNP639" s="133"/>
      <c r="TNQ639" s="133"/>
      <c r="TNR639" s="133"/>
      <c r="TNS639" s="133"/>
      <c r="TNT639" s="133"/>
      <c r="TNU639" s="133"/>
      <c r="TNV639" s="133"/>
      <c r="TNW639" s="133"/>
      <c r="TNX639" s="133"/>
      <c r="TNY639" s="133"/>
      <c r="TNZ639" s="133"/>
      <c r="TOA639" s="133"/>
      <c r="TOB639" s="133"/>
      <c r="TOC639" s="133"/>
      <c r="TOD639" s="133"/>
      <c r="TOE639" s="133"/>
      <c r="TOF639" s="133"/>
      <c r="TOG639" s="133"/>
      <c r="TOH639" s="133"/>
      <c r="TOI639" s="133"/>
      <c r="TOJ639" s="133"/>
      <c r="TOK639" s="133"/>
      <c r="TOL639" s="133"/>
      <c r="TOM639" s="133"/>
      <c r="TON639" s="133"/>
      <c r="TOO639" s="133"/>
      <c r="TOP639" s="133"/>
      <c r="TOQ639" s="133"/>
      <c r="TOR639" s="133"/>
      <c r="TOS639" s="133"/>
      <c r="TOT639" s="133"/>
      <c r="TOU639" s="133"/>
      <c r="TOV639" s="133"/>
      <c r="TOW639" s="133"/>
      <c r="TOX639" s="133"/>
      <c r="TOY639" s="133"/>
      <c r="TOZ639" s="133"/>
      <c r="TPA639" s="133"/>
      <c r="TPB639" s="133"/>
      <c r="TPC639" s="133"/>
      <c r="TPD639" s="133"/>
      <c r="TPE639" s="133"/>
      <c r="TPF639" s="133"/>
      <c r="TPG639" s="133"/>
      <c r="TPH639" s="133"/>
      <c r="TPI639" s="133"/>
      <c r="TPJ639" s="133"/>
      <c r="TPK639" s="133"/>
      <c r="TPL639" s="133"/>
      <c r="TPM639" s="133"/>
      <c r="TPN639" s="133"/>
      <c r="TPO639" s="133"/>
      <c r="TPP639" s="133"/>
      <c r="TPQ639" s="133"/>
      <c r="TPR639" s="133"/>
      <c r="TPS639" s="133"/>
      <c r="TPT639" s="133"/>
      <c r="TPU639" s="133"/>
      <c r="TPV639" s="133"/>
      <c r="TPW639" s="133"/>
      <c r="TPX639" s="133"/>
      <c r="TPY639" s="133"/>
      <c r="TPZ639" s="133"/>
      <c r="TQA639" s="133"/>
      <c r="TQB639" s="133"/>
      <c r="TQC639" s="133"/>
      <c r="TQD639" s="133"/>
      <c r="TQE639" s="133"/>
      <c r="TQF639" s="133"/>
      <c r="TQG639" s="133"/>
      <c r="TQH639" s="133"/>
      <c r="TQI639" s="133"/>
      <c r="TQJ639" s="133"/>
      <c r="TQK639" s="133"/>
      <c r="TQL639" s="133"/>
      <c r="TQM639" s="133"/>
      <c r="TQN639" s="133"/>
      <c r="TQO639" s="133"/>
      <c r="TQP639" s="133"/>
      <c r="TQQ639" s="133"/>
      <c r="TQR639" s="133"/>
      <c r="TQS639" s="133"/>
      <c r="TQT639" s="133"/>
      <c r="TQU639" s="133"/>
      <c r="TQV639" s="133"/>
      <c r="TQW639" s="133"/>
      <c r="TQX639" s="133"/>
      <c r="TQY639" s="133"/>
      <c r="TQZ639" s="133"/>
      <c r="TRA639" s="133"/>
      <c r="TRB639" s="133"/>
      <c r="TRC639" s="133"/>
      <c r="TRD639" s="133"/>
      <c r="TRE639" s="133"/>
      <c r="TRF639" s="133"/>
      <c r="TRG639" s="133"/>
      <c r="TRH639" s="133"/>
      <c r="TRI639" s="133"/>
      <c r="TRJ639" s="133"/>
      <c r="TRK639" s="133"/>
      <c r="TRL639" s="133"/>
      <c r="TRM639" s="133"/>
      <c r="TRN639" s="133"/>
      <c r="TRO639" s="133"/>
      <c r="TRP639" s="133"/>
      <c r="TRQ639" s="133"/>
      <c r="TRR639" s="133"/>
      <c r="TRS639" s="133"/>
      <c r="TRT639" s="133"/>
      <c r="TRU639" s="133"/>
      <c r="TRV639" s="133"/>
      <c r="TRW639" s="133"/>
      <c r="TRX639" s="133"/>
      <c r="TRY639" s="133"/>
      <c r="TRZ639" s="133"/>
      <c r="TSA639" s="133"/>
      <c r="TSB639" s="133"/>
      <c r="TSC639" s="133"/>
      <c r="TSD639" s="133"/>
      <c r="TSE639" s="133"/>
      <c r="TSF639" s="133"/>
      <c r="TSG639" s="133"/>
      <c r="TSH639" s="133"/>
      <c r="TSI639" s="133"/>
      <c r="TSJ639" s="133"/>
      <c r="TSK639" s="133"/>
      <c r="TSL639" s="133"/>
      <c r="TSM639" s="133"/>
      <c r="TSN639" s="133"/>
      <c r="TSO639" s="133"/>
      <c r="TSP639" s="133"/>
      <c r="TSQ639" s="133"/>
      <c r="TSR639" s="133"/>
      <c r="TSS639" s="133"/>
      <c r="TST639" s="133"/>
      <c r="TSU639" s="133"/>
      <c r="TSV639" s="133"/>
      <c r="TSW639" s="133"/>
      <c r="TSX639" s="133"/>
      <c r="TSY639" s="133"/>
      <c r="TSZ639" s="133"/>
      <c r="TTA639" s="133"/>
      <c r="TTB639" s="133"/>
      <c r="TTC639" s="133"/>
      <c r="TTD639" s="133"/>
      <c r="TTE639" s="133"/>
      <c r="TTF639" s="133"/>
      <c r="TTG639" s="133"/>
      <c r="TTH639" s="133"/>
      <c r="TTI639" s="133"/>
      <c r="TTJ639" s="133"/>
      <c r="TTK639" s="133"/>
      <c r="TTL639" s="133"/>
      <c r="TTM639" s="133"/>
      <c r="TTN639" s="133"/>
      <c r="TTO639" s="133"/>
      <c r="TTP639" s="133"/>
      <c r="TTQ639" s="133"/>
      <c r="TTR639" s="133"/>
      <c r="TTS639" s="133"/>
      <c r="TTT639" s="133"/>
      <c r="TTU639" s="133"/>
      <c r="TTV639" s="133"/>
      <c r="TTW639" s="133"/>
      <c r="TTX639" s="133"/>
      <c r="TTY639" s="133"/>
      <c r="TTZ639" s="133"/>
      <c r="TUA639" s="133"/>
      <c r="TUB639" s="133"/>
      <c r="TUC639" s="133"/>
      <c r="TUD639" s="133"/>
      <c r="TUE639" s="133"/>
      <c r="TUF639" s="133"/>
      <c r="TUG639" s="133"/>
      <c r="TUH639" s="133"/>
      <c r="TUI639" s="133"/>
      <c r="TUJ639" s="133"/>
      <c r="TUK639" s="133"/>
      <c r="TUL639" s="133"/>
      <c r="TUM639" s="133"/>
      <c r="TUN639" s="133"/>
      <c r="TUO639" s="133"/>
      <c r="TUP639" s="133"/>
      <c r="TUQ639" s="133"/>
      <c r="TUR639" s="133"/>
      <c r="TUS639" s="133"/>
      <c r="TUT639" s="133"/>
      <c r="TUU639" s="133"/>
      <c r="TUV639" s="133"/>
      <c r="TUW639" s="133"/>
      <c r="TUX639" s="133"/>
      <c r="TUY639" s="133"/>
      <c r="TUZ639" s="133"/>
      <c r="TVA639" s="133"/>
      <c r="TVB639" s="133"/>
      <c r="TVC639" s="133"/>
      <c r="TVD639" s="133"/>
      <c r="TVE639" s="133"/>
      <c r="TVF639" s="133"/>
      <c r="TVG639" s="133"/>
      <c r="TVH639" s="133"/>
      <c r="TVI639" s="133"/>
      <c r="TVJ639" s="133"/>
      <c r="TVK639" s="133"/>
      <c r="TVL639" s="133"/>
      <c r="TVM639" s="133"/>
      <c r="TVN639" s="133"/>
      <c r="TVO639" s="133"/>
      <c r="TVP639" s="133"/>
      <c r="TVQ639" s="133"/>
      <c r="TVR639" s="133"/>
      <c r="TVS639" s="133"/>
      <c r="TVT639" s="133"/>
      <c r="TVU639" s="133"/>
      <c r="TVV639" s="133"/>
      <c r="TVW639" s="133"/>
      <c r="TVX639" s="133"/>
      <c r="TVY639" s="133"/>
      <c r="TVZ639" s="133"/>
      <c r="TWA639" s="133"/>
      <c r="TWB639" s="133"/>
      <c r="TWC639" s="133"/>
      <c r="TWD639" s="133"/>
      <c r="TWE639" s="133"/>
      <c r="TWF639" s="133"/>
      <c r="TWG639" s="133"/>
      <c r="TWH639" s="133"/>
      <c r="TWI639" s="133"/>
      <c r="TWJ639" s="133"/>
      <c r="TWK639" s="133"/>
      <c r="TWL639" s="133"/>
      <c r="TWM639" s="133"/>
      <c r="TWN639" s="133"/>
      <c r="TWO639" s="133"/>
      <c r="TWP639" s="133"/>
      <c r="TWQ639" s="133"/>
      <c r="TWR639" s="133"/>
      <c r="TWS639" s="133"/>
      <c r="TWT639" s="133"/>
      <c r="TWU639" s="133"/>
      <c r="TWV639" s="133"/>
      <c r="TWW639" s="133"/>
      <c r="TWX639" s="133"/>
      <c r="TWY639" s="133"/>
      <c r="TWZ639" s="133"/>
      <c r="TXA639" s="133"/>
      <c r="TXB639" s="133"/>
      <c r="TXC639" s="133"/>
      <c r="TXD639" s="133"/>
      <c r="TXE639" s="133"/>
      <c r="TXF639" s="133"/>
      <c r="TXG639" s="133"/>
      <c r="TXH639" s="133"/>
      <c r="TXI639" s="133"/>
      <c r="TXJ639" s="133"/>
      <c r="TXK639" s="133"/>
      <c r="TXL639" s="133"/>
      <c r="TXM639" s="133"/>
      <c r="TXN639" s="133"/>
      <c r="TXO639" s="133"/>
      <c r="TXP639" s="133"/>
      <c r="TXQ639" s="133"/>
      <c r="TXR639" s="133"/>
      <c r="TXS639" s="133"/>
      <c r="TXT639" s="133"/>
      <c r="TXU639" s="133"/>
      <c r="TXV639" s="133"/>
      <c r="TXW639" s="133"/>
      <c r="TXX639" s="133"/>
      <c r="TXY639" s="133"/>
      <c r="TXZ639" s="133"/>
      <c r="TYA639" s="133"/>
      <c r="TYB639" s="133"/>
      <c r="TYC639" s="133"/>
      <c r="TYD639" s="133"/>
      <c r="TYE639" s="133"/>
      <c r="TYF639" s="133"/>
      <c r="TYG639" s="133"/>
      <c r="TYH639" s="133"/>
      <c r="TYI639" s="133"/>
      <c r="TYJ639" s="133"/>
      <c r="TYK639" s="133"/>
      <c r="TYL639" s="133"/>
      <c r="TYM639" s="133"/>
      <c r="TYN639" s="133"/>
      <c r="TYO639" s="133"/>
      <c r="TYP639" s="133"/>
      <c r="TYQ639" s="133"/>
      <c r="TYR639" s="133"/>
      <c r="TYS639" s="133"/>
      <c r="TYT639" s="133"/>
      <c r="TYU639" s="133"/>
      <c r="TYV639" s="133"/>
      <c r="TYW639" s="133"/>
      <c r="TYX639" s="133"/>
      <c r="TYY639" s="133"/>
      <c r="TYZ639" s="133"/>
      <c r="TZA639" s="133"/>
      <c r="TZB639" s="133"/>
      <c r="TZC639" s="133"/>
      <c r="TZD639" s="133"/>
      <c r="TZE639" s="133"/>
      <c r="TZF639" s="133"/>
      <c r="TZG639" s="133"/>
      <c r="TZH639" s="133"/>
      <c r="TZI639" s="133"/>
      <c r="TZJ639" s="133"/>
      <c r="TZK639" s="133"/>
      <c r="TZL639" s="133"/>
      <c r="TZM639" s="133"/>
      <c r="TZN639" s="133"/>
      <c r="TZO639" s="133"/>
      <c r="TZP639" s="133"/>
      <c r="TZQ639" s="133"/>
      <c r="TZR639" s="133"/>
      <c r="TZS639" s="133"/>
      <c r="TZT639" s="133"/>
      <c r="TZU639" s="133"/>
      <c r="TZV639" s="133"/>
      <c r="TZW639" s="133"/>
      <c r="TZX639" s="133"/>
      <c r="TZY639" s="133"/>
      <c r="TZZ639" s="133"/>
      <c r="UAA639" s="133"/>
      <c r="UAB639" s="133"/>
      <c r="UAC639" s="133"/>
      <c r="UAD639" s="133"/>
      <c r="UAE639" s="133"/>
      <c r="UAF639" s="133"/>
      <c r="UAG639" s="133"/>
      <c r="UAH639" s="133"/>
      <c r="UAI639" s="133"/>
      <c r="UAJ639" s="133"/>
      <c r="UAK639" s="133"/>
      <c r="UAL639" s="133"/>
      <c r="UAM639" s="133"/>
      <c r="UAN639" s="133"/>
      <c r="UAO639" s="133"/>
      <c r="UAP639" s="133"/>
      <c r="UAQ639" s="133"/>
      <c r="UAR639" s="133"/>
      <c r="UAS639" s="133"/>
      <c r="UAT639" s="133"/>
      <c r="UAU639" s="133"/>
      <c r="UAV639" s="133"/>
      <c r="UAW639" s="133"/>
      <c r="UAX639" s="133"/>
      <c r="UAY639" s="133"/>
      <c r="UAZ639" s="133"/>
      <c r="UBA639" s="133"/>
      <c r="UBB639" s="133"/>
      <c r="UBC639" s="133"/>
      <c r="UBD639" s="133"/>
      <c r="UBE639" s="133"/>
      <c r="UBF639" s="133"/>
      <c r="UBG639" s="133"/>
      <c r="UBH639" s="133"/>
      <c r="UBI639" s="133"/>
      <c r="UBJ639" s="133"/>
      <c r="UBK639" s="133"/>
      <c r="UBL639" s="133"/>
      <c r="UBM639" s="133"/>
      <c r="UBN639" s="133"/>
      <c r="UBO639" s="133"/>
      <c r="UBP639" s="133"/>
      <c r="UBQ639" s="133"/>
      <c r="UBR639" s="133"/>
      <c r="UBS639" s="133"/>
      <c r="UBT639" s="133"/>
      <c r="UBU639" s="133"/>
      <c r="UBV639" s="133"/>
      <c r="UBW639" s="133"/>
      <c r="UBX639" s="133"/>
      <c r="UBY639" s="133"/>
      <c r="UBZ639" s="133"/>
      <c r="UCA639" s="133"/>
      <c r="UCB639" s="133"/>
      <c r="UCC639" s="133"/>
      <c r="UCD639" s="133"/>
      <c r="UCE639" s="133"/>
      <c r="UCF639" s="133"/>
      <c r="UCG639" s="133"/>
      <c r="UCH639" s="133"/>
      <c r="UCI639" s="133"/>
      <c r="UCJ639" s="133"/>
      <c r="UCK639" s="133"/>
      <c r="UCL639" s="133"/>
      <c r="UCM639" s="133"/>
      <c r="UCN639" s="133"/>
      <c r="UCO639" s="133"/>
      <c r="UCP639" s="133"/>
      <c r="UCQ639" s="133"/>
      <c r="UCR639" s="133"/>
      <c r="UCS639" s="133"/>
      <c r="UCT639" s="133"/>
      <c r="UCU639" s="133"/>
      <c r="UCV639" s="133"/>
      <c r="UCW639" s="133"/>
      <c r="UCX639" s="133"/>
      <c r="UCY639" s="133"/>
      <c r="UCZ639" s="133"/>
      <c r="UDA639" s="133"/>
      <c r="UDB639" s="133"/>
      <c r="UDC639" s="133"/>
      <c r="UDD639" s="133"/>
      <c r="UDE639" s="133"/>
      <c r="UDF639" s="133"/>
      <c r="UDG639" s="133"/>
      <c r="UDH639" s="133"/>
      <c r="UDI639" s="133"/>
      <c r="UDJ639" s="133"/>
      <c r="UDK639" s="133"/>
      <c r="UDL639" s="133"/>
      <c r="UDM639" s="133"/>
      <c r="UDN639" s="133"/>
      <c r="UDO639" s="133"/>
      <c r="UDP639" s="133"/>
      <c r="UDQ639" s="133"/>
      <c r="UDR639" s="133"/>
      <c r="UDS639" s="133"/>
      <c r="UDT639" s="133"/>
      <c r="UDU639" s="133"/>
      <c r="UDV639" s="133"/>
      <c r="UDW639" s="133"/>
      <c r="UDX639" s="133"/>
      <c r="UDY639" s="133"/>
      <c r="UDZ639" s="133"/>
      <c r="UEA639" s="133"/>
      <c r="UEB639" s="133"/>
      <c r="UEC639" s="133"/>
      <c r="UED639" s="133"/>
      <c r="UEE639" s="133"/>
      <c r="UEF639" s="133"/>
      <c r="UEG639" s="133"/>
      <c r="UEH639" s="133"/>
      <c r="UEI639" s="133"/>
      <c r="UEJ639" s="133"/>
      <c r="UEK639" s="133"/>
      <c r="UEL639" s="133"/>
      <c r="UEM639" s="133"/>
      <c r="UEN639" s="133"/>
      <c r="UEO639" s="133"/>
      <c r="UEP639" s="133"/>
      <c r="UEQ639" s="133"/>
      <c r="UER639" s="133"/>
      <c r="UES639" s="133"/>
      <c r="UET639" s="133"/>
      <c r="UEU639" s="133"/>
      <c r="UEV639" s="133"/>
      <c r="UEW639" s="133"/>
      <c r="UEX639" s="133"/>
      <c r="UEY639" s="133"/>
      <c r="UEZ639" s="133"/>
      <c r="UFA639" s="133"/>
      <c r="UFB639" s="133"/>
      <c r="UFC639" s="133"/>
      <c r="UFD639" s="133"/>
      <c r="UFE639" s="133"/>
      <c r="UFF639" s="133"/>
      <c r="UFG639" s="133"/>
      <c r="UFH639" s="133"/>
      <c r="UFI639" s="133"/>
      <c r="UFJ639" s="133"/>
      <c r="UFK639" s="133"/>
      <c r="UFL639" s="133"/>
      <c r="UFM639" s="133"/>
      <c r="UFN639" s="133"/>
      <c r="UFO639" s="133"/>
      <c r="UFP639" s="133"/>
      <c r="UFQ639" s="133"/>
      <c r="UFR639" s="133"/>
      <c r="UFS639" s="133"/>
      <c r="UFT639" s="133"/>
      <c r="UFU639" s="133"/>
      <c r="UFV639" s="133"/>
      <c r="UFW639" s="133"/>
      <c r="UFX639" s="133"/>
      <c r="UFY639" s="133"/>
      <c r="UFZ639" s="133"/>
      <c r="UGA639" s="133"/>
      <c r="UGB639" s="133"/>
      <c r="UGC639" s="133"/>
      <c r="UGD639" s="133"/>
      <c r="UGE639" s="133"/>
      <c r="UGF639" s="133"/>
      <c r="UGG639" s="133"/>
      <c r="UGH639" s="133"/>
      <c r="UGI639" s="133"/>
      <c r="UGJ639" s="133"/>
      <c r="UGK639" s="133"/>
      <c r="UGL639" s="133"/>
      <c r="UGM639" s="133"/>
      <c r="UGN639" s="133"/>
      <c r="UGO639" s="133"/>
      <c r="UGP639" s="133"/>
      <c r="UGQ639" s="133"/>
      <c r="UGR639" s="133"/>
      <c r="UGS639" s="133"/>
      <c r="UGT639" s="133"/>
      <c r="UGU639" s="133"/>
      <c r="UGV639" s="133"/>
      <c r="UGW639" s="133"/>
      <c r="UGX639" s="133"/>
      <c r="UGY639" s="133"/>
      <c r="UGZ639" s="133"/>
      <c r="UHA639" s="133"/>
      <c r="UHB639" s="133"/>
      <c r="UHC639" s="133"/>
      <c r="UHD639" s="133"/>
      <c r="UHE639" s="133"/>
      <c r="UHF639" s="133"/>
      <c r="UHG639" s="133"/>
      <c r="UHH639" s="133"/>
      <c r="UHI639" s="133"/>
      <c r="UHJ639" s="133"/>
      <c r="UHK639" s="133"/>
      <c r="UHL639" s="133"/>
      <c r="UHM639" s="133"/>
      <c r="UHN639" s="133"/>
      <c r="UHO639" s="133"/>
      <c r="UHP639" s="133"/>
      <c r="UHQ639" s="133"/>
      <c r="UHR639" s="133"/>
      <c r="UHS639" s="133"/>
      <c r="UHT639" s="133"/>
      <c r="UHU639" s="133"/>
      <c r="UHV639" s="133"/>
      <c r="UHW639" s="133"/>
      <c r="UHX639" s="133"/>
      <c r="UHY639" s="133"/>
      <c r="UHZ639" s="133"/>
      <c r="UIA639" s="133"/>
      <c r="UIB639" s="133"/>
      <c r="UIC639" s="133"/>
      <c r="UID639" s="133"/>
      <c r="UIE639" s="133"/>
      <c r="UIF639" s="133"/>
      <c r="UIG639" s="133"/>
      <c r="UIH639" s="133"/>
      <c r="UII639" s="133"/>
      <c r="UIJ639" s="133"/>
      <c r="UIK639" s="133"/>
      <c r="UIL639" s="133"/>
      <c r="UIM639" s="133"/>
      <c r="UIN639" s="133"/>
      <c r="UIO639" s="133"/>
      <c r="UIP639" s="133"/>
      <c r="UIQ639" s="133"/>
      <c r="UIR639" s="133"/>
      <c r="UIS639" s="133"/>
      <c r="UIT639" s="133"/>
      <c r="UIU639" s="133"/>
      <c r="UIV639" s="133"/>
      <c r="UIW639" s="133"/>
      <c r="UIX639" s="133"/>
      <c r="UIY639" s="133"/>
      <c r="UIZ639" s="133"/>
      <c r="UJA639" s="133"/>
      <c r="UJB639" s="133"/>
      <c r="UJC639" s="133"/>
      <c r="UJD639" s="133"/>
      <c r="UJE639" s="133"/>
      <c r="UJF639" s="133"/>
      <c r="UJG639" s="133"/>
      <c r="UJH639" s="133"/>
      <c r="UJI639" s="133"/>
      <c r="UJJ639" s="133"/>
      <c r="UJK639" s="133"/>
      <c r="UJL639" s="133"/>
      <c r="UJM639" s="133"/>
      <c r="UJN639" s="133"/>
      <c r="UJO639" s="133"/>
      <c r="UJP639" s="133"/>
      <c r="UJQ639" s="133"/>
      <c r="UJR639" s="133"/>
      <c r="UJS639" s="133"/>
      <c r="UJT639" s="133"/>
      <c r="UJU639" s="133"/>
      <c r="UJV639" s="133"/>
      <c r="UJW639" s="133"/>
      <c r="UJX639" s="133"/>
      <c r="UJY639" s="133"/>
      <c r="UJZ639" s="133"/>
      <c r="UKA639" s="133"/>
      <c r="UKB639" s="133"/>
      <c r="UKC639" s="133"/>
      <c r="UKD639" s="133"/>
      <c r="UKE639" s="133"/>
      <c r="UKF639" s="133"/>
      <c r="UKG639" s="133"/>
      <c r="UKH639" s="133"/>
      <c r="UKI639" s="133"/>
      <c r="UKJ639" s="133"/>
      <c r="UKK639" s="133"/>
      <c r="UKL639" s="133"/>
      <c r="UKM639" s="133"/>
      <c r="UKN639" s="133"/>
      <c r="UKO639" s="133"/>
      <c r="UKP639" s="133"/>
      <c r="UKQ639" s="133"/>
      <c r="UKR639" s="133"/>
      <c r="UKS639" s="133"/>
      <c r="UKT639" s="133"/>
      <c r="UKU639" s="133"/>
      <c r="UKV639" s="133"/>
      <c r="UKW639" s="133"/>
      <c r="UKX639" s="133"/>
      <c r="UKY639" s="133"/>
      <c r="UKZ639" s="133"/>
      <c r="ULA639" s="133"/>
      <c r="ULB639" s="133"/>
      <c r="ULC639" s="133"/>
      <c r="ULD639" s="133"/>
      <c r="ULE639" s="133"/>
      <c r="ULF639" s="133"/>
      <c r="ULG639" s="133"/>
      <c r="ULH639" s="133"/>
      <c r="ULI639" s="133"/>
      <c r="ULJ639" s="133"/>
      <c r="ULK639" s="133"/>
      <c r="ULL639" s="133"/>
      <c r="ULM639" s="133"/>
      <c r="ULN639" s="133"/>
      <c r="ULO639" s="133"/>
      <c r="ULP639" s="133"/>
      <c r="ULQ639" s="133"/>
      <c r="ULR639" s="133"/>
      <c r="ULS639" s="133"/>
      <c r="ULT639" s="133"/>
      <c r="ULU639" s="133"/>
      <c r="ULV639" s="133"/>
      <c r="ULW639" s="133"/>
      <c r="ULX639" s="133"/>
      <c r="ULY639" s="133"/>
      <c r="ULZ639" s="133"/>
      <c r="UMA639" s="133"/>
      <c r="UMB639" s="133"/>
      <c r="UMC639" s="133"/>
      <c r="UMD639" s="133"/>
      <c r="UME639" s="133"/>
      <c r="UMF639" s="133"/>
      <c r="UMG639" s="133"/>
      <c r="UMH639" s="133"/>
      <c r="UMI639" s="133"/>
      <c r="UMJ639" s="133"/>
      <c r="UMK639" s="133"/>
      <c r="UML639" s="133"/>
      <c r="UMM639" s="133"/>
      <c r="UMN639" s="133"/>
      <c r="UMO639" s="133"/>
      <c r="UMP639" s="133"/>
      <c r="UMQ639" s="133"/>
      <c r="UMR639" s="133"/>
      <c r="UMS639" s="133"/>
      <c r="UMT639" s="133"/>
      <c r="UMU639" s="133"/>
      <c r="UMV639" s="133"/>
      <c r="UMW639" s="133"/>
      <c r="UMX639" s="133"/>
      <c r="UMY639" s="133"/>
      <c r="UMZ639" s="133"/>
      <c r="UNA639" s="133"/>
      <c r="UNB639" s="133"/>
      <c r="UNC639" s="133"/>
      <c r="UND639" s="133"/>
      <c r="UNE639" s="133"/>
      <c r="UNF639" s="133"/>
      <c r="UNG639" s="133"/>
      <c r="UNH639" s="133"/>
      <c r="UNI639" s="133"/>
      <c r="UNJ639" s="133"/>
      <c r="UNK639" s="133"/>
      <c r="UNL639" s="133"/>
      <c r="UNM639" s="133"/>
      <c r="UNN639" s="133"/>
      <c r="UNO639" s="133"/>
      <c r="UNP639" s="133"/>
      <c r="UNQ639" s="133"/>
      <c r="UNR639" s="133"/>
      <c r="UNS639" s="133"/>
      <c r="UNT639" s="133"/>
      <c r="UNU639" s="133"/>
      <c r="UNV639" s="133"/>
      <c r="UNW639" s="133"/>
      <c r="UNX639" s="133"/>
      <c r="UNY639" s="133"/>
      <c r="UNZ639" s="133"/>
      <c r="UOA639" s="133"/>
      <c r="UOB639" s="133"/>
      <c r="UOC639" s="133"/>
      <c r="UOD639" s="133"/>
      <c r="UOE639" s="133"/>
      <c r="UOF639" s="133"/>
      <c r="UOG639" s="133"/>
      <c r="UOH639" s="133"/>
      <c r="UOI639" s="133"/>
      <c r="UOJ639" s="133"/>
      <c r="UOK639" s="133"/>
      <c r="UOL639" s="133"/>
      <c r="UOM639" s="133"/>
      <c r="UON639" s="133"/>
      <c r="UOO639" s="133"/>
      <c r="UOP639" s="133"/>
      <c r="UOQ639" s="133"/>
      <c r="UOR639" s="133"/>
      <c r="UOS639" s="133"/>
      <c r="UOT639" s="133"/>
      <c r="UOU639" s="133"/>
      <c r="UOV639" s="133"/>
      <c r="UOW639" s="133"/>
      <c r="UOX639" s="133"/>
      <c r="UOY639" s="133"/>
      <c r="UOZ639" s="133"/>
      <c r="UPA639" s="133"/>
      <c r="UPB639" s="133"/>
      <c r="UPC639" s="133"/>
      <c r="UPD639" s="133"/>
      <c r="UPE639" s="133"/>
      <c r="UPF639" s="133"/>
      <c r="UPG639" s="133"/>
      <c r="UPH639" s="133"/>
      <c r="UPI639" s="133"/>
      <c r="UPJ639" s="133"/>
      <c r="UPK639" s="133"/>
      <c r="UPL639" s="133"/>
      <c r="UPM639" s="133"/>
      <c r="UPN639" s="133"/>
      <c r="UPO639" s="133"/>
      <c r="UPP639" s="133"/>
      <c r="UPQ639" s="133"/>
      <c r="UPR639" s="133"/>
      <c r="UPS639" s="133"/>
      <c r="UPT639" s="133"/>
      <c r="UPU639" s="133"/>
      <c r="UPV639" s="133"/>
      <c r="UPW639" s="133"/>
      <c r="UPX639" s="133"/>
      <c r="UPY639" s="133"/>
      <c r="UPZ639" s="133"/>
      <c r="UQA639" s="133"/>
      <c r="UQB639" s="133"/>
      <c r="UQC639" s="133"/>
      <c r="UQD639" s="133"/>
      <c r="UQE639" s="133"/>
      <c r="UQF639" s="133"/>
      <c r="UQG639" s="133"/>
      <c r="UQH639" s="133"/>
      <c r="UQI639" s="133"/>
      <c r="UQJ639" s="133"/>
      <c r="UQK639" s="133"/>
      <c r="UQL639" s="133"/>
      <c r="UQM639" s="133"/>
      <c r="UQN639" s="133"/>
      <c r="UQO639" s="133"/>
      <c r="UQP639" s="133"/>
      <c r="UQQ639" s="133"/>
      <c r="UQR639" s="133"/>
      <c r="UQS639" s="133"/>
      <c r="UQT639" s="133"/>
      <c r="UQU639" s="133"/>
      <c r="UQV639" s="133"/>
      <c r="UQW639" s="133"/>
      <c r="UQX639" s="133"/>
      <c r="UQY639" s="133"/>
      <c r="UQZ639" s="133"/>
      <c r="URA639" s="133"/>
      <c r="URB639" s="133"/>
      <c r="URC639" s="133"/>
      <c r="URD639" s="133"/>
      <c r="URE639" s="133"/>
      <c r="URF639" s="133"/>
      <c r="URG639" s="133"/>
      <c r="URH639" s="133"/>
      <c r="URI639" s="133"/>
      <c r="URJ639" s="133"/>
      <c r="URK639" s="133"/>
      <c r="URL639" s="133"/>
      <c r="URM639" s="133"/>
      <c r="URN639" s="133"/>
      <c r="URO639" s="133"/>
      <c r="URP639" s="133"/>
      <c r="URQ639" s="133"/>
      <c r="URR639" s="133"/>
      <c r="URS639" s="133"/>
      <c r="URT639" s="133"/>
      <c r="URU639" s="133"/>
      <c r="URV639" s="133"/>
      <c r="URW639" s="133"/>
      <c r="URX639" s="133"/>
      <c r="URY639" s="133"/>
      <c r="URZ639" s="133"/>
      <c r="USA639" s="133"/>
      <c r="USB639" s="133"/>
      <c r="USC639" s="133"/>
      <c r="USD639" s="133"/>
      <c r="USE639" s="133"/>
      <c r="USF639" s="133"/>
      <c r="USG639" s="133"/>
      <c r="USH639" s="133"/>
      <c r="USI639" s="133"/>
      <c r="USJ639" s="133"/>
      <c r="USK639" s="133"/>
      <c r="USL639" s="133"/>
      <c r="USM639" s="133"/>
      <c r="USN639" s="133"/>
      <c r="USO639" s="133"/>
      <c r="USP639" s="133"/>
      <c r="USQ639" s="133"/>
      <c r="USR639" s="133"/>
      <c r="USS639" s="133"/>
      <c r="UST639" s="133"/>
      <c r="USU639" s="133"/>
      <c r="USV639" s="133"/>
      <c r="USW639" s="133"/>
      <c r="USX639" s="133"/>
      <c r="USY639" s="133"/>
      <c r="USZ639" s="133"/>
      <c r="UTA639" s="133"/>
      <c r="UTB639" s="133"/>
      <c r="UTC639" s="133"/>
      <c r="UTD639" s="133"/>
      <c r="UTE639" s="133"/>
      <c r="UTF639" s="133"/>
      <c r="UTG639" s="133"/>
      <c r="UTH639" s="133"/>
      <c r="UTI639" s="133"/>
      <c r="UTJ639" s="133"/>
      <c r="UTK639" s="133"/>
      <c r="UTL639" s="133"/>
      <c r="UTM639" s="133"/>
      <c r="UTN639" s="133"/>
      <c r="UTO639" s="133"/>
      <c r="UTP639" s="133"/>
      <c r="UTQ639" s="133"/>
      <c r="UTR639" s="133"/>
      <c r="UTS639" s="133"/>
      <c r="UTT639" s="133"/>
      <c r="UTU639" s="133"/>
      <c r="UTV639" s="133"/>
      <c r="UTW639" s="133"/>
      <c r="UTX639" s="133"/>
      <c r="UTY639" s="133"/>
      <c r="UTZ639" s="133"/>
      <c r="UUA639" s="133"/>
      <c r="UUB639" s="133"/>
      <c r="UUC639" s="133"/>
      <c r="UUD639" s="133"/>
      <c r="UUE639" s="133"/>
      <c r="UUF639" s="133"/>
      <c r="UUG639" s="133"/>
      <c r="UUH639" s="133"/>
      <c r="UUI639" s="133"/>
      <c r="UUJ639" s="133"/>
      <c r="UUK639" s="133"/>
      <c r="UUL639" s="133"/>
      <c r="UUM639" s="133"/>
      <c r="UUN639" s="133"/>
      <c r="UUO639" s="133"/>
      <c r="UUP639" s="133"/>
      <c r="UUQ639" s="133"/>
      <c r="UUR639" s="133"/>
      <c r="UUS639" s="133"/>
      <c r="UUT639" s="133"/>
      <c r="UUU639" s="133"/>
      <c r="UUV639" s="133"/>
      <c r="UUW639" s="133"/>
      <c r="UUX639" s="133"/>
      <c r="UUY639" s="133"/>
      <c r="UUZ639" s="133"/>
      <c r="UVA639" s="133"/>
      <c r="UVB639" s="133"/>
      <c r="UVC639" s="133"/>
      <c r="UVD639" s="133"/>
      <c r="UVE639" s="133"/>
      <c r="UVF639" s="133"/>
      <c r="UVG639" s="133"/>
      <c r="UVH639" s="133"/>
      <c r="UVI639" s="133"/>
      <c r="UVJ639" s="133"/>
      <c r="UVK639" s="133"/>
      <c r="UVL639" s="133"/>
      <c r="UVM639" s="133"/>
      <c r="UVN639" s="133"/>
      <c r="UVO639" s="133"/>
      <c r="UVP639" s="133"/>
      <c r="UVQ639" s="133"/>
      <c r="UVR639" s="133"/>
      <c r="UVS639" s="133"/>
      <c r="UVT639" s="133"/>
      <c r="UVU639" s="133"/>
      <c r="UVV639" s="133"/>
      <c r="UVW639" s="133"/>
      <c r="UVX639" s="133"/>
      <c r="UVY639" s="133"/>
      <c r="UVZ639" s="133"/>
      <c r="UWA639" s="133"/>
      <c r="UWB639" s="133"/>
      <c r="UWC639" s="133"/>
      <c r="UWD639" s="133"/>
      <c r="UWE639" s="133"/>
      <c r="UWF639" s="133"/>
      <c r="UWG639" s="133"/>
      <c r="UWH639" s="133"/>
      <c r="UWI639" s="133"/>
      <c r="UWJ639" s="133"/>
      <c r="UWK639" s="133"/>
      <c r="UWL639" s="133"/>
      <c r="UWM639" s="133"/>
      <c r="UWN639" s="133"/>
      <c r="UWO639" s="133"/>
      <c r="UWP639" s="133"/>
      <c r="UWQ639" s="133"/>
      <c r="UWR639" s="133"/>
      <c r="UWS639" s="133"/>
      <c r="UWT639" s="133"/>
      <c r="UWU639" s="133"/>
      <c r="UWV639" s="133"/>
      <c r="UWW639" s="133"/>
      <c r="UWX639" s="133"/>
      <c r="UWY639" s="133"/>
      <c r="UWZ639" s="133"/>
      <c r="UXA639" s="133"/>
      <c r="UXB639" s="133"/>
      <c r="UXC639" s="133"/>
      <c r="UXD639" s="133"/>
      <c r="UXE639" s="133"/>
      <c r="UXF639" s="133"/>
      <c r="UXG639" s="133"/>
      <c r="UXH639" s="133"/>
      <c r="UXI639" s="133"/>
      <c r="UXJ639" s="133"/>
      <c r="UXK639" s="133"/>
      <c r="UXL639" s="133"/>
      <c r="UXM639" s="133"/>
      <c r="UXN639" s="133"/>
      <c r="UXO639" s="133"/>
      <c r="UXP639" s="133"/>
      <c r="UXQ639" s="133"/>
      <c r="UXR639" s="133"/>
      <c r="UXS639" s="133"/>
      <c r="UXT639" s="133"/>
      <c r="UXU639" s="133"/>
      <c r="UXV639" s="133"/>
      <c r="UXW639" s="133"/>
      <c r="UXX639" s="133"/>
      <c r="UXY639" s="133"/>
      <c r="UXZ639" s="133"/>
      <c r="UYA639" s="133"/>
      <c r="UYB639" s="133"/>
      <c r="UYC639" s="133"/>
      <c r="UYD639" s="133"/>
      <c r="UYE639" s="133"/>
      <c r="UYF639" s="133"/>
      <c r="UYG639" s="133"/>
      <c r="UYH639" s="133"/>
      <c r="UYI639" s="133"/>
      <c r="UYJ639" s="133"/>
      <c r="UYK639" s="133"/>
      <c r="UYL639" s="133"/>
      <c r="UYM639" s="133"/>
      <c r="UYN639" s="133"/>
      <c r="UYO639" s="133"/>
      <c r="UYP639" s="133"/>
      <c r="UYQ639" s="133"/>
      <c r="UYR639" s="133"/>
      <c r="UYS639" s="133"/>
      <c r="UYT639" s="133"/>
      <c r="UYU639" s="133"/>
      <c r="UYV639" s="133"/>
      <c r="UYW639" s="133"/>
      <c r="UYX639" s="133"/>
      <c r="UYY639" s="133"/>
      <c r="UYZ639" s="133"/>
      <c r="UZA639" s="133"/>
      <c r="UZB639" s="133"/>
      <c r="UZC639" s="133"/>
      <c r="UZD639" s="133"/>
      <c r="UZE639" s="133"/>
      <c r="UZF639" s="133"/>
      <c r="UZG639" s="133"/>
      <c r="UZH639" s="133"/>
      <c r="UZI639" s="133"/>
      <c r="UZJ639" s="133"/>
      <c r="UZK639" s="133"/>
      <c r="UZL639" s="133"/>
      <c r="UZM639" s="133"/>
      <c r="UZN639" s="133"/>
      <c r="UZO639" s="133"/>
      <c r="UZP639" s="133"/>
      <c r="UZQ639" s="133"/>
      <c r="UZR639" s="133"/>
      <c r="UZS639" s="133"/>
      <c r="UZT639" s="133"/>
      <c r="UZU639" s="133"/>
      <c r="UZV639" s="133"/>
      <c r="UZW639" s="133"/>
      <c r="UZX639" s="133"/>
      <c r="UZY639" s="133"/>
      <c r="UZZ639" s="133"/>
      <c r="VAA639" s="133"/>
      <c r="VAB639" s="133"/>
      <c r="VAC639" s="133"/>
      <c r="VAD639" s="133"/>
      <c r="VAE639" s="133"/>
      <c r="VAF639" s="133"/>
      <c r="VAG639" s="133"/>
      <c r="VAH639" s="133"/>
      <c r="VAI639" s="133"/>
      <c r="VAJ639" s="133"/>
      <c r="VAK639" s="133"/>
      <c r="VAL639" s="133"/>
      <c r="VAM639" s="133"/>
      <c r="VAN639" s="133"/>
      <c r="VAO639" s="133"/>
      <c r="VAP639" s="133"/>
      <c r="VAQ639" s="133"/>
      <c r="VAR639" s="133"/>
      <c r="VAS639" s="133"/>
      <c r="VAT639" s="133"/>
      <c r="VAU639" s="133"/>
      <c r="VAV639" s="133"/>
      <c r="VAW639" s="133"/>
      <c r="VAX639" s="133"/>
      <c r="VAY639" s="133"/>
      <c r="VAZ639" s="133"/>
      <c r="VBA639" s="133"/>
      <c r="VBB639" s="133"/>
      <c r="VBC639" s="133"/>
      <c r="VBD639" s="133"/>
      <c r="VBE639" s="133"/>
      <c r="VBF639" s="133"/>
      <c r="VBG639" s="133"/>
      <c r="VBH639" s="133"/>
      <c r="VBI639" s="133"/>
      <c r="VBJ639" s="133"/>
      <c r="VBK639" s="133"/>
      <c r="VBL639" s="133"/>
      <c r="VBM639" s="133"/>
      <c r="VBN639" s="133"/>
      <c r="VBO639" s="133"/>
      <c r="VBP639" s="133"/>
      <c r="VBQ639" s="133"/>
      <c r="VBR639" s="133"/>
      <c r="VBS639" s="133"/>
      <c r="VBT639" s="133"/>
      <c r="VBU639" s="133"/>
      <c r="VBV639" s="133"/>
      <c r="VBW639" s="133"/>
      <c r="VBX639" s="133"/>
      <c r="VBY639" s="133"/>
      <c r="VBZ639" s="133"/>
      <c r="VCA639" s="133"/>
      <c r="VCB639" s="133"/>
      <c r="VCC639" s="133"/>
      <c r="VCD639" s="133"/>
      <c r="VCE639" s="133"/>
      <c r="VCF639" s="133"/>
      <c r="VCG639" s="133"/>
      <c r="VCH639" s="133"/>
      <c r="VCI639" s="133"/>
      <c r="VCJ639" s="133"/>
      <c r="VCK639" s="133"/>
      <c r="VCL639" s="133"/>
      <c r="VCM639" s="133"/>
      <c r="VCN639" s="133"/>
      <c r="VCO639" s="133"/>
      <c r="VCP639" s="133"/>
      <c r="VCQ639" s="133"/>
      <c r="VCR639" s="133"/>
      <c r="VCS639" s="133"/>
      <c r="VCT639" s="133"/>
      <c r="VCU639" s="133"/>
      <c r="VCV639" s="133"/>
      <c r="VCW639" s="133"/>
      <c r="VCX639" s="133"/>
      <c r="VCY639" s="133"/>
      <c r="VCZ639" s="133"/>
      <c r="VDA639" s="133"/>
      <c r="VDB639" s="133"/>
      <c r="VDC639" s="133"/>
      <c r="VDD639" s="133"/>
      <c r="VDE639" s="133"/>
      <c r="VDF639" s="133"/>
      <c r="VDG639" s="133"/>
      <c r="VDH639" s="133"/>
      <c r="VDI639" s="133"/>
      <c r="VDJ639" s="133"/>
      <c r="VDK639" s="133"/>
      <c r="VDL639" s="133"/>
      <c r="VDM639" s="133"/>
      <c r="VDN639" s="133"/>
      <c r="VDO639" s="133"/>
      <c r="VDP639" s="133"/>
      <c r="VDQ639" s="133"/>
      <c r="VDR639" s="133"/>
      <c r="VDS639" s="133"/>
      <c r="VDT639" s="133"/>
      <c r="VDU639" s="133"/>
      <c r="VDV639" s="133"/>
      <c r="VDW639" s="133"/>
      <c r="VDX639" s="133"/>
      <c r="VDY639" s="133"/>
      <c r="VDZ639" s="133"/>
      <c r="VEA639" s="133"/>
      <c r="VEB639" s="133"/>
      <c r="VEC639" s="133"/>
      <c r="VED639" s="133"/>
      <c r="VEE639" s="133"/>
      <c r="VEF639" s="133"/>
      <c r="VEG639" s="133"/>
      <c r="VEH639" s="133"/>
      <c r="VEI639" s="133"/>
      <c r="VEJ639" s="133"/>
      <c r="VEK639" s="133"/>
      <c r="VEL639" s="133"/>
      <c r="VEM639" s="133"/>
      <c r="VEN639" s="133"/>
      <c r="VEO639" s="133"/>
      <c r="VEP639" s="133"/>
      <c r="VEQ639" s="133"/>
      <c r="VER639" s="133"/>
      <c r="VES639" s="133"/>
      <c r="VET639" s="133"/>
      <c r="VEU639" s="133"/>
      <c r="VEV639" s="133"/>
      <c r="VEW639" s="133"/>
      <c r="VEX639" s="133"/>
      <c r="VEY639" s="133"/>
      <c r="VEZ639" s="133"/>
      <c r="VFA639" s="133"/>
      <c r="VFB639" s="133"/>
      <c r="VFC639" s="133"/>
      <c r="VFD639" s="133"/>
      <c r="VFE639" s="133"/>
      <c r="VFF639" s="133"/>
      <c r="VFG639" s="133"/>
      <c r="VFH639" s="133"/>
      <c r="VFI639" s="133"/>
      <c r="VFJ639" s="133"/>
      <c r="VFK639" s="133"/>
      <c r="VFL639" s="133"/>
      <c r="VFM639" s="133"/>
      <c r="VFN639" s="133"/>
      <c r="VFO639" s="133"/>
      <c r="VFP639" s="133"/>
      <c r="VFQ639" s="133"/>
      <c r="VFR639" s="133"/>
      <c r="VFS639" s="133"/>
      <c r="VFT639" s="133"/>
      <c r="VFU639" s="133"/>
      <c r="VFV639" s="133"/>
      <c r="VFW639" s="133"/>
      <c r="VFX639" s="133"/>
      <c r="VFY639" s="133"/>
      <c r="VFZ639" s="133"/>
      <c r="VGA639" s="133"/>
      <c r="VGB639" s="133"/>
      <c r="VGC639" s="133"/>
      <c r="VGD639" s="133"/>
      <c r="VGE639" s="133"/>
      <c r="VGF639" s="133"/>
      <c r="VGG639" s="133"/>
      <c r="VGH639" s="133"/>
      <c r="VGI639" s="133"/>
      <c r="VGJ639" s="133"/>
      <c r="VGK639" s="133"/>
      <c r="VGL639" s="133"/>
      <c r="VGM639" s="133"/>
      <c r="VGN639" s="133"/>
      <c r="VGO639" s="133"/>
      <c r="VGP639" s="133"/>
      <c r="VGQ639" s="133"/>
      <c r="VGR639" s="133"/>
      <c r="VGS639" s="133"/>
      <c r="VGT639" s="133"/>
      <c r="VGU639" s="133"/>
      <c r="VGV639" s="133"/>
      <c r="VGW639" s="133"/>
      <c r="VGX639" s="133"/>
      <c r="VGY639" s="133"/>
      <c r="VGZ639" s="133"/>
      <c r="VHA639" s="133"/>
      <c r="VHB639" s="133"/>
      <c r="VHC639" s="133"/>
      <c r="VHD639" s="133"/>
      <c r="VHE639" s="133"/>
      <c r="VHF639" s="133"/>
      <c r="VHG639" s="133"/>
      <c r="VHH639" s="133"/>
      <c r="VHI639" s="133"/>
      <c r="VHJ639" s="133"/>
      <c r="VHK639" s="133"/>
      <c r="VHL639" s="133"/>
      <c r="VHM639" s="133"/>
      <c r="VHN639" s="133"/>
      <c r="VHO639" s="133"/>
      <c r="VHP639" s="133"/>
      <c r="VHQ639" s="133"/>
      <c r="VHR639" s="133"/>
      <c r="VHS639" s="133"/>
      <c r="VHT639" s="133"/>
      <c r="VHU639" s="133"/>
      <c r="VHV639" s="133"/>
      <c r="VHW639" s="133"/>
      <c r="VHX639" s="133"/>
      <c r="VHY639" s="133"/>
      <c r="VHZ639" s="133"/>
      <c r="VIA639" s="133"/>
      <c r="VIB639" s="133"/>
      <c r="VIC639" s="133"/>
      <c r="VID639" s="133"/>
      <c r="VIE639" s="133"/>
      <c r="VIF639" s="133"/>
      <c r="VIG639" s="133"/>
      <c r="VIH639" s="133"/>
      <c r="VII639" s="133"/>
      <c r="VIJ639" s="133"/>
      <c r="VIK639" s="133"/>
      <c r="VIL639" s="133"/>
      <c r="VIM639" s="133"/>
      <c r="VIN639" s="133"/>
      <c r="VIO639" s="133"/>
      <c r="VIP639" s="133"/>
      <c r="VIQ639" s="133"/>
      <c r="VIR639" s="133"/>
      <c r="VIS639" s="133"/>
      <c r="VIT639" s="133"/>
      <c r="VIU639" s="133"/>
      <c r="VIV639" s="133"/>
      <c r="VIW639" s="133"/>
      <c r="VIX639" s="133"/>
      <c r="VIY639" s="133"/>
      <c r="VIZ639" s="133"/>
      <c r="VJA639" s="133"/>
      <c r="VJB639" s="133"/>
      <c r="VJC639" s="133"/>
      <c r="VJD639" s="133"/>
      <c r="VJE639" s="133"/>
      <c r="VJF639" s="133"/>
      <c r="VJG639" s="133"/>
      <c r="VJH639" s="133"/>
      <c r="VJI639" s="133"/>
      <c r="VJJ639" s="133"/>
      <c r="VJK639" s="133"/>
      <c r="VJL639" s="133"/>
      <c r="VJM639" s="133"/>
      <c r="VJN639" s="133"/>
      <c r="VJO639" s="133"/>
      <c r="VJP639" s="133"/>
      <c r="VJQ639" s="133"/>
      <c r="VJR639" s="133"/>
      <c r="VJS639" s="133"/>
      <c r="VJT639" s="133"/>
      <c r="VJU639" s="133"/>
      <c r="VJV639" s="133"/>
      <c r="VJW639" s="133"/>
      <c r="VJX639" s="133"/>
      <c r="VJY639" s="133"/>
      <c r="VJZ639" s="133"/>
      <c r="VKA639" s="133"/>
      <c r="VKB639" s="133"/>
      <c r="VKC639" s="133"/>
      <c r="VKD639" s="133"/>
      <c r="VKE639" s="133"/>
      <c r="VKF639" s="133"/>
      <c r="VKG639" s="133"/>
      <c r="VKH639" s="133"/>
      <c r="VKI639" s="133"/>
      <c r="VKJ639" s="133"/>
      <c r="VKK639" s="133"/>
      <c r="VKL639" s="133"/>
      <c r="VKM639" s="133"/>
      <c r="VKN639" s="133"/>
      <c r="VKO639" s="133"/>
      <c r="VKP639" s="133"/>
      <c r="VKQ639" s="133"/>
      <c r="VKR639" s="133"/>
      <c r="VKS639" s="133"/>
      <c r="VKT639" s="133"/>
      <c r="VKU639" s="133"/>
      <c r="VKV639" s="133"/>
      <c r="VKW639" s="133"/>
      <c r="VKX639" s="133"/>
      <c r="VKY639" s="133"/>
      <c r="VKZ639" s="133"/>
      <c r="VLA639" s="133"/>
      <c r="VLB639" s="133"/>
      <c r="VLC639" s="133"/>
      <c r="VLD639" s="133"/>
      <c r="VLE639" s="133"/>
      <c r="VLF639" s="133"/>
      <c r="VLG639" s="133"/>
      <c r="VLH639" s="133"/>
      <c r="VLI639" s="133"/>
      <c r="VLJ639" s="133"/>
      <c r="VLK639" s="133"/>
      <c r="VLL639" s="133"/>
      <c r="VLM639" s="133"/>
      <c r="VLN639" s="133"/>
      <c r="VLO639" s="133"/>
      <c r="VLP639" s="133"/>
      <c r="VLQ639" s="133"/>
      <c r="VLR639" s="133"/>
      <c r="VLS639" s="133"/>
      <c r="VLT639" s="133"/>
      <c r="VLU639" s="133"/>
      <c r="VLV639" s="133"/>
      <c r="VLW639" s="133"/>
      <c r="VLX639" s="133"/>
      <c r="VLY639" s="133"/>
      <c r="VLZ639" s="133"/>
      <c r="VMA639" s="133"/>
      <c r="VMB639" s="133"/>
      <c r="VMC639" s="133"/>
      <c r="VMD639" s="133"/>
      <c r="VME639" s="133"/>
      <c r="VMF639" s="133"/>
      <c r="VMG639" s="133"/>
      <c r="VMH639" s="133"/>
      <c r="VMI639" s="133"/>
      <c r="VMJ639" s="133"/>
      <c r="VMK639" s="133"/>
      <c r="VML639" s="133"/>
      <c r="VMM639" s="133"/>
      <c r="VMN639" s="133"/>
      <c r="VMO639" s="133"/>
      <c r="VMP639" s="133"/>
      <c r="VMQ639" s="133"/>
      <c r="VMR639" s="133"/>
      <c r="VMS639" s="133"/>
      <c r="VMT639" s="133"/>
      <c r="VMU639" s="133"/>
      <c r="VMV639" s="133"/>
      <c r="VMW639" s="133"/>
      <c r="VMX639" s="133"/>
      <c r="VMY639" s="133"/>
      <c r="VMZ639" s="133"/>
      <c r="VNA639" s="133"/>
      <c r="VNB639" s="133"/>
      <c r="VNC639" s="133"/>
      <c r="VND639" s="133"/>
      <c r="VNE639" s="133"/>
      <c r="VNF639" s="133"/>
      <c r="VNG639" s="133"/>
      <c r="VNH639" s="133"/>
      <c r="VNI639" s="133"/>
      <c r="VNJ639" s="133"/>
      <c r="VNK639" s="133"/>
      <c r="VNL639" s="133"/>
      <c r="VNM639" s="133"/>
      <c r="VNN639" s="133"/>
      <c r="VNO639" s="133"/>
      <c r="VNP639" s="133"/>
      <c r="VNQ639" s="133"/>
      <c r="VNR639" s="133"/>
      <c r="VNS639" s="133"/>
      <c r="VNT639" s="133"/>
      <c r="VNU639" s="133"/>
      <c r="VNV639" s="133"/>
      <c r="VNW639" s="133"/>
      <c r="VNX639" s="133"/>
      <c r="VNY639" s="133"/>
      <c r="VNZ639" s="133"/>
      <c r="VOA639" s="133"/>
      <c r="VOB639" s="133"/>
      <c r="VOC639" s="133"/>
      <c r="VOD639" s="133"/>
      <c r="VOE639" s="133"/>
      <c r="VOF639" s="133"/>
      <c r="VOG639" s="133"/>
      <c r="VOH639" s="133"/>
      <c r="VOI639" s="133"/>
      <c r="VOJ639" s="133"/>
      <c r="VOK639" s="133"/>
      <c r="VOL639" s="133"/>
      <c r="VOM639" s="133"/>
      <c r="VON639" s="133"/>
      <c r="VOO639" s="133"/>
      <c r="VOP639" s="133"/>
      <c r="VOQ639" s="133"/>
      <c r="VOR639" s="133"/>
      <c r="VOS639" s="133"/>
      <c r="VOT639" s="133"/>
      <c r="VOU639" s="133"/>
      <c r="VOV639" s="133"/>
      <c r="VOW639" s="133"/>
      <c r="VOX639" s="133"/>
      <c r="VOY639" s="133"/>
      <c r="VOZ639" s="133"/>
      <c r="VPA639" s="133"/>
      <c r="VPB639" s="133"/>
      <c r="VPC639" s="133"/>
      <c r="VPD639" s="133"/>
      <c r="VPE639" s="133"/>
      <c r="VPF639" s="133"/>
      <c r="VPG639" s="133"/>
      <c r="VPH639" s="133"/>
      <c r="VPI639" s="133"/>
      <c r="VPJ639" s="133"/>
      <c r="VPK639" s="133"/>
      <c r="VPL639" s="133"/>
      <c r="VPM639" s="133"/>
      <c r="VPN639" s="133"/>
      <c r="VPO639" s="133"/>
      <c r="VPP639" s="133"/>
      <c r="VPQ639" s="133"/>
      <c r="VPR639" s="133"/>
      <c r="VPS639" s="133"/>
      <c r="VPT639" s="133"/>
      <c r="VPU639" s="133"/>
      <c r="VPV639" s="133"/>
      <c r="VPW639" s="133"/>
      <c r="VPX639" s="133"/>
      <c r="VPY639" s="133"/>
      <c r="VPZ639" s="133"/>
      <c r="VQA639" s="133"/>
      <c r="VQB639" s="133"/>
      <c r="VQC639" s="133"/>
      <c r="VQD639" s="133"/>
      <c r="VQE639" s="133"/>
      <c r="VQF639" s="133"/>
      <c r="VQG639" s="133"/>
      <c r="VQH639" s="133"/>
      <c r="VQI639" s="133"/>
      <c r="VQJ639" s="133"/>
      <c r="VQK639" s="133"/>
      <c r="VQL639" s="133"/>
      <c r="VQM639" s="133"/>
      <c r="VQN639" s="133"/>
      <c r="VQO639" s="133"/>
      <c r="VQP639" s="133"/>
      <c r="VQQ639" s="133"/>
      <c r="VQR639" s="133"/>
      <c r="VQS639" s="133"/>
      <c r="VQT639" s="133"/>
      <c r="VQU639" s="133"/>
      <c r="VQV639" s="133"/>
      <c r="VQW639" s="133"/>
      <c r="VQX639" s="133"/>
      <c r="VQY639" s="133"/>
      <c r="VQZ639" s="133"/>
      <c r="VRA639" s="133"/>
      <c r="VRB639" s="133"/>
      <c r="VRC639" s="133"/>
      <c r="VRD639" s="133"/>
      <c r="VRE639" s="133"/>
      <c r="VRF639" s="133"/>
      <c r="VRG639" s="133"/>
      <c r="VRH639" s="133"/>
      <c r="VRI639" s="133"/>
      <c r="VRJ639" s="133"/>
      <c r="VRK639" s="133"/>
      <c r="VRL639" s="133"/>
      <c r="VRM639" s="133"/>
      <c r="VRN639" s="133"/>
      <c r="VRO639" s="133"/>
      <c r="VRP639" s="133"/>
      <c r="VRQ639" s="133"/>
      <c r="VRR639" s="133"/>
      <c r="VRS639" s="133"/>
      <c r="VRT639" s="133"/>
      <c r="VRU639" s="133"/>
      <c r="VRV639" s="133"/>
      <c r="VRW639" s="133"/>
      <c r="VRX639" s="133"/>
      <c r="VRY639" s="133"/>
      <c r="VRZ639" s="133"/>
      <c r="VSA639" s="133"/>
      <c r="VSB639" s="133"/>
      <c r="VSC639" s="133"/>
      <c r="VSD639" s="133"/>
      <c r="VSE639" s="133"/>
      <c r="VSF639" s="133"/>
      <c r="VSG639" s="133"/>
      <c r="VSH639" s="133"/>
      <c r="VSI639" s="133"/>
      <c r="VSJ639" s="133"/>
      <c r="VSK639" s="133"/>
      <c r="VSL639" s="133"/>
      <c r="VSM639" s="133"/>
      <c r="VSN639" s="133"/>
      <c r="VSO639" s="133"/>
      <c r="VSP639" s="133"/>
      <c r="VSQ639" s="133"/>
      <c r="VSR639" s="133"/>
      <c r="VSS639" s="133"/>
      <c r="VST639" s="133"/>
      <c r="VSU639" s="133"/>
      <c r="VSV639" s="133"/>
      <c r="VSW639" s="133"/>
      <c r="VSX639" s="133"/>
      <c r="VSY639" s="133"/>
      <c r="VSZ639" s="133"/>
      <c r="VTA639" s="133"/>
      <c r="VTB639" s="133"/>
      <c r="VTC639" s="133"/>
      <c r="VTD639" s="133"/>
      <c r="VTE639" s="133"/>
      <c r="VTF639" s="133"/>
      <c r="VTG639" s="133"/>
      <c r="VTH639" s="133"/>
      <c r="VTI639" s="133"/>
      <c r="VTJ639" s="133"/>
      <c r="VTK639" s="133"/>
      <c r="VTL639" s="133"/>
      <c r="VTM639" s="133"/>
      <c r="VTN639" s="133"/>
      <c r="VTO639" s="133"/>
      <c r="VTP639" s="133"/>
      <c r="VTQ639" s="133"/>
      <c r="VTR639" s="133"/>
      <c r="VTS639" s="133"/>
      <c r="VTT639" s="133"/>
      <c r="VTU639" s="133"/>
      <c r="VTV639" s="133"/>
      <c r="VTW639" s="133"/>
      <c r="VTX639" s="133"/>
      <c r="VTY639" s="133"/>
      <c r="VTZ639" s="133"/>
      <c r="VUA639" s="133"/>
      <c r="VUB639" s="133"/>
      <c r="VUC639" s="133"/>
      <c r="VUD639" s="133"/>
      <c r="VUE639" s="133"/>
      <c r="VUF639" s="133"/>
      <c r="VUG639" s="133"/>
      <c r="VUH639" s="133"/>
      <c r="VUI639" s="133"/>
      <c r="VUJ639" s="133"/>
      <c r="VUK639" s="133"/>
      <c r="VUL639" s="133"/>
      <c r="VUM639" s="133"/>
      <c r="VUN639" s="133"/>
      <c r="VUO639" s="133"/>
      <c r="VUP639" s="133"/>
      <c r="VUQ639" s="133"/>
      <c r="VUR639" s="133"/>
      <c r="VUS639" s="133"/>
      <c r="VUT639" s="133"/>
      <c r="VUU639" s="133"/>
      <c r="VUV639" s="133"/>
      <c r="VUW639" s="133"/>
      <c r="VUX639" s="133"/>
      <c r="VUY639" s="133"/>
      <c r="VUZ639" s="133"/>
      <c r="VVA639" s="133"/>
      <c r="VVB639" s="133"/>
      <c r="VVC639" s="133"/>
      <c r="VVD639" s="133"/>
      <c r="VVE639" s="133"/>
      <c r="VVF639" s="133"/>
      <c r="VVG639" s="133"/>
      <c r="VVH639" s="133"/>
      <c r="VVI639" s="133"/>
      <c r="VVJ639" s="133"/>
      <c r="VVK639" s="133"/>
      <c r="VVL639" s="133"/>
      <c r="VVM639" s="133"/>
      <c r="VVN639" s="133"/>
      <c r="VVO639" s="133"/>
      <c r="VVP639" s="133"/>
      <c r="VVQ639" s="133"/>
      <c r="VVR639" s="133"/>
      <c r="VVS639" s="133"/>
      <c r="VVT639" s="133"/>
      <c r="VVU639" s="133"/>
      <c r="VVV639" s="133"/>
      <c r="VVW639" s="133"/>
      <c r="VVX639" s="133"/>
      <c r="VVY639" s="133"/>
      <c r="VVZ639" s="133"/>
      <c r="VWA639" s="133"/>
      <c r="VWB639" s="133"/>
      <c r="VWC639" s="133"/>
      <c r="VWD639" s="133"/>
      <c r="VWE639" s="133"/>
      <c r="VWF639" s="133"/>
      <c r="VWG639" s="133"/>
      <c r="VWH639" s="133"/>
      <c r="VWI639" s="133"/>
      <c r="VWJ639" s="133"/>
      <c r="VWK639" s="133"/>
      <c r="VWL639" s="133"/>
      <c r="VWM639" s="133"/>
      <c r="VWN639" s="133"/>
      <c r="VWO639" s="133"/>
      <c r="VWP639" s="133"/>
      <c r="VWQ639" s="133"/>
      <c r="VWR639" s="133"/>
      <c r="VWS639" s="133"/>
      <c r="VWT639" s="133"/>
      <c r="VWU639" s="133"/>
      <c r="VWV639" s="133"/>
      <c r="VWW639" s="133"/>
      <c r="VWX639" s="133"/>
      <c r="VWY639" s="133"/>
      <c r="VWZ639" s="133"/>
      <c r="VXA639" s="133"/>
      <c r="VXB639" s="133"/>
      <c r="VXC639" s="133"/>
      <c r="VXD639" s="133"/>
      <c r="VXE639" s="133"/>
      <c r="VXF639" s="133"/>
      <c r="VXG639" s="133"/>
      <c r="VXH639" s="133"/>
      <c r="VXI639" s="133"/>
      <c r="VXJ639" s="133"/>
      <c r="VXK639" s="133"/>
      <c r="VXL639" s="133"/>
      <c r="VXM639" s="133"/>
      <c r="VXN639" s="133"/>
      <c r="VXO639" s="133"/>
      <c r="VXP639" s="133"/>
      <c r="VXQ639" s="133"/>
      <c r="VXR639" s="133"/>
      <c r="VXS639" s="133"/>
      <c r="VXT639" s="133"/>
      <c r="VXU639" s="133"/>
      <c r="VXV639" s="133"/>
      <c r="VXW639" s="133"/>
      <c r="VXX639" s="133"/>
      <c r="VXY639" s="133"/>
      <c r="VXZ639" s="133"/>
      <c r="VYA639" s="133"/>
      <c r="VYB639" s="133"/>
      <c r="VYC639" s="133"/>
      <c r="VYD639" s="133"/>
      <c r="VYE639" s="133"/>
      <c r="VYF639" s="133"/>
      <c r="VYG639" s="133"/>
      <c r="VYH639" s="133"/>
      <c r="VYI639" s="133"/>
      <c r="VYJ639" s="133"/>
      <c r="VYK639" s="133"/>
      <c r="VYL639" s="133"/>
      <c r="VYM639" s="133"/>
      <c r="VYN639" s="133"/>
      <c r="VYO639" s="133"/>
      <c r="VYP639" s="133"/>
      <c r="VYQ639" s="133"/>
      <c r="VYR639" s="133"/>
      <c r="VYS639" s="133"/>
      <c r="VYT639" s="133"/>
      <c r="VYU639" s="133"/>
      <c r="VYV639" s="133"/>
      <c r="VYW639" s="133"/>
      <c r="VYX639" s="133"/>
      <c r="VYY639" s="133"/>
      <c r="VYZ639" s="133"/>
      <c r="VZA639" s="133"/>
      <c r="VZB639" s="133"/>
      <c r="VZC639" s="133"/>
      <c r="VZD639" s="133"/>
      <c r="VZE639" s="133"/>
      <c r="VZF639" s="133"/>
      <c r="VZG639" s="133"/>
      <c r="VZH639" s="133"/>
      <c r="VZI639" s="133"/>
      <c r="VZJ639" s="133"/>
      <c r="VZK639" s="133"/>
      <c r="VZL639" s="133"/>
      <c r="VZM639" s="133"/>
      <c r="VZN639" s="133"/>
      <c r="VZO639" s="133"/>
      <c r="VZP639" s="133"/>
      <c r="VZQ639" s="133"/>
      <c r="VZR639" s="133"/>
      <c r="VZS639" s="133"/>
      <c r="VZT639" s="133"/>
      <c r="VZU639" s="133"/>
      <c r="VZV639" s="133"/>
      <c r="VZW639" s="133"/>
      <c r="VZX639" s="133"/>
      <c r="VZY639" s="133"/>
      <c r="VZZ639" s="133"/>
      <c r="WAA639" s="133"/>
      <c r="WAB639" s="133"/>
      <c r="WAC639" s="133"/>
      <c r="WAD639" s="133"/>
      <c r="WAE639" s="133"/>
      <c r="WAF639" s="133"/>
      <c r="WAG639" s="133"/>
      <c r="WAH639" s="133"/>
      <c r="WAI639" s="133"/>
      <c r="WAJ639" s="133"/>
      <c r="WAK639" s="133"/>
      <c r="WAL639" s="133"/>
      <c r="WAM639" s="133"/>
      <c r="WAN639" s="133"/>
      <c r="WAO639" s="133"/>
      <c r="WAP639" s="133"/>
      <c r="WAQ639" s="133"/>
      <c r="WAR639" s="133"/>
      <c r="WAS639" s="133"/>
      <c r="WAT639" s="133"/>
      <c r="WAU639" s="133"/>
      <c r="WAV639" s="133"/>
      <c r="WAW639" s="133"/>
      <c r="WAX639" s="133"/>
      <c r="WAY639" s="133"/>
      <c r="WAZ639" s="133"/>
      <c r="WBA639" s="133"/>
      <c r="WBB639" s="133"/>
      <c r="WBC639" s="133"/>
      <c r="WBD639" s="133"/>
      <c r="WBE639" s="133"/>
      <c r="WBF639" s="133"/>
      <c r="WBG639" s="133"/>
      <c r="WBH639" s="133"/>
      <c r="WBI639" s="133"/>
      <c r="WBJ639" s="133"/>
      <c r="WBK639" s="133"/>
      <c r="WBL639" s="133"/>
      <c r="WBM639" s="133"/>
      <c r="WBN639" s="133"/>
      <c r="WBO639" s="133"/>
      <c r="WBP639" s="133"/>
      <c r="WBQ639" s="133"/>
      <c r="WBR639" s="133"/>
      <c r="WBS639" s="133"/>
      <c r="WBT639" s="133"/>
      <c r="WBU639" s="133"/>
      <c r="WBV639" s="133"/>
      <c r="WBW639" s="133"/>
      <c r="WBX639" s="133"/>
      <c r="WBY639" s="133"/>
      <c r="WBZ639" s="133"/>
      <c r="WCA639" s="133"/>
      <c r="WCB639" s="133"/>
      <c r="WCC639" s="133"/>
      <c r="WCD639" s="133"/>
      <c r="WCE639" s="133"/>
      <c r="WCF639" s="133"/>
      <c r="WCG639" s="133"/>
      <c r="WCH639" s="133"/>
      <c r="WCI639" s="133"/>
      <c r="WCJ639" s="133"/>
      <c r="WCK639" s="133"/>
      <c r="WCL639" s="133"/>
      <c r="WCM639" s="133"/>
      <c r="WCN639" s="133"/>
      <c r="WCO639" s="133"/>
      <c r="WCP639" s="133"/>
      <c r="WCQ639" s="133"/>
      <c r="WCR639" s="133"/>
      <c r="WCS639" s="133"/>
      <c r="WCT639" s="133"/>
      <c r="WCU639" s="133"/>
      <c r="WCV639" s="133"/>
      <c r="WCW639" s="133"/>
      <c r="WCX639" s="133"/>
      <c r="WCY639" s="133"/>
      <c r="WCZ639" s="133"/>
      <c r="WDA639" s="133"/>
      <c r="WDB639" s="133"/>
      <c r="WDC639" s="133"/>
      <c r="WDD639" s="133"/>
      <c r="WDE639" s="133"/>
      <c r="WDF639" s="133"/>
      <c r="WDG639" s="133"/>
      <c r="WDH639" s="133"/>
      <c r="WDI639" s="133"/>
      <c r="WDJ639" s="133"/>
      <c r="WDK639" s="133"/>
      <c r="WDL639" s="133"/>
      <c r="WDM639" s="133"/>
      <c r="WDN639" s="133"/>
      <c r="WDO639" s="133"/>
      <c r="WDP639" s="133"/>
      <c r="WDQ639" s="133"/>
      <c r="WDR639" s="133"/>
      <c r="WDS639" s="133"/>
      <c r="WDT639" s="133"/>
      <c r="WDU639" s="133"/>
      <c r="WDV639" s="133"/>
      <c r="WDW639" s="133"/>
      <c r="WDX639" s="133"/>
      <c r="WDY639" s="133"/>
      <c r="WDZ639" s="133"/>
      <c r="WEA639" s="133"/>
      <c r="WEB639" s="133"/>
      <c r="WEC639" s="133"/>
      <c r="WED639" s="133"/>
      <c r="WEE639" s="133"/>
      <c r="WEF639" s="133"/>
      <c r="WEG639" s="133"/>
      <c r="WEH639" s="133"/>
      <c r="WEI639" s="133"/>
      <c r="WEJ639" s="133"/>
      <c r="WEK639" s="133"/>
      <c r="WEL639" s="133"/>
      <c r="WEM639" s="133"/>
      <c r="WEN639" s="133"/>
      <c r="WEO639" s="133"/>
      <c r="WEP639" s="133"/>
      <c r="WEQ639" s="133"/>
      <c r="WER639" s="133"/>
      <c r="WES639" s="133"/>
      <c r="WET639" s="133"/>
      <c r="WEU639" s="133"/>
      <c r="WEV639" s="133"/>
      <c r="WEW639" s="133"/>
      <c r="WEX639" s="133"/>
      <c r="WEY639" s="133"/>
      <c r="WEZ639" s="133"/>
      <c r="WFA639" s="133"/>
      <c r="WFB639" s="133"/>
      <c r="WFC639" s="133"/>
      <c r="WFD639" s="133"/>
      <c r="WFE639" s="133"/>
      <c r="WFF639" s="133"/>
      <c r="WFG639" s="133"/>
      <c r="WFH639" s="133"/>
      <c r="WFI639" s="133"/>
      <c r="WFJ639" s="133"/>
      <c r="WFK639" s="133"/>
      <c r="WFL639" s="133"/>
      <c r="WFM639" s="133"/>
      <c r="WFN639" s="133"/>
      <c r="WFO639" s="133"/>
      <c r="WFP639" s="133"/>
      <c r="WFQ639" s="133"/>
      <c r="WFR639" s="133"/>
      <c r="WFS639" s="133"/>
      <c r="WFT639" s="133"/>
      <c r="WFU639" s="133"/>
      <c r="WFV639" s="133"/>
      <c r="WFW639" s="133"/>
      <c r="WFX639" s="133"/>
      <c r="WFY639" s="133"/>
      <c r="WFZ639" s="133"/>
      <c r="WGA639" s="133"/>
      <c r="WGB639" s="133"/>
      <c r="WGC639" s="133"/>
      <c r="WGD639" s="133"/>
      <c r="WGE639" s="133"/>
      <c r="WGF639" s="133"/>
      <c r="WGG639" s="133"/>
      <c r="WGH639" s="133"/>
      <c r="WGI639" s="133"/>
      <c r="WGJ639" s="133"/>
      <c r="WGK639" s="133"/>
      <c r="WGL639" s="133"/>
      <c r="WGM639" s="133"/>
      <c r="WGN639" s="133"/>
      <c r="WGO639" s="133"/>
      <c r="WGP639" s="133"/>
      <c r="WGQ639" s="133"/>
      <c r="WGR639" s="133"/>
      <c r="WGS639" s="133"/>
      <c r="WGT639" s="133"/>
      <c r="WGU639" s="133"/>
      <c r="WGV639" s="133"/>
      <c r="WGW639" s="133"/>
      <c r="WGX639" s="133"/>
      <c r="WGY639" s="133"/>
      <c r="WGZ639" s="133"/>
      <c r="WHA639" s="133"/>
      <c r="WHB639" s="133"/>
      <c r="WHC639" s="133"/>
      <c r="WHD639" s="133"/>
      <c r="WHE639" s="133"/>
      <c r="WHF639" s="133"/>
      <c r="WHG639" s="133"/>
      <c r="WHH639" s="133"/>
      <c r="WHI639" s="133"/>
      <c r="WHJ639" s="133"/>
      <c r="WHK639" s="133"/>
      <c r="WHL639" s="133"/>
      <c r="WHM639" s="133"/>
      <c r="WHN639" s="133"/>
      <c r="WHO639" s="133"/>
      <c r="WHP639" s="133"/>
      <c r="WHQ639" s="133"/>
      <c r="WHR639" s="133"/>
      <c r="WHS639" s="133"/>
      <c r="WHT639" s="133"/>
      <c r="WHU639" s="133"/>
      <c r="WHV639" s="133"/>
      <c r="WHW639" s="133"/>
      <c r="WHX639" s="133"/>
      <c r="WHY639" s="133"/>
      <c r="WHZ639" s="133"/>
      <c r="WIA639" s="133"/>
      <c r="WIB639" s="133"/>
      <c r="WIC639" s="133"/>
      <c r="WID639" s="133"/>
      <c r="WIE639" s="133"/>
      <c r="WIF639" s="133"/>
      <c r="WIG639" s="133"/>
      <c r="WIH639" s="133"/>
      <c r="WII639" s="133"/>
      <c r="WIJ639" s="133"/>
      <c r="WIK639" s="133"/>
      <c r="WIL639" s="133"/>
      <c r="WIM639" s="133"/>
      <c r="WIN639" s="133"/>
      <c r="WIO639" s="133"/>
      <c r="WIP639" s="133"/>
      <c r="WIQ639" s="133"/>
      <c r="WIR639" s="133"/>
      <c r="WIS639" s="133"/>
      <c r="WIT639" s="133"/>
      <c r="WIU639" s="133"/>
      <c r="WIV639" s="133"/>
      <c r="WIW639" s="133"/>
      <c r="WIX639" s="133"/>
      <c r="WIY639" s="133"/>
      <c r="WIZ639" s="133"/>
      <c r="WJA639" s="133"/>
      <c r="WJB639" s="133"/>
      <c r="WJC639" s="133"/>
      <c r="WJD639" s="133"/>
      <c r="WJE639" s="133"/>
      <c r="WJF639" s="133"/>
      <c r="WJG639" s="133"/>
      <c r="WJH639" s="133"/>
      <c r="WJI639" s="133"/>
      <c r="WJJ639" s="133"/>
      <c r="WJK639" s="133"/>
      <c r="WJL639" s="133"/>
      <c r="WJM639" s="133"/>
      <c r="WJN639" s="133"/>
      <c r="WJO639" s="133"/>
      <c r="WJP639" s="133"/>
      <c r="WJQ639" s="133"/>
      <c r="WJR639" s="133"/>
      <c r="WJS639" s="133"/>
      <c r="WJT639" s="133"/>
      <c r="WJU639" s="133"/>
      <c r="WJV639" s="133"/>
      <c r="WJW639" s="133"/>
      <c r="WJX639" s="133"/>
      <c r="WJY639" s="133"/>
      <c r="WJZ639" s="133"/>
      <c r="WKA639" s="133"/>
      <c r="WKB639" s="133"/>
      <c r="WKC639" s="133"/>
      <c r="WKD639" s="133"/>
      <c r="WKE639" s="133"/>
      <c r="WKF639" s="133"/>
      <c r="WKG639" s="133"/>
      <c r="WKH639" s="133"/>
      <c r="WKI639" s="133"/>
      <c r="WKJ639" s="133"/>
      <c r="WKK639" s="133"/>
      <c r="WKL639" s="133"/>
      <c r="WKM639" s="133"/>
      <c r="WKN639" s="133"/>
      <c r="WKO639" s="133"/>
      <c r="WKP639" s="133"/>
      <c r="WKQ639" s="133"/>
      <c r="WKR639" s="133"/>
      <c r="WKS639" s="133"/>
      <c r="WKT639" s="133"/>
      <c r="WKU639" s="133"/>
      <c r="WKV639" s="133"/>
      <c r="WKW639" s="133"/>
      <c r="WKX639" s="133"/>
      <c r="WKY639" s="133"/>
      <c r="WKZ639" s="133"/>
      <c r="WLA639" s="133"/>
      <c r="WLB639" s="133"/>
      <c r="WLC639" s="133"/>
      <c r="WLD639" s="133"/>
      <c r="WLE639" s="133"/>
      <c r="WLF639" s="133"/>
      <c r="WLG639" s="133"/>
      <c r="WLH639" s="133"/>
      <c r="WLI639" s="133"/>
      <c r="WLJ639" s="133"/>
      <c r="WLK639" s="133"/>
      <c r="WLL639" s="133"/>
      <c r="WLM639" s="133"/>
      <c r="WLN639" s="133"/>
      <c r="WLO639" s="133"/>
      <c r="WLP639" s="133"/>
      <c r="WLQ639" s="133"/>
      <c r="WLR639" s="133"/>
      <c r="WLS639" s="133"/>
      <c r="WLT639" s="133"/>
      <c r="WLU639" s="133"/>
      <c r="WLV639" s="133"/>
      <c r="WLW639" s="133"/>
      <c r="WLX639" s="133"/>
      <c r="WLY639" s="133"/>
      <c r="WLZ639" s="133"/>
      <c r="WMA639" s="133"/>
      <c r="WMB639" s="133"/>
      <c r="WMC639" s="133"/>
      <c r="WMD639" s="133"/>
      <c r="WME639" s="133"/>
      <c r="WMF639" s="133"/>
      <c r="WMG639" s="133"/>
      <c r="WMH639" s="133"/>
      <c r="WMI639" s="133"/>
      <c r="WMJ639" s="133"/>
      <c r="WMK639" s="133"/>
      <c r="WML639" s="133"/>
      <c r="WMM639" s="133"/>
      <c r="WMN639" s="133"/>
      <c r="WMO639" s="133"/>
      <c r="WMP639" s="133"/>
      <c r="WMQ639" s="133"/>
      <c r="WMR639" s="133"/>
      <c r="WMS639" s="133"/>
      <c r="WMT639" s="133"/>
      <c r="WMU639" s="133"/>
      <c r="WMV639" s="133"/>
      <c r="WMW639" s="133"/>
      <c r="WMX639" s="133"/>
      <c r="WMY639" s="133"/>
      <c r="WMZ639" s="133"/>
      <c r="WNA639" s="133"/>
      <c r="WNB639" s="133"/>
      <c r="WNC639" s="133"/>
      <c r="WND639" s="133"/>
      <c r="WNE639" s="133"/>
      <c r="WNF639" s="133"/>
      <c r="WNG639" s="133"/>
      <c r="WNH639" s="133"/>
      <c r="WNI639" s="133"/>
      <c r="WNJ639" s="133"/>
      <c r="WNK639" s="133"/>
      <c r="WNL639" s="133"/>
      <c r="WNM639" s="133"/>
      <c r="WNN639" s="133"/>
      <c r="WNO639" s="133"/>
      <c r="WNP639" s="133"/>
      <c r="WNQ639" s="133"/>
      <c r="WNR639" s="133"/>
      <c r="WNS639" s="133"/>
      <c r="WNT639" s="133"/>
      <c r="WNU639" s="133"/>
      <c r="WNV639" s="133"/>
      <c r="WNW639" s="133"/>
      <c r="WNX639" s="133"/>
      <c r="WNY639" s="133"/>
      <c r="WNZ639" s="133"/>
      <c r="WOA639" s="133"/>
      <c r="WOB639" s="133"/>
      <c r="WOC639" s="133"/>
      <c r="WOD639" s="133"/>
      <c r="WOE639" s="133"/>
      <c r="WOF639" s="133"/>
      <c r="WOG639" s="133"/>
      <c r="WOH639" s="133"/>
      <c r="WOI639" s="133"/>
      <c r="WOJ639" s="133"/>
      <c r="WOK639" s="133"/>
      <c r="WOL639" s="133"/>
      <c r="WOM639" s="133"/>
      <c r="WON639" s="133"/>
      <c r="WOO639" s="133"/>
      <c r="WOP639" s="133"/>
      <c r="WOQ639" s="133"/>
      <c r="WOR639" s="133"/>
      <c r="WOS639" s="133"/>
      <c r="WOT639" s="133"/>
      <c r="WOU639" s="133"/>
      <c r="WOV639" s="133"/>
      <c r="WOW639" s="133"/>
      <c r="WOX639" s="133"/>
      <c r="WOY639" s="133"/>
      <c r="WOZ639" s="133"/>
      <c r="WPA639" s="133"/>
      <c r="WPB639" s="133"/>
      <c r="WPC639" s="133"/>
      <c r="WPD639" s="133"/>
      <c r="WPE639" s="133"/>
      <c r="WPF639" s="133"/>
      <c r="WPG639" s="133"/>
      <c r="WPH639" s="133"/>
      <c r="WPI639" s="133"/>
      <c r="WPJ639" s="133"/>
      <c r="WPK639" s="133"/>
      <c r="WPL639" s="133"/>
      <c r="WPM639" s="133"/>
      <c r="WPN639" s="133"/>
      <c r="WPO639" s="133"/>
      <c r="WPP639" s="133"/>
      <c r="WPQ639" s="133"/>
      <c r="WPR639" s="133"/>
      <c r="WPS639" s="133"/>
      <c r="WPT639" s="133"/>
      <c r="WPU639" s="133"/>
      <c r="WPV639" s="133"/>
      <c r="WPW639" s="133"/>
      <c r="WPX639" s="133"/>
      <c r="WPY639" s="133"/>
      <c r="WPZ639" s="133"/>
      <c r="WQA639" s="133"/>
      <c r="WQB639" s="133"/>
      <c r="WQC639" s="133"/>
      <c r="WQD639" s="133"/>
      <c r="WQE639" s="133"/>
      <c r="WQF639" s="133"/>
      <c r="WQG639" s="133"/>
      <c r="WQH639" s="133"/>
      <c r="WQI639" s="133"/>
      <c r="WQJ639" s="133"/>
      <c r="WQK639" s="133"/>
      <c r="WQL639" s="133"/>
      <c r="WQM639" s="133"/>
      <c r="WQN639" s="133"/>
      <c r="WQO639" s="133"/>
      <c r="WQP639" s="133"/>
      <c r="WQQ639" s="133"/>
      <c r="WQR639" s="133"/>
      <c r="WQS639" s="133"/>
      <c r="WQT639" s="133"/>
      <c r="WQU639" s="133"/>
      <c r="WQV639" s="133"/>
      <c r="WQW639" s="133"/>
      <c r="WQX639" s="133"/>
      <c r="WQY639" s="133"/>
      <c r="WQZ639" s="133"/>
      <c r="WRA639" s="133"/>
      <c r="WRB639" s="133"/>
      <c r="WRC639" s="133"/>
      <c r="WRD639" s="133"/>
      <c r="WRE639" s="133"/>
      <c r="WRF639" s="133"/>
      <c r="WRG639" s="133"/>
      <c r="WRH639" s="133"/>
      <c r="WRI639" s="133"/>
      <c r="WRJ639" s="133"/>
      <c r="WRK639" s="133"/>
      <c r="WRL639" s="133"/>
      <c r="WRM639" s="133"/>
      <c r="WRN639" s="133"/>
      <c r="WRO639" s="133"/>
      <c r="WRP639" s="133"/>
      <c r="WRQ639" s="133"/>
      <c r="WRR639" s="133"/>
      <c r="WRS639" s="133"/>
      <c r="WRT639" s="133"/>
      <c r="WRU639" s="133"/>
      <c r="WRV639" s="133"/>
      <c r="WRW639" s="133"/>
      <c r="WRX639" s="133"/>
      <c r="WRY639" s="133"/>
      <c r="WRZ639" s="133"/>
      <c r="WSA639" s="133"/>
      <c r="WSB639" s="133"/>
      <c r="WSC639" s="133"/>
      <c r="WSD639" s="133"/>
      <c r="WSE639" s="133"/>
      <c r="WSF639" s="133"/>
      <c r="WSG639" s="133"/>
      <c r="WSH639" s="133"/>
      <c r="WSI639" s="133"/>
      <c r="WSJ639" s="133"/>
      <c r="WSK639" s="133"/>
      <c r="WSL639" s="133"/>
      <c r="WSM639" s="133"/>
      <c r="WSN639" s="133"/>
      <c r="WSO639" s="133"/>
      <c r="WSP639" s="133"/>
      <c r="WSQ639" s="133"/>
      <c r="WSR639" s="133"/>
      <c r="WSS639" s="133"/>
      <c r="WST639" s="133"/>
      <c r="WSU639" s="133"/>
      <c r="WSV639" s="133"/>
      <c r="WSW639" s="133"/>
      <c r="WSX639" s="133"/>
      <c r="WSY639" s="133"/>
      <c r="WSZ639" s="133"/>
      <c r="WTA639" s="133"/>
      <c r="WTB639" s="133"/>
      <c r="WTC639" s="133"/>
      <c r="WTD639" s="133"/>
      <c r="WTE639" s="133"/>
      <c r="WTF639" s="133"/>
      <c r="WTG639" s="133"/>
      <c r="WTH639" s="133"/>
      <c r="WTI639" s="133"/>
      <c r="WTJ639" s="133"/>
      <c r="WTK639" s="133"/>
      <c r="WTL639" s="133"/>
      <c r="WTM639" s="133"/>
      <c r="WTN639" s="133"/>
      <c r="WTO639" s="133"/>
      <c r="WTP639" s="133"/>
      <c r="WTQ639" s="133"/>
      <c r="WTR639" s="133"/>
      <c r="WTS639" s="133"/>
      <c r="WTT639" s="133"/>
      <c r="WTU639" s="133"/>
      <c r="WTV639" s="133"/>
      <c r="WTW639" s="133"/>
      <c r="WTX639" s="133"/>
      <c r="WTY639" s="133"/>
      <c r="WTZ639" s="133"/>
      <c r="WUA639" s="133"/>
      <c r="WUB639" s="133"/>
      <c r="WUC639" s="133"/>
      <c r="WUD639" s="133"/>
      <c r="WUE639" s="133"/>
      <c r="WUF639" s="133"/>
      <c r="WUG639" s="133"/>
      <c r="WUH639" s="133"/>
      <c r="WUI639" s="133"/>
      <c r="WUJ639" s="133"/>
      <c r="WUK639" s="133"/>
      <c r="WUL639" s="133"/>
      <c r="WUM639" s="133"/>
      <c r="WUN639" s="133"/>
      <c r="WUO639" s="133"/>
      <c r="WUP639" s="133"/>
      <c r="WUQ639" s="133"/>
      <c r="WUR639" s="133"/>
      <c r="WUS639" s="133"/>
      <c r="WUT639" s="133"/>
      <c r="WUU639" s="133"/>
      <c r="WUV639" s="133"/>
      <c r="WUW639" s="133"/>
      <c r="WUX639" s="133"/>
      <c r="WUY639" s="133"/>
      <c r="WUZ639" s="133"/>
      <c r="WVA639" s="133"/>
      <c r="WVB639" s="133"/>
      <c r="WVC639" s="133"/>
      <c r="WVD639" s="133"/>
      <c r="WVE639" s="133"/>
      <c r="WVF639" s="133"/>
      <c r="WVG639" s="133"/>
      <c r="WVH639" s="133"/>
      <c r="WVI639" s="133"/>
      <c r="WVJ639" s="133"/>
      <c r="WVK639" s="133"/>
      <c r="WVL639" s="133"/>
      <c r="WVM639" s="133"/>
      <c r="WVN639" s="133"/>
      <c r="WVO639" s="133"/>
      <c r="WVP639" s="133"/>
      <c r="WVQ639" s="133"/>
      <c r="WVR639" s="133"/>
      <c r="WVS639" s="133"/>
      <c r="WVT639" s="133"/>
      <c r="WVU639" s="133"/>
      <c r="WVV639" s="133"/>
      <c r="WVW639" s="133"/>
      <c r="WVX639" s="133"/>
      <c r="WVY639" s="133"/>
      <c r="WVZ639" s="133"/>
      <c r="WWA639" s="133"/>
      <c r="WWB639" s="133"/>
      <c r="WWC639" s="133"/>
      <c r="WWD639" s="133"/>
      <c r="WWE639" s="133"/>
      <c r="WWF639" s="133"/>
      <c r="WWG639" s="133"/>
      <c r="WWH639" s="133"/>
      <c r="WWI639" s="133"/>
      <c r="WWJ639" s="133"/>
      <c r="WWK639" s="133"/>
      <c r="WWL639" s="133"/>
      <c r="WWM639" s="133"/>
      <c r="WWN639" s="133"/>
      <c r="WWO639" s="133"/>
      <c r="WWP639" s="133"/>
      <c r="WWQ639" s="133"/>
      <c r="WWR639" s="133"/>
      <c r="WWS639" s="133"/>
      <c r="WWT639" s="133"/>
      <c r="WWU639" s="133"/>
      <c r="WWV639" s="133"/>
      <c r="WWW639" s="133"/>
      <c r="WWX639" s="133"/>
      <c r="WWY639" s="133"/>
      <c r="WWZ639" s="133"/>
      <c r="WXA639" s="133"/>
      <c r="WXB639" s="133"/>
      <c r="WXC639" s="133"/>
      <c r="WXD639" s="133"/>
      <c r="WXE639" s="133"/>
      <c r="WXF639" s="133"/>
      <c r="WXG639" s="133"/>
      <c r="WXH639" s="133"/>
      <c r="WXI639" s="133"/>
      <c r="WXJ639" s="133"/>
      <c r="WXK639" s="133"/>
      <c r="WXL639" s="133"/>
      <c r="WXM639" s="133"/>
      <c r="WXN639" s="133"/>
      <c r="WXO639" s="133"/>
      <c r="WXP639" s="133"/>
      <c r="WXQ639" s="133"/>
      <c r="WXR639" s="133"/>
      <c r="WXS639" s="133"/>
      <c r="WXT639" s="133"/>
      <c r="WXU639" s="133"/>
      <c r="WXV639" s="133"/>
      <c r="WXW639" s="133"/>
      <c r="WXX639" s="133"/>
      <c r="WXY639" s="133"/>
      <c r="WXZ639" s="133"/>
      <c r="WYA639" s="133"/>
      <c r="WYB639" s="133"/>
      <c r="WYC639" s="133"/>
      <c r="WYD639" s="133"/>
      <c r="WYE639" s="133"/>
      <c r="WYF639" s="133"/>
      <c r="WYG639" s="133"/>
      <c r="WYH639" s="133"/>
      <c r="WYI639" s="133"/>
      <c r="WYJ639" s="133"/>
      <c r="WYK639" s="133"/>
      <c r="WYL639" s="133"/>
      <c r="WYM639" s="133"/>
      <c r="WYN639" s="133"/>
      <c r="WYO639" s="133"/>
      <c r="WYP639" s="133"/>
      <c r="WYQ639" s="133"/>
      <c r="WYR639" s="133"/>
      <c r="WYS639" s="133"/>
      <c r="WYT639" s="133"/>
      <c r="WYU639" s="133"/>
      <c r="WYV639" s="133"/>
      <c r="WYW639" s="133"/>
      <c r="WYX639" s="133"/>
      <c r="WYY639" s="133"/>
      <c r="WYZ639" s="133"/>
      <c r="WZA639" s="133"/>
      <c r="WZB639" s="133"/>
      <c r="WZC639" s="133"/>
      <c r="WZD639" s="133"/>
      <c r="WZE639" s="133"/>
      <c r="WZF639" s="133"/>
      <c r="WZG639" s="133"/>
      <c r="WZH639" s="133"/>
      <c r="WZI639" s="133"/>
      <c r="WZJ639" s="133"/>
      <c r="WZK639" s="133"/>
      <c r="WZL639" s="133"/>
      <c r="WZM639" s="133"/>
      <c r="WZN639" s="133"/>
      <c r="WZO639" s="133"/>
      <c r="WZP639" s="133"/>
      <c r="WZQ639" s="133"/>
      <c r="WZR639" s="133"/>
      <c r="WZS639" s="133"/>
      <c r="WZT639" s="133"/>
      <c r="WZU639" s="133"/>
      <c r="WZV639" s="133"/>
      <c r="WZW639" s="133"/>
      <c r="WZX639" s="133"/>
      <c r="WZY639" s="133"/>
      <c r="WZZ639" s="133"/>
      <c r="XAA639" s="133"/>
      <c r="XAB639" s="133"/>
      <c r="XAC639" s="133"/>
      <c r="XAD639" s="133"/>
      <c r="XAE639" s="133"/>
      <c r="XAF639" s="133"/>
      <c r="XAG639" s="133"/>
      <c r="XAH639" s="133"/>
      <c r="XAI639" s="133"/>
      <c r="XAJ639" s="133"/>
      <c r="XAK639" s="133"/>
      <c r="XAL639" s="133"/>
      <c r="XAM639" s="133"/>
      <c r="XAN639" s="133"/>
      <c r="XAO639" s="133"/>
      <c r="XAP639" s="133"/>
      <c r="XAQ639" s="133"/>
      <c r="XAR639" s="133"/>
      <c r="XAS639" s="133"/>
      <c r="XAT639" s="133"/>
      <c r="XAU639" s="133"/>
      <c r="XAV639" s="133"/>
      <c r="XAW639" s="133"/>
      <c r="XAX639" s="133"/>
      <c r="XAY639" s="133"/>
      <c r="XAZ639" s="133"/>
      <c r="XBA639" s="133"/>
      <c r="XBB639" s="133"/>
      <c r="XBC639" s="133"/>
      <c r="XBD639" s="133"/>
      <c r="XBE639" s="133"/>
      <c r="XBF639" s="133"/>
      <c r="XBG639" s="133"/>
      <c r="XBH639" s="133"/>
      <c r="XBI639" s="133"/>
      <c r="XBJ639" s="133"/>
      <c r="XBK639" s="133"/>
      <c r="XBL639" s="133"/>
      <c r="XBM639" s="133"/>
      <c r="XBN639" s="133"/>
      <c r="XBO639" s="133"/>
      <c r="XBP639" s="133"/>
      <c r="XBQ639" s="133"/>
      <c r="XBR639" s="133"/>
      <c r="XBS639" s="133"/>
      <c r="XBT639" s="133"/>
      <c r="XBU639" s="133"/>
      <c r="XBV639" s="133"/>
      <c r="XBW639" s="133"/>
      <c r="XBX639" s="133"/>
      <c r="XBY639" s="133"/>
      <c r="XBZ639" s="133"/>
      <c r="XCA639" s="133"/>
      <c r="XCB639" s="133"/>
      <c r="XCC639" s="133"/>
      <c r="XCD639" s="133"/>
      <c r="XCE639" s="133"/>
      <c r="XCF639" s="133"/>
      <c r="XCG639" s="133"/>
      <c r="XCH639" s="133"/>
      <c r="XCI639" s="133"/>
      <c r="XCJ639" s="133"/>
      <c r="XCK639" s="133"/>
      <c r="XCL639" s="133"/>
      <c r="XCM639" s="133"/>
      <c r="XCN639" s="133"/>
      <c r="XCO639" s="133"/>
      <c r="XCP639" s="133"/>
      <c r="XCQ639" s="133"/>
      <c r="XCR639" s="133"/>
      <c r="XCS639" s="133"/>
      <c r="XCT639" s="133"/>
      <c r="XCU639" s="133"/>
      <c r="XCV639" s="133"/>
      <c r="XCW639" s="133"/>
      <c r="XCX639" s="133"/>
      <c r="XCY639" s="133"/>
      <c r="XCZ639" s="133"/>
      <c r="XDA639" s="133"/>
      <c r="XDB639" s="133"/>
      <c r="XDC639" s="133"/>
      <c r="XDD639" s="133"/>
      <c r="XDE639" s="133"/>
      <c r="XDF639" s="133"/>
      <c r="XDG639" s="133"/>
      <c r="XDH639" s="133"/>
      <c r="XDI639" s="133"/>
      <c r="XDJ639" s="133"/>
      <c r="XDK639" s="133"/>
      <c r="XDL639" s="133"/>
      <c r="XDM639" s="133"/>
      <c r="XDN639" s="133"/>
      <c r="XDO639" s="133"/>
      <c r="XDP639" s="133"/>
      <c r="XDQ639" s="133"/>
      <c r="XDR639" s="133"/>
      <c r="XDS639" s="133"/>
      <c r="XDT639" s="133"/>
      <c r="XDU639" s="133"/>
      <c r="XDV639" s="133"/>
      <c r="XDW639" s="133"/>
      <c r="XDX639" s="133"/>
      <c r="XDY639" s="133"/>
      <c r="XDZ639" s="133"/>
      <c r="XEA639" s="133"/>
      <c r="XEB639" s="133"/>
      <c r="XEC639" s="133"/>
      <c r="XED639" s="133"/>
      <c r="XEE639" s="133"/>
      <c r="XEF639" s="133"/>
      <c r="XEG639" s="133"/>
      <c r="XEH639" s="133"/>
      <c r="XEI639" s="133"/>
      <c r="XEJ639" s="133"/>
      <c r="XEK639" s="133"/>
      <c r="XEL639" s="133"/>
      <c r="XEM639" s="133"/>
      <c r="XEN639" s="133"/>
      <c r="XEO639" s="133"/>
      <c r="XEP639" s="133"/>
      <c r="XEQ639" s="133"/>
      <c r="XER639" s="133"/>
      <c r="XES639" s="133"/>
      <c r="XET639" s="133"/>
      <c r="XEU639" s="133"/>
      <c r="XEV639" s="133"/>
      <c r="XEW639" s="133"/>
      <c r="XEX639" s="133"/>
      <c r="XEY639" s="133"/>
      <c r="XEZ639" s="133"/>
      <c r="XFA639" s="133"/>
      <c r="XFB639" s="133"/>
      <c r="XFC639" s="133"/>
    </row>
    <row r="641" spans="2:6">
      <c r="B641">
        <v>1</v>
      </c>
      <c r="D641" s="137">
        <f t="shared" ref="D641:D704" si="21">F18*INDEX($E$556:$CG$636,E18-1945,G18-1945)</f>
        <v>65971.540357294682</v>
      </c>
      <c r="E641" s="136">
        <f t="shared" ref="E641:E704" si="22">G18</f>
        <v>2020</v>
      </c>
      <c r="F641" s="135">
        <f>_xlfn.XLOOKUP(D18,'3. Input (des)investeringen '!$B$11:$B$81,'3. Input (des)investeringen '!$E$11:$E$81)</f>
        <v>1</v>
      </c>
    </row>
    <row r="642" spans="2:6">
      <c r="B642">
        <v>2</v>
      </c>
      <c r="D642" s="137">
        <f t="shared" si="21"/>
        <v>10418.237040788192</v>
      </c>
      <c r="E642" s="136">
        <f t="shared" si="22"/>
        <v>2020</v>
      </c>
      <c r="F642" s="135">
        <f>_xlfn.XLOOKUP(D19,'3. Input (des)investeringen '!$B$11:$B$81,'3. Input (des)investeringen '!$E$11:$E$81)</f>
        <v>1</v>
      </c>
    </row>
    <row r="643" spans="2:6">
      <c r="B643">
        <v>3</v>
      </c>
      <c r="D643" s="137">
        <f t="shared" si="21"/>
        <v>854933.1294840395</v>
      </c>
      <c r="E643" s="136">
        <f t="shared" si="22"/>
        <v>2020</v>
      </c>
      <c r="F643" s="135">
        <f>_xlfn.XLOOKUP(D20,'3. Input (des)investeringen '!$B$11:$B$81,'3. Input (des)investeringen '!$E$11:$E$81)</f>
        <v>1</v>
      </c>
    </row>
    <row r="644" spans="2:6">
      <c r="B644">
        <v>4</v>
      </c>
      <c r="D644" s="137">
        <f t="shared" si="21"/>
        <v>11347.896858824235</v>
      </c>
      <c r="E644" s="136">
        <f t="shared" si="22"/>
        <v>2020</v>
      </c>
      <c r="F644" s="135">
        <f>_xlfn.XLOOKUP(D21,'3. Input (des)investeringen '!$B$11:$B$81,'3. Input (des)investeringen '!$E$11:$E$81)</f>
        <v>1</v>
      </c>
    </row>
    <row r="645" spans="2:6">
      <c r="B645">
        <v>5</v>
      </c>
      <c r="D645" s="137">
        <f t="shared" si="21"/>
        <v>3517510.3440651735</v>
      </c>
      <c r="E645" s="136">
        <f t="shared" si="22"/>
        <v>2020</v>
      </c>
      <c r="F645" s="135">
        <f>_xlfn.XLOOKUP(D22,'3. Input (des)investeringen '!$B$11:$B$81,'3. Input (des)investeringen '!$E$11:$E$81)</f>
        <v>1</v>
      </c>
    </row>
    <row r="646" spans="2:6">
      <c r="B646">
        <v>6</v>
      </c>
      <c r="D646" s="137">
        <f t="shared" si="21"/>
        <v>36014.029146678571</v>
      </c>
      <c r="E646" s="136">
        <f t="shared" si="22"/>
        <v>2020</v>
      </c>
      <c r="F646" s="135">
        <f>_xlfn.XLOOKUP(D23,'3. Input (des)investeringen '!$B$11:$B$81,'3. Input (des)investeringen '!$E$11:$E$81)</f>
        <v>1</v>
      </c>
    </row>
    <row r="647" spans="2:6">
      <c r="B647">
        <v>7</v>
      </c>
      <c r="D647" s="137">
        <f t="shared" si="21"/>
        <v>2030273.1982919059</v>
      </c>
      <c r="E647" s="136">
        <f t="shared" si="22"/>
        <v>2020</v>
      </c>
      <c r="F647" s="135">
        <f>_xlfn.XLOOKUP(D24,'3. Input (des)investeringen '!$B$11:$B$81,'3. Input (des)investeringen '!$E$11:$E$81)</f>
        <v>1</v>
      </c>
    </row>
    <row r="648" spans="2:6">
      <c r="B648">
        <v>8</v>
      </c>
      <c r="D648" s="137">
        <f t="shared" si="21"/>
        <v>2626856.2307547103</v>
      </c>
      <c r="E648" s="136">
        <f t="shared" si="22"/>
        <v>2020</v>
      </c>
      <c r="F648" s="135">
        <f>_xlfn.XLOOKUP(D25,'3. Input (des)investeringen '!$B$11:$B$81,'3. Input (des)investeringen '!$E$11:$E$81)</f>
        <v>1</v>
      </c>
    </row>
    <row r="649" spans="2:6">
      <c r="B649">
        <v>9</v>
      </c>
      <c r="D649" s="137">
        <f t="shared" si="21"/>
        <v>2999487.0331639843</v>
      </c>
      <c r="E649" s="136">
        <f t="shared" si="22"/>
        <v>2020</v>
      </c>
      <c r="F649" s="135">
        <f>_xlfn.XLOOKUP(D26,'3. Input (des)investeringen '!$B$11:$B$81,'3. Input (des)investeringen '!$E$11:$E$81)</f>
        <v>1</v>
      </c>
    </row>
    <row r="650" spans="2:6">
      <c r="B650">
        <v>10</v>
      </c>
      <c r="D650" s="137">
        <f t="shared" si="21"/>
        <v>1330117.5926660511</v>
      </c>
      <c r="E650" s="136">
        <f t="shared" si="22"/>
        <v>2020</v>
      </c>
      <c r="F650" s="135">
        <f>_xlfn.XLOOKUP(D27,'3. Input (des)investeringen '!$B$11:$B$81,'3. Input (des)investeringen '!$E$11:$E$81)</f>
        <v>1</v>
      </c>
    </row>
    <row r="651" spans="2:6">
      <c r="B651">
        <v>11</v>
      </c>
      <c r="D651" s="137">
        <f t="shared" si="21"/>
        <v>831794.93402741617</v>
      </c>
      <c r="E651" s="136">
        <f t="shared" si="22"/>
        <v>2020</v>
      </c>
      <c r="F651" s="135">
        <f>_xlfn.XLOOKUP(D28,'3. Input (des)investeringen '!$B$11:$B$81,'3. Input (des)investeringen '!$E$11:$E$81)</f>
        <v>1</v>
      </c>
    </row>
    <row r="652" spans="2:6">
      <c r="B652">
        <v>12</v>
      </c>
      <c r="D652" s="137">
        <f t="shared" si="21"/>
        <v>922617.58994232956</v>
      </c>
      <c r="E652" s="136">
        <f t="shared" si="22"/>
        <v>2020</v>
      </c>
      <c r="F652" s="135">
        <f>_xlfn.XLOOKUP(D29,'3. Input (des)investeringen '!$B$11:$B$81,'3. Input (des)investeringen '!$E$11:$E$81)</f>
        <v>1</v>
      </c>
    </row>
    <row r="653" spans="2:6">
      <c r="B653">
        <v>13</v>
      </c>
      <c r="D653" s="137">
        <f t="shared" si="21"/>
        <v>760674.32352435426</v>
      </c>
      <c r="E653" s="136">
        <f t="shared" si="22"/>
        <v>2020</v>
      </c>
      <c r="F653" s="135">
        <f>_xlfn.XLOOKUP(D30,'3. Input (des)investeringen '!$B$11:$B$81,'3. Input (des)investeringen '!$E$11:$E$81)</f>
        <v>1</v>
      </c>
    </row>
    <row r="654" spans="2:6">
      <c r="B654">
        <v>14</v>
      </c>
      <c r="D654" s="137">
        <f t="shared" si="21"/>
        <v>1809144.9262669957</v>
      </c>
      <c r="E654" s="136">
        <f t="shared" si="22"/>
        <v>2020</v>
      </c>
      <c r="F654" s="135">
        <f>_xlfn.XLOOKUP(D31,'3. Input (des)investeringen '!$B$11:$B$81,'3. Input (des)investeringen '!$E$11:$E$81)</f>
        <v>1</v>
      </c>
    </row>
    <row r="655" spans="2:6">
      <c r="B655">
        <v>15</v>
      </c>
      <c r="D655" s="137">
        <f t="shared" si="21"/>
        <v>810767.9596087964</v>
      </c>
      <c r="E655" s="136">
        <f t="shared" si="22"/>
        <v>2020</v>
      </c>
      <c r="F655" s="135">
        <f>_xlfn.XLOOKUP(D32,'3. Input (des)investeringen '!$B$11:$B$81,'3. Input (des)investeringen '!$E$11:$E$81)</f>
        <v>1</v>
      </c>
    </row>
    <row r="656" spans="2:6">
      <c r="B656">
        <v>16</v>
      </c>
      <c r="D656" s="137">
        <f t="shared" si="21"/>
        <v>171552.72165034333</v>
      </c>
      <c r="E656" s="136">
        <f t="shared" si="22"/>
        <v>2020</v>
      </c>
      <c r="F656" s="135">
        <f>_xlfn.XLOOKUP(D33,'3. Input (des)investeringen '!$B$11:$B$81,'3. Input (des)investeringen '!$E$11:$E$81)</f>
        <v>1</v>
      </c>
    </row>
    <row r="657" spans="2:6">
      <c r="B657">
        <v>17</v>
      </c>
      <c r="D657" s="137">
        <f t="shared" si="21"/>
        <v>91246.024644601261</v>
      </c>
      <c r="E657" s="136">
        <f t="shared" si="22"/>
        <v>2020</v>
      </c>
      <c r="F657" s="135">
        <f>_xlfn.XLOOKUP(D34,'3. Input (des)investeringen '!$B$11:$B$81,'3. Input (des)investeringen '!$E$11:$E$81)</f>
        <v>1</v>
      </c>
    </row>
    <row r="658" spans="2:6">
      <c r="B658">
        <v>18</v>
      </c>
      <c r="D658" s="137">
        <f t="shared" si="21"/>
        <v>340746.27672134229</v>
      </c>
      <c r="E658" s="136">
        <f t="shared" si="22"/>
        <v>2020</v>
      </c>
      <c r="F658" s="135">
        <f>_xlfn.XLOOKUP(D35,'3. Input (des)investeringen '!$B$11:$B$81,'3. Input (des)investeringen '!$E$11:$E$81)</f>
        <v>1</v>
      </c>
    </row>
    <row r="659" spans="2:6">
      <c r="B659">
        <v>19</v>
      </c>
      <c r="D659" s="137">
        <f t="shared" si="21"/>
        <v>114290.70854834077</v>
      </c>
      <c r="E659" s="136">
        <f t="shared" si="22"/>
        <v>2020</v>
      </c>
      <c r="F659" s="135">
        <f>_xlfn.XLOOKUP(D36,'3. Input (des)investeringen '!$B$11:$B$81,'3. Input (des)investeringen '!$E$11:$E$81)</f>
        <v>1</v>
      </c>
    </row>
    <row r="660" spans="2:6">
      <c r="B660">
        <v>20</v>
      </c>
      <c r="D660" s="137">
        <f t="shared" si="21"/>
        <v>257687.63762762956</v>
      </c>
      <c r="E660" s="136">
        <f t="shared" si="22"/>
        <v>2020</v>
      </c>
      <c r="F660" s="135">
        <f>_xlfn.XLOOKUP(D37,'3. Input (des)investeringen '!$B$11:$B$81,'3. Input (des)investeringen '!$E$11:$E$81)</f>
        <v>1</v>
      </c>
    </row>
    <row r="661" spans="2:6">
      <c r="B661">
        <v>21</v>
      </c>
      <c r="D661" s="137">
        <f t="shared" si="21"/>
        <v>3164.8772080974418</v>
      </c>
      <c r="E661" s="136">
        <f t="shared" si="22"/>
        <v>2020</v>
      </c>
      <c r="F661" s="135">
        <f>_xlfn.XLOOKUP(D38,'3. Input (des)investeringen '!$B$11:$B$81,'3. Input (des)investeringen '!$E$11:$E$81)</f>
        <v>1</v>
      </c>
    </row>
    <row r="662" spans="2:6">
      <c r="B662">
        <v>22</v>
      </c>
      <c r="D662" s="137">
        <f t="shared" si="21"/>
        <v>68190.529569318343</v>
      </c>
      <c r="E662" s="136">
        <f t="shared" si="22"/>
        <v>2020</v>
      </c>
      <c r="F662" s="135">
        <f>_xlfn.XLOOKUP(D39,'3. Input (des)investeringen '!$B$11:$B$81,'3. Input (des)investeringen '!$E$11:$E$81)</f>
        <v>1</v>
      </c>
    </row>
    <row r="663" spans="2:6">
      <c r="B663">
        <v>23</v>
      </c>
      <c r="D663" s="137">
        <f t="shared" si="21"/>
        <v>9161.1991360213215</v>
      </c>
      <c r="E663" s="136">
        <f t="shared" si="22"/>
        <v>2020</v>
      </c>
      <c r="F663" s="135">
        <f>_xlfn.XLOOKUP(D40,'3. Input (des)investeringen '!$B$11:$B$81,'3. Input (des)investeringen '!$E$11:$E$81)</f>
        <v>1</v>
      </c>
    </row>
    <row r="664" spans="2:6">
      <c r="B664">
        <v>24</v>
      </c>
      <c r="D664" s="137">
        <f t="shared" si="21"/>
        <v>46805.036504867581</v>
      </c>
      <c r="E664" s="136">
        <f t="shared" si="22"/>
        <v>2020</v>
      </c>
      <c r="F664" s="135">
        <f>_xlfn.XLOOKUP(D41,'3. Input (des)investeringen '!$B$11:$B$81,'3. Input (des)investeringen '!$E$11:$E$81)</f>
        <v>1</v>
      </c>
    </row>
    <row r="665" spans="2:6">
      <c r="B665">
        <v>25</v>
      </c>
      <c r="D665" s="137">
        <f t="shared" si="21"/>
        <v>40084.467968826939</v>
      </c>
      <c r="E665" s="136">
        <f t="shared" si="22"/>
        <v>2020</v>
      </c>
      <c r="F665" s="135">
        <f>_xlfn.XLOOKUP(D42,'3. Input (des)investeringen '!$B$11:$B$81,'3. Input (des)investeringen '!$E$11:$E$81)</f>
        <v>1</v>
      </c>
    </row>
    <row r="666" spans="2:6">
      <c r="B666">
        <v>26</v>
      </c>
      <c r="D666" s="137">
        <f t="shared" si="21"/>
        <v>93182.452122152143</v>
      </c>
      <c r="E666" s="136">
        <f t="shared" si="22"/>
        <v>2020</v>
      </c>
      <c r="F666" s="135">
        <f>_xlfn.XLOOKUP(D43,'3. Input (des)investeringen '!$B$11:$B$81,'3. Input (des)investeringen '!$E$11:$E$81)</f>
        <v>1</v>
      </c>
    </row>
    <row r="667" spans="2:6">
      <c r="B667">
        <v>27</v>
      </c>
      <c r="D667" s="137">
        <f t="shared" si="21"/>
        <v>268344.63701932121</v>
      </c>
      <c r="E667" s="136">
        <f t="shared" si="22"/>
        <v>2020</v>
      </c>
      <c r="F667" s="135">
        <f>_xlfn.XLOOKUP(D44,'3. Input (des)investeringen '!$B$11:$B$81,'3. Input (des)investeringen '!$E$11:$E$81)</f>
        <v>1</v>
      </c>
    </row>
    <row r="668" spans="2:6">
      <c r="B668">
        <v>28</v>
      </c>
      <c r="D668" s="137">
        <f t="shared" si="21"/>
        <v>106238.45888432344</v>
      </c>
      <c r="E668" s="136">
        <f t="shared" si="22"/>
        <v>2020</v>
      </c>
      <c r="F668" s="135">
        <f>_xlfn.XLOOKUP(D45,'3. Input (des)investeringen '!$B$11:$B$81,'3. Input (des)investeringen '!$E$11:$E$81)</f>
        <v>1</v>
      </c>
    </row>
    <row r="669" spans="2:6">
      <c r="B669">
        <v>29</v>
      </c>
      <c r="D669" s="137">
        <f t="shared" si="21"/>
        <v>133036.96947395953</v>
      </c>
      <c r="E669" s="136">
        <f t="shared" si="22"/>
        <v>2020</v>
      </c>
      <c r="F669" s="135">
        <f>_xlfn.XLOOKUP(D46,'3. Input (des)investeringen '!$B$11:$B$81,'3. Input (des)investeringen '!$E$11:$E$81)</f>
        <v>1</v>
      </c>
    </row>
    <row r="670" spans="2:6">
      <c r="B670">
        <v>30</v>
      </c>
      <c r="D670" s="137">
        <f t="shared" si="21"/>
        <v>154343.3001910657</v>
      </c>
      <c r="E670" s="136">
        <f t="shared" si="22"/>
        <v>2020</v>
      </c>
      <c r="F670" s="135">
        <f>_xlfn.XLOOKUP(D47,'3. Input (des)investeringen '!$B$11:$B$81,'3. Input (des)investeringen '!$E$11:$E$81)</f>
        <v>1</v>
      </c>
    </row>
    <row r="671" spans="2:6">
      <c r="B671">
        <v>31</v>
      </c>
      <c r="D671" s="137">
        <f t="shared" si="21"/>
        <v>34143.730074277388</v>
      </c>
      <c r="E671" s="136">
        <f t="shared" si="22"/>
        <v>2020</v>
      </c>
      <c r="F671" s="135">
        <f>_xlfn.XLOOKUP(D48,'3. Input (des)investeringen '!$B$11:$B$81,'3. Input (des)investeringen '!$E$11:$E$81)</f>
        <v>1</v>
      </c>
    </row>
    <row r="672" spans="2:6">
      <c r="B672">
        <v>32</v>
      </c>
      <c r="D672" s="137">
        <f t="shared" si="21"/>
        <v>3511.4554836606476</v>
      </c>
      <c r="E672" s="136">
        <f t="shared" si="22"/>
        <v>2020</v>
      </c>
      <c r="F672" s="135">
        <f>_xlfn.XLOOKUP(D49,'3. Input (des)investeringen '!$B$11:$B$81,'3. Input (des)investeringen '!$E$11:$E$81)</f>
        <v>1</v>
      </c>
    </row>
    <row r="673" spans="2:6">
      <c r="B673">
        <v>33</v>
      </c>
      <c r="D673" s="137">
        <f t="shared" si="21"/>
        <v>7181.457765698261</v>
      </c>
      <c r="E673" s="136">
        <f t="shared" si="22"/>
        <v>2020</v>
      </c>
      <c r="F673" s="135">
        <f>_xlfn.XLOOKUP(D50,'3. Input (des)investeringen '!$B$11:$B$81,'3. Input (des)investeringen '!$E$11:$E$81)</f>
        <v>1</v>
      </c>
    </row>
    <row r="674" spans="2:6">
      <c r="B674">
        <v>34</v>
      </c>
      <c r="D674" s="137">
        <f t="shared" si="21"/>
        <v>884026.28992311645</v>
      </c>
      <c r="E674" s="136">
        <f t="shared" si="22"/>
        <v>2020</v>
      </c>
      <c r="F674" s="135">
        <f>_xlfn.XLOOKUP(D51,'3. Input (des)investeringen '!$B$11:$B$81,'3. Input (des)investeringen '!$E$11:$E$81)</f>
        <v>1</v>
      </c>
    </row>
    <row r="675" spans="2:6">
      <c r="B675">
        <v>35</v>
      </c>
      <c r="D675" s="137">
        <f t="shared" si="21"/>
        <v>1116.3576548659616</v>
      </c>
      <c r="E675" s="136">
        <f t="shared" si="22"/>
        <v>2020</v>
      </c>
      <c r="F675" s="135">
        <f>_xlfn.XLOOKUP(D52,'3. Input (des)investeringen '!$B$11:$B$81,'3. Input (des)investeringen '!$E$11:$E$81)</f>
        <v>0</v>
      </c>
    </row>
    <row r="676" spans="2:6">
      <c r="B676">
        <v>36</v>
      </c>
      <c r="D676" s="137">
        <f t="shared" si="21"/>
        <v>88537.809838823887</v>
      </c>
      <c r="E676" s="136">
        <f t="shared" si="22"/>
        <v>2020</v>
      </c>
      <c r="F676" s="135">
        <f>_xlfn.XLOOKUP(D53,'3. Input (des)investeringen '!$B$11:$B$81,'3. Input (des)investeringen '!$E$11:$E$81)</f>
        <v>0</v>
      </c>
    </row>
    <row r="677" spans="2:6">
      <c r="B677">
        <v>37</v>
      </c>
      <c r="D677" s="137">
        <f t="shared" si="21"/>
        <v>98402.82977106719</v>
      </c>
      <c r="E677" s="136">
        <f t="shared" si="22"/>
        <v>2020</v>
      </c>
      <c r="F677" s="135">
        <f>_xlfn.XLOOKUP(D54,'3. Input (des)investeringen '!$B$11:$B$81,'3. Input (des)investeringen '!$E$11:$E$81)</f>
        <v>0</v>
      </c>
    </row>
    <row r="678" spans="2:6">
      <c r="B678">
        <v>38</v>
      </c>
      <c r="D678" s="137">
        <f t="shared" si="21"/>
        <v>178982.44585064959</v>
      </c>
      <c r="E678" s="136">
        <f t="shared" si="22"/>
        <v>2020</v>
      </c>
      <c r="F678" s="135">
        <f>_xlfn.XLOOKUP(D55,'3. Input (des)investeringen '!$B$11:$B$81,'3. Input (des)investeringen '!$E$11:$E$81)</f>
        <v>0</v>
      </c>
    </row>
    <row r="679" spans="2:6">
      <c r="B679">
        <v>39</v>
      </c>
      <c r="D679" s="137">
        <f t="shared" si="21"/>
        <v>50003.305627282651</v>
      </c>
      <c r="E679" s="136">
        <f t="shared" si="22"/>
        <v>2020</v>
      </c>
      <c r="F679" s="135">
        <f>_xlfn.XLOOKUP(D56,'3. Input (des)investeringen '!$B$11:$B$81,'3. Input (des)investeringen '!$E$11:$E$81)</f>
        <v>0</v>
      </c>
    </row>
    <row r="680" spans="2:6">
      <c r="B680">
        <v>40</v>
      </c>
      <c r="D680" s="137">
        <f t="shared" si="21"/>
        <v>45774.93431054215</v>
      </c>
      <c r="E680" s="136">
        <f t="shared" si="22"/>
        <v>2020</v>
      </c>
      <c r="F680" s="135">
        <f>_xlfn.XLOOKUP(D57,'3. Input (des)investeringen '!$B$11:$B$81,'3. Input (des)investeringen '!$E$11:$E$81)</f>
        <v>0</v>
      </c>
    </row>
    <row r="681" spans="2:6">
      <c r="B681">
        <v>41</v>
      </c>
      <c r="D681" s="137">
        <f t="shared" si="21"/>
        <v>118717.77880424444</v>
      </c>
      <c r="E681" s="136">
        <f t="shared" si="22"/>
        <v>2020</v>
      </c>
      <c r="F681" s="135">
        <f>_xlfn.XLOOKUP(D58,'3. Input (des)investeringen '!$B$11:$B$81,'3. Input (des)investeringen '!$E$11:$E$81)</f>
        <v>0</v>
      </c>
    </row>
    <row r="682" spans="2:6">
      <c r="B682">
        <v>42</v>
      </c>
      <c r="D682" s="137">
        <f t="shared" si="21"/>
        <v>1020378.4183405952</v>
      </c>
      <c r="E682" s="136">
        <f t="shared" si="22"/>
        <v>2020</v>
      </c>
      <c r="F682" s="135">
        <f>_xlfn.XLOOKUP(D59,'3. Input (des)investeringen '!$B$11:$B$81,'3. Input (des)investeringen '!$E$11:$E$81)</f>
        <v>0</v>
      </c>
    </row>
    <row r="683" spans="2:6">
      <c r="B683">
        <v>43</v>
      </c>
      <c r="D683" s="137">
        <f t="shared" si="21"/>
        <v>1695531.0999208845</v>
      </c>
      <c r="E683" s="136">
        <f t="shared" si="22"/>
        <v>2020</v>
      </c>
      <c r="F683" s="135">
        <f>_xlfn.XLOOKUP(D60,'3. Input (des)investeringen '!$B$11:$B$81,'3. Input (des)investeringen '!$E$11:$E$81)</f>
        <v>0</v>
      </c>
    </row>
    <row r="684" spans="2:6">
      <c r="B684">
        <v>44</v>
      </c>
      <c r="D684" s="137">
        <f t="shared" si="21"/>
        <v>2217785.5845449823</v>
      </c>
      <c r="E684" s="136">
        <f t="shared" si="22"/>
        <v>2020</v>
      </c>
      <c r="F684" s="135">
        <f>_xlfn.XLOOKUP(D61,'3. Input (des)investeringen '!$B$11:$B$81,'3. Input (des)investeringen '!$E$11:$E$81)</f>
        <v>0</v>
      </c>
    </row>
    <row r="685" spans="2:6">
      <c r="B685">
        <v>45</v>
      </c>
      <c r="D685" s="137">
        <f t="shared" si="21"/>
        <v>1848040.6593128797</v>
      </c>
      <c r="E685" s="136">
        <f t="shared" si="22"/>
        <v>2020</v>
      </c>
      <c r="F685" s="135">
        <f>_xlfn.XLOOKUP(D62,'3. Input (des)investeringen '!$B$11:$B$81,'3. Input (des)investeringen '!$E$11:$E$81)</f>
        <v>0</v>
      </c>
    </row>
    <row r="686" spans="2:6">
      <c r="B686">
        <v>46</v>
      </c>
      <c r="D686" s="137">
        <f t="shared" si="21"/>
        <v>104452.05756534761</v>
      </c>
      <c r="E686" s="136">
        <f t="shared" si="22"/>
        <v>2020</v>
      </c>
      <c r="F686" s="135">
        <f>_xlfn.XLOOKUP(D63,'3. Input (des)investeringen '!$B$11:$B$81,'3. Input (des)investeringen '!$E$11:$E$81)</f>
        <v>0</v>
      </c>
    </row>
    <row r="687" spans="2:6">
      <c r="B687">
        <v>47</v>
      </c>
      <c r="D687" s="137">
        <f t="shared" si="21"/>
        <v>838717.57884401153</v>
      </c>
      <c r="E687" s="136">
        <f t="shared" si="22"/>
        <v>2020</v>
      </c>
      <c r="F687" s="135">
        <f>_xlfn.XLOOKUP(D64,'3. Input (des)investeringen '!$B$11:$B$81,'3. Input (des)investeringen '!$E$11:$E$81)</f>
        <v>0</v>
      </c>
    </row>
    <row r="688" spans="2:6">
      <c r="B688">
        <v>48</v>
      </c>
      <c r="D688" s="137">
        <f t="shared" si="21"/>
        <v>946547.48386907566</v>
      </c>
      <c r="E688" s="136">
        <f t="shared" si="22"/>
        <v>2020</v>
      </c>
      <c r="F688" s="135">
        <f>_xlfn.XLOOKUP(D65,'3. Input (des)investeringen '!$B$11:$B$81,'3. Input (des)investeringen '!$E$11:$E$81)</f>
        <v>0</v>
      </c>
    </row>
    <row r="689" spans="2:6">
      <c r="B689">
        <v>49</v>
      </c>
      <c r="D689" s="137">
        <f t="shared" si="21"/>
        <v>644836.48467939708</v>
      </c>
      <c r="E689" s="136">
        <f t="shared" si="22"/>
        <v>2020</v>
      </c>
      <c r="F689" s="135">
        <f>_xlfn.XLOOKUP(D66,'3. Input (des)investeringen '!$B$11:$B$81,'3. Input (des)investeringen '!$E$11:$E$81)</f>
        <v>0</v>
      </c>
    </row>
    <row r="690" spans="2:6">
      <c r="B690">
        <v>50</v>
      </c>
      <c r="D690" s="137">
        <f t="shared" si="21"/>
        <v>103187.86270413175</v>
      </c>
      <c r="E690" s="136">
        <f t="shared" si="22"/>
        <v>2020</v>
      </c>
      <c r="F690" s="135">
        <f>_xlfn.XLOOKUP(D67,'3. Input (des)investeringen '!$B$11:$B$81,'3. Input (des)investeringen '!$E$11:$E$81)</f>
        <v>0</v>
      </c>
    </row>
    <row r="691" spans="2:6">
      <c r="B691">
        <v>51</v>
      </c>
      <c r="D691" s="137">
        <f t="shared" si="21"/>
        <v>102765.71921635757</v>
      </c>
      <c r="E691" s="136">
        <f t="shared" si="22"/>
        <v>2020</v>
      </c>
      <c r="F691" s="135">
        <f>_xlfn.XLOOKUP(D68,'3. Input (des)investeringen '!$B$11:$B$81,'3. Input (des)investeringen '!$E$11:$E$81)</f>
        <v>0</v>
      </c>
    </row>
    <row r="692" spans="2:6">
      <c r="B692">
        <v>52</v>
      </c>
      <c r="D692" s="137">
        <f t="shared" si="21"/>
        <v>222798.30724413577</v>
      </c>
      <c r="E692" s="136">
        <f t="shared" si="22"/>
        <v>2020</v>
      </c>
      <c r="F692" s="135">
        <f>_xlfn.XLOOKUP(D69,'3. Input (des)investeringen '!$B$11:$B$81,'3. Input (des)investeringen '!$E$11:$E$81)</f>
        <v>0</v>
      </c>
    </row>
    <row r="693" spans="2:6">
      <c r="B693">
        <v>53</v>
      </c>
      <c r="D693" s="137">
        <f t="shared" si="21"/>
        <v>298662.93665395869</v>
      </c>
      <c r="E693" s="136">
        <f t="shared" si="22"/>
        <v>2020</v>
      </c>
      <c r="F693" s="135">
        <f>_xlfn.XLOOKUP(D70,'3. Input (des)investeringen '!$B$11:$B$81,'3. Input (des)investeringen '!$E$11:$E$81)</f>
        <v>0</v>
      </c>
    </row>
    <row r="694" spans="2:6">
      <c r="B694">
        <v>54</v>
      </c>
      <c r="D694" s="137">
        <f t="shared" si="21"/>
        <v>262349.11477001454</v>
      </c>
      <c r="E694" s="136">
        <f t="shared" si="22"/>
        <v>2020</v>
      </c>
      <c r="F694" s="135">
        <f>_xlfn.XLOOKUP(D71,'3. Input (des)investeringen '!$B$11:$B$81,'3. Input (des)investeringen '!$E$11:$E$81)</f>
        <v>0</v>
      </c>
    </row>
    <row r="695" spans="2:6">
      <c r="B695">
        <v>55</v>
      </c>
      <c r="D695" s="137">
        <f t="shared" si="21"/>
        <v>189333.02773128528</v>
      </c>
      <c r="E695" s="136">
        <f t="shared" si="22"/>
        <v>2020</v>
      </c>
      <c r="F695" s="135">
        <f>_xlfn.XLOOKUP(D72,'3. Input (des)investeringen '!$B$11:$B$81,'3. Input (des)investeringen '!$E$11:$E$81)</f>
        <v>0</v>
      </c>
    </row>
    <row r="696" spans="2:6">
      <c r="B696">
        <v>56</v>
      </c>
      <c r="D696" s="137">
        <f t="shared" si="21"/>
        <v>61490.61044017315</v>
      </c>
      <c r="E696" s="136">
        <f t="shared" si="22"/>
        <v>2020</v>
      </c>
      <c r="F696" s="135">
        <f>_xlfn.XLOOKUP(D73,'3. Input (des)investeringen '!$B$11:$B$81,'3. Input (des)investeringen '!$E$11:$E$81)</f>
        <v>0</v>
      </c>
    </row>
    <row r="697" spans="2:6">
      <c r="B697">
        <v>57</v>
      </c>
      <c r="D697" s="137">
        <f t="shared" si="21"/>
        <v>75038.027032218612</v>
      </c>
      <c r="E697" s="136">
        <f t="shared" si="22"/>
        <v>2020</v>
      </c>
      <c r="F697" s="135">
        <f>_xlfn.XLOOKUP(D74,'3. Input (des)investeringen '!$B$11:$B$81,'3. Input (des)investeringen '!$E$11:$E$81)</f>
        <v>0</v>
      </c>
    </row>
    <row r="698" spans="2:6">
      <c r="B698">
        <v>58</v>
      </c>
      <c r="D698" s="137">
        <f t="shared" si="21"/>
        <v>15568.327853298582</v>
      </c>
      <c r="E698" s="136">
        <f t="shared" si="22"/>
        <v>2020</v>
      </c>
      <c r="F698" s="135">
        <f>_xlfn.XLOOKUP(D75,'3. Input (des)investeringen '!$B$11:$B$81,'3. Input (des)investeringen '!$E$11:$E$81)</f>
        <v>0</v>
      </c>
    </row>
    <row r="699" spans="2:6">
      <c r="B699">
        <v>59</v>
      </c>
      <c r="D699" s="137">
        <f t="shared" si="21"/>
        <v>139159.19469639403</v>
      </c>
      <c r="E699" s="136">
        <f t="shared" si="22"/>
        <v>2020</v>
      </c>
      <c r="F699" s="135">
        <f>_xlfn.XLOOKUP(D76,'3. Input (des)investeringen '!$B$11:$B$81,'3. Input (des)investeringen '!$E$11:$E$81)</f>
        <v>0</v>
      </c>
    </row>
    <row r="700" spans="2:6">
      <c r="B700">
        <v>60</v>
      </c>
      <c r="D700" s="137">
        <f t="shared" si="21"/>
        <v>195602.61673343295</v>
      </c>
      <c r="E700" s="136">
        <f t="shared" si="22"/>
        <v>2020</v>
      </c>
      <c r="F700" s="135">
        <f>_xlfn.XLOOKUP(D77,'3. Input (des)investeringen '!$B$11:$B$81,'3. Input (des)investeringen '!$E$11:$E$81)</f>
        <v>0</v>
      </c>
    </row>
    <row r="701" spans="2:6">
      <c r="B701">
        <v>61</v>
      </c>
      <c r="D701" s="137">
        <f t="shared" si="21"/>
        <v>68987.421631756384</v>
      </c>
      <c r="E701" s="136">
        <f t="shared" si="22"/>
        <v>2020</v>
      </c>
      <c r="F701" s="135">
        <f>_xlfn.XLOOKUP(D78,'3. Input (des)investeringen '!$B$11:$B$81,'3. Input (des)investeringen '!$E$11:$E$81)</f>
        <v>0</v>
      </c>
    </row>
    <row r="702" spans="2:6">
      <c r="B702">
        <v>62</v>
      </c>
      <c r="D702" s="137">
        <f t="shared" si="21"/>
        <v>14017.585527295665</v>
      </c>
      <c r="E702" s="136">
        <f t="shared" si="22"/>
        <v>2020</v>
      </c>
      <c r="F702" s="135">
        <f>_xlfn.XLOOKUP(D79,'3. Input (des)investeringen '!$B$11:$B$81,'3. Input (des)investeringen '!$E$11:$E$81)</f>
        <v>0</v>
      </c>
    </row>
    <row r="703" spans="2:6">
      <c r="B703">
        <v>63</v>
      </c>
      <c r="D703" s="137">
        <f t="shared" si="21"/>
        <v>13850.760694758967</v>
      </c>
      <c r="E703" s="136">
        <f t="shared" si="22"/>
        <v>2020</v>
      </c>
      <c r="F703" s="135">
        <f>_xlfn.XLOOKUP(D80,'3. Input (des)investeringen '!$B$11:$B$81,'3. Input (des)investeringen '!$E$11:$E$81)</f>
        <v>0</v>
      </c>
    </row>
    <row r="704" spans="2:6">
      <c r="B704">
        <v>64</v>
      </c>
      <c r="D704" s="137">
        <f t="shared" si="21"/>
        <v>84133.673674020334</v>
      </c>
      <c r="E704" s="136">
        <f t="shared" si="22"/>
        <v>2020</v>
      </c>
      <c r="F704" s="135">
        <f>_xlfn.XLOOKUP(D81,'3. Input (des)investeringen '!$B$11:$B$81,'3. Input (des)investeringen '!$E$11:$E$81)</f>
        <v>0</v>
      </c>
    </row>
    <row r="705" spans="2:6">
      <c r="B705">
        <v>65</v>
      </c>
      <c r="D705" s="137">
        <f t="shared" ref="D705:D768" si="23">F82*INDEX($E$556:$CG$636,E82-1945,G82-1945)</f>
        <v>35929.792062961962</v>
      </c>
      <c r="E705" s="136">
        <f t="shared" ref="E705:E768" si="24">G82</f>
        <v>2020</v>
      </c>
      <c r="F705" s="135">
        <f>_xlfn.XLOOKUP(D82,'3. Input (des)investeringen '!$B$11:$B$81,'3. Input (des)investeringen '!$E$11:$E$81)</f>
        <v>0</v>
      </c>
    </row>
    <row r="706" spans="2:6">
      <c r="B706">
        <v>66</v>
      </c>
      <c r="D706" s="137">
        <f t="shared" si="23"/>
        <v>194556.62172449686</v>
      </c>
      <c r="E706" s="136">
        <f t="shared" si="24"/>
        <v>2020</v>
      </c>
      <c r="F706" s="135">
        <f>_xlfn.XLOOKUP(D83,'3. Input (des)investeringen '!$B$11:$B$81,'3. Input (des)investeringen '!$E$11:$E$81)</f>
        <v>0</v>
      </c>
    </row>
    <row r="707" spans="2:6">
      <c r="B707">
        <v>67</v>
      </c>
      <c r="D707" s="137">
        <f t="shared" si="23"/>
        <v>62778.725667823048</v>
      </c>
      <c r="E707" s="136">
        <f t="shared" si="24"/>
        <v>2020</v>
      </c>
      <c r="F707" s="135">
        <f>_xlfn.XLOOKUP(D84,'3. Input (des)investeringen '!$B$11:$B$81,'3. Input (des)investeringen '!$E$11:$E$81)</f>
        <v>0</v>
      </c>
    </row>
    <row r="708" spans="2:6">
      <c r="B708">
        <v>68</v>
      </c>
      <c r="D708" s="137">
        <f t="shared" si="23"/>
        <v>19044.179567605603</v>
      </c>
      <c r="E708" s="136">
        <f t="shared" si="24"/>
        <v>2020</v>
      </c>
      <c r="F708" s="135">
        <f>_xlfn.XLOOKUP(D85,'3. Input (des)investeringen '!$B$11:$B$81,'3. Input (des)investeringen '!$E$11:$E$81)</f>
        <v>0</v>
      </c>
    </row>
    <row r="709" spans="2:6">
      <c r="B709">
        <v>69</v>
      </c>
      <c r="D709" s="137">
        <f t="shared" si="23"/>
        <v>16243.59232368206</v>
      </c>
      <c r="E709" s="136">
        <f t="shared" si="24"/>
        <v>2020</v>
      </c>
      <c r="F709" s="135">
        <f>_xlfn.XLOOKUP(D86,'3. Input (des)investeringen '!$B$11:$B$81,'3. Input (des)investeringen '!$E$11:$E$81)</f>
        <v>0</v>
      </c>
    </row>
    <row r="710" spans="2:6">
      <c r="B710">
        <v>70</v>
      </c>
      <c r="D710" s="137">
        <f t="shared" si="23"/>
        <v>420548.3780368499</v>
      </c>
      <c r="E710" s="136">
        <f t="shared" si="24"/>
        <v>2020</v>
      </c>
      <c r="F710" s="135">
        <f>_xlfn.XLOOKUP(D87,'3. Input (des)investeringen '!$B$11:$B$81,'3. Input (des)investeringen '!$E$11:$E$81)</f>
        <v>0</v>
      </c>
    </row>
    <row r="711" spans="2:6">
      <c r="B711">
        <v>71</v>
      </c>
      <c r="D711" s="137">
        <f t="shared" si="23"/>
        <v>678889.94025137217</v>
      </c>
      <c r="E711" s="136">
        <f t="shared" si="24"/>
        <v>2020</v>
      </c>
      <c r="F711" s="135">
        <f>_xlfn.XLOOKUP(D88,'3. Input (des)investeringen '!$B$11:$B$81,'3. Input (des)investeringen '!$E$11:$E$81)</f>
        <v>0</v>
      </c>
    </row>
    <row r="712" spans="2:6">
      <c r="B712">
        <v>72</v>
      </c>
      <c r="D712" s="137">
        <f t="shared" si="23"/>
        <v>839133.50408215157</v>
      </c>
      <c r="E712" s="136">
        <f t="shared" si="24"/>
        <v>2020</v>
      </c>
      <c r="F712" s="135">
        <f>_xlfn.XLOOKUP(D89,'3. Input (des)investeringen '!$B$11:$B$81,'3. Input (des)investeringen '!$E$11:$E$81)</f>
        <v>0</v>
      </c>
    </row>
    <row r="713" spans="2:6">
      <c r="B713">
        <v>73</v>
      </c>
      <c r="D713" s="137">
        <f t="shared" si="23"/>
        <v>466144.55323262321</v>
      </c>
      <c r="E713" s="136">
        <f t="shared" si="24"/>
        <v>2020</v>
      </c>
      <c r="F713" s="135">
        <f>_xlfn.XLOOKUP(D90,'3. Input (des)investeringen '!$B$11:$B$81,'3. Input (des)investeringen '!$E$11:$E$81)</f>
        <v>0</v>
      </c>
    </row>
    <row r="714" spans="2:6">
      <c r="B714">
        <v>74</v>
      </c>
      <c r="D714" s="137">
        <f t="shared" si="23"/>
        <v>52695.014543283847</v>
      </c>
      <c r="E714" s="136">
        <f t="shared" si="24"/>
        <v>2020</v>
      </c>
      <c r="F714" s="135">
        <f>_xlfn.XLOOKUP(D91,'3. Input (des)investeringen '!$B$11:$B$81,'3. Input (des)investeringen '!$E$11:$E$81)</f>
        <v>0</v>
      </c>
    </row>
    <row r="715" spans="2:6">
      <c r="B715">
        <v>75</v>
      </c>
      <c r="D715" s="137">
        <f t="shared" si="23"/>
        <v>236374.02269672992</v>
      </c>
      <c r="E715" s="136">
        <f t="shared" si="24"/>
        <v>2020</v>
      </c>
      <c r="F715" s="135">
        <f>_xlfn.XLOOKUP(D92,'3. Input (des)investeringen '!$B$11:$B$81,'3. Input (des)investeringen '!$E$11:$E$81)</f>
        <v>0</v>
      </c>
    </row>
    <row r="716" spans="2:6">
      <c r="B716">
        <v>76</v>
      </c>
      <c r="D716" s="137">
        <f t="shared" si="23"/>
        <v>285825.23173650069</v>
      </c>
      <c r="E716" s="136">
        <f t="shared" si="24"/>
        <v>2020</v>
      </c>
      <c r="F716" s="135">
        <f>_xlfn.XLOOKUP(D93,'3. Input (des)investeringen '!$B$11:$B$81,'3. Input (des)investeringen '!$E$11:$E$81)</f>
        <v>0</v>
      </c>
    </row>
    <row r="717" spans="2:6">
      <c r="B717">
        <v>77</v>
      </c>
      <c r="D717" s="137">
        <f t="shared" si="23"/>
        <v>176761.46807564</v>
      </c>
      <c r="E717" s="136">
        <f t="shared" si="24"/>
        <v>2020</v>
      </c>
      <c r="F717" s="135">
        <f>_xlfn.XLOOKUP(D94,'3. Input (des)investeringen '!$B$11:$B$81,'3. Input (des)investeringen '!$E$11:$E$81)</f>
        <v>0</v>
      </c>
    </row>
    <row r="718" spans="2:6">
      <c r="B718">
        <v>78</v>
      </c>
      <c r="D718" s="137">
        <f t="shared" si="23"/>
        <v>43746.070987545623</v>
      </c>
      <c r="E718" s="136">
        <f t="shared" si="24"/>
        <v>2020</v>
      </c>
      <c r="F718" s="135">
        <f>_xlfn.XLOOKUP(D95,'3. Input (des)investeringen '!$B$11:$B$81,'3. Input (des)investeringen '!$E$11:$E$81)</f>
        <v>0</v>
      </c>
    </row>
    <row r="719" spans="2:6">
      <c r="B719">
        <v>79</v>
      </c>
      <c r="D719" s="137">
        <f t="shared" si="23"/>
        <v>7279.2095916837961</v>
      </c>
      <c r="E719" s="136">
        <f t="shared" si="24"/>
        <v>2020</v>
      </c>
      <c r="F719" s="135">
        <f>_xlfn.XLOOKUP(D96,'3. Input (des)investeringen '!$B$11:$B$81,'3. Input (des)investeringen '!$E$11:$E$81)</f>
        <v>1</v>
      </c>
    </row>
    <row r="720" spans="2:6">
      <c r="B720">
        <v>80</v>
      </c>
      <c r="D720" s="137">
        <f t="shared" si="23"/>
        <v>556191.94794048101</v>
      </c>
      <c r="E720" s="136">
        <f t="shared" si="24"/>
        <v>2020</v>
      </c>
      <c r="F720" s="135">
        <f>_xlfn.XLOOKUP(D97,'3. Input (des)investeringen '!$B$11:$B$81,'3. Input (des)investeringen '!$E$11:$E$81)</f>
        <v>1</v>
      </c>
    </row>
    <row r="721" spans="2:6">
      <c r="B721">
        <v>81</v>
      </c>
      <c r="D721" s="137">
        <f t="shared" si="23"/>
        <v>400794.95961332711</v>
      </c>
      <c r="E721" s="136">
        <f t="shared" si="24"/>
        <v>2020</v>
      </c>
      <c r="F721" s="135">
        <f>_xlfn.XLOOKUP(D98,'3. Input (des)investeringen '!$B$11:$B$81,'3. Input (des)investeringen '!$E$11:$E$81)</f>
        <v>1</v>
      </c>
    </row>
    <row r="722" spans="2:6">
      <c r="B722">
        <v>82</v>
      </c>
      <c r="D722" s="137">
        <f t="shared" si="23"/>
        <v>134478.71159135591</v>
      </c>
      <c r="E722" s="136">
        <f t="shared" si="24"/>
        <v>2020</v>
      </c>
      <c r="F722" s="135">
        <f>_xlfn.XLOOKUP(D99,'3. Input (des)investeringen '!$B$11:$B$81,'3. Input (des)investeringen '!$E$11:$E$81)</f>
        <v>1</v>
      </c>
    </row>
    <row r="723" spans="2:6">
      <c r="B723">
        <v>83</v>
      </c>
      <c r="D723" s="137">
        <f t="shared" si="23"/>
        <v>3474396.3025643122</v>
      </c>
      <c r="E723" s="136">
        <f t="shared" si="24"/>
        <v>2020</v>
      </c>
      <c r="F723" s="135">
        <f>_xlfn.XLOOKUP(D100,'3. Input (des)investeringen '!$B$11:$B$81,'3. Input (des)investeringen '!$E$11:$E$81)</f>
        <v>1</v>
      </c>
    </row>
    <row r="724" spans="2:6">
      <c r="B724">
        <v>84</v>
      </c>
      <c r="D724" s="137">
        <f t="shared" si="23"/>
        <v>194769.36815296905</v>
      </c>
      <c r="E724" s="136">
        <f t="shared" si="24"/>
        <v>2020</v>
      </c>
      <c r="F724" s="135">
        <f>_xlfn.XLOOKUP(D101,'3. Input (des)investeringen '!$B$11:$B$81,'3. Input (des)investeringen '!$E$11:$E$81)</f>
        <v>1</v>
      </c>
    </row>
    <row r="725" spans="2:6">
      <c r="B725">
        <v>85</v>
      </c>
      <c r="D725" s="137">
        <f t="shared" si="23"/>
        <v>621379.6226425051</v>
      </c>
      <c r="E725" s="136">
        <f t="shared" si="24"/>
        <v>2020</v>
      </c>
      <c r="F725" s="135">
        <f>_xlfn.XLOOKUP(D102,'3. Input (des)investeringen '!$B$11:$B$81,'3. Input (des)investeringen '!$E$11:$E$81)</f>
        <v>1</v>
      </c>
    </row>
    <row r="726" spans="2:6">
      <c r="B726">
        <v>86</v>
      </c>
      <c r="D726" s="137">
        <f t="shared" si="23"/>
        <v>1917866.939989456</v>
      </c>
      <c r="E726" s="136">
        <f t="shared" si="24"/>
        <v>2020</v>
      </c>
      <c r="F726" s="135">
        <f>_xlfn.XLOOKUP(D103,'3. Input (des)investeringen '!$B$11:$B$81,'3. Input (des)investeringen '!$E$11:$E$81)</f>
        <v>1</v>
      </c>
    </row>
    <row r="727" spans="2:6">
      <c r="B727">
        <v>87</v>
      </c>
      <c r="D727" s="137">
        <f t="shared" si="23"/>
        <v>95593.658163605258</v>
      </c>
      <c r="E727" s="136">
        <f t="shared" si="24"/>
        <v>2020</v>
      </c>
      <c r="F727" s="135">
        <f>_xlfn.XLOOKUP(D104,'3. Input (des)investeringen '!$B$11:$B$81,'3. Input (des)investeringen '!$E$11:$E$81)</f>
        <v>1</v>
      </c>
    </row>
    <row r="728" spans="2:6">
      <c r="B728">
        <v>88</v>
      </c>
      <c r="D728" s="137">
        <f t="shared" si="23"/>
        <v>177648.51548607223</v>
      </c>
      <c r="E728" s="136">
        <f t="shared" si="24"/>
        <v>2020</v>
      </c>
      <c r="F728" s="135">
        <f>_xlfn.XLOOKUP(D105,'3. Input (des)investeringen '!$B$11:$B$81,'3. Input (des)investeringen '!$E$11:$E$81)</f>
        <v>1</v>
      </c>
    </row>
    <row r="729" spans="2:6">
      <c r="B729">
        <v>89</v>
      </c>
      <c r="D729" s="137">
        <f t="shared" si="23"/>
        <v>640974.00509533472</v>
      </c>
      <c r="E729" s="136">
        <f t="shared" si="24"/>
        <v>2020</v>
      </c>
      <c r="F729" s="135">
        <f>_xlfn.XLOOKUP(D106,'3. Input (des)investeringen '!$B$11:$B$81,'3. Input (des)investeringen '!$E$11:$E$81)</f>
        <v>1</v>
      </c>
    </row>
    <row r="730" spans="2:6">
      <c r="B730">
        <v>90</v>
      </c>
      <c r="D730" s="137">
        <f t="shared" si="23"/>
        <v>574221.57553211425</v>
      </c>
      <c r="E730" s="136">
        <f t="shared" si="24"/>
        <v>2020</v>
      </c>
      <c r="F730" s="135">
        <f>_xlfn.XLOOKUP(D107,'3. Input (des)investeringen '!$B$11:$B$81,'3. Input (des)investeringen '!$E$11:$E$81)</f>
        <v>1</v>
      </c>
    </row>
    <row r="731" spans="2:6">
      <c r="B731">
        <v>91</v>
      </c>
      <c r="D731" s="137">
        <f t="shared" si="23"/>
        <v>101299.14611083685</v>
      </c>
      <c r="E731" s="136">
        <f t="shared" si="24"/>
        <v>2020</v>
      </c>
      <c r="F731" s="135">
        <f>_xlfn.XLOOKUP(D108,'3. Input (des)investeringen '!$B$11:$B$81,'3. Input (des)investeringen '!$E$11:$E$81)</f>
        <v>1</v>
      </c>
    </row>
    <row r="732" spans="2:6">
      <c r="B732">
        <v>92</v>
      </c>
      <c r="D732" s="137">
        <f t="shared" si="23"/>
        <v>193795.32414373165</v>
      </c>
      <c r="E732" s="136">
        <f t="shared" si="24"/>
        <v>2020</v>
      </c>
      <c r="F732" s="135">
        <f>_xlfn.XLOOKUP(D109,'3. Input (des)investeringen '!$B$11:$B$81,'3. Input (des)investeringen '!$E$11:$E$81)</f>
        <v>0</v>
      </c>
    </row>
    <row r="733" spans="2:6">
      <c r="B733">
        <v>93</v>
      </c>
      <c r="D733" s="137">
        <f t="shared" si="23"/>
        <v>417533.58819327998</v>
      </c>
      <c r="E733" s="136">
        <f t="shared" si="24"/>
        <v>2020</v>
      </c>
      <c r="F733" s="135">
        <f>_xlfn.XLOOKUP(D110,'3. Input (des)investeringen '!$B$11:$B$81,'3. Input (des)investeringen '!$E$11:$E$81)</f>
        <v>0</v>
      </c>
    </row>
    <row r="734" spans="2:6">
      <c r="B734">
        <v>94</v>
      </c>
      <c r="D734" s="137">
        <f t="shared" si="23"/>
        <v>3823402.407878554</v>
      </c>
      <c r="E734" s="136">
        <f t="shared" si="24"/>
        <v>2020</v>
      </c>
      <c r="F734" s="135">
        <f>_xlfn.XLOOKUP(D111,'3. Input (des)investeringen '!$B$11:$B$81,'3. Input (des)investeringen '!$E$11:$E$81)</f>
        <v>0</v>
      </c>
    </row>
    <row r="735" spans="2:6">
      <c r="B735">
        <v>95</v>
      </c>
      <c r="D735" s="137">
        <f t="shared" si="23"/>
        <v>7488.7980339025535</v>
      </c>
      <c r="E735" s="136">
        <f t="shared" si="24"/>
        <v>2020</v>
      </c>
      <c r="F735" s="135">
        <f>_xlfn.XLOOKUP(D112,'3. Input (des)investeringen '!$B$11:$B$81,'3. Input (des)investeringen '!$E$11:$E$81)</f>
        <v>0</v>
      </c>
    </row>
    <row r="736" spans="2:6">
      <c r="B736">
        <v>96</v>
      </c>
      <c r="D736" s="137">
        <f t="shared" si="23"/>
        <v>742382.84893713472</v>
      </c>
      <c r="E736" s="136">
        <f t="shared" si="24"/>
        <v>2020</v>
      </c>
      <c r="F736" s="135">
        <f>_xlfn.XLOOKUP(D113,'3. Input (des)investeringen '!$B$11:$B$81,'3. Input (des)investeringen '!$E$11:$E$81)</f>
        <v>1</v>
      </c>
    </row>
    <row r="737" spans="2:6">
      <c r="B737">
        <v>97</v>
      </c>
      <c r="D737" s="137">
        <f t="shared" si="23"/>
        <v>497559.24646460399</v>
      </c>
      <c r="E737" s="136">
        <f t="shared" si="24"/>
        <v>2020</v>
      </c>
      <c r="F737" s="135">
        <f>_xlfn.XLOOKUP(D114,'3. Input (des)investeringen '!$B$11:$B$81,'3. Input (des)investeringen '!$E$11:$E$81)</f>
        <v>1</v>
      </c>
    </row>
    <row r="738" spans="2:6">
      <c r="B738">
        <v>98</v>
      </c>
      <c r="D738" s="137">
        <f t="shared" si="23"/>
        <v>847051.65790449153</v>
      </c>
      <c r="E738" s="136">
        <f t="shared" si="24"/>
        <v>2020</v>
      </c>
      <c r="F738" s="135">
        <f>_xlfn.XLOOKUP(D115,'3. Input (des)investeringen '!$B$11:$B$81,'3. Input (des)investeringen '!$E$11:$E$81)</f>
        <v>1</v>
      </c>
    </row>
    <row r="739" spans="2:6">
      <c r="B739">
        <v>99</v>
      </c>
      <c r="D739" s="137">
        <f t="shared" si="23"/>
        <v>8144.057006494264</v>
      </c>
      <c r="E739" s="136">
        <f t="shared" si="24"/>
        <v>2020</v>
      </c>
      <c r="F739" s="135">
        <f>_xlfn.XLOOKUP(D116,'3. Input (des)investeringen '!$B$11:$B$81,'3. Input (des)investeringen '!$E$11:$E$81)</f>
        <v>1</v>
      </c>
    </row>
    <row r="740" spans="2:6">
      <c r="B740">
        <v>100</v>
      </c>
      <c r="D740" s="137">
        <f t="shared" si="23"/>
        <v>491817.1821266273</v>
      </c>
      <c r="E740" s="136">
        <f t="shared" si="24"/>
        <v>2020</v>
      </c>
      <c r="F740" s="135">
        <f>_xlfn.XLOOKUP(D117,'3. Input (des)investeringen '!$B$11:$B$81,'3. Input (des)investeringen '!$E$11:$E$81)</f>
        <v>1</v>
      </c>
    </row>
    <row r="741" spans="2:6">
      <c r="B741">
        <v>101</v>
      </c>
      <c r="D741" s="137">
        <f t="shared" si="23"/>
        <v>29842.132392463594</v>
      </c>
      <c r="E741" s="136">
        <f t="shared" si="24"/>
        <v>2020</v>
      </c>
      <c r="F741" s="135">
        <f>_xlfn.XLOOKUP(D118,'3. Input (des)investeringen '!$B$11:$B$81,'3. Input (des)investeringen '!$E$11:$E$81)</f>
        <v>1</v>
      </c>
    </row>
    <row r="742" spans="2:6">
      <c r="B742">
        <v>102</v>
      </c>
      <c r="D742" s="137">
        <f t="shared" si="23"/>
        <v>296132.66621760983</v>
      </c>
      <c r="E742" s="136">
        <f t="shared" si="24"/>
        <v>2020</v>
      </c>
      <c r="F742" s="135">
        <f>_xlfn.XLOOKUP(D119,'3. Input (des)investeringen '!$B$11:$B$81,'3. Input (des)investeringen '!$E$11:$E$81)</f>
        <v>1</v>
      </c>
    </row>
    <row r="743" spans="2:6">
      <c r="B743">
        <v>103</v>
      </c>
      <c r="D743" s="137">
        <f t="shared" si="23"/>
        <v>30464.280867373902</v>
      </c>
      <c r="E743" s="136">
        <f t="shared" si="24"/>
        <v>2020</v>
      </c>
      <c r="F743" s="135">
        <f>_xlfn.XLOOKUP(D120,'3. Input (des)investeringen '!$B$11:$B$81,'3. Input (des)investeringen '!$E$11:$E$81)</f>
        <v>1</v>
      </c>
    </row>
    <row r="744" spans="2:6">
      <c r="B744">
        <v>104</v>
      </c>
      <c r="D744" s="137">
        <f t="shared" si="23"/>
        <v>466951.00937448401</v>
      </c>
      <c r="E744" s="136">
        <f t="shared" si="24"/>
        <v>2020</v>
      </c>
      <c r="F744" s="135">
        <f>_xlfn.XLOOKUP(D121,'3. Input (des)investeringen '!$B$11:$B$81,'3. Input (des)investeringen '!$E$11:$E$81)</f>
        <v>1</v>
      </c>
    </row>
    <row r="745" spans="2:6">
      <c r="B745">
        <v>105</v>
      </c>
      <c r="D745" s="137">
        <f t="shared" si="23"/>
        <v>29207.343065497258</v>
      </c>
      <c r="E745" s="136">
        <f t="shared" si="24"/>
        <v>2020</v>
      </c>
      <c r="F745" s="135">
        <f>_xlfn.XLOOKUP(D122,'3. Input (des)investeringen '!$B$11:$B$81,'3. Input (des)investeringen '!$E$11:$E$81)</f>
        <v>1</v>
      </c>
    </row>
    <row r="746" spans="2:6">
      <c r="B746">
        <v>106</v>
      </c>
      <c r="D746" s="137">
        <f t="shared" si="23"/>
        <v>85681.109144716596</v>
      </c>
      <c r="E746" s="136">
        <f t="shared" si="24"/>
        <v>2020</v>
      </c>
      <c r="F746" s="135">
        <f>_xlfn.XLOOKUP(D123,'3. Input (des)investeringen '!$B$11:$B$81,'3. Input (des)investeringen '!$E$11:$E$81)</f>
        <v>1</v>
      </c>
    </row>
    <row r="747" spans="2:6">
      <c r="B747">
        <v>107</v>
      </c>
      <c r="D747" s="137">
        <f t="shared" si="23"/>
        <v>12094.992137610618</v>
      </c>
      <c r="E747" s="136">
        <f t="shared" si="24"/>
        <v>2020</v>
      </c>
      <c r="F747" s="135">
        <f>_xlfn.XLOOKUP(D124,'3. Input (des)investeringen '!$B$11:$B$81,'3. Input (des)investeringen '!$E$11:$E$81)</f>
        <v>1</v>
      </c>
    </row>
    <row r="748" spans="2:6">
      <c r="B748">
        <v>108</v>
      </c>
      <c r="D748" s="137">
        <f t="shared" si="23"/>
        <v>241190.94996912093</v>
      </c>
      <c r="E748" s="136">
        <f t="shared" si="24"/>
        <v>2020</v>
      </c>
      <c r="F748" s="135">
        <f>_xlfn.XLOOKUP(D125,'3. Input (des)investeringen '!$B$11:$B$81,'3. Input (des)investeringen '!$E$11:$E$81)</f>
        <v>1</v>
      </c>
    </row>
    <row r="749" spans="2:6">
      <c r="B749">
        <v>109</v>
      </c>
      <c r="D749" s="137">
        <f t="shared" si="23"/>
        <v>103365.52678590667</v>
      </c>
      <c r="E749" s="136">
        <f t="shared" si="24"/>
        <v>2020</v>
      </c>
      <c r="F749" s="135">
        <f>_xlfn.XLOOKUP(D126,'3. Input (des)investeringen '!$B$11:$B$81,'3. Input (des)investeringen '!$E$11:$E$81)</f>
        <v>0</v>
      </c>
    </row>
    <row r="750" spans="2:6">
      <c r="B750">
        <v>110</v>
      </c>
      <c r="D750" s="137">
        <f t="shared" si="23"/>
        <v>2605.9297428298378</v>
      </c>
      <c r="E750" s="136">
        <f t="shared" si="24"/>
        <v>2020</v>
      </c>
      <c r="F750" s="135">
        <f>_xlfn.XLOOKUP(D127,'3. Input (des)investeringen '!$B$11:$B$81,'3. Input (des)investeringen '!$E$11:$E$81)</f>
        <v>1</v>
      </c>
    </row>
    <row r="751" spans="2:6">
      <c r="B751">
        <v>111</v>
      </c>
      <c r="D751" s="137">
        <f t="shared" si="23"/>
        <v>699507.92606819642</v>
      </c>
      <c r="E751" s="136">
        <f t="shared" si="24"/>
        <v>2020</v>
      </c>
      <c r="F751" s="135">
        <f>_xlfn.XLOOKUP(D128,'3. Input (des)investeringen '!$B$11:$B$81,'3. Input (des)investeringen '!$E$11:$E$81)</f>
        <v>1</v>
      </c>
    </row>
    <row r="752" spans="2:6">
      <c r="B752">
        <v>112</v>
      </c>
      <c r="D752" s="137">
        <f t="shared" si="23"/>
        <v>758579.68905049388</v>
      </c>
      <c r="E752" s="136">
        <f t="shared" si="24"/>
        <v>2020</v>
      </c>
      <c r="F752" s="135">
        <f>_xlfn.XLOOKUP(D129,'3. Input (des)investeringen '!$B$11:$B$81,'3. Input (des)investeringen '!$E$11:$E$81)</f>
        <v>1</v>
      </c>
    </row>
    <row r="753" spans="2:6">
      <c r="B753">
        <v>113</v>
      </c>
      <c r="D753" s="137">
        <f t="shared" si="23"/>
        <v>58484.431866942861</v>
      </c>
      <c r="E753" s="136">
        <f t="shared" si="24"/>
        <v>2020</v>
      </c>
      <c r="F753" s="135">
        <f>_xlfn.XLOOKUP(D130,'3. Input (des)investeringen '!$B$11:$B$81,'3. Input (des)investeringen '!$E$11:$E$81)</f>
        <v>1</v>
      </c>
    </row>
    <row r="754" spans="2:6">
      <c r="B754">
        <v>114</v>
      </c>
      <c r="D754" s="137">
        <f t="shared" si="23"/>
        <v>12654.139058755578</v>
      </c>
      <c r="E754" s="136">
        <f t="shared" si="24"/>
        <v>2020</v>
      </c>
      <c r="F754" s="135">
        <f>_xlfn.XLOOKUP(D131,'3. Input (des)investeringen '!$B$11:$B$81,'3. Input (des)investeringen '!$E$11:$E$81)</f>
        <v>1</v>
      </c>
    </row>
    <row r="755" spans="2:6">
      <c r="B755">
        <v>115</v>
      </c>
      <c r="D755" s="137">
        <f t="shared" si="23"/>
        <v>903016.7979884313</v>
      </c>
      <c r="E755" s="136">
        <f t="shared" si="24"/>
        <v>2020</v>
      </c>
      <c r="F755" s="135">
        <f>_xlfn.XLOOKUP(D132,'3. Input (des)investeringen '!$B$11:$B$81,'3. Input (des)investeringen '!$E$11:$E$81)</f>
        <v>1</v>
      </c>
    </row>
    <row r="756" spans="2:6">
      <c r="B756">
        <v>116</v>
      </c>
      <c r="D756" s="137">
        <f t="shared" si="23"/>
        <v>821582.77845572378</v>
      </c>
      <c r="E756" s="136">
        <f t="shared" si="24"/>
        <v>2020</v>
      </c>
      <c r="F756" s="135">
        <f>_xlfn.XLOOKUP(D133,'3. Input (des)investeringen '!$B$11:$B$81,'3. Input (des)investeringen '!$E$11:$E$81)</f>
        <v>1</v>
      </c>
    </row>
    <row r="757" spans="2:6">
      <c r="B757">
        <v>117</v>
      </c>
      <c r="D757" s="137">
        <f t="shared" si="23"/>
        <v>5515976.1618402852</v>
      </c>
      <c r="E757" s="136">
        <f t="shared" si="24"/>
        <v>2020</v>
      </c>
      <c r="F757" s="135">
        <f>_xlfn.XLOOKUP(D134,'3. Input (des)investeringen '!$B$11:$B$81,'3. Input (des)investeringen '!$E$11:$E$81)</f>
        <v>0</v>
      </c>
    </row>
    <row r="758" spans="2:6">
      <c r="B758">
        <v>118</v>
      </c>
      <c r="D758" s="137">
        <f t="shared" si="23"/>
        <v>382268.73025159683</v>
      </c>
      <c r="E758" s="136">
        <f t="shared" si="24"/>
        <v>2020</v>
      </c>
      <c r="F758" s="135">
        <f>_xlfn.XLOOKUP(D135,'3. Input (des)investeringen '!$B$11:$B$81,'3. Input (des)investeringen '!$E$11:$E$81)</f>
        <v>1</v>
      </c>
    </row>
    <row r="759" spans="2:6">
      <c r="B759">
        <v>119</v>
      </c>
      <c r="D759" s="137">
        <f t="shared" si="23"/>
        <v>2577767.7699642316</v>
      </c>
      <c r="E759" s="136">
        <f t="shared" si="24"/>
        <v>2020</v>
      </c>
      <c r="F759" s="135">
        <f>_xlfn.XLOOKUP(D136,'3. Input (des)investeringen '!$B$11:$B$81,'3. Input (des)investeringen '!$E$11:$E$81)</f>
        <v>0</v>
      </c>
    </row>
    <row r="760" spans="2:6">
      <c r="B760">
        <v>120</v>
      </c>
      <c r="D760" s="137">
        <f t="shared" si="23"/>
        <v>1082540.7671306636</v>
      </c>
      <c r="E760" s="136">
        <f t="shared" si="24"/>
        <v>2021</v>
      </c>
      <c r="F760" s="135">
        <f>_xlfn.XLOOKUP(D137,'3. Input (des)investeringen '!$B$11:$B$81,'3. Input (des)investeringen '!$E$11:$E$81)</f>
        <v>1</v>
      </c>
    </row>
    <row r="761" spans="2:6">
      <c r="B761">
        <v>121</v>
      </c>
      <c r="D761" s="137">
        <f t="shared" si="23"/>
        <v>511401.65758878307</v>
      </c>
      <c r="E761" s="136">
        <f t="shared" si="24"/>
        <v>2021</v>
      </c>
      <c r="F761" s="135">
        <f>_xlfn.XLOOKUP(D138,'3. Input (des)investeringen '!$B$11:$B$81,'3. Input (des)investeringen '!$E$11:$E$81)</f>
        <v>1</v>
      </c>
    </row>
    <row r="762" spans="2:6">
      <c r="B762">
        <v>122</v>
      </c>
      <c r="D762" s="137">
        <f t="shared" si="23"/>
        <v>292220.68125933275</v>
      </c>
      <c r="E762" s="136">
        <f t="shared" si="24"/>
        <v>2021</v>
      </c>
      <c r="F762" s="135">
        <f>_xlfn.XLOOKUP(D139,'3. Input (des)investeringen '!$B$11:$B$81,'3. Input (des)investeringen '!$E$11:$E$81)</f>
        <v>1</v>
      </c>
    </row>
    <row r="763" spans="2:6">
      <c r="B763">
        <v>123</v>
      </c>
      <c r="D763" s="137">
        <f t="shared" si="23"/>
        <v>163737.84090666575</v>
      </c>
      <c r="E763" s="136">
        <f t="shared" si="24"/>
        <v>2021</v>
      </c>
      <c r="F763" s="135">
        <f>_xlfn.XLOOKUP(D140,'3. Input (des)investeringen '!$B$11:$B$81,'3. Input (des)investeringen '!$E$11:$E$81)</f>
        <v>1</v>
      </c>
    </row>
    <row r="764" spans="2:6">
      <c r="B764">
        <v>124</v>
      </c>
      <c r="D764" s="137">
        <f t="shared" si="23"/>
        <v>668403.90783952852</v>
      </c>
      <c r="E764" s="136">
        <f t="shared" si="24"/>
        <v>2021</v>
      </c>
      <c r="F764" s="135">
        <f>_xlfn.XLOOKUP(D141,'3. Input (des)investeringen '!$B$11:$B$81,'3. Input (des)investeringen '!$E$11:$E$81)</f>
        <v>1</v>
      </c>
    </row>
    <row r="765" spans="2:6">
      <c r="B765">
        <v>125</v>
      </c>
      <c r="D765" s="137">
        <f t="shared" si="23"/>
        <v>1100763.5582718961</v>
      </c>
      <c r="E765" s="136">
        <f t="shared" si="24"/>
        <v>2021</v>
      </c>
      <c r="F765" s="135">
        <f>_xlfn.XLOOKUP(D142,'3. Input (des)investeringen '!$B$11:$B$81,'3. Input (des)investeringen '!$E$11:$E$81)</f>
        <v>1</v>
      </c>
    </row>
    <row r="766" spans="2:6">
      <c r="B766">
        <v>126</v>
      </c>
      <c r="D766" s="137">
        <f t="shared" si="23"/>
        <v>550425.76082445181</v>
      </c>
      <c r="E766" s="136">
        <f t="shared" si="24"/>
        <v>2021</v>
      </c>
      <c r="F766" s="135">
        <f>_xlfn.XLOOKUP(D143,'3. Input (des)investeringen '!$B$11:$B$81,'3. Input (des)investeringen '!$E$11:$E$81)</f>
        <v>1</v>
      </c>
    </row>
    <row r="767" spans="2:6">
      <c r="B767">
        <v>127</v>
      </c>
      <c r="D767" s="137">
        <f t="shared" si="23"/>
        <v>493535.1567090468</v>
      </c>
      <c r="E767" s="136">
        <f t="shared" si="24"/>
        <v>2021</v>
      </c>
      <c r="F767" s="135">
        <f>_xlfn.XLOOKUP(D144,'3. Input (des)investeringen '!$B$11:$B$81,'3. Input (des)investeringen '!$E$11:$E$81)</f>
        <v>1</v>
      </c>
    </row>
    <row r="768" spans="2:6">
      <c r="B768">
        <v>128</v>
      </c>
      <c r="D768" s="137">
        <f t="shared" si="23"/>
        <v>1141043.6057034757</v>
      </c>
      <c r="E768" s="136">
        <f t="shared" si="24"/>
        <v>2021</v>
      </c>
      <c r="F768" s="135">
        <f>_xlfn.XLOOKUP(D145,'3. Input (des)investeringen '!$B$11:$B$81,'3. Input (des)investeringen '!$E$11:$E$81)</f>
        <v>1</v>
      </c>
    </row>
    <row r="769" spans="2:6">
      <c r="B769">
        <v>129</v>
      </c>
      <c r="D769" s="137">
        <f t="shared" ref="D769:D832" si="25">F146*INDEX($E$556:$CG$636,E146-1945,G146-1945)</f>
        <v>1340871.0177292731</v>
      </c>
      <c r="E769" s="136">
        <f t="shared" ref="E769:E832" si="26">G146</f>
        <v>2021</v>
      </c>
      <c r="F769" s="135">
        <f>_xlfn.XLOOKUP(D146,'3. Input (des)investeringen '!$B$11:$B$81,'3. Input (des)investeringen '!$E$11:$E$81)</f>
        <v>1</v>
      </c>
    </row>
    <row r="770" spans="2:6">
      <c r="B770">
        <v>130</v>
      </c>
      <c r="D770" s="137">
        <f t="shared" si="25"/>
        <v>503640.04308366589</v>
      </c>
      <c r="E770" s="136">
        <f t="shared" si="26"/>
        <v>2021</v>
      </c>
      <c r="F770" s="135">
        <f>_xlfn.XLOOKUP(D147,'3. Input (des)investeringen '!$B$11:$B$81,'3. Input (des)investeringen '!$E$11:$E$81)</f>
        <v>1</v>
      </c>
    </row>
    <row r="771" spans="2:6">
      <c r="B771">
        <v>131</v>
      </c>
      <c r="D771" s="137">
        <f t="shared" si="25"/>
        <v>294963.8965371729</v>
      </c>
      <c r="E771" s="136">
        <f t="shared" si="26"/>
        <v>2021</v>
      </c>
      <c r="F771" s="135">
        <f>_xlfn.XLOOKUP(D148,'3. Input (des)investeringen '!$B$11:$B$81,'3. Input (des)investeringen '!$E$11:$E$81)</f>
        <v>1</v>
      </c>
    </row>
    <row r="772" spans="2:6">
      <c r="B772">
        <v>132</v>
      </c>
      <c r="D772" s="137">
        <f t="shared" si="25"/>
        <v>66815.699025118025</v>
      </c>
      <c r="E772" s="136">
        <f t="shared" si="26"/>
        <v>2021</v>
      </c>
      <c r="F772" s="135">
        <f>_xlfn.XLOOKUP(D149,'3. Input (des)investeringen '!$B$11:$B$81,'3. Input (des)investeringen '!$E$11:$E$81)</f>
        <v>1</v>
      </c>
    </row>
    <row r="773" spans="2:6">
      <c r="B773">
        <v>133</v>
      </c>
      <c r="D773" s="137">
        <f t="shared" si="25"/>
        <v>109772.84528112932</v>
      </c>
      <c r="E773" s="136">
        <f t="shared" si="26"/>
        <v>2021</v>
      </c>
      <c r="F773" s="135">
        <f>_xlfn.XLOOKUP(D150,'3. Input (des)investeringen '!$B$11:$B$81,'3. Input (des)investeringen '!$E$11:$E$81)</f>
        <v>1</v>
      </c>
    </row>
    <row r="774" spans="2:6">
      <c r="B774">
        <v>134</v>
      </c>
      <c r="D774" s="137">
        <f t="shared" si="25"/>
        <v>71760.577142878115</v>
      </c>
      <c r="E774" s="136">
        <f t="shared" si="26"/>
        <v>2021</v>
      </c>
      <c r="F774" s="135">
        <f>_xlfn.XLOOKUP(D151,'3. Input (des)investeringen '!$B$11:$B$81,'3. Input (des)investeringen '!$E$11:$E$81)</f>
        <v>1</v>
      </c>
    </row>
    <row r="775" spans="2:6">
      <c r="B775">
        <v>135</v>
      </c>
      <c r="D775" s="137">
        <f t="shared" si="25"/>
        <v>98357.91620714216</v>
      </c>
      <c r="E775" s="136">
        <f t="shared" si="26"/>
        <v>2021</v>
      </c>
      <c r="F775" s="135">
        <f>_xlfn.XLOOKUP(D152,'3. Input (des)investeringen '!$B$11:$B$81,'3. Input (des)investeringen '!$E$11:$E$81)</f>
        <v>1</v>
      </c>
    </row>
    <row r="776" spans="2:6">
      <c r="B776">
        <v>136</v>
      </c>
      <c r="D776" s="137">
        <f t="shared" si="25"/>
        <v>38685.240317018492</v>
      </c>
      <c r="E776" s="136">
        <f t="shared" si="26"/>
        <v>2021</v>
      </c>
      <c r="F776" s="135">
        <f>_xlfn.XLOOKUP(D153,'3. Input (des)investeringen '!$B$11:$B$81,'3. Input (des)investeringen '!$E$11:$E$81)</f>
        <v>1</v>
      </c>
    </row>
    <row r="777" spans="2:6">
      <c r="B777">
        <v>137</v>
      </c>
      <c r="D777" s="137">
        <f t="shared" si="25"/>
        <v>43273.531147319729</v>
      </c>
      <c r="E777" s="136">
        <f t="shared" si="26"/>
        <v>2021</v>
      </c>
      <c r="F777" s="135">
        <f>_xlfn.XLOOKUP(D154,'3. Input (des)investeringen '!$B$11:$B$81,'3. Input (des)investeringen '!$E$11:$E$81)</f>
        <v>1</v>
      </c>
    </row>
    <row r="778" spans="2:6">
      <c r="B778">
        <v>138</v>
      </c>
      <c r="D778" s="137">
        <f t="shared" si="25"/>
        <v>197935.88660477666</v>
      </c>
      <c r="E778" s="136">
        <f t="shared" si="26"/>
        <v>2021</v>
      </c>
      <c r="F778" s="135">
        <f>_xlfn.XLOOKUP(D155,'3. Input (des)investeringen '!$B$11:$B$81,'3. Input (des)investeringen '!$E$11:$E$81)</f>
        <v>1</v>
      </c>
    </row>
    <row r="779" spans="2:6">
      <c r="B779">
        <v>139</v>
      </c>
      <c r="D779" s="137">
        <f t="shared" si="25"/>
        <v>3536.1721082700515</v>
      </c>
      <c r="E779" s="136">
        <f t="shared" si="26"/>
        <v>2021</v>
      </c>
      <c r="F779" s="135">
        <f>_xlfn.XLOOKUP(D156,'3. Input (des)investeringen '!$B$11:$B$81,'3. Input (des)investeringen '!$E$11:$E$81)</f>
        <v>1</v>
      </c>
    </row>
    <row r="780" spans="2:6">
      <c r="B780">
        <v>140</v>
      </c>
      <c r="D780" s="137">
        <f t="shared" si="25"/>
        <v>149008.91551010619</v>
      </c>
      <c r="E780" s="136">
        <f t="shared" si="26"/>
        <v>2021</v>
      </c>
      <c r="F780" s="135">
        <f>_xlfn.XLOOKUP(D157,'3. Input (des)investeringen '!$B$11:$B$81,'3. Input (des)investeringen '!$E$11:$E$81)</f>
        <v>1</v>
      </c>
    </row>
    <row r="781" spans="2:6">
      <c r="B781">
        <v>141</v>
      </c>
      <c r="D781" s="137">
        <f t="shared" si="25"/>
        <v>320750.25625020906</v>
      </c>
      <c r="E781" s="136">
        <f t="shared" si="26"/>
        <v>2021</v>
      </c>
      <c r="F781" s="135">
        <f>_xlfn.XLOOKUP(D158,'3. Input (des)investeringen '!$B$11:$B$81,'3. Input (des)investeringen '!$E$11:$E$81)</f>
        <v>1</v>
      </c>
    </row>
    <row r="782" spans="2:6">
      <c r="B782">
        <v>142</v>
      </c>
      <c r="D782" s="137">
        <f t="shared" si="25"/>
        <v>75796.301285625028</v>
      </c>
      <c r="E782" s="136">
        <f t="shared" si="26"/>
        <v>2021</v>
      </c>
      <c r="F782" s="135">
        <f>_xlfn.XLOOKUP(D159,'3. Input (des)investeringen '!$B$11:$B$81,'3. Input (des)investeringen '!$E$11:$E$81)</f>
        <v>1</v>
      </c>
    </row>
    <row r="783" spans="2:6">
      <c r="B783">
        <v>143</v>
      </c>
      <c r="D783" s="137">
        <f t="shared" si="25"/>
        <v>447507.68906529818</v>
      </c>
      <c r="E783" s="136">
        <f t="shared" si="26"/>
        <v>2021</v>
      </c>
      <c r="F783" s="135">
        <f>_xlfn.XLOOKUP(D160,'3. Input (des)investeringen '!$B$11:$B$81,'3. Input (des)investeringen '!$E$11:$E$81)</f>
        <v>1</v>
      </c>
    </row>
    <row r="784" spans="2:6">
      <c r="B784">
        <v>144</v>
      </c>
      <c r="D784" s="137">
        <f t="shared" si="25"/>
        <v>585.89540720010632</v>
      </c>
      <c r="E784" s="136">
        <f t="shared" si="26"/>
        <v>2021</v>
      </c>
      <c r="F784" s="135">
        <f>_xlfn.XLOOKUP(D161,'3. Input (des)investeringen '!$B$11:$B$81,'3. Input (des)investeringen '!$E$11:$E$81)</f>
        <v>1</v>
      </c>
    </row>
    <row r="785" spans="2:6">
      <c r="B785">
        <v>145</v>
      </c>
      <c r="D785" s="137">
        <f t="shared" si="25"/>
        <v>1076368.1896706892</v>
      </c>
      <c r="E785" s="136">
        <f t="shared" si="26"/>
        <v>2021</v>
      </c>
      <c r="F785" s="135">
        <f>_xlfn.XLOOKUP(D162,'3. Input (des)investeringen '!$B$11:$B$81,'3. Input (des)investeringen '!$E$11:$E$81)</f>
        <v>1</v>
      </c>
    </row>
    <row r="786" spans="2:6">
      <c r="B786">
        <v>146</v>
      </c>
      <c r="D786" s="137">
        <f t="shared" si="25"/>
        <v>12458.301884420251</v>
      </c>
      <c r="E786" s="136">
        <f t="shared" si="26"/>
        <v>2021</v>
      </c>
      <c r="F786" s="135">
        <f>_xlfn.XLOOKUP(D163,'3. Input (des)investeringen '!$B$11:$B$81,'3. Input (des)investeringen '!$E$11:$E$81)</f>
        <v>1</v>
      </c>
    </row>
    <row r="787" spans="2:6">
      <c r="B787">
        <v>147</v>
      </c>
      <c r="D787" s="137">
        <f t="shared" si="25"/>
        <v>236253.64868884979</v>
      </c>
      <c r="E787" s="136">
        <f t="shared" si="26"/>
        <v>2021</v>
      </c>
      <c r="F787" s="135">
        <f>_xlfn.XLOOKUP(D164,'3. Input (des)investeringen '!$B$11:$B$81,'3. Input (des)investeringen '!$E$11:$E$81)</f>
        <v>0</v>
      </c>
    </row>
    <row r="788" spans="2:6">
      <c r="B788">
        <v>148</v>
      </c>
      <c r="D788" s="137">
        <f t="shared" si="25"/>
        <v>1167992.7901493718</v>
      </c>
      <c r="E788" s="136">
        <f t="shared" si="26"/>
        <v>2021</v>
      </c>
      <c r="F788" s="135">
        <f>_xlfn.XLOOKUP(D165,'3. Input (des)investeringen '!$B$11:$B$81,'3. Input (des)investeringen '!$E$11:$E$81)</f>
        <v>0</v>
      </c>
    </row>
    <row r="789" spans="2:6">
      <c r="B789">
        <v>149</v>
      </c>
      <c r="D789" s="137">
        <f t="shared" si="25"/>
        <v>1278744.1282753907</v>
      </c>
      <c r="E789" s="136">
        <f t="shared" si="26"/>
        <v>2021</v>
      </c>
      <c r="F789" s="135">
        <f>_xlfn.XLOOKUP(D166,'3. Input (des)investeringen '!$B$11:$B$81,'3. Input (des)investeringen '!$E$11:$E$81)</f>
        <v>0</v>
      </c>
    </row>
    <row r="790" spans="2:6">
      <c r="B790">
        <v>150</v>
      </c>
      <c r="D790" s="137">
        <f t="shared" si="25"/>
        <v>770495.64099103538</v>
      </c>
      <c r="E790" s="136">
        <f t="shared" si="26"/>
        <v>2021</v>
      </c>
      <c r="F790" s="135">
        <f>_xlfn.XLOOKUP(D167,'3. Input (des)investeringen '!$B$11:$B$81,'3. Input (des)investeringen '!$E$11:$E$81)</f>
        <v>0</v>
      </c>
    </row>
    <row r="791" spans="2:6">
      <c r="B791">
        <v>151</v>
      </c>
      <c r="D791" s="137">
        <f t="shared" si="25"/>
        <v>1359018.3003866887</v>
      </c>
      <c r="E791" s="136">
        <f t="shared" si="26"/>
        <v>2021</v>
      </c>
      <c r="F791" s="135">
        <f>_xlfn.XLOOKUP(D168,'3. Input (des)investeringen '!$B$11:$B$81,'3. Input (des)investeringen '!$E$11:$E$81)</f>
        <v>0</v>
      </c>
    </row>
    <row r="792" spans="2:6">
      <c r="B792">
        <v>152</v>
      </c>
      <c r="D792" s="137">
        <f t="shared" si="25"/>
        <v>563287.27093052329</v>
      </c>
      <c r="E792" s="136">
        <f t="shared" si="26"/>
        <v>2021</v>
      </c>
      <c r="F792" s="135">
        <f>_xlfn.XLOOKUP(D169,'3. Input (des)investeringen '!$B$11:$B$81,'3. Input (des)investeringen '!$E$11:$E$81)</f>
        <v>0</v>
      </c>
    </row>
    <row r="793" spans="2:6">
      <c r="B793">
        <v>153</v>
      </c>
      <c r="D793" s="137">
        <f t="shared" si="25"/>
        <v>758025.33866394043</v>
      </c>
      <c r="E793" s="136">
        <f t="shared" si="26"/>
        <v>2021</v>
      </c>
      <c r="F793" s="135">
        <f>_xlfn.XLOOKUP(D170,'3. Input (des)investeringen '!$B$11:$B$81,'3. Input (des)investeringen '!$E$11:$E$81)</f>
        <v>0</v>
      </c>
    </row>
    <row r="794" spans="2:6">
      <c r="B794">
        <v>154</v>
      </c>
      <c r="D794" s="137">
        <f t="shared" si="25"/>
        <v>1072746.2175645537</v>
      </c>
      <c r="E794" s="136">
        <f t="shared" si="26"/>
        <v>2021</v>
      </c>
      <c r="F794" s="135">
        <f>_xlfn.XLOOKUP(D171,'3. Input (des)investeringen '!$B$11:$B$81,'3. Input (des)investeringen '!$E$11:$E$81)</f>
        <v>0</v>
      </c>
    </row>
    <row r="795" spans="2:6">
      <c r="B795">
        <v>155</v>
      </c>
      <c r="D795" s="137">
        <f t="shared" si="25"/>
        <v>69883.751406690964</v>
      </c>
      <c r="E795" s="136">
        <f t="shared" si="26"/>
        <v>2021</v>
      </c>
      <c r="F795" s="135">
        <f>_xlfn.XLOOKUP(D172,'3. Input (des)investeringen '!$B$11:$B$81,'3. Input (des)investeringen '!$E$11:$E$81)</f>
        <v>0</v>
      </c>
    </row>
    <row r="796" spans="2:6">
      <c r="B796">
        <v>156</v>
      </c>
      <c r="D796" s="137">
        <f t="shared" si="25"/>
        <v>74510.976145309935</v>
      </c>
      <c r="E796" s="136">
        <f t="shared" si="26"/>
        <v>2021</v>
      </c>
      <c r="F796" s="135">
        <f>_xlfn.XLOOKUP(D173,'3. Input (des)investeringen '!$B$11:$B$81,'3. Input (des)investeringen '!$E$11:$E$81)</f>
        <v>0</v>
      </c>
    </row>
    <row r="797" spans="2:6">
      <c r="B797">
        <v>157</v>
      </c>
      <c r="D797" s="137">
        <f t="shared" si="25"/>
        <v>474585.39415796031</v>
      </c>
      <c r="E797" s="136">
        <f t="shared" si="26"/>
        <v>2021</v>
      </c>
      <c r="F797" s="135">
        <f>_xlfn.XLOOKUP(D174,'3. Input (des)investeringen '!$B$11:$B$81,'3. Input (des)investeringen '!$E$11:$E$81)</f>
        <v>0</v>
      </c>
    </row>
    <row r="798" spans="2:6">
      <c r="B798">
        <v>158</v>
      </c>
      <c r="D798" s="137">
        <f t="shared" si="25"/>
        <v>300052.12258130778</v>
      </c>
      <c r="E798" s="136">
        <f t="shared" si="26"/>
        <v>2021</v>
      </c>
      <c r="F798" s="135">
        <f>_xlfn.XLOOKUP(D175,'3. Input (des)investeringen '!$B$11:$B$81,'3. Input (des)investeringen '!$E$11:$E$81)</f>
        <v>0</v>
      </c>
    </row>
    <row r="799" spans="2:6">
      <c r="B799">
        <v>159</v>
      </c>
      <c r="D799" s="137">
        <f t="shared" si="25"/>
        <v>174219.76869315104</v>
      </c>
      <c r="E799" s="136">
        <f t="shared" si="26"/>
        <v>2021</v>
      </c>
      <c r="F799" s="135">
        <f>_xlfn.XLOOKUP(D176,'3. Input (des)investeringen '!$B$11:$B$81,'3. Input (des)investeringen '!$E$11:$E$81)</f>
        <v>0</v>
      </c>
    </row>
    <row r="800" spans="2:6">
      <c r="B800">
        <v>160</v>
      </c>
      <c r="D800" s="137">
        <f t="shared" si="25"/>
        <v>44878.31143522395</v>
      </c>
      <c r="E800" s="136">
        <f t="shared" si="26"/>
        <v>2021</v>
      </c>
      <c r="F800" s="135">
        <f>_xlfn.XLOOKUP(D177,'3. Input (des)investeringen '!$B$11:$B$81,'3. Input (des)investeringen '!$E$11:$E$81)</f>
        <v>0</v>
      </c>
    </row>
    <row r="801" spans="2:6">
      <c r="B801">
        <v>161</v>
      </c>
      <c r="D801" s="137">
        <f t="shared" si="25"/>
        <v>99537.263491634294</v>
      </c>
      <c r="E801" s="136">
        <f t="shared" si="26"/>
        <v>2021</v>
      </c>
      <c r="F801" s="135">
        <f>_xlfn.XLOOKUP(D178,'3. Input (des)investeringen '!$B$11:$B$81,'3. Input (des)investeringen '!$E$11:$E$81)</f>
        <v>0</v>
      </c>
    </row>
    <row r="802" spans="2:6">
      <c r="B802">
        <v>162</v>
      </c>
      <c r="D802" s="137">
        <f t="shared" si="25"/>
        <v>211807.13784127281</v>
      </c>
      <c r="E802" s="136">
        <f t="shared" si="26"/>
        <v>2021</v>
      </c>
      <c r="F802" s="135">
        <f>_xlfn.XLOOKUP(D179,'3. Input (des)investeringen '!$B$11:$B$81,'3. Input (des)investeringen '!$E$11:$E$81)</f>
        <v>0</v>
      </c>
    </row>
    <row r="803" spans="2:6">
      <c r="B803">
        <v>163</v>
      </c>
      <c r="D803" s="137">
        <f t="shared" si="25"/>
        <v>25424.944825862574</v>
      </c>
      <c r="E803" s="136">
        <f t="shared" si="26"/>
        <v>2021</v>
      </c>
      <c r="F803" s="135">
        <f>_xlfn.XLOOKUP(D180,'3. Input (des)investeringen '!$B$11:$B$81,'3. Input (des)investeringen '!$E$11:$E$81)</f>
        <v>0</v>
      </c>
    </row>
    <row r="804" spans="2:6">
      <c r="B804">
        <v>164</v>
      </c>
      <c r="D804" s="137">
        <f t="shared" si="25"/>
        <v>15024.675380202731</v>
      </c>
      <c r="E804" s="136">
        <f t="shared" si="26"/>
        <v>2021</v>
      </c>
      <c r="F804" s="135">
        <f>_xlfn.XLOOKUP(D181,'3. Input (des)investeringen '!$B$11:$B$81,'3. Input (des)investeringen '!$E$11:$E$81)</f>
        <v>0</v>
      </c>
    </row>
    <row r="805" spans="2:6">
      <c r="B805">
        <v>165</v>
      </c>
      <c r="D805" s="137">
        <f t="shared" si="25"/>
        <v>1553156.491253328</v>
      </c>
      <c r="E805" s="136">
        <f t="shared" si="26"/>
        <v>2021</v>
      </c>
      <c r="F805" s="135">
        <f>_xlfn.XLOOKUP(D182,'3. Input (des)investeringen '!$B$11:$B$81,'3. Input (des)investeringen '!$E$11:$E$81)</f>
        <v>0</v>
      </c>
    </row>
    <row r="806" spans="2:6">
      <c r="B806">
        <v>166</v>
      </c>
      <c r="D806" s="137">
        <f t="shared" si="25"/>
        <v>10601.673798685901</v>
      </c>
      <c r="E806" s="136">
        <f t="shared" si="26"/>
        <v>2021</v>
      </c>
      <c r="F806" s="135">
        <f>_xlfn.XLOOKUP(D183,'3. Input (des)investeringen '!$B$11:$B$81,'3. Input (des)investeringen '!$E$11:$E$81)</f>
        <v>0</v>
      </c>
    </row>
    <row r="807" spans="2:6">
      <c r="B807">
        <v>167</v>
      </c>
      <c r="D807" s="137">
        <f t="shared" si="25"/>
        <v>13806.096316082207</v>
      </c>
      <c r="E807" s="136">
        <f t="shared" si="26"/>
        <v>2021</v>
      </c>
      <c r="F807" s="135">
        <f>_xlfn.XLOOKUP(D184,'3. Input (des)investeringen '!$B$11:$B$81,'3. Input (des)investeringen '!$E$11:$E$81)</f>
        <v>0</v>
      </c>
    </row>
    <row r="808" spans="2:6">
      <c r="B808">
        <v>168</v>
      </c>
      <c r="D808" s="137">
        <f t="shared" si="25"/>
        <v>10690.975721830873</v>
      </c>
      <c r="E808" s="136">
        <f t="shared" si="26"/>
        <v>2021</v>
      </c>
      <c r="F808" s="135">
        <f>_xlfn.XLOOKUP(D185,'3. Input (des)investeringen '!$B$11:$B$81,'3. Input (des)investeringen '!$E$11:$E$81)</f>
        <v>0</v>
      </c>
    </row>
    <row r="809" spans="2:6">
      <c r="B809">
        <v>169</v>
      </c>
      <c r="D809" s="137">
        <f t="shared" si="25"/>
        <v>15986.781599403323</v>
      </c>
      <c r="E809" s="136">
        <f t="shared" si="26"/>
        <v>2021</v>
      </c>
      <c r="F809" s="135">
        <f>_xlfn.XLOOKUP(D186,'3. Input (des)investeringen '!$B$11:$B$81,'3. Input (des)investeringen '!$E$11:$E$81)</f>
        <v>0</v>
      </c>
    </row>
    <row r="810" spans="2:6">
      <c r="B810">
        <v>170</v>
      </c>
      <c r="D810" s="137">
        <f t="shared" si="25"/>
        <v>7180.1720234295535</v>
      </c>
      <c r="E810" s="136">
        <f t="shared" si="26"/>
        <v>2021</v>
      </c>
      <c r="F810" s="135">
        <f>_xlfn.XLOOKUP(D187,'3. Input (des)investeringen '!$B$11:$B$81,'3. Input (des)investeringen '!$E$11:$E$81)</f>
        <v>0</v>
      </c>
    </row>
    <row r="811" spans="2:6">
      <c r="B811">
        <v>171</v>
      </c>
      <c r="D811" s="137">
        <f t="shared" si="25"/>
        <v>68385.256874844577</v>
      </c>
      <c r="E811" s="136">
        <f t="shared" si="26"/>
        <v>2021</v>
      </c>
      <c r="F811" s="135">
        <f>_xlfn.XLOOKUP(D188,'3. Input (des)investeringen '!$B$11:$B$81,'3. Input (des)investeringen '!$E$11:$E$81)</f>
        <v>0</v>
      </c>
    </row>
    <row r="812" spans="2:6">
      <c r="B812">
        <v>172</v>
      </c>
      <c r="D812" s="137">
        <f t="shared" si="25"/>
        <v>57231.902287510849</v>
      </c>
      <c r="E812" s="136">
        <f t="shared" si="26"/>
        <v>2021</v>
      </c>
      <c r="F812" s="135">
        <f>_xlfn.XLOOKUP(D189,'3. Input (des)investeringen '!$B$11:$B$81,'3. Input (des)investeringen '!$E$11:$E$81)</f>
        <v>0</v>
      </c>
    </row>
    <row r="813" spans="2:6">
      <c r="B813">
        <v>173</v>
      </c>
      <c r="D813" s="137">
        <f t="shared" si="25"/>
        <v>139666.15519997373</v>
      </c>
      <c r="E813" s="136">
        <f t="shared" si="26"/>
        <v>2021</v>
      </c>
      <c r="F813" s="135">
        <f>_xlfn.XLOOKUP(D190,'3. Input (des)investeringen '!$B$11:$B$81,'3. Input (des)investeringen '!$E$11:$E$81)</f>
        <v>0</v>
      </c>
    </row>
    <row r="814" spans="2:6">
      <c r="B814">
        <v>174</v>
      </c>
      <c r="D814" s="137">
        <f t="shared" si="25"/>
        <v>261877.80964518842</v>
      </c>
      <c r="E814" s="136">
        <f t="shared" si="26"/>
        <v>2021</v>
      </c>
      <c r="F814" s="135">
        <f>_xlfn.XLOOKUP(D191,'3. Input (des)investeringen '!$B$11:$B$81,'3. Input (des)investeringen '!$E$11:$E$81)</f>
        <v>0</v>
      </c>
    </row>
    <row r="815" spans="2:6">
      <c r="B815">
        <v>175</v>
      </c>
      <c r="D815" s="137">
        <f t="shared" si="25"/>
        <v>384106.38797041745</v>
      </c>
      <c r="E815" s="136">
        <f t="shared" si="26"/>
        <v>2021</v>
      </c>
      <c r="F815" s="135">
        <f>_xlfn.XLOOKUP(D192,'3. Input (des)investeringen '!$B$11:$B$81,'3. Input (des)investeringen '!$E$11:$E$81)</f>
        <v>0</v>
      </c>
    </row>
    <row r="816" spans="2:6">
      <c r="B816">
        <v>176</v>
      </c>
      <c r="D816" s="137">
        <f t="shared" si="25"/>
        <v>349737.18217299768</v>
      </c>
      <c r="E816" s="136">
        <f t="shared" si="26"/>
        <v>2021</v>
      </c>
      <c r="F816" s="135">
        <f>_xlfn.XLOOKUP(D193,'3. Input (des)investeringen '!$B$11:$B$81,'3. Input (des)investeringen '!$E$11:$E$81)</f>
        <v>0</v>
      </c>
    </row>
    <row r="817" spans="2:6">
      <c r="B817">
        <v>177</v>
      </c>
      <c r="D817" s="137">
        <f t="shared" si="25"/>
        <v>43685.695437945156</v>
      </c>
      <c r="E817" s="136">
        <f t="shared" si="26"/>
        <v>2021</v>
      </c>
      <c r="F817" s="135">
        <f>_xlfn.XLOOKUP(D194,'3. Input (des)investeringen '!$B$11:$B$81,'3. Input (des)investeringen '!$E$11:$E$81)</f>
        <v>0</v>
      </c>
    </row>
    <row r="818" spans="2:6">
      <c r="B818">
        <v>178</v>
      </c>
      <c r="D818" s="137">
        <f t="shared" si="25"/>
        <v>26142.883444457802</v>
      </c>
      <c r="E818" s="136">
        <f t="shared" si="26"/>
        <v>2021</v>
      </c>
      <c r="F818" s="135">
        <f>_xlfn.XLOOKUP(D195,'3. Input (des)investeringen '!$B$11:$B$81,'3. Input (des)investeringen '!$E$11:$E$81)</f>
        <v>0</v>
      </c>
    </row>
    <row r="819" spans="2:6">
      <c r="B819">
        <v>179</v>
      </c>
      <c r="D819" s="137">
        <f t="shared" si="25"/>
        <v>91685.903273300093</v>
      </c>
      <c r="E819" s="136">
        <f t="shared" si="26"/>
        <v>2021</v>
      </c>
      <c r="F819" s="135">
        <f>_xlfn.XLOOKUP(D196,'3. Input (des)investeringen '!$B$11:$B$81,'3. Input (des)investeringen '!$E$11:$E$81)</f>
        <v>0</v>
      </c>
    </row>
    <row r="820" spans="2:6">
      <c r="B820">
        <v>180</v>
      </c>
      <c r="D820" s="137">
        <f t="shared" si="25"/>
        <v>406564.28543185152</v>
      </c>
      <c r="E820" s="136">
        <f t="shared" si="26"/>
        <v>2021</v>
      </c>
      <c r="F820" s="135">
        <f>_xlfn.XLOOKUP(D197,'3. Input (des)investeringen '!$B$11:$B$81,'3. Input (des)investeringen '!$E$11:$E$81)</f>
        <v>0</v>
      </c>
    </row>
    <row r="821" spans="2:6">
      <c r="B821">
        <v>181</v>
      </c>
      <c r="D821" s="137">
        <f t="shared" si="25"/>
        <v>4343.1703706661292</v>
      </c>
      <c r="E821" s="136">
        <f t="shared" si="26"/>
        <v>2021</v>
      </c>
      <c r="F821" s="135">
        <f>_xlfn.XLOOKUP(D198,'3. Input (des)investeringen '!$B$11:$B$81,'3. Input (des)investeringen '!$E$11:$E$81)</f>
        <v>0</v>
      </c>
    </row>
    <row r="822" spans="2:6">
      <c r="B822">
        <v>182</v>
      </c>
      <c r="D822" s="137">
        <f t="shared" si="25"/>
        <v>417969.94669647992</v>
      </c>
      <c r="E822" s="136">
        <f t="shared" si="26"/>
        <v>2021</v>
      </c>
      <c r="F822" s="135">
        <f>_xlfn.XLOOKUP(D199,'3. Input (des)investeringen '!$B$11:$B$81,'3. Input (des)investeringen '!$E$11:$E$81)</f>
        <v>0</v>
      </c>
    </row>
    <row r="823" spans="2:6">
      <c r="B823">
        <v>183</v>
      </c>
      <c r="D823" s="137">
        <f t="shared" si="25"/>
        <v>565140.25960966269</v>
      </c>
      <c r="E823" s="136">
        <f t="shared" si="26"/>
        <v>2021</v>
      </c>
      <c r="F823" s="135">
        <f>_xlfn.XLOOKUP(D200,'3. Input (des)investeringen '!$B$11:$B$81,'3. Input (des)investeringen '!$E$11:$E$81)</f>
        <v>0</v>
      </c>
    </row>
    <row r="824" spans="2:6">
      <c r="B824">
        <v>184</v>
      </c>
      <c r="D824" s="137">
        <f t="shared" si="25"/>
        <v>146891.26988423668</v>
      </c>
      <c r="E824" s="136">
        <f t="shared" si="26"/>
        <v>2021</v>
      </c>
      <c r="F824" s="135">
        <f>_xlfn.XLOOKUP(D201,'3. Input (des)investeringen '!$B$11:$B$81,'3. Input (des)investeringen '!$E$11:$E$81)</f>
        <v>0</v>
      </c>
    </row>
    <row r="825" spans="2:6">
      <c r="B825">
        <v>185</v>
      </c>
      <c r="D825" s="137">
        <f t="shared" si="25"/>
        <v>17125.53813751788</v>
      </c>
      <c r="E825" s="136">
        <f t="shared" si="26"/>
        <v>2021</v>
      </c>
      <c r="F825" s="135">
        <f>_xlfn.XLOOKUP(D202,'3. Input (des)investeringen '!$B$11:$B$81,'3. Input (des)investeringen '!$E$11:$E$81)</f>
        <v>0</v>
      </c>
    </row>
    <row r="826" spans="2:6">
      <c r="B826">
        <v>186</v>
      </c>
      <c r="D826" s="137">
        <f t="shared" si="25"/>
        <v>34968.302630908467</v>
      </c>
      <c r="E826" s="136">
        <f t="shared" si="26"/>
        <v>2021</v>
      </c>
      <c r="F826" s="135">
        <f>_xlfn.XLOOKUP(D203,'3. Input (des)investeringen '!$B$11:$B$81,'3. Input (des)investeringen '!$E$11:$E$81)</f>
        <v>0</v>
      </c>
    </row>
    <row r="827" spans="2:6">
      <c r="B827">
        <v>187</v>
      </c>
      <c r="D827" s="137">
        <f t="shared" si="25"/>
        <v>568322.42919150752</v>
      </c>
      <c r="E827" s="136">
        <f t="shared" si="26"/>
        <v>2021</v>
      </c>
      <c r="F827" s="135">
        <f>_xlfn.XLOOKUP(D204,'3. Input (des)investeringen '!$B$11:$B$81,'3. Input (des)investeringen '!$E$11:$E$81)</f>
        <v>0</v>
      </c>
    </row>
    <row r="828" spans="2:6">
      <c r="B828">
        <v>188</v>
      </c>
      <c r="D828" s="137">
        <f t="shared" si="25"/>
        <v>39042.787781114006</v>
      </c>
      <c r="E828" s="136">
        <f t="shared" si="26"/>
        <v>2021</v>
      </c>
      <c r="F828" s="135">
        <f>_xlfn.XLOOKUP(D205,'3. Input (des)investeringen '!$B$11:$B$81,'3. Input (des)investeringen '!$E$11:$E$81)</f>
        <v>0</v>
      </c>
    </row>
    <row r="829" spans="2:6">
      <c r="B829">
        <v>189</v>
      </c>
      <c r="D829" s="137">
        <f t="shared" si="25"/>
        <v>123253.28439898259</v>
      </c>
      <c r="E829" s="136">
        <f t="shared" si="26"/>
        <v>2021</v>
      </c>
      <c r="F829" s="135">
        <f>_xlfn.XLOOKUP(D206,'3. Input (des)investeringen '!$B$11:$B$81,'3. Input (des)investeringen '!$E$11:$E$81)</f>
        <v>0</v>
      </c>
    </row>
    <row r="830" spans="2:6">
      <c r="B830">
        <v>190</v>
      </c>
      <c r="D830" s="137">
        <f t="shared" si="25"/>
        <v>55481.291015903735</v>
      </c>
      <c r="E830" s="136">
        <f t="shared" si="26"/>
        <v>2021</v>
      </c>
      <c r="F830" s="135">
        <f>_xlfn.XLOOKUP(D207,'3. Input (des)investeringen '!$B$11:$B$81,'3. Input (des)investeringen '!$E$11:$E$81)</f>
        <v>0</v>
      </c>
    </row>
    <row r="831" spans="2:6">
      <c r="B831">
        <v>191</v>
      </c>
      <c r="D831" s="137">
        <f t="shared" si="25"/>
        <v>10091.637804543583</v>
      </c>
      <c r="E831" s="136">
        <f t="shared" si="26"/>
        <v>2021</v>
      </c>
      <c r="F831" s="135">
        <f>_xlfn.XLOOKUP(D208,'3. Input (des)investeringen '!$B$11:$B$81,'3. Input (des)investeringen '!$E$11:$E$81)</f>
        <v>0</v>
      </c>
    </row>
    <row r="832" spans="2:6">
      <c r="B832">
        <v>192</v>
      </c>
      <c r="D832" s="137">
        <f t="shared" si="25"/>
        <v>270121.01778384193</v>
      </c>
      <c r="E832" s="136">
        <f t="shared" si="26"/>
        <v>2021</v>
      </c>
      <c r="F832" s="135">
        <f>_xlfn.XLOOKUP(D209,'3. Input (des)investeringen '!$B$11:$B$81,'3. Input (des)investeringen '!$E$11:$E$81)</f>
        <v>0</v>
      </c>
    </row>
    <row r="833" spans="2:6">
      <c r="B833">
        <v>193</v>
      </c>
      <c r="D833" s="137">
        <f t="shared" ref="D833:D896" si="27">F210*INDEX($E$556:$CG$636,E210-1945,G210-1945)</f>
        <v>35012.560970798419</v>
      </c>
      <c r="E833" s="136">
        <f t="shared" ref="E833:E896" si="28">G210</f>
        <v>2021</v>
      </c>
      <c r="F833" s="135">
        <f>_xlfn.XLOOKUP(D210,'3. Input (des)investeringen '!$B$11:$B$81,'3. Input (des)investeringen '!$E$11:$E$81)</f>
        <v>0</v>
      </c>
    </row>
    <row r="834" spans="2:6">
      <c r="B834">
        <v>194</v>
      </c>
      <c r="D834" s="137">
        <f t="shared" si="27"/>
        <v>62541.855255277696</v>
      </c>
      <c r="E834" s="136">
        <f t="shared" si="28"/>
        <v>2021</v>
      </c>
      <c r="F834" s="135">
        <f>_xlfn.XLOOKUP(D211,'3. Input (des)investeringen '!$B$11:$B$81,'3. Input (des)investeringen '!$E$11:$E$81)</f>
        <v>0</v>
      </c>
    </row>
    <row r="835" spans="2:6">
      <c r="B835">
        <v>195</v>
      </c>
      <c r="D835" s="137">
        <f t="shared" si="27"/>
        <v>33394.539172533448</v>
      </c>
      <c r="E835" s="136">
        <f t="shared" si="28"/>
        <v>2021</v>
      </c>
      <c r="F835" s="135">
        <f>_xlfn.XLOOKUP(D212,'3. Input (des)investeringen '!$B$11:$B$81,'3. Input (des)investeringen '!$E$11:$E$81)</f>
        <v>0</v>
      </c>
    </row>
    <row r="836" spans="2:6">
      <c r="B836">
        <v>196</v>
      </c>
      <c r="D836" s="137">
        <f t="shared" si="27"/>
        <v>90699.603627050601</v>
      </c>
      <c r="E836" s="136">
        <f t="shared" si="28"/>
        <v>2021</v>
      </c>
      <c r="F836" s="135">
        <f>_xlfn.XLOOKUP(D213,'3. Input (des)investeringen '!$B$11:$B$81,'3. Input (des)investeringen '!$E$11:$E$81)</f>
        <v>0</v>
      </c>
    </row>
    <row r="837" spans="2:6">
      <c r="B837">
        <v>197</v>
      </c>
      <c r="D837" s="137">
        <f t="shared" si="27"/>
        <v>52450.485618818253</v>
      </c>
      <c r="E837" s="136">
        <f t="shared" si="28"/>
        <v>2021</v>
      </c>
      <c r="F837" s="135">
        <f>_xlfn.XLOOKUP(D214,'3. Input (des)investeringen '!$B$11:$B$81,'3. Input (des)investeringen '!$E$11:$E$81)</f>
        <v>0</v>
      </c>
    </row>
    <row r="838" spans="2:6">
      <c r="B838">
        <v>198</v>
      </c>
      <c r="D838" s="137">
        <f t="shared" si="27"/>
        <v>97120.363411276601</v>
      </c>
      <c r="E838" s="136">
        <f t="shared" si="28"/>
        <v>2021</v>
      </c>
      <c r="F838" s="135">
        <f>_xlfn.XLOOKUP(D215,'3. Input (des)investeringen '!$B$11:$B$81,'3. Input (des)investeringen '!$E$11:$E$81)</f>
        <v>0</v>
      </c>
    </row>
    <row r="839" spans="2:6">
      <c r="B839">
        <v>199</v>
      </c>
      <c r="D839" s="137">
        <f t="shared" si="27"/>
        <v>35812.951397548226</v>
      </c>
      <c r="E839" s="136">
        <f t="shared" si="28"/>
        <v>2021</v>
      </c>
      <c r="F839" s="135">
        <f>_xlfn.XLOOKUP(D216,'3. Input (des)investeringen '!$B$11:$B$81,'3. Input (des)investeringen '!$E$11:$E$81)</f>
        <v>1</v>
      </c>
    </row>
    <row r="840" spans="2:6">
      <c r="B840">
        <v>200</v>
      </c>
      <c r="D840" s="137">
        <f t="shared" si="27"/>
        <v>7395.676945150738</v>
      </c>
      <c r="E840" s="136">
        <f t="shared" si="28"/>
        <v>2021</v>
      </c>
      <c r="F840" s="135">
        <f>_xlfn.XLOOKUP(D217,'3. Input (des)investeringen '!$B$11:$B$81,'3. Input (des)investeringen '!$E$11:$E$81)</f>
        <v>1</v>
      </c>
    </row>
    <row r="841" spans="2:6">
      <c r="B841">
        <v>201</v>
      </c>
      <c r="D841" s="137">
        <f t="shared" si="27"/>
        <v>9234.2532207256827</v>
      </c>
      <c r="E841" s="136">
        <f t="shared" si="28"/>
        <v>2021</v>
      </c>
      <c r="F841" s="135">
        <f>_xlfn.XLOOKUP(D218,'3. Input (des)investeringen '!$B$11:$B$81,'3. Input (des)investeringen '!$E$11:$E$81)</f>
        <v>1</v>
      </c>
    </row>
    <row r="842" spans="2:6">
      <c r="B842">
        <v>202</v>
      </c>
      <c r="D842" s="137">
        <f t="shared" si="27"/>
        <v>38374.048222204416</v>
      </c>
      <c r="E842" s="136">
        <f t="shared" si="28"/>
        <v>2021</v>
      </c>
      <c r="F842" s="135">
        <f>_xlfn.XLOOKUP(D219,'3. Input (des)investeringen '!$B$11:$B$81,'3. Input (des)investeringen '!$E$11:$E$81)</f>
        <v>1</v>
      </c>
    </row>
    <row r="843" spans="2:6">
      <c r="B843">
        <v>203</v>
      </c>
      <c r="D843" s="137">
        <f t="shared" si="27"/>
        <v>54618.312856535376</v>
      </c>
      <c r="E843" s="136">
        <f t="shared" si="28"/>
        <v>2021</v>
      </c>
      <c r="F843" s="135">
        <f>_xlfn.XLOOKUP(D220,'3. Input (des)investeringen '!$B$11:$B$81,'3. Input (des)investeringen '!$E$11:$E$81)</f>
        <v>1</v>
      </c>
    </row>
    <row r="844" spans="2:6">
      <c r="B844">
        <v>204</v>
      </c>
      <c r="D844" s="137">
        <f t="shared" si="27"/>
        <v>32933.043087597522</v>
      </c>
      <c r="E844" s="136">
        <f t="shared" si="28"/>
        <v>2021</v>
      </c>
      <c r="F844" s="135">
        <f>_xlfn.XLOOKUP(D221,'3. Input (des)investeringen '!$B$11:$B$81,'3. Input (des)investeringen '!$E$11:$E$81)</f>
        <v>1</v>
      </c>
    </row>
    <row r="845" spans="2:6">
      <c r="B845">
        <v>205</v>
      </c>
      <c r="D845" s="137">
        <f t="shared" si="27"/>
        <v>15991.4120397446</v>
      </c>
      <c r="E845" s="136">
        <f t="shared" si="28"/>
        <v>2021</v>
      </c>
      <c r="F845" s="135">
        <f>_xlfn.XLOOKUP(D222,'3. Input (des)investeringen '!$B$11:$B$81,'3. Input (des)investeringen '!$E$11:$E$81)</f>
        <v>1</v>
      </c>
    </row>
    <row r="846" spans="2:6">
      <c r="B846">
        <v>206</v>
      </c>
      <c r="D846" s="137">
        <f t="shared" si="27"/>
        <v>385081.50137901091</v>
      </c>
      <c r="E846" s="136">
        <f t="shared" si="28"/>
        <v>2021</v>
      </c>
      <c r="F846" s="135">
        <f>_xlfn.XLOOKUP(D223,'3. Input (des)investeringen '!$B$11:$B$81,'3. Input (des)investeringen '!$E$11:$E$81)</f>
        <v>1</v>
      </c>
    </row>
    <row r="847" spans="2:6">
      <c r="B847">
        <v>207</v>
      </c>
      <c r="D847" s="137">
        <f t="shared" si="27"/>
        <v>240431.96093370012</v>
      </c>
      <c r="E847" s="136">
        <f t="shared" si="28"/>
        <v>2021</v>
      </c>
      <c r="F847" s="135">
        <f>_xlfn.XLOOKUP(D224,'3. Input (des)investeringen '!$B$11:$B$81,'3. Input (des)investeringen '!$E$11:$E$81)</f>
        <v>1</v>
      </c>
    </row>
    <row r="848" spans="2:6">
      <c r="B848">
        <v>208</v>
      </c>
      <c r="D848" s="137">
        <f t="shared" si="27"/>
        <v>1009696.3117501126</v>
      </c>
      <c r="E848" s="136">
        <f t="shared" si="28"/>
        <v>2021</v>
      </c>
      <c r="F848" s="135">
        <f>_xlfn.XLOOKUP(D225,'3. Input (des)investeringen '!$B$11:$B$81,'3. Input (des)investeringen '!$E$11:$E$81)</f>
        <v>1</v>
      </c>
    </row>
    <row r="849" spans="2:6">
      <c r="B849">
        <v>209</v>
      </c>
      <c r="D849" s="137">
        <f t="shared" si="27"/>
        <v>150181.49791814786</v>
      </c>
      <c r="E849" s="136">
        <f t="shared" si="28"/>
        <v>2021</v>
      </c>
      <c r="F849" s="135">
        <f>_xlfn.XLOOKUP(D226,'3. Input (des)investeringen '!$B$11:$B$81,'3. Input (des)investeringen '!$E$11:$E$81)</f>
        <v>1</v>
      </c>
    </row>
    <row r="850" spans="2:6">
      <c r="B850">
        <v>210</v>
      </c>
      <c r="D850" s="137">
        <f t="shared" si="27"/>
        <v>142565.19188129232</v>
      </c>
      <c r="E850" s="136">
        <f t="shared" si="28"/>
        <v>2021</v>
      </c>
      <c r="F850" s="135">
        <f>_xlfn.XLOOKUP(D227,'3. Input (des)investeringen '!$B$11:$B$81,'3. Input (des)investeringen '!$E$11:$E$81)</f>
        <v>1</v>
      </c>
    </row>
    <row r="851" spans="2:6">
      <c r="B851">
        <v>211</v>
      </c>
      <c r="D851" s="137">
        <f t="shared" si="27"/>
        <v>165452.03127582563</v>
      </c>
      <c r="E851" s="136">
        <f t="shared" si="28"/>
        <v>2021</v>
      </c>
      <c r="F851" s="135">
        <f>_xlfn.XLOOKUP(D228,'3. Input (des)investeringen '!$B$11:$B$81,'3. Input (des)investeringen '!$E$11:$E$81)</f>
        <v>1</v>
      </c>
    </row>
    <row r="852" spans="2:6">
      <c r="B852">
        <v>212</v>
      </c>
      <c r="D852" s="137">
        <f t="shared" si="27"/>
        <v>58464.304990344099</v>
      </c>
      <c r="E852" s="136">
        <f t="shared" si="28"/>
        <v>2021</v>
      </c>
      <c r="F852" s="135">
        <f>_xlfn.XLOOKUP(D229,'3. Input (des)investeringen '!$B$11:$B$81,'3. Input (des)investeringen '!$E$11:$E$81)</f>
        <v>1</v>
      </c>
    </row>
    <row r="853" spans="2:6">
      <c r="B853">
        <v>213</v>
      </c>
      <c r="D853" s="137">
        <f t="shared" si="27"/>
        <v>280032.44418820832</v>
      </c>
      <c r="E853" s="136">
        <f t="shared" si="28"/>
        <v>2021</v>
      </c>
      <c r="F853" s="135">
        <f>_xlfn.XLOOKUP(D230,'3. Input (des)investeringen '!$B$11:$B$81,'3. Input (des)investeringen '!$E$11:$E$81)</f>
        <v>1</v>
      </c>
    </row>
    <row r="854" spans="2:6">
      <c r="B854">
        <v>214</v>
      </c>
      <c r="D854" s="137">
        <f t="shared" si="27"/>
        <v>148341.65621620402</v>
      </c>
      <c r="E854" s="136">
        <f t="shared" si="28"/>
        <v>2021</v>
      </c>
      <c r="F854" s="135">
        <f>_xlfn.XLOOKUP(D231,'3. Input (des)investeringen '!$B$11:$B$81,'3. Input (des)investeringen '!$E$11:$E$81)</f>
        <v>1</v>
      </c>
    </row>
    <row r="855" spans="2:6">
      <c r="B855">
        <v>215</v>
      </c>
      <c r="D855" s="137">
        <f t="shared" si="27"/>
        <v>44049.749833951413</v>
      </c>
      <c r="E855" s="136">
        <f t="shared" si="28"/>
        <v>2021</v>
      </c>
      <c r="F855" s="135">
        <f>_xlfn.XLOOKUP(D232,'3. Input (des)investeringen '!$B$11:$B$81,'3. Input (des)investeringen '!$E$11:$E$81)</f>
        <v>1</v>
      </c>
    </row>
    <row r="856" spans="2:6">
      <c r="B856">
        <v>216</v>
      </c>
      <c r="D856" s="137">
        <f t="shared" si="27"/>
        <v>20139.757063131787</v>
      </c>
      <c r="E856" s="136">
        <f t="shared" si="28"/>
        <v>2021</v>
      </c>
      <c r="F856" s="135">
        <f>_xlfn.XLOOKUP(D233,'3. Input (des)investeringen '!$B$11:$B$81,'3. Input (des)investeringen '!$E$11:$E$81)</f>
        <v>1</v>
      </c>
    </row>
    <row r="857" spans="2:6">
      <c r="B857">
        <v>217</v>
      </c>
      <c r="D857" s="137">
        <f t="shared" si="27"/>
        <v>189844.78929481862</v>
      </c>
      <c r="E857" s="136">
        <f t="shared" si="28"/>
        <v>2021</v>
      </c>
      <c r="F857" s="135">
        <f>_xlfn.XLOOKUP(D234,'3. Input (des)investeringen '!$B$11:$B$81,'3. Input (des)investeringen '!$E$11:$E$81)</f>
        <v>1</v>
      </c>
    </row>
    <row r="858" spans="2:6">
      <c r="B858">
        <v>218</v>
      </c>
      <c r="D858" s="137">
        <f t="shared" si="27"/>
        <v>104010926.97902162</v>
      </c>
      <c r="E858" s="136">
        <f t="shared" si="28"/>
        <v>2021</v>
      </c>
      <c r="F858" s="135">
        <f>_xlfn.XLOOKUP(D235,'3. Input (des)investeringen '!$B$11:$B$81,'3. Input (des)investeringen '!$E$11:$E$81)</f>
        <v>0</v>
      </c>
    </row>
    <row r="859" spans="2:6">
      <c r="B859">
        <v>219</v>
      </c>
      <c r="D859" s="137">
        <f t="shared" si="27"/>
        <v>116891.95984626604</v>
      </c>
      <c r="E859" s="136">
        <f t="shared" si="28"/>
        <v>2021</v>
      </c>
      <c r="F859" s="135">
        <f>_xlfn.XLOOKUP(D236,'3. Input (des)investeringen '!$B$11:$B$81,'3. Input (des)investeringen '!$E$11:$E$81)</f>
        <v>0</v>
      </c>
    </row>
    <row r="860" spans="2:6">
      <c r="B860">
        <v>220</v>
      </c>
      <c r="D860" s="137">
        <f t="shared" si="27"/>
        <v>911799.99730978173</v>
      </c>
      <c r="E860" s="136">
        <f t="shared" si="28"/>
        <v>2021</v>
      </c>
      <c r="F860" s="135">
        <f>_xlfn.XLOOKUP(D237,'3. Input (des)investeringen '!$B$11:$B$81,'3. Input (des)investeringen '!$E$11:$E$81)</f>
        <v>0</v>
      </c>
    </row>
    <row r="861" spans="2:6">
      <c r="B861">
        <v>221</v>
      </c>
      <c r="D861" s="137">
        <f t="shared" si="27"/>
        <v>170454.15687331129</v>
      </c>
      <c r="E861" s="136">
        <f t="shared" si="28"/>
        <v>2021</v>
      </c>
      <c r="F861" s="135">
        <f>_xlfn.XLOOKUP(D238,'3. Input (des)investeringen '!$B$11:$B$81,'3. Input (des)investeringen '!$E$11:$E$81)</f>
        <v>0</v>
      </c>
    </row>
    <row r="862" spans="2:6">
      <c r="B862">
        <v>222</v>
      </c>
      <c r="D862" s="137">
        <f t="shared" si="27"/>
        <v>369982.18838464137</v>
      </c>
      <c r="E862" s="136">
        <f t="shared" si="28"/>
        <v>2021</v>
      </c>
      <c r="F862" s="135">
        <f>_xlfn.XLOOKUP(D239,'3. Input (des)investeringen '!$B$11:$B$81,'3. Input (des)investeringen '!$E$11:$E$81)</f>
        <v>0</v>
      </c>
    </row>
    <row r="863" spans="2:6">
      <c r="B863">
        <v>223</v>
      </c>
      <c r="D863" s="137">
        <f t="shared" si="27"/>
        <v>522874.68696638738</v>
      </c>
      <c r="E863" s="136">
        <f t="shared" si="28"/>
        <v>2021</v>
      </c>
      <c r="F863" s="135">
        <f>_xlfn.XLOOKUP(D240,'3. Input (des)investeringen '!$B$11:$B$81,'3. Input (des)investeringen '!$E$11:$E$81)</f>
        <v>0</v>
      </c>
    </row>
    <row r="864" spans="2:6">
      <c r="B864">
        <v>224</v>
      </c>
      <c r="D864" s="137">
        <f t="shared" si="27"/>
        <v>8992226.8388336189</v>
      </c>
      <c r="E864" s="136">
        <f t="shared" si="28"/>
        <v>2021</v>
      </c>
      <c r="F864" s="135">
        <f>_xlfn.XLOOKUP(D241,'3. Input (des)investeringen '!$B$11:$B$81,'3. Input (des)investeringen '!$E$11:$E$81)</f>
        <v>0</v>
      </c>
    </row>
    <row r="865" spans="2:6">
      <c r="B865">
        <v>225</v>
      </c>
      <c r="D865" s="137">
        <f t="shared" si="27"/>
        <v>1248165.1609976974</v>
      </c>
      <c r="E865" s="136">
        <f t="shared" si="28"/>
        <v>2021</v>
      </c>
      <c r="F865" s="135">
        <f>_xlfn.XLOOKUP(D242,'3. Input (des)investeringen '!$B$11:$B$81,'3. Input (des)investeringen '!$E$11:$E$81)</f>
        <v>0</v>
      </c>
    </row>
    <row r="866" spans="2:6">
      <c r="B866">
        <v>226</v>
      </c>
      <c r="D866" s="137">
        <f t="shared" si="27"/>
        <v>65321.486835707648</v>
      </c>
      <c r="E866" s="136">
        <f t="shared" si="28"/>
        <v>2021</v>
      </c>
      <c r="F866" s="135">
        <f>_xlfn.XLOOKUP(D243,'3. Input (des)investeringen '!$B$11:$B$81,'3. Input (des)investeringen '!$E$11:$E$81)</f>
        <v>0</v>
      </c>
    </row>
    <row r="867" spans="2:6">
      <c r="B867">
        <v>227</v>
      </c>
      <c r="D867" s="137">
        <f t="shared" si="27"/>
        <v>4156569.4731986006</v>
      </c>
      <c r="E867" s="136">
        <f t="shared" si="28"/>
        <v>2021</v>
      </c>
      <c r="F867" s="135">
        <f>_xlfn.XLOOKUP(D244,'3. Input (des)investeringen '!$B$11:$B$81,'3. Input (des)investeringen '!$E$11:$E$81)</f>
        <v>0</v>
      </c>
    </row>
    <row r="868" spans="2:6">
      <c r="B868">
        <v>228</v>
      </c>
      <c r="D868" s="137">
        <f t="shared" si="27"/>
        <v>4146788.7842293433</v>
      </c>
      <c r="E868" s="136">
        <f t="shared" si="28"/>
        <v>2021</v>
      </c>
      <c r="F868" s="135">
        <f>_xlfn.XLOOKUP(D245,'3. Input (des)investeringen '!$B$11:$B$81,'3. Input (des)investeringen '!$E$11:$E$81)</f>
        <v>0</v>
      </c>
    </row>
    <row r="869" spans="2:6">
      <c r="B869">
        <v>229</v>
      </c>
      <c r="D869" s="137">
        <f t="shared" si="27"/>
        <v>-230531.07145305187</v>
      </c>
      <c r="E869" s="136">
        <f t="shared" si="28"/>
        <v>2021</v>
      </c>
      <c r="F869" s="135">
        <f>_xlfn.XLOOKUP(D246,'3. Input (des)investeringen '!$B$11:$B$81,'3. Input (des)investeringen '!$E$11:$E$81)</f>
        <v>0</v>
      </c>
    </row>
    <row r="870" spans="2:6">
      <c r="B870">
        <v>230</v>
      </c>
      <c r="D870" s="137">
        <f t="shared" si="27"/>
        <v>1523751.932813362</v>
      </c>
      <c r="E870" s="136">
        <f t="shared" si="28"/>
        <v>2021</v>
      </c>
      <c r="F870" s="135">
        <f>_xlfn.XLOOKUP(D247,'3. Input (des)investeringen '!$B$11:$B$81,'3. Input (des)investeringen '!$E$11:$E$81)</f>
        <v>0</v>
      </c>
    </row>
    <row r="871" spans="2:6">
      <c r="B871">
        <v>231</v>
      </c>
      <c r="D871" s="137">
        <f t="shared" si="27"/>
        <v>1297007.6448952188</v>
      </c>
      <c r="E871" s="136">
        <f t="shared" si="28"/>
        <v>2021</v>
      </c>
      <c r="F871" s="135">
        <f>_xlfn.XLOOKUP(D248,'3. Input (des)investeringen '!$B$11:$B$81,'3. Input (des)investeringen '!$E$11:$E$81)</f>
        <v>0</v>
      </c>
    </row>
    <row r="872" spans="2:6">
      <c r="B872">
        <v>232</v>
      </c>
      <c r="D872" s="137">
        <f t="shared" si="27"/>
        <v>4783603.0620347345</v>
      </c>
      <c r="E872" s="136">
        <f t="shared" si="28"/>
        <v>2021</v>
      </c>
      <c r="F872" s="135">
        <f>_xlfn.XLOOKUP(D249,'3. Input (des)investeringen '!$B$11:$B$81,'3. Input (des)investeringen '!$E$11:$E$81)</f>
        <v>0</v>
      </c>
    </row>
    <row r="873" spans="2:6">
      <c r="B873">
        <v>233</v>
      </c>
      <c r="D873" s="137">
        <f t="shared" si="27"/>
        <v>12349.860653952734</v>
      </c>
      <c r="E873" s="136">
        <f t="shared" si="28"/>
        <v>2021</v>
      </c>
      <c r="F873" s="135">
        <f>_xlfn.XLOOKUP(D250,'3. Input (des)investeringen '!$B$11:$B$81,'3. Input (des)investeringen '!$E$11:$E$81)</f>
        <v>0</v>
      </c>
    </row>
    <row r="874" spans="2:6">
      <c r="B874">
        <v>234</v>
      </c>
      <c r="D874" s="137">
        <f t="shared" si="27"/>
        <v>114981.28949244491</v>
      </c>
      <c r="E874" s="136">
        <f t="shared" si="28"/>
        <v>2021</v>
      </c>
      <c r="F874" s="135">
        <f>_xlfn.XLOOKUP(D251,'3. Input (des)investeringen '!$B$11:$B$81,'3. Input (des)investeringen '!$E$11:$E$81)</f>
        <v>0</v>
      </c>
    </row>
    <row r="875" spans="2:6">
      <c r="B875">
        <v>235</v>
      </c>
      <c r="D875" s="137">
        <f t="shared" si="27"/>
        <v>19331.1200477034</v>
      </c>
      <c r="E875" s="136">
        <f t="shared" si="28"/>
        <v>2021</v>
      </c>
      <c r="F875" s="135">
        <f>_xlfn.XLOOKUP(D252,'3. Input (des)investeringen '!$B$11:$B$81,'3. Input (des)investeringen '!$E$11:$E$81)</f>
        <v>0</v>
      </c>
    </row>
    <row r="876" spans="2:6">
      <c r="B876">
        <v>236</v>
      </c>
      <c r="D876" s="137">
        <f t="shared" si="27"/>
        <v>20851.224859054288</v>
      </c>
      <c r="E876" s="136">
        <f t="shared" si="28"/>
        <v>2021</v>
      </c>
      <c r="F876" s="135">
        <f>_xlfn.XLOOKUP(D253,'3. Input (des)investeringen '!$B$11:$B$81,'3. Input (des)investeringen '!$E$11:$E$81)</f>
        <v>0</v>
      </c>
    </row>
    <row r="877" spans="2:6">
      <c r="B877">
        <v>237</v>
      </c>
      <c r="D877" s="137">
        <f t="shared" si="27"/>
        <v>1765293.8649986126</v>
      </c>
      <c r="E877" s="136">
        <f t="shared" si="28"/>
        <v>2021</v>
      </c>
      <c r="F877" s="135">
        <f>_xlfn.XLOOKUP(D254,'3. Input (des)investeringen '!$B$11:$B$81,'3. Input (des)investeringen '!$E$11:$E$81)</f>
        <v>0</v>
      </c>
    </row>
    <row r="878" spans="2:6">
      <c r="B878">
        <v>238</v>
      </c>
      <c r="D878" s="137">
        <f t="shared" si="27"/>
        <v>285321.61534912506</v>
      </c>
      <c r="E878" s="136">
        <f t="shared" si="28"/>
        <v>2021</v>
      </c>
      <c r="F878" s="135">
        <f>_xlfn.XLOOKUP(D255,'3. Input (des)investeringen '!$B$11:$B$81,'3. Input (des)investeringen '!$E$11:$E$81)</f>
        <v>0</v>
      </c>
    </row>
    <row r="879" spans="2:6">
      <c r="B879">
        <v>239</v>
      </c>
      <c r="D879" s="137">
        <f t="shared" si="27"/>
        <v>149378.05172204439</v>
      </c>
      <c r="E879" s="136">
        <f t="shared" si="28"/>
        <v>2021</v>
      </c>
      <c r="F879" s="135">
        <f>_xlfn.XLOOKUP(D256,'3. Input (des)investeringen '!$B$11:$B$81,'3. Input (des)investeringen '!$E$11:$E$81)</f>
        <v>0</v>
      </c>
    </row>
    <row r="880" spans="2:6">
      <c r="B880">
        <v>240</v>
      </c>
      <c r="D880" s="137">
        <f t="shared" si="27"/>
        <v>243984.22373602603</v>
      </c>
      <c r="E880" s="136">
        <f t="shared" si="28"/>
        <v>2021</v>
      </c>
      <c r="F880" s="135">
        <f>_xlfn.XLOOKUP(D257,'3. Input (des)investeringen '!$B$11:$B$81,'3. Input (des)investeringen '!$E$11:$E$81)</f>
        <v>0</v>
      </c>
    </row>
    <row r="881" spans="2:6">
      <c r="B881">
        <v>241</v>
      </c>
      <c r="D881" s="137">
        <f t="shared" si="27"/>
        <v>104610.26629596196</v>
      </c>
      <c r="E881" s="136">
        <f t="shared" si="28"/>
        <v>2021</v>
      </c>
      <c r="F881" s="135">
        <f>_xlfn.XLOOKUP(D258,'3. Input (des)investeringen '!$B$11:$B$81,'3. Input (des)investeringen '!$E$11:$E$81)</f>
        <v>0</v>
      </c>
    </row>
    <row r="882" spans="2:6">
      <c r="B882">
        <v>242</v>
      </c>
      <c r="D882" s="137">
        <f t="shared" si="27"/>
        <v>195391.21351023228</v>
      </c>
      <c r="E882" s="136">
        <f t="shared" si="28"/>
        <v>2021</v>
      </c>
      <c r="F882" s="135">
        <f>_xlfn.XLOOKUP(D259,'3. Input (des)investeringen '!$B$11:$B$81,'3. Input (des)investeringen '!$E$11:$E$81)</f>
        <v>0</v>
      </c>
    </row>
    <row r="883" spans="2:6">
      <c r="B883">
        <v>243</v>
      </c>
      <c r="D883" s="137">
        <f t="shared" si="27"/>
        <v>163915.44571076255</v>
      </c>
      <c r="E883" s="136">
        <f t="shared" si="28"/>
        <v>2021</v>
      </c>
      <c r="F883" s="135">
        <f>_xlfn.XLOOKUP(D260,'3. Input (des)investeringen '!$B$11:$B$81,'3. Input (des)investeringen '!$E$11:$E$81)</f>
        <v>0</v>
      </c>
    </row>
    <row r="884" spans="2:6">
      <c r="B884">
        <v>244</v>
      </c>
      <c r="D884" s="137">
        <f t="shared" si="27"/>
        <v>32969.87889546567</v>
      </c>
      <c r="E884" s="136">
        <f t="shared" si="28"/>
        <v>2021</v>
      </c>
      <c r="F884" s="135">
        <f>_xlfn.XLOOKUP(D261,'3. Input (des)investeringen '!$B$11:$B$81,'3. Input (des)investeringen '!$E$11:$E$81)</f>
        <v>0</v>
      </c>
    </row>
    <row r="885" spans="2:6">
      <c r="B885">
        <v>245</v>
      </c>
      <c r="D885" s="137">
        <f t="shared" si="27"/>
        <v>480037.33780433988</v>
      </c>
      <c r="E885" s="136">
        <f t="shared" si="28"/>
        <v>2021</v>
      </c>
      <c r="F885" s="135">
        <f>_xlfn.XLOOKUP(D262,'3. Input (des)investeringen '!$B$11:$B$81,'3. Input (des)investeringen '!$E$11:$E$81)</f>
        <v>0</v>
      </c>
    </row>
    <row r="886" spans="2:6">
      <c r="B886">
        <v>246</v>
      </c>
      <c r="D886" s="137">
        <f t="shared" si="27"/>
        <v>39584.037201071034</v>
      </c>
      <c r="E886" s="136">
        <f t="shared" si="28"/>
        <v>2021</v>
      </c>
      <c r="F886" s="135">
        <f>_xlfn.XLOOKUP(D263,'3. Input (des)investeringen '!$B$11:$B$81,'3. Input (des)investeringen '!$E$11:$E$81)</f>
        <v>0</v>
      </c>
    </row>
    <row r="887" spans="2:6">
      <c r="B887">
        <v>247</v>
      </c>
      <c r="D887" s="137">
        <f t="shared" si="27"/>
        <v>130083.06844424587</v>
      </c>
      <c r="E887" s="136">
        <f t="shared" si="28"/>
        <v>2021</v>
      </c>
      <c r="F887" s="135">
        <f>_xlfn.XLOOKUP(D264,'3. Input (des)investeringen '!$B$11:$B$81,'3. Input (des)investeringen '!$E$11:$E$81)</f>
        <v>0</v>
      </c>
    </row>
    <row r="888" spans="2:6">
      <c r="B888">
        <v>248</v>
      </c>
      <c r="D888" s="137">
        <f t="shared" si="27"/>
        <v>93719.44025903086</v>
      </c>
      <c r="E888" s="136">
        <f t="shared" si="28"/>
        <v>2021</v>
      </c>
      <c r="F888" s="135">
        <f>_xlfn.XLOOKUP(D265,'3. Input (des)investeringen '!$B$11:$B$81,'3. Input (des)investeringen '!$E$11:$E$81)</f>
        <v>0</v>
      </c>
    </row>
    <row r="889" spans="2:6">
      <c r="B889">
        <v>249</v>
      </c>
      <c r="D889" s="137">
        <f t="shared" si="27"/>
        <v>935644.29138639243</v>
      </c>
      <c r="E889" s="136">
        <f t="shared" si="28"/>
        <v>2021</v>
      </c>
      <c r="F889" s="135">
        <f>_xlfn.XLOOKUP(D266,'3. Input (des)investeringen '!$B$11:$B$81,'3. Input (des)investeringen '!$E$11:$E$81)</f>
        <v>0</v>
      </c>
    </row>
    <row r="890" spans="2:6">
      <c r="B890">
        <v>250</v>
      </c>
      <c r="D890" s="137">
        <f t="shared" si="27"/>
        <v>335934.63931652613</v>
      </c>
      <c r="E890" s="136">
        <f t="shared" si="28"/>
        <v>2021</v>
      </c>
      <c r="F890" s="135">
        <f>_xlfn.XLOOKUP(D267,'3. Input (des)investeringen '!$B$11:$B$81,'3. Input (des)investeringen '!$E$11:$E$81)</f>
        <v>0</v>
      </c>
    </row>
    <row r="891" spans="2:6">
      <c r="B891">
        <v>251</v>
      </c>
      <c r="D891" s="137">
        <f t="shared" si="27"/>
        <v>490147.87998982042</v>
      </c>
      <c r="E891" s="136">
        <f t="shared" si="28"/>
        <v>2021</v>
      </c>
      <c r="F891" s="135">
        <f>_xlfn.XLOOKUP(D268,'3. Input (des)investeringen '!$B$11:$B$81,'3. Input (des)investeringen '!$E$11:$E$81)</f>
        <v>0</v>
      </c>
    </row>
    <row r="892" spans="2:6">
      <c r="B892">
        <v>252</v>
      </c>
      <c r="D892" s="137">
        <f t="shared" si="27"/>
        <v>13148.18159183512</v>
      </c>
      <c r="E892" s="136">
        <f t="shared" si="28"/>
        <v>2021</v>
      </c>
      <c r="F892" s="135">
        <f>_xlfn.XLOOKUP(D269,'3. Input (des)investeringen '!$B$11:$B$81,'3. Input (des)investeringen '!$E$11:$E$81)</f>
        <v>1</v>
      </c>
    </row>
    <row r="893" spans="2:6">
      <c r="B893">
        <v>253</v>
      </c>
      <c r="D893" s="137">
        <f t="shared" si="27"/>
        <v>2198.8097783725052</v>
      </c>
      <c r="E893" s="136">
        <f t="shared" si="28"/>
        <v>2021</v>
      </c>
      <c r="F893" s="135">
        <f>_xlfn.XLOOKUP(D270,'3. Input (des)investeringen '!$B$11:$B$81,'3. Input (des)investeringen '!$E$11:$E$81)</f>
        <v>1</v>
      </c>
    </row>
    <row r="894" spans="2:6">
      <c r="B894">
        <v>254</v>
      </c>
      <c r="D894" s="137">
        <f t="shared" si="27"/>
        <v>969.85938554552843</v>
      </c>
      <c r="E894" s="136">
        <f t="shared" si="28"/>
        <v>2021</v>
      </c>
      <c r="F894" s="135">
        <f>_xlfn.XLOOKUP(D271,'3. Input (des)investeringen '!$B$11:$B$81,'3. Input (des)investeringen '!$E$11:$E$81)</f>
        <v>1</v>
      </c>
    </row>
    <row r="895" spans="2:6">
      <c r="B895">
        <v>255</v>
      </c>
      <c r="D895" s="137">
        <f t="shared" si="27"/>
        <v>59918.898744918304</v>
      </c>
      <c r="E895" s="136">
        <f t="shared" si="28"/>
        <v>2021</v>
      </c>
      <c r="F895" s="135">
        <f>_xlfn.XLOOKUP(D272,'3. Input (des)investeringen '!$B$11:$B$81,'3. Input (des)investeringen '!$E$11:$E$81)</f>
        <v>1</v>
      </c>
    </row>
    <row r="896" spans="2:6">
      <c r="B896">
        <v>256</v>
      </c>
      <c r="D896" s="137">
        <f t="shared" si="27"/>
        <v>2839.9947986221796</v>
      </c>
      <c r="E896" s="136">
        <f t="shared" si="28"/>
        <v>2021</v>
      </c>
      <c r="F896" s="135">
        <f>_xlfn.XLOOKUP(D273,'3. Input (des)investeringen '!$B$11:$B$81,'3. Input (des)investeringen '!$E$11:$E$81)</f>
        <v>1</v>
      </c>
    </row>
    <row r="897" spans="2:6">
      <c r="B897">
        <v>257</v>
      </c>
      <c r="D897" s="137">
        <f t="shared" ref="D897:D960" si="29">F274*INDEX($E$556:$CG$636,E274-1945,G274-1945)</f>
        <v>637836.07775882166</v>
      </c>
      <c r="E897" s="136">
        <f t="shared" ref="E897:E960" si="30">G274</f>
        <v>2021</v>
      </c>
      <c r="F897" s="135">
        <f>_xlfn.XLOOKUP(D274,'3. Input (des)investeringen '!$B$11:$B$81,'3. Input (des)investeringen '!$E$11:$E$81)</f>
        <v>1</v>
      </c>
    </row>
    <row r="898" spans="2:6">
      <c r="B898">
        <v>258</v>
      </c>
      <c r="D898" s="137">
        <f t="shared" si="29"/>
        <v>64198.222918813022</v>
      </c>
      <c r="E898" s="136">
        <f t="shared" si="30"/>
        <v>2021</v>
      </c>
      <c r="F898" s="135">
        <f>_xlfn.XLOOKUP(D275,'3. Input (des)investeringen '!$B$11:$B$81,'3. Input (des)investeringen '!$E$11:$E$81)</f>
        <v>1</v>
      </c>
    </row>
    <row r="899" spans="2:6">
      <c r="B899">
        <v>259</v>
      </c>
      <c r="D899" s="137">
        <f t="shared" si="29"/>
        <v>13522.842733938553</v>
      </c>
      <c r="E899" s="136">
        <f t="shared" si="30"/>
        <v>2021</v>
      </c>
      <c r="F899" s="135">
        <f>_xlfn.XLOOKUP(D276,'3. Input (des)investeringen '!$B$11:$B$81,'3. Input (des)investeringen '!$E$11:$E$81)</f>
        <v>1</v>
      </c>
    </row>
    <row r="900" spans="2:6">
      <c r="B900">
        <v>260</v>
      </c>
      <c r="D900" s="137">
        <f t="shared" si="29"/>
        <v>892.28276518311873</v>
      </c>
      <c r="E900" s="136">
        <f t="shared" si="30"/>
        <v>2021</v>
      </c>
      <c r="F900" s="135">
        <f>_xlfn.XLOOKUP(D277,'3. Input (des)investeringen '!$B$11:$B$81,'3. Input (des)investeringen '!$E$11:$E$81)</f>
        <v>1</v>
      </c>
    </row>
    <row r="901" spans="2:6">
      <c r="B901">
        <v>261</v>
      </c>
      <c r="D901" s="137">
        <f t="shared" si="29"/>
        <v>14093.341376277704</v>
      </c>
      <c r="E901" s="136">
        <f t="shared" si="30"/>
        <v>2021</v>
      </c>
      <c r="F901" s="135">
        <f>_xlfn.XLOOKUP(D278,'3. Input (des)investeringen '!$B$11:$B$81,'3. Input (des)investeringen '!$E$11:$E$81)</f>
        <v>1</v>
      </c>
    </row>
    <row r="902" spans="2:6">
      <c r="B902">
        <v>262</v>
      </c>
      <c r="D902" s="137">
        <f t="shared" si="29"/>
        <v>15593.002667778068</v>
      </c>
      <c r="E902" s="136">
        <f t="shared" si="30"/>
        <v>2021</v>
      </c>
      <c r="F902" s="135">
        <f>_xlfn.XLOOKUP(D279,'3. Input (des)investeringen '!$B$11:$B$81,'3. Input (des)investeringen '!$E$11:$E$81)</f>
        <v>1</v>
      </c>
    </row>
    <row r="903" spans="2:6">
      <c r="B903">
        <v>263</v>
      </c>
      <c r="D903" s="137">
        <f t="shared" si="29"/>
        <v>2163.7971819391896</v>
      </c>
      <c r="E903" s="136">
        <f t="shared" si="30"/>
        <v>2021</v>
      </c>
      <c r="F903" s="135">
        <f>_xlfn.XLOOKUP(D280,'3. Input (des)investeringen '!$B$11:$B$81,'3. Input (des)investeringen '!$E$11:$E$81)</f>
        <v>1</v>
      </c>
    </row>
    <row r="904" spans="2:6">
      <c r="B904">
        <v>264</v>
      </c>
      <c r="D904" s="137">
        <f t="shared" si="29"/>
        <v>70198.665179236268</v>
      </c>
      <c r="E904" s="136">
        <f t="shared" si="30"/>
        <v>2021</v>
      </c>
      <c r="F904" s="135">
        <f>_xlfn.XLOOKUP(D281,'3. Input (des)investeringen '!$B$11:$B$81,'3. Input (des)investeringen '!$E$11:$E$81)</f>
        <v>1</v>
      </c>
    </row>
    <row r="905" spans="2:6">
      <c r="B905">
        <v>265</v>
      </c>
      <c r="D905" s="137">
        <f t="shared" si="29"/>
        <v>4210.7603497279788</v>
      </c>
      <c r="E905" s="136">
        <f t="shared" si="30"/>
        <v>2021</v>
      </c>
      <c r="F905" s="135">
        <f>_xlfn.XLOOKUP(D282,'3. Input (des)investeringen '!$B$11:$B$81,'3. Input (des)investeringen '!$E$11:$E$81)</f>
        <v>1</v>
      </c>
    </row>
    <row r="906" spans="2:6">
      <c r="B906">
        <v>266</v>
      </c>
      <c r="D906" s="137">
        <f t="shared" si="29"/>
        <v>5034.7947985725787</v>
      </c>
      <c r="E906" s="136">
        <f t="shared" si="30"/>
        <v>2021</v>
      </c>
      <c r="F906" s="135">
        <f>_xlfn.XLOOKUP(D283,'3. Input (des)investeringen '!$B$11:$B$81,'3. Input (des)investeringen '!$E$11:$E$81)</f>
        <v>1</v>
      </c>
    </row>
    <row r="907" spans="2:6">
      <c r="B907">
        <v>267</v>
      </c>
      <c r="D907" s="137">
        <f t="shared" si="29"/>
        <v>99834.624732352502</v>
      </c>
      <c r="E907" s="136">
        <f t="shared" si="30"/>
        <v>2021</v>
      </c>
      <c r="F907" s="135">
        <f>_xlfn.XLOOKUP(D284,'3. Input (des)investeringen '!$B$11:$B$81,'3. Input (des)investeringen '!$E$11:$E$81)</f>
        <v>1</v>
      </c>
    </row>
    <row r="908" spans="2:6">
      <c r="B908">
        <v>268</v>
      </c>
      <c r="D908" s="137">
        <f t="shared" si="29"/>
        <v>6147.3001511106786</v>
      </c>
      <c r="E908" s="136">
        <f t="shared" si="30"/>
        <v>2021</v>
      </c>
      <c r="F908" s="135">
        <f>_xlfn.XLOOKUP(D285,'3. Input (des)investeringen '!$B$11:$B$81,'3. Input (des)investeringen '!$E$11:$E$81)</f>
        <v>1</v>
      </c>
    </row>
    <row r="909" spans="2:6">
      <c r="B909">
        <v>269</v>
      </c>
      <c r="D909" s="137">
        <f t="shared" si="29"/>
        <v>10192.952624599267</v>
      </c>
      <c r="E909" s="136">
        <f t="shared" si="30"/>
        <v>2021</v>
      </c>
      <c r="F909" s="135">
        <f>_xlfn.XLOOKUP(D286,'3. Input (des)investeringen '!$B$11:$B$81,'3. Input (des)investeringen '!$E$11:$E$81)</f>
        <v>1</v>
      </c>
    </row>
    <row r="910" spans="2:6">
      <c r="B910">
        <v>270</v>
      </c>
      <c r="D910" s="137">
        <f t="shared" si="29"/>
        <v>11818921.881351909</v>
      </c>
      <c r="E910" s="136">
        <f t="shared" si="30"/>
        <v>2021</v>
      </c>
      <c r="F910" s="135">
        <f>_xlfn.XLOOKUP(D287,'3. Input (des)investeringen '!$B$11:$B$81,'3. Input (des)investeringen '!$E$11:$E$81)</f>
        <v>1</v>
      </c>
    </row>
    <row r="911" spans="2:6">
      <c r="B911">
        <v>271</v>
      </c>
      <c r="D911" s="137">
        <f t="shared" si="29"/>
        <v>11191.738605549699</v>
      </c>
      <c r="E911" s="136">
        <f t="shared" si="30"/>
        <v>2021</v>
      </c>
      <c r="F911" s="135">
        <f>_xlfn.XLOOKUP(D288,'3. Input (des)investeringen '!$B$11:$B$81,'3. Input (des)investeringen '!$E$11:$E$81)</f>
        <v>1</v>
      </c>
    </row>
    <row r="912" spans="2:6">
      <c r="B912">
        <v>272</v>
      </c>
      <c r="D912" s="137">
        <f t="shared" si="29"/>
        <v>4358.6895977904169</v>
      </c>
      <c r="E912" s="136">
        <f t="shared" si="30"/>
        <v>2021</v>
      </c>
      <c r="F912" s="135">
        <f>_xlfn.XLOOKUP(D289,'3. Input (des)investeringen '!$B$11:$B$81,'3. Input (des)investeringen '!$E$11:$E$81)</f>
        <v>1</v>
      </c>
    </row>
    <row r="913" spans="2:6">
      <c r="B913">
        <v>273</v>
      </c>
      <c r="D913" s="137">
        <f t="shared" si="29"/>
        <v>4298.2967550578487</v>
      </c>
      <c r="E913" s="136">
        <f t="shared" si="30"/>
        <v>2021</v>
      </c>
      <c r="F913" s="135">
        <f>_xlfn.XLOOKUP(D290,'3. Input (des)investeringen '!$B$11:$B$81,'3. Input (des)investeringen '!$E$11:$E$81)</f>
        <v>1</v>
      </c>
    </row>
    <row r="914" spans="2:6">
      <c r="B914">
        <v>274</v>
      </c>
      <c r="D914" s="137">
        <f t="shared" si="29"/>
        <v>392969.28707945748</v>
      </c>
      <c r="E914" s="136">
        <f t="shared" si="30"/>
        <v>2021</v>
      </c>
      <c r="F914" s="135">
        <f>_xlfn.XLOOKUP(D291,'3. Input (des)investeringen '!$B$11:$B$81,'3. Input (des)investeringen '!$E$11:$E$81)</f>
        <v>1</v>
      </c>
    </row>
    <row r="915" spans="2:6">
      <c r="B915">
        <v>275</v>
      </c>
      <c r="D915" s="137">
        <f t="shared" si="29"/>
        <v>30500.195074069827</v>
      </c>
      <c r="E915" s="136">
        <f t="shared" si="30"/>
        <v>2021</v>
      </c>
      <c r="F915" s="135">
        <f>_xlfn.XLOOKUP(D292,'3. Input (des)investeringen '!$B$11:$B$81,'3. Input (des)investeringen '!$E$11:$E$81)</f>
        <v>1</v>
      </c>
    </row>
    <row r="916" spans="2:6">
      <c r="B916">
        <v>276</v>
      </c>
      <c r="D916" s="137">
        <f t="shared" si="29"/>
        <v>1634.829629192873</v>
      </c>
      <c r="E916" s="136">
        <f t="shared" si="30"/>
        <v>2021</v>
      </c>
      <c r="F916" s="135">
        <f>_xlfn.XLOOKUP(D293,'3. Input (des)investeringen '!$B$11:$B$81,'3. Input (des)investeringen '!$E$11:$E$81)</f>
        <v>1</v>
      </c>
    </row>
    <row r="917" spans="2:6">
      <c r="B917">
        <v>277</v>
      </c>
      <c r="D917" s="137">
        <f t="shared" si="29"/>
        <v>3718.1735391030879</v>
      </c>
      <c r="E917" s="136">
        <f t="shared" si="30"/>
        <v>2021</v>
      </c>
      <c r="F917" s="135">
        <f>_xlfn.XLOOKUP(D294,'3. Input (des)investeringen '!$B$11:$B$81,'3. Input (des)investeringen '!$E$11:$E$81)</f>
        <v>1</v>
      </c>
    </row>
    <row r="918" spans="2:6">
      <c r="B918">
        <v>278</v>
      </c>
      <c r="D918" s="137">
        <f t="shared" si="29"/>
        <v>3603.5041513126812</v>
      </c>
      <c r="E918" s="136">
        <f t="shared" si="30"/>
        <v>2021</v>
      </c>
      <c r="F918" s="135">
        <f>_xlfn.XLOOKUP(D295,'3. Input (des)investeringen '!$B$11:$B$81,'3. Input (des)investeringen '!$E$11:$E$81)</f>
        <v>1</v>
      </c>
    </row>
    <row r="919" spans="2:6">
      <c r="B919">
        <v>279</v>
      </c>
      <c r="D919" s="137">
        <f t="shared" si="29"/>
        <v>41793.8888539033</v>
      </c>
      <c r="E919" s="136">
        <f t="shared" si="30"/>
        <v>2021</v>
      </c>
      <c r="F919" s="135">
        <f>_xlfn.XLOOKUP(D296,'3. Input (des)investeringen '!$B$11:$B$81,'3. Input (des)investeringen '!$E$11:$E$81)</f>
        <v>1</v>
      </c>
    </row>
    <row r="920" spans="2:6">
      <c r="B920">
        <v>280</v>
      </c>
      <c r="D920" s="137">
        <f t="shared" si="29"/>
        <v>336.29464010461714</v>
      </c>
      <c r="E920" s="136">
        <f t="shared" si="30"/>
        <v>2021</v>
      </c>
      <c r="F920" s="135">
        <f>_xlfn.XLOOKUP(D297,'3. Input (des)investeringen '!$B$11:$B$81,'3. Input (des)investeringen '!$E$11:$E$81)</f>
        <v>1</v>
      </c>
    </row>
    <row r="921" spans="2:6">
      <c r="B921">
        <v>281</v>
      </c>
      <c r="D921" s="137">
        <f t="shared" si="29"/>
        <v>4928.815060077477</v>
      </c>
      <c r="E921" s="136">
        <f t="shared" si="30"/>
        <v>2021</v>
      </c>
      <c r="F921" s="135">
        <f>_xlfn.XLOOKUP(D298,'3. Input (des)investeringen '!$B$11:$B$81,'3. Input (des)investeringen '!$E$11:$E$81)</f>
        <v>1</v>
      </c>
    </row>
    <row r="922" spans="2:6">
      <c r="B922">
        <v>282</v>
      </c>
      <c r="D922" s="137">
        <f t="shared" si="29"/>
        <v>10568.050386272796</v>
      </c>
      <c r="E922" s="136">
        <f t="shared" si="30"/>
        <v>2021</v>
      </c>
      <c r="F922" s="135">
        <f>_xlfn.XLOOKUP(D299,'3. Input (des)investeringen '!$B$11:$B$81,'3. Input (des)investeringen '!$E$11:$E$81)</f>
        <v>1</v>
      </c>
    </row>
    <row r="923" spans="2:6">
      <c r="B923">
        <v>283</v>
      </c>
      <c r="D923" s="137">
        <f t="shared" si="29"/>
        <v>42378.464875823673</v>
      </c>
      <c r="E923" s="136">
        <f t="shared" si="30"/>
        <v>2021</v>
      </c>
      <c r="F923" s="135">
        <f>_xlfn.XLOOKUP(D300,'3. Input (des)investeringen '!$B$11:$B$81,'3. Input (des)investeringen '!$E$11:$E$81)</f>
        <v>1</v>
      </c>
    </row>
    <row r="924" spans="2:6">
      <c r="B924">
        <v>284</v>
      </c>
      <c r="D924" s="137">
        <f t="shared" si="29"/>
        <v>45895.075538151323</v>
      </c>
      <c r="E924" s="136">
        <f t="shared" si="30"/>
        <v>2021</v>
      </c>
      <c r="F924" s="135">
        <f>_xlfn.XLOOKUP(D301,'3. Input (des)investeringen '!$B$11:$B$81,'3. Input (des)investeringen '!$E$11:$E$81)</f>
        <v>1</v>
      </c>
    </row>
    <row r="925" spans="2:6">
      <c r="B925">
        <v>285</v>
      </c>
      <c r="D925" s="137">
        <f t="shared" si="29"/>
        <v>1019.0795676930163</v>
      </c>
      <c r="E925" s="136">
        <f t="shared" si="30"/>
        <v>2021</v>
      </c>
      <c r="F925" s="135">
        <f>_xlfn.XLOOKUP(D302,'3. Input (des)investeringen '!$B$11:$B$81,'3. Input (des)investeringen '!$E$11:$E$81)</f>
        <v>1</v>
      </c>
    </row>
    <row r="926" spans="2:6">
      <c r="B926">
        <v>286</v>
      </c>
      <c r="D926" s="137">
        <f t="shared" si="29"/>
        <v>2100.2142001328425</v>
      </c>
      <c r="E926" s="136">
        <f t="shared" si="30"/>
        <v>2021</v>
      </c>
      <c r="F926" s="135">
        <f>_xlfn.XLOOKUP(D303,'3. Input (des)investeringen '!$B$11:$B$81,'3. Input (des)investeringen '!$E$11:$E$81)</f>
        <v>1</v>
      </c>
    </row>
    <row r="927" spans="2:6">
      <c r="B927">
        <v>287</v>
      </c>
      <c r="D927" s="137">
        <f t="shared" si="29"/>
        <v>366.99055079584537</v>
      </c>
      <c r="E927" s="136">
        <f t="shared" si="30"/>
        <v>2021</v>
      </c>
      <c r="F927" s="135">
        <f>_xlfn.XLOOKUP(D304,'3. Input (des)investeringen '!$B$11:$B$81,'3. Input (des)investeringen '!$E$11:$E$81)</f>
        <v>1</v>
      </c>
    </row>
    <row r="928" spans="2:6">
      <c r="B928">
        <v>288</v>
      </c>
      <c r="D928" s="137">
        <f t="shared" si="29"/>
        <v>124607.29559635933</v>
      </c>
      <c r="E928" s="136">
        <f t="shared" si="30"/>
        <v>2021</v>
      </c>
      <c r="F928" s="135">
        <f>_xlfn.XLOOKUP(D305,'3. Input (des)investeringen '!$B$11:$B$81,'3. Input (des)investeringen '!$E$11:$E$81)</f>
        <v>1</v>
      </c>
    </row>
    <row r="929" spans="2:6">
      <c r="B929">
        <v>289</v>
      </c>
      <c r="D929" s="137">
        <f t="shared" si="29"/>
        <v>11394.787114572611</v>
      </c>
      <c r="E929" s="136">
        <f t="shared" si="30"/>
        <v>2021</v>
      </c>
      <c r="F929" s="135">
        <f>_xlfn.XLOOKUP(D306,'3. Input (des)investeringen '!$B$11:$B$81,'3. Input (des)investeringen '!$E$11:$E$81)</f>
        <v>1</v>
      </c>
    </row>
    <row r="930" spans="2:6">
      <c r="B930">
        <v>290</v>
      </c>
      <c r="D930" s="137">
        <f t="shared" si="29"/>
        <v>25202.921441979426</v>
      </c>
      <c r="E930" s="136">
        <f t="shared" si="30"/>
        <v>2021</v>
      </c>
      <c r="F930" s="135">
        <f>_xlfn.XLOOKUP(D307,'3. Input (des)investeringen '!$B$11:$B$81,'3. Input (des)investeringen '!$E$11:$E$81)</f>
        <v>1</v>
      </c>
    </row>
    <row r="931" spans="2:6">
      <c r="B931">
        <v>291</v>
      </c>
      <c r="D931" s="137">
        <f t="shared" si="29"/>
        <v>1593.8026855964886</v>
      </c>
      <c r="E931" s="136">
        <f t="shared" si="30"/>
        <v>2021</v>
      </c>
      <c r="F931" s="135">
        <f>_xlfn.XLOOKUP(D308,'3. Input (des)investeringen '!$B$11:$B$81,'3. Input (des)investeringen '!$E$11:$E$81)</f>
        <v>1</v>
      </c>
    </row>
    <row r="932" spans="2:6">
      <c r="B932">
        <v>292</v>
      </c>
      <c r="D932" s="137">
        <f t="shared" si="29"/>
        <v>5358.9077232865529</v>
      </c>
      <c r="E932" s="136">
        <f t="shared" si="30"/>
        <v>2021</v>
      </c>
      <c r="F932" s="135">
        <f>_xlfn.XLOOKUP(D309,'3. Input (des)investeringen '!$B$11:$B$81,'3. Input (des)investeringen '!$E$11:$E$81)</f>
        <v>1</v>
      </c>
    </row>
    <row r="933" spans="2:6">
      <c r="B933">
        <v>293</v>
      </c>
      <c r="D933" s="137">
        <f t="shared" si="29"/>
        <v>42724.477449178637</v>
      </c>
      <c r="E933" s="136">
        <f t="shared" si="30"/>
        <v>2021</v>
      </c>
      <c r="F933" s="135">
        <f>_xlfn.XLOOKUP(D310,'3. Input (des)investeringen '!$B$11:$B$81,'3. Input (des)investeringen '!$E$11:$E$81)</f>
        <v>1</v>
      </c>
    </row>
    <row r="934" spans="2:6">
      <c r="B934">
        <v>294</v>
      </c>
      <c r="D934" s="137">
        <f t="shared" si="29"/>
        <v>5769.3714682024574</v>
      </c>
      <c r="E934" s="136">
        <f t="shared" si="30"/>
        <v>2021</v>
      </c>
      <c r="F934" s="135">
        <f>_xlfn.XLOOKUP(D311,'3. Input (des)investeringen '!$B$11:$B$81,'3. Input (des)investeringen '!$E$11:$E$81)</f>
        <v>1</v>
      </c>
    </row>
    <row r="935" spans="2:6">
      <c r="B935">
        <v>295</v>
      </c>
      <c r="D935" s="137">
        <f t="shared" si="29"/>
        <v>32593.798813292055</v>
      </c>
      <c r="E935" s="136">
        <f t="shared" si="30"/>
        <v>2021</v>
      </c>
      <c r="F935" s="135">
        <f>_xlfn.XLOOKUP(D312,'3. Input (des)investeringen '!$B$11:$B$81,'3. Input (des)investeringen '!$E$11:$E$81)</f>
        <v>1</v>
      </c>
    </row>
    <row r="936" spans="2:6">
      <c r="B936">
        <v>296</v>
      </c>
      <c r="D936" s="137">
        <f t="shared" si="29"/>
        <v>147471.83523486831</v>
      </c>
      <c r="E936" s="136">
        <f t="shared" si="30"/>
        <v>2021</v>
      </c>
      <c r="F936" s="135">
        <f>_xlfn.XLOOKUP(D313,'3. Input (des)investeringen '!$B$11:$B$81,'3. Input (des)investeringen '!$E$11:$E$81)</f>
        <v>1</v>
      </c>
    </row>
    <row r="937" spans="2:6">
      <c r="B937">
        <v>297</v>
      </c>
      <c r="D937" s="137">
        <f t="shared" si="29"/>
        <v>521013.98608091858</v>
      </c>
      <c r="E937" s="136">
        <f t="shared" si="30"/>
        <v>2021</v>
      </c>
      <c r="F937" s="135">
        <f>_xlfn.XLOOKUP(D314,'3. Input (des)investeringen '!$B$11:$B$81,'3. Input (des)investeringen '!$E$11:$E$81)</f>
        <v>1</v>
      </c>
    </row>
    <row r="938" spans="2:6">
      <c r="B938">
        <v>298</v>
      </c>
      <c r="D938" s="137">
        <f t="shared" si="29"/>
        <v>47308.343375890465</v>
      </c>
      <c r="E938" s="136">
        <f t="shared" si="30"/>
        <v>2021</v>
      </c>
      <c r="F938" s="135">
        <f>_xlfn.XLOOKUP(D315,'3. Input (des)investeringen '!$B$11:$B$81,'3. Input (des)investeringen '!$E$11:$E$81)</f>
        <v>1</v>
      </c>
    </row>
    <row r="939" spans="2:6">
      <c r="B939">
        <v>299</v>
      </c>
      <c r="D939" s="137">
        <f t="shared" si="29"/>
        <v>6986.0961518104068</v>
      </c>
      <c r="E939" s="136">
        <f t="shared" si="30"/>
        <v>2021</v>
      </c>
      <c r="F939" s="135">
        <f>_xlfn.XLOOKUP(D316,'3. Input (des)investeringen '!$B$11:$B$81,'3. Input (des)investeringen '!$E$11:$E$81)</f>
        <v>1</v>
      </c>
    </row>
    <row r="940" spans="2:6">
      <c r="B940">
        <v>300</v>
      </c>
      <c r="D940" s="137">
        <f t="shared" si="29"/>
        <v>4256.1290103364654</v>
      </c>
      <c r="E940" s="136">
        <f t="shared" si="30"/>
        <v>2021</v>
      </c>
      <c r="F940" s="135">
        <f>_xlfn.XLOOKUP(D317,'3. Input (des)investeringen '!$B$11:$B$81,'3. Input (des)investeringen '!$E$11:$E$81)</f>
        <v>1</v>
      </c>
    </row>
    <row r="941" spans="2:6">
      <c r="B941">
        <v>301</v>
      </c>
      <c r="D941" s="137">
        <f t="shared" si="29"/>
        <v>8389.0335760579055</v>
      </c>
      <c r="E941" s="136">
        <f t="shared" si="30"/>
        <v>2021</v>
      </c>
      <c r="F941" s="135">
        <f>_xlfn.XLOOKUP(D318,'3. Input (des)investeringen '!$B$11:$B$81,'3. Input (des)investeringen '!$E$11:$E$81)</f>
        <v>1</v>
      </c>
    </row>
    <row r="942" spans="2:6">
      <c r="B942">
        <v>302</v>
      </c>
      <c r="D942" s="137">
        <f t="shared" si="29"/>
        <v>59207.289824187035</v>
      </c>
      <c r="E942" s="136">
        <f t="shared" si="30"/>
        <v>2021</v>
      </c>
      <c r="F942" s="135">
        <f>_xlfn.XLOOKUP(D319,'3. Input (des)investeringen '!$B$11:$B$81,'3. Input (des)investeringen '!$E$11:$E$81)</f>
        <v>1</v>
      </c>
    </row>
    <row r="943" spans="2:6">
      <c r="B943">
        <v>303</v>
      </c>
      <c r="D943" s="137">
        <f t="shared" si="29"/>
        <v>144489.30413571815</v>
      </c>
      <c r="E943" s="136">
        <f t="shared" si="30"/>
        <v>2021</v>
      </c>
      <c r="F943" s="135">
        <f>_xlfn.XLOOKUP(D320,'3. Input (des)investeringen '!$B$11:$B$81,'3. Input (des)investeringen '!$E$11:$E$81)</f>
        <v>1</v>
      </c>
    </row>
    <row r="944" spans="2:6">
      <c r="B944">
        <v>304</v>
      </c>
      <c r="D944" s="137">
        <f t="shared" si="29"/>
        <v>24627.505284401475</v>
      </c>
      <c r="E944" s="136">
        <f t="shared" si="30"/>
        <v>2021</v>
      </c>
      <c r="F944" s="135">
        <f>_xlfn.XLOOKUP(D321,'3. Input (des)investeringen '!$B$11:$B$81,'3. Input (des)investeringen '!$E$11:$E$81)</f>
        <v>1</v>
      </c>
    </row>
    <row r="945" spans="2:6">
      <c r="B945">
        <v>305</v>
      </c>
      <c r="D945" s="137">
        <f t="shared" si="29"/>
        <v>129644.58151460749</v>
      </c>
      <c r="E945" s="136">
        <f t="shared" si="30"/>
        <v>2021</v>
      </c>
      <c r="F945" s="135">
        <f>_xlfn.XLOOKUP(D322,'3. Input (des)investeringen '!$B$11:$B$81,'3. Input (des)investeringen '!$E$11:$E$81)</f>
        <v>1</v>
      </c>
    </row>
    <row r="946" spans="2:6">
      <c r="B946">
        <v>306</v>
      </c>
      <c r="D946" s="137">
        <f t="shared" si="29"/>
        <v>22146.107560498778</v>
      </c>
      <c r="E946" s="136">
        <f t="shared" si="30"/>
        <v>2021</v>
      </c>
      <c r="F946" s="135">
        <f>_xlfn.XLOOKUP(D323,'3. Input (des)investeringen '!$B$11:$B$81,'3. Input (des)investeringen '!$E$11:$E$81)</f>
        <v>1</v>
      </c>
    </row>
    <row r="947" spans="2:6">
      <c r="B947">
        <v>307</v>
      </c>
      <c r="D947" s="137">
        <f t="shared" si="29"/>
        <v>4986.3759054118091</v>
      </c>
      <c r="E947" s="136">
        <f t="shared" si="30"/>
        <v>2021</v>
      </c>
      <c r="F947" s="135">
        <f>_xlfn.XLOOKUP(D324,'3. Input (des)investeringen '!$B$11:$B$81,'3. Input (des)investeringen '!$E$11:$E$81)</f>
        <v>1</v>
      </c>
    </row>
    <row r="948" spans="2:6">
      <c r="B948">
        <v>308</v>
      </c>
      <c r="D948" s="137">
        <f t="shared" si="29"/>
        <v>49793.54833839096</v>
      </c>
      <c r="E948" s="136">
        <f t="shared" si="30"/>
        <v>2021</v>
      </c>
      <c r="F948" s="135">
        <f>_xlfn.XLOOKUP(D325,'3. Input (des)investeringen '!$B$11:$B$81,'3. Input (des)investeringen '!$E$11:$E$81)</f>
        <v>1</v>
      </c>
    </row>
    <row r="949" spans="2:6">
      <c r="B949">
        <v>309</v>
      </c>
      <c r="D949" s="137">
        <f t="shared" si="29"/>
        <v>2281.2143132879228</v>
      </c>
      <c r="E949" s="136">
        <f t="shared" si="30"/>
        <v>2021</v>
      </c>
      <c r="F949" s="135">
        <f>_xlfn.XLOOKUP(D326,'3. Input (des)investeringen '!$B$11:$B$81,'3. Input (des)investeringen '!$E$11:$E$81)</f>
        <v>1</v>
      </c>
    </row>
    <row r="950" spans="2:6">
      <c r="B950">
        <v>310</v>
      </c>
      <c r="D950" s="137">
        <f t="shared" si="29"/>
        <v>425378.17598325771</v>
      </c>
      <c r="E950" s="136">
        <f t="shared" si="30"/>
        <v>2021</v>
      </c>
      <c r="F950" s="135">
        <f>_xlfn.XLOOKUP(D327,'3. Input (des)investeringen '!$B$11:$B$81,'3. Input (des)investeringen '!$E$11:$E$81)</f>
        <v>1</v>
      </c>
    </row>
    <row r="951" spans="2:6">
      <c r="B951">
        <v>311</v>
      </c>
      <c r="D951" s="137">
        <f t="shared" si="29"/>
        <v>7185524.2223373363</v>
      </c>
      <c r="E951" s="136">
        <f t="shared" si="30"/>
        <v>2021</v>
      </c>
      <c r="F951" s="135">
        <f>_xlfn.XLOOKUP(D328,'3. Input (des)investeringen '!$B$11:$B$81,'3. Input (des)investeringen '!$E$11:$E$81)</f>
        <v>1</v>
      </c>
    </row>
    <row r="952" spans="2:6">
      <c r="B952">
        <v>312</v>
      </c>
      <c r="D952" s="137">
        <f t="shared" si="29"/>
        <v>732448.55317733798</v>
      </c>
      <c r="E952" s="136">
        <f t="shared" si="30"/>
        <v>2021</v>
      </c>
      <c r="F952" s="135">
        <f>_xlfn.XLOOKUP(D329,'3. Input (des)investeringen '!$B$11:$B$81,'3. Input (des)investeringen '!$E$11:$E$81)</f>
        <v>1</v>
      </c>
    </row>
    <row r="953" spans="2:6">
      <c r="B953">
        <v>313</v>
      </c>
      <c r="D953" s="137">
        <f t="shared" si="29"/>
        <v>521090.13683721371</v>
      </c>
      <c r="E953" s="136">
        <f t="shared" si="30"/>
        <v>2021</v>
      </c>
      <c r="F953" s="135">
        <f>_xlfn.XLOOKUP(D330,'3. Input (des)investeringen '!$B$11:$B$81,'3. Input (des)investeringen '!$E$11:$E$81)</f>
        <v>1</v>
      </c>
    </row>
    <row r="954" spans="2:6">
      <c r="B954">
        <v>314</v>
      </c>
      <c r="D954" s="137">
        <f t="shared" si="29"/>
        <v>928647.3485637689</v>
      </c>
      <c r="E954" s="136">
        <f t="shared" si="30"/>
        <v>2021</v>
      </c>
      <c r="F954" s="135">
        <f>_xlfn.XLOOKUP(D331,'3. Input (des)investeringen '!$B$11:$B$81,'3. Input (des)investeringen '!$E$11:$E$81)</f>
        <v>1</v>
      </c>
    </row>
    <row r="955" spans="2:6">
      <c r="B955">
        <v>315</v>
      </c>
      <c r="D955" s="137">
        <f t="shared" si="29"/>
        <v>220417.58622530752</v>
      </c>
      <c r="E955" s="136">
        <f t="shared" si="30"/>
        <v>2021</v>
      </c>
      <c r="F955" s="135">
        <f>_xlfn.XLOOKUP(D332,'3. Input (des)investeringen '!$B$11:$B$81,'3. Input (des)investeringen '!$E$11:$E$81)</f>
        <v>1</v>
      </c>
    </row>
    <row r="956" spans="2:6">
      <c r="B956">
        <v>316</v>
      </c>
      <c r="D956" s="137">
        <f t="shared" si="29"/>
        <v>1794467.5130827182</v>
      </c>
      <c r="E956" s="136">
        <f t="shared" si="30"/>
        <v>2022</v>
      </c>
      <c r="F956" s="135">
        <f>_xlfn.XLOOKUP(D333,'3. Input (des)investeringen '!$B$11:$B$81,'3. Input (des)investeringen '!$E$11:$E$81)</f>
        <v>1</v>
      </c>
    </row>
    <row r="957" spans="2:6">
      <c r="B957">
        <v>317</v>
      </c>
      <c r="D957" s="137">
        <f t="shared" si="29"/>
        <v>788860.63503546279</v>
      </c>
      <c r="E957" s="136">
        <f t="shared" si="30"/>
        <v>2022</v>
      </c>
      <c r="F957" s="135">
        <f>_xlfn.XLOOKUP(D334,'3. Input (des)investeringen '!$B$11:$B$81,'3. Input (des)investeringen '!$E$11:$E$81)</f>
        <v>1</v>
      </c>
    </row>
    <row r="958" spans="2:6">
      <c r="B958">
        <v>318</v>
      </c>
      <c r="D958" s="137">
        <f t="shared" si="29"/>
        <v>1273.3351239778597</v>
      </c>
      <c r="E958" s="136">
        <f t="shared" si="30"/>
        <v>2022</v>
      </c>
      <c r="F958" s="135">
        <f>_xlfn.XLOOKUP(D335,'3. Input (des)investeringen '!$B$11:$B$81,'3. Input (des)investeringen '!$E$11:$E$81)</f>
        <v>1</v>
      </c>
    </row>
    <row r="959" spans="2:6">
      <c r="B959">
        <v>319</v>
      </c>
      <c r="D959" s="137">
        <f t="shared" si="29"/>
        <v>7.7062133580083972E-2</v>
      </c>
      <c r="E959" s="136">
        <f t="shared" si="30"/>
        <v>2022</v>
      </c>
      <c r="F959" s="135">
        <f>_xlfn.XLOOKUP(D336,'3. Input (des)investeringen '!$B$11:$B$81,'3. Input (des)investeringen '!$E$11:$E$81)</f>
        <v>1</v>
      </c>
    </row>
    <row r="960" spans="2:6">
      <c r="B960">
        <v>320</v>
      </c>
      <c r="D960" s="137">
        <f t="shared" si="29"/>
        <v>210895.72784382594</v>
      </c>
      <c r="E960" s="136">
        <f t="shared" si="30"/>
        <v>2022</v>
      </c>
      <c r="F960" s="135">
        <f>_xlfn.XLOOKUP(D337,'3. Input (des)investeringen '!$B$11:$B$81,'3. Input (des)investeringen '!$E$11:$E$81)</f>
        <v>1</v>
      </c>
    </row>
    <row r="961" spans="2:6">
      <c r="B961">
        <v>321</v>
      </c>
      <c r="D961" s="137">
        <f t="shared" ref="D961:D1024" si="31">F338*INDEX($E$556:$CG$636,E338-1945,G338-1945)</f>
        <v>897712.16634437081</v>
      </c>
      <c r="E961" s="136">
        <f t="shared" ref="E961:E1024" si="32">G338</f>
        <v>2022</v>
      </c>
      <c r="F961" s="135">
        <f>_xlfn.XLOOKUP(D338,'3. Input (des)investeringen '!$B$11:$B$81,'3. Input (des)investeringen '!$E$11:$E$81)</f>
        <v>1</v>
      </c>
    </row>
    <row r="962" spans="2:6">
      <c r="B962">
        <v>322</v>
      </c>
      <c r="D962" s="137">
        <f t="shared" si="31"/>
        <v>1456756.073943085</v>
      </c>
      <c r="E962" s="136">
        <f t="shared" si="32"/>
        <v>2022</v>
      </c>
      <c r="F962" s="135">
        <f>_xlfn.XLOOKUP(D339,'3. Input (des)investeringen '!$B$11:$B$81,'3. Input (des)investeringen '!$E$11:$E$81)</f>
        <v>1</v>
      </c>
    </row>
    <row r="963" spans="2:6">
      <c r="B963">
        <v>323</v>
      </c>
      <c r="D963" s="137">
        <f t="shared" si="31"/>
        <v>537510.92809868616</v>
      </c>
      <c r="E963" s="136">
        <f t="shared" si="32"/>
        <v>2022</v>
      </c>
      <c r="F963" s="135">
        <f>_xlfn.XLOOKUP(D340,'3. Input (des)investeringen '!$B$11:$B$81,'3. Input (des)investeringen '!$E$11:$E$81)</f>
        <v>1</v>
      </c>
    </row>
    <row r="964" spans="2:6">
      <c r="B964">
        <v>324</v>
      </c>
      <c r="D964" s="137">
        <f t="shared" si="31"/>
        <v>274815.80469335237</v>
      </c>
      <c r="E964" s="136">
        <f t="shared" si="32"/>
        <v>2022</v>
      </c>
      <c r="F964" s="135">
        <f>_xlfn.XLOOKUP(D341,'3. Input (des)investeringen '!$B$11:$B$81,'3. Input (des)investeringen '!$E$11:$E$81)</f>
        <v>1</v>
      </c>
    </row>
    <row r="965" spans="2:6">
      <c r="B965">
        <v>325</v>
      </c>
      <c r="D965" s="137">
        <f t="shared" si="31"/>
        <v>427908.4118906298</v>
      </c>
      <c r="E965" s="136">
        <f t="shared" si="32"/>
        <v>2022</v>
      </c>
      <c r="F965" s="135">
        <f>_xlfn.XLOOKUP(D342,'3. Input (des)investeringen '!$B$11:$B$81,'3. Input (des)investeringen '!$E$11:$E$81)</f>
        <v>1</v>
      </c>
    </row>
    <row r="966" spans="2:6">
      <c r="B966">
        <v>326</v>
      </c>
      <c r="D966" s="137">
        <f t="shared" si="31"/>
        <v>549678.59229549393</v>
      </c>
      <c r="E966" s="136">
        <f t="shared" si="32"/>
        <v>2022</v>
      </c>
      <c r="F966" s="135">
        <f>_xlfn.XLOOKUP(D343,'3. Input (des)investeringen '!$B$11:$B$81,'3. Input (des)investeringen '!$E$11:$E$81)</f>
        <v>1</v>
      </c>
    </row>
    <row r="967" spans="2:6">
      <c r="B967">
        <v>327</v>
      </c>
      <c r="D967" s="137">
        <f t="shared" si="31"/>
        <v>307195.76641828933</v>
      </c>
      <c r="E967" s="136">
        <f t="shared" si="32"/>
        <v>2022</v>
      </c>
      <c r="F967" s="135">
        <f>_xlfn.XLOOKUP(D344,'3. Input (des)investeringen '!$B$11:$B$81,'3. Input (des)investeringen '!$E$11:$E$81)</f>
        <v>1</v>
      </c>
    </row>
    <row r="968" spans="2:6">
      <c r="B968">
        <v>328</v>
      </c>
      <c r="D968" s="137">
        <f t="shared" si="31"/>
        <v>863222.8872694883</v>
      </c>
      <c r="E968" s="136">
        <f t="shared" si="32"/>
        <v>2022</v>
      </c>
      <c r="F968" s="135">
        <f>_xlfn.XLOOKUP(D345,'3. Input (des)investeringen '!$B$11:$B$81,'3. Input (des)investeringen '!$E$11:$E$81)</f>
        <v>1</v>
      </c>
    </row>
    <row r="969" spans="2:6">
      <c r="B969">
        <v>329</v>
      </c>
      <c r="D969" s="137">
        <f t="shared" si="31"/>
        <v>630047.23089903092</v>
      </c>
      <c r="E969" s="136">
        <f t="shared" si="32"/>
        <v>2022</v>
      </c>
      <c r="F969" s="135">
        <f>_xlfn.XLOOKUP(D346,'3. Input (des)investeringen '!$B$11:$B$81,'3. Input (des)investeringen '!$E$11:$E$81)</f>
        <v>1</v>
      </c>
    </row>
    <row r="970" spans="2:6">
      <c r="B970">
        <v>330</v>
      </c>
      <c r="D970" s="137">
        <f t="shared" si="31"/>
        <v>213886.93735114989</v>
      </c>
      <c r="E970" s="136">
        <f t="shared" si="32"/>
        <v>2022</v>
      </c>
      <c r="F970" s="135">
        <f>_xlfn.XLOOKUP(D347,'3. Input (des)investeringen '!$B$11:$B$81,'3. Input (des)investeringen '!$E$11:$E$81)</f>
        <v>1</v>
      </c>
    </row>
    <row r="971" spans="2:6">
      <c r="B971">
        <v>331</v>
      </c>
      <c r="D971" s="137">
        <f t="shared" si="31"/>
        <v>150944.69489504979</v>
      </c>
      <c r="E971" s="136">
        <f t="shared" si="32"/>
        <v>2022</v>
      </c>
      <c r="F971" s="135">
        <f>_xlfn.XLOOKUP(D348,'3. Input (des)investeringen '!$B$11:$B$81,'3. Input (des)investeringen '!$E$11:$E$81)</f>
        <v>1</v>
      </c>
    </row>
    <row r="972" spans="2:6">
      <c r="B972">
        <v>332</v>
      </c>
      <c r="D972" s="137">
        <f t="shared" si="31"/>
        <v>308372.44933566521</v>
      </c>
      <c r="E972" s="136">
        <f t="shared" si="32"/>
        <v>2022</v>
      </c>
      <c r="F972" s="135">
        <f>_xlfn.XLOOKUP(D349,'3. Input (des)investeringen '!$B$11:$B$81,'3. Input (des)investeringen '!$E$11:$E$81)</f>
        <v>1</v>
      </c>
    </row>
    <row r="973" spans="2:6">
      <c r="B973">
        <v>333</v>
      </c>
      <c r="D973" s="137">
        <f t="shared" si="31"/>
        <v>118209.50836304629</v>
      </c>
      <c r="E973" s="136">
        <f t="shared" si="32"/>
        <v>2022</v>
      </c>
      <c r="F973" s="135">
        <f>_xlfn.XLOOKUP(D350,'3. Input (des)investeringen '!$B$11:$B$81,'3. Input (des)investeringen '!$E$11:$E$81)</f>
        <v>1</v>
      </c>
    </row>
    <row r="974" spans="2:6">
      <c r="B974">
        <v>334</v>
      </c>
      <c r="D974" s="137">
        <f t="shared" si="31"/>
        <v>308127.28612936393</v>
      </c>
      <c r="E974" s="136">
        <f t="shared" si="32"/>
        <v>2022</v>
      </c>
      <c r="F974" s="135">
        <f>_xlfn.XLOOKUP(D351,'3. Input (des)investeringen '!$B$11:$B$81,'3. Input (des)investeringen '!$E$11:$E$81)</f>
        <v>1</v>
      </c>
    </row>
    <row r="975" spans="2:6">
      <c r="B975">
        <v>335</v>
      </c>
      <c r="D975" s="137">
        <f t="shared" si="31"/>
        <v>1026.437999083824</v>
      </c>
      <c r="E975" s="136">
        <f t="shared" si="32"/>
        <v>2022</v>
      </c>
      <c r="F975" s="135">
        <f>_xlfn.XLOOKUP(D352,'3. Input (des)investeringen '!$B$11:$B$81,'3. Input (des)investeringen '!$E$11:$E$81)</f>
        <v>1</v>
      </c>
    </row>
    <row r="976" spans="2:6">
      <c r="B976">
        <v>336</v>
      </c>
      <c r="D976" s="137">
        <f t="shared" si="31"/>
        <v>106287.18474987785</v>
      </c>
      <c r="E976" s="136">
        <f t="shared" si="32"/>
        <v>2022</v>
      </c>
      <c r="F976" s="135">
        <f>_xlfn.XLOOKUP(D353,'3. Input (des)investeringen '!$B$11:$B$81,'3. Input (des)investeringen '!$E$11:$E$81)</f>
        <v>1</v>
      </c>
    </row>
    <row r="977" spans="2:6">
      <c r="B977">
        <v>337</v>
      </c>
      <c r="D977" s="137">
        <f t="shared" si="31"/>
        <v>51523.01013098735</v>
      </c>
      <c r="E977" s="136">
        <f t="shared" si="32"/>
        <v>2022</v>
      </c>
      <c r="F977" s="135">
        <f>_xlfn.XLOOKUP(D354,'3. Input (des)investeringen '!$B$11:$B$81,'3. Input (des)investeringen '!$E$11:$E$81)</f>
        <v>1</v>
      </c>
    </row>
    <row r="978" spans="2:6">
      <c r="B978">
        <v>338</v>
      </c>
      <c r="D978" s="137">
        <f t="shared" si="31"/>
        <v>185537.31457817764</v>
      </c>
      <c r="E978" s="136">
        <f t="shared" si="32"/>
        <v>2022</v>
      </c>
      <c r="F978" s="135">
        <f>_xlfn.XLOOKUP(D355,'3. Input (des)investeringen '!$B$11:$B$81,'3. Input (des)investeringen '!$E$11:$E$81)</f>
        <v>1</v>
      </c>
    </row>
    <row r="979" spans="2:6">
      <c r="B979">
        <v>339</v>
      </c>
      <c r="D979" s="137">
        <f t="shared" si="31"/>
        <v>38260.827551339469</v>
      </c>
      <c r="E979" s="136">
        <f t="shared" si="32"/>
        <v>2022</v>
      </c>
      <c r="F979" s="135">
        <f>_xlfn.XLOOKUP(D356,'3. Input (des)investeringen '!$B$11:$B$81,'3. Input (des)investeringen '!$E$11:$E$81)</f>
        <v>1</v>
      </c>
    </row>
    <row r="980" spans="2:6">
      <c r="B980">
        <v>340</v>
      </c>
      <c r="D980" s="137">
        <f t="shared" si="31"/>
        <v>7830.8705971603458</v>
      </c>
      <c r="E980" s="136">
        <f t="shared" si="32"/>
        <v>2022</v>
      </c>
      <c r="F980" s="135">
        <f>_xlfn.XLOOKUP(D357,'3. Input (des)investeringen '!$B$11:$B$81,'3. Input (des)investeringen '!$E$11:$E$81)</f>
        <v>1</v>
      </c>
    </row>
    <row r="981" spans="2:6">
      <c r="B981">
        <v>341</v>
      </c>
      <c r="D981" s="137">
        <f t="shared" si="31"/>
        <v>9842.9371162809311</v>
      </c>
      <c r="E981" s="136">
        <f t="shared" si="32"/>
        <v>2022</v>
      </c>
      <c r="F981" s="135">
        <f>_xlfn.XLOOKUP(D358,'3. Input (des)investeringen '!$B$11:$B$81,'3. Input (des)investeringen '!$E$11:$E$81)</f>
        <v>1</v>
      </c>
    </row>
    <row r="982" spans="2:6">
      <c r="B982">
        <v>342</v>
      </c>
      <c r="D982" s="137">
        <f t="shared" si="31"/>
        <v>6250.3975099607405</v>
      </c>
      <c r="E982" s="136">
        <f t="shared" si="32"/>
        <v>2022</v>
      </c>
      <c r="F982" s="135">
        <f>_xlfn.XLOOKUP(D359,'3. Input (des)investeringen '!$B$11:$B$81,'3. Input (des)investeringen '!$E$11:$E$81)</f>
        <v>1</v>
      </c>
    </row>
    <row r="983" spans="2:6">
      <c r="B983">
        <v>343</v>
      </c>
      <c r="D983" s="137">
        <f t="shared" si="31"/>
        <v>148391.15704561133</v>
      </c>
      <c r="E983" s="136">
        <f t="shared" si="32"/>
        <v>2022</v>
      </c>
      <c r="F983" s="135">
        <f>_xlfn.XLOOKUP(D360,'3. Input (des)investeringen '!$B$11:$B$81,'3. Input (des)investeringen '!$E$11:$E$81)</f>
        <v>1</v>
      </c>
    </row>
    <row r="984" spans="2:6">
      <c r="B984">
        <v>344</v>
      </c>
      <c r="D984" s="137">
        <f t="shared" si="31"/>
        <v>31594.263591809497</v>
      </c>
      <c r="E984" s="136">
        <f t="shared" si="32"/>
        <v>2022</v>
      </c>
      <c r="F984" s="135">
        <f>_xlfn.XLOOKUP(D361,'3. Input (des)investeringen '!$B$11:$B$81,'3. Input (des)investeringen '!$E$11:$E$81)</f>
        <v>1</v>
      </c>
    </row>
    <row r="985" spans="2:6">
      <c r="B985">
        <v>345</v>
      </c>
      <c r="D985" s="137">
        <f t="shared" si="31"/>
        <v>466562.22269198875</v>
      </c>
      <c r="E985" s="136">
        <f t="shared" si="32"/>
        <v>2022</v>
      </c>
      <c r="F985" s="135">
        <f>_xlfn.XLOOKUP(D362,'3. Input (des)investeringen '!$B$11:$B$81,'3. Input (des)investeringen '!$E$11:$E$81)</f>
        <v>1</v>
      </c>
    </row>
    <row r="986" spans="2:6">
      <c r="B986">
        <v>346</v>
      </c>
      <c r="D986" s="137">
        <f t="shared" si="31"/>
        <v>196256.8092562297</v>
      </c>
      <c r="E986" s="136">
        <f t="shared" si="32"/>
        <v>2022</v>
      </c>
      <c r="F986" s="135">
        <f>_xlfn.XLOOKUP(D363,'3. Input (des)investeringen '!$B$11:$B$81,'3. Input (des)investeringen '!$E$11:$E$81)</f>
        <v>1</v>
      </c>
    </row>
    <row r="987" spans="2:6">
      <c r="B987">
        <v>347</v>
      </c>
      <c r="D987" s="137">
        <f t="shared" si="31"/>
        <v>70571.308074204644</v>
      </c>
      <c r="E987" s="136">
        <f t="shared" si="32"/>
        <v>2022</v>
      </c>
      <c r="F987" s="135">
        <f>_xlfn.XLOOKUP(D364,'3. Input (des)investeringen '!$B$11:$B$81,'3. Input (des)investeringen '!$E$11:$E$81)</f>
        <v>1</v>
      </c>
    </row>
    <row r="988" spans="2:6">
      <c r="B988">
        <v>348</v>
      </c>
      <c r="D988" s="137">
        <f t="shared" si="31"/>
        <v>109759.1915322928</v>
      </c>
      <c r="E988" s="136">
        <f t="shared" si="32"/>
        <v>2022</v>
      </c>
      <c r="F988" s="135">
        <f>_xlfn.XLOOKUP(D365,'3. Input (des)investeringen '!$B$11:$B$81,'3. Input (des)investeringen '!$E$11:$E$81)</f>
        <v>1</v>
      </c>
    </row>
    <row r="989" spans="2:6">
      <c r="B989">
        <v>349</v>
      </c>
      <c r="D989" s="137">
        <f t="shared" si="31"/>
        <v>192941.64705577045</v>
      </c>
      <c r="E989" s="136">
        <f t="shared" si="32"/>
        <v>2022</v>
      </c>
      <c r="F989" s="135">
        <f>_xlfn.XLOOKUP(D366,'3. Input (des)investeringen '!$B$11:$B$81,'3. Input (des)investeringen '!$E$11:$E$81)</f>
        <v>1</v>
      </c>
    </row>
    <row r="990" spans="2:6">
      <c r="B990">
        <v>350</v>
      </c>
      <c r="D990" s="137">
        <f t="shared" si="31"/>
        <v>388863.18766669295</v>
      </c>
      <c r="E990" s="136">
        <f t="shared" si="32"/>
        <v>2022</v>
      </c>
      <c r="F990" s="135">
        <f>_xlfn.XLOOKUP(D367,'3. Input (des)investeringen '!$B$11:$B$81,'3. Input (des)investeringen '!$E$11:$E$81)</f>
        <v>0</v>
      </c>
    </row>
    <row r="991" spans="2:6">
      <c r="B991">
        <v>351</v>
      </c>
      <c r="D991" s="137">
        <f t="shared" si="31"/>
        <v>1977539.2597640657</v>
      </c>
      <c r="E991" s="136">
        <f t="shared" si="32"/>
        <v>2022</v>
      </c>
      <c r="F991" s="135">
        <f>_xlfn.XLOOKUP(D368,'3. Input (des)investeringen '!$B$11:$B$81,'3. Input (des)investeringen '!$E$11:$E$81)</f>
        <v>0</v>
      </c>
    </row>
    <row r="992" spans="2:6">
      <c r="B992">
        <v>352</v>
      </c>
      <c r="D992" s="137">
        <f t="shared" si="31"/>
        <v>643355.23241316131</v>
      </c>
      <c r="E992" s="136">
        <f t="shared" si="32"/>
        <v>2022</v>
      </c>
      <c r="F992" s="135">
        <f>_xlfn.XLOOKUP(D369,'3. Input (des)investeringen '!$B$11:$B$81,'3. Input (des)investeringen '!$E$11:$E$81)</f>
        <v>0</v>
      </c>
    </row>
    <row r="993" spans="2:6">
      <c r="B993">
        <v>353</v>
      </c>
      <c r="D993" s="137">
        <f t="shared" si="31"/>
        <v>1160431.8736152633</v>
      </c>
      <c r="E993" s="136">
        <f t="shared" si="32"/>
        <v>2022</v>
      </c>
      <c r="F993" s="135">
        <f>_xlfn.XLOOKUP(D370,'3. Input (des)investeringen '!$B$11:$B$81,'3. Input (des)investeringen '!$E$11:$E$81)</f>
        <v>0</v>
      </c>
    </row>
    <row r="994" spans="2:6">
      <c r="B994">
        <v>354</v>
      </c>
      <c r="D994" s="137">
        <f t="shared" si="31"/>
        <v>2103852.2340272423</v>
      </c>
      <c r="E994" s="136">
        <f t="shared" si="32"/>
        <v>2022</v>
      </c>
      <c r="F994" s="135">
        <f>_xlfn.XLOOKUP(D371,'3. Input (des)investeringen '!$B$11:$B$81,'3. Input (des)investeringen '!$E$11:$E$81)</f>
        <v>0</v>
      </c>
    </row>
    <row r="995" spans="2:6">
      <c r="B995">
        <v>355</v>
      </c>
      <c r="D995" s="137">
        <f t="shared" si="31"/>
        <v>813729.55566402408</v>
      </c>
      <c r="E995" s="136">
        <f t="shared" si="32"/>
        <v>2022</v>
      </c>
      <c r="F995" s="135">
        <f>_xlfn.XLOOKUP(D372,'3. Input (des)investeringen '!$B$11:$B$81,'3. Input (des)investeringen '!$E$11:$E$81)</f>
        <v>0</v>
      </c>
    </row>
    <row r="996" spans="2:6">
      <c r="B996">
        <v>356</v>
      </c>
      <c r="D996" s="137">
        <f t="shared" si="31"/>
        <v>1277165.2332752666</v>
      </c>
      <c r="E996" s="136">
        <f t="shared" si="32"/>
        <v>2022</v>
      </c>
      <c r="F996" s="135">
        <f>_xlfn.XLOOKUP(D373,'3. Input (des)investeringen '!$B$11:$B$81,'3. Input (des)investeringen '!$E$11:$E$81)</f>
        <v>0</v>
      </c>
    </row>
    <row r="997" spans="2:6">
      <c r="B997">
        <v>357</v>
      </c>
      <c r="D997" s="137">
        <f t="shared" si="31"/>
        <v>519332.19948556297</v>
      </c>
      <c r="E997" s="136">
        <f t="shared" si="32"/>
        <v>2022</v>
      </c>
      <c r="F997" s="135">
        <f>_xlfn.XLOOKUP(D374,'3. Input (des)investeringen '!$B$11:$B$81,'3. Input (des)investeringen '!$E$11:$E$81)</f>
        <v>0</v>
      </c>
    </row>
    <row r="998" spans="2:6">
      <c r="B998">
        <v>358</v>
      </c>
      <c r="D998" s="137">
        <f t="shared" si="31"/>
        <v>505021.85753779247</v>
      </c>
      <c r="E998" s="136">
        <f t="shared" si="32"/>
        <v>2022</v>
      </c>
      <c r="F998" s="135">
        <f>_xlfn.XLOOKUP(D375,'3. Input (des)investeringen '!$B$11:$B$81,'3. Input (des)investeringen '!$E$11:$E$81)</f>
        <v>0</v>
      </c>
    </row>
    <row r="999" spans="2:6">
      <c r="B999">
        <v>359</v>
      </c>
      <c r="D999" s="137">
        <f t="shared" si="31"/>
        <v>362464.81670923793</v>
      </c>
      <c r="E999" s="136">
        <f t="shared" si="32"/>
        <v>2022</v>
      </c>
      <c r="F999" s="135">
        <f>_xlfn.XLOOKUP(D376,'3. Input (des)investeringen '!$B$11:$B$81,'3. Input (des)investeringen '!$E$11:$E$81)</f>
        <v>0</v>
      </c>
    </row>
    <row r="1000" spans="2:6">
      <c r="B1000">
        <v>360</v>
      </c>
      <c r="D1000" s="137">
        <f t="shared" si="31"/>
        <v>17338.166812593641</v>
      </c>
      <c r="E1000" s="136">
        <f t="shared" si="32"/>
        <v>2022</v>
      </c>
      <c r="F1000" s="135">
        <f>_xlfn.XLOOKUP(D377,'3. Input (des)investeringen '!$B$11:$B$81,'3. Input (des)investeringen '!$E$11:$E$81)</f>
        <v>0</v>
      </c>
    </row>
    <row r="1001" spans="2:6">
      <c r="B1001">
        <v>361</v>
      </c>
      <c r="D1001" s="137">
        <f t="shared" si="31"/>
        <v>70506.165110192131</v>
      </c>
      <c r="E1001" s="136">
        <f t="shared" si="32"/>
        <v>2022</v>
      </c>
      <c r="F1001" s="135">
        <f>_xlfn.XLOOKUP(D378,'3. Input (des)investeringen '!$B$11:$B$81,'3. Input (des)investeringen '!$E$11:$E$81)</f>
        <v>0</v>
      </c>
    </row>
    <row r="1002" spans="2:6">
      <c r="B1002">
        <v>362</v>
      </c>
      <c r="D1002" s="137">
        <f t="shared" si="31"/>
        <v>138478.44947640147</v>
      </c>
      <c r="E1002" s="136">
        <f t="shared" si="32"/>
        <v>2022</v>
      </c>
      <c r="F1002" s="135">
        <f>_xlfn.XLOOKUP(D379,'3. Input (des)investeringen '!$B$11:$B$81,'3. Input (des)investeringen '!$E$11:$E$81)</f>
        <v>0</v>
      </c>
    </row>
    <row r="1003" spans="2:6">
      <c r="B1003">
        <v>363</v>
      </c>
      <c r="D1003" s="137">
        <f t="shared" si="31"/>
        <v>15682.711488823004</v>
      </c>
      <c r="E1003" s="136">
        <f t="shared" si="32"/>
        <v>2022</v>
      </c>
      <c r="F1003" s="135">
        <f>_xlfn.XLOOKUP(D380,'3. Input (des)investeringen '!$B$11:$B$81,'3. Input (des)investeringen '!$E$11:$E$81)</f>
        <v>0</v>
      </c>
    </row>
    <row r="1004" spans="2:6">
      <c r="B1004">
        <v>364</v>
      </c>
      <c r="D1004" s="137">
        <f t="shared" si="31"/>
        <v>385836.14338180138</v>
      </c>
      <c r="E1004" s="136">
        <f t="shared" si="32"/>
        <v>2022</v>
      </c>
      <c r="F1004" s="135">
        <f>_xlfn.XLOOKUP(D381,'3. Input (des)investeringen '!$B$11:$B$81,'3. Input (des)investeringen '!$E$11:$E$81)</f>
        <v>0</v>
      </c>
    </row>
    <row r="1005" spans="2:6">
      <c r="B1005">
        <v>365</v>
      </c>
      <c r="D1005" s="137">
        <f t="shared" si="31"/>
        <v>77193.88157794677</v>
      </c>
      <c r="E1005" s="136">
        <f t="shared" si="32"/>
        <v>2022</v>
      </c>
      <c r="F1005" s="135">
        <f>_xlfn.XLOOKUP(D382,'3. Input (des)investeringen '!$B$11:$B$81,'3. Input (des)investeringen '!$E$11:$E$81)</f>
        <v>0</v>
      </c>
    </row>
    <row r="1006" spans="2:6">
      <c r="B1006">
        <v>366</v>
      </c>
      <c r="D1006" s="137">
        <f t="shared" si="31"/>
        <v>19862.696379872996</v>
      </c>
      <c r="E1006" s="136">
        <f t="shared" si="32"/>
        <v>2022</v>
      </c>
      <c r="F1006" s="135">
        <f>_xlfn.XLOOKUP(D383,'3. Input (des)investeringen '!$B$11:$B$81,'3. Input (des)investeringen '!$E$11:$E$81)</f>
        <v>0</v>
      </c>
    </row>
    <row r="1007" spans="2:6">
      <c r="B1007">
        <v>367</v>
      </c>
      <c r="D1007" s="137">
        <f t="shared" si="31"/>
        <v>10229.85170534904</v>
      </c>
      <c r="E1007" s="136">
        <f t="shared" si="32"/>
        <v>2022</v>
      </c>
      <c r="F1007" s="135">
        <f>_xlfn.XLOOKUP(D384,'3. Input (des)investeringen '!$B$11:$B$81,'3. Input (des)investeringen '!$E$11:$E$81)</f>
        <v>0</v>
      </c>
    </row>
    <row r="1008" spans="2:6">
      <c r="B1008">
        <v>368</v>
      </c>
      <c r="D1008" s="137">
        <f t="shared" si="31"/>
        <v>99628.511605417822</v>
      </c>
      <c r="E1008" s="136">
        <f t="shared" si="32"/>
        <v>2022</v>
      </c>
      <c r="F1008" s="135">
        <f>_xlfn.XLOOKUP(D385,'3. Input (des)investeringen '!$B$11:$B$81,'3. Input (des)investeringen '!$E$11:$E$81)</f>
        <v>0</v>
      </c>
    </row>
    <row r="1009" spans="2:6">
      <c r="B1009">
        <v>369</v>
      </c>
      <c r="D1009" s="137">
        <f t="shared" si="31"/>
        <v>309186.17603035166</v>
      </c>
      <c r="E1009" s="136">
        <f t="shared" si="32"/>
        <v>2022</v>
      </c>
      <c r="F1009" s="135">
        <f>_xlfn.XLOOKUP(D386,'3. Input (des)investeringen '!$B$11:$B$81,'3. Input (des)investeringen '!$E$11:$E$81)</f>
        <v>0</v>
      </c>
    </row>
    <row r="1010" spans="2:6">
      <c r="B1010">
        <v>370</v>
      </c>
      <c r="D1010" s="137">
        <f t="shared" si="31"/>
        <v>15157.227938060447</v>
      </c>
      <c r="E1010" s="136">
        <f t="shared" si="32"/>
        <v>2022</v>
      </c>
      <c r="F1010" s="135">
        <f>_xlfn.XLOOKUP(D387,'3. Input (des)investeringen '!$B$11:$B$81,'3. Input (des)investeringen '!$E$11:$E$81)</f>
        <v>0</v>
      </c>
    </row>
    <row r="1011" spans="2:6">
      <c r="B1011">
        <v>371</v>
      </c>
      <c r="D1011" s="137">
        <f t="shared" si="31"/>
        <v>39512.042797715359</v>
      </c>
      <c r="E1011" s="136">
        <f t="shared" si="32"/>
        <v>2022</v>
      </c>
      <c r="F1011" s="135">
        <f>_xlfn.XLOOKUP(D388,'3. Input (des)investeringen '!$B$11:$B$81,'3. Input (des)investeringen '!$E$11:$E$81)</f>
        <v>0</v>
      </c>
    </row>
    <row r="1012" spans="2:6">
      <c r="B1012">
        <v>372</v>
      </c>
      <c r="D1012" s="137">
        <f t="shared" si="31"/>
        <v>27643.942446618013</v>
      </c>
      <c r="E1012" s="136">
        <f t="shared" si="32"/>
        <v>2022</v>
      </c>
      <c r="F1012" s="135">
        <f>_xlfn.XLOOKUP(D389,'3. Input (des)investeringen '!$B$11:$B$81,'3. Input (des)investeringen '!$E$11:$E$81)</f>
        <v>0</v>
      </c>
    </row>
    <row r="1013" spans="2:6">
      <c r="B1013">
        <v>373</v>
      </c>
      <c r="D1013" s="137">
        <f t="shared" si="31"/>
        <v>87900.92410999391</v>
      </c>
      <c r="E1013" s="136">
        <f t="shared" si="32"/>
        <v>2022</v>
      </c>
      <c r="F1013" s="135">
        <f>_xlfn.XLOOKUP(D390,'3. Input (des)investeringen '!$B$11:$B$81,'3. Input (des)investeringen '!$E$11:$E$81)</f>
        <v>0</v>
      </c>
    </row>
    <row r="1014" spans="2:6">
      <c r="B1014">
        <v>374</v>
      </c>
      <c r="D1014" s="137">
        <f t="shared" si="31"/>
        <v>104111.78172504251</v>
      </c>
      <c r="E1014" s="136">
        <f t="shared" si="32"/>
        <v>2022</v>
      </c>
      <c r="F1014" s="135">
        <f>_xlfn.XLOOKUP(D391,'3. Input (des)investeringen '!$B$11:$B$81,'3. Input (des)investeringen '!$E$11:$E$81)</f>
        <v>0</v>
      </c>
    </row>
    <row r="1015" spans="2:6">
      <c r="B1015">
        <v>375</v>
      </c>
      <c r="D1015" s="137">
        <f t="shared" si="31"/>
        <v>27205.276684575805</v>
      </c>
      <c r="E1015" s="136">
        <f t="shared" si="32"/>
        <v>2022</v>
      </c>
      <c r="F1015" s="135">
        <f>_xlfn.XLOOKUP(D392,'3. Input (des)investeringen '!$B$11:$B$81,'3. Input (des)investeringen '!$E$11:$E$81)</f>
        <v>0</v>
      </c>
    </row>
    <row r="1016" spans="2:6">
      <c r="B1016">
        <v>376</v>
      </c>
      <c r="D1016" s="137">
        <f t="shared" si="31"/>
        <v>26002.568135894431</v>
      </c>
      <c r="E1016" s="136">
        <f t="shared" si="32"/>
        <v>2022</v>
      </c>
      <c r="F1016" s="135">
        <f>_xlfn.XLOOKUP(D393,'3. Input (des)investeringen '!$B$11:$B$81,'3. Input (des)investeringen '!$E$11:$E$81)</f>
        <v>0</v>
      </c>
    </row>
    <row r="1017" spans="2:6">
      <c r="B1017">
        <v>377</v>
      </c>
      <c r="D1017" s="137">
        <f t="shared" si="31"/>
        <v>16624.018660402588</v>
      </c>
      <c r="E1017" s="136">
        <f t="shared" si="32"/>
        <v>2022</v>
      </c>
      <c r="F1017" s="135">
        <f>_xlfn.XLOOKUP(D394,'3. Input (des)investeringen '!$B$11:$B$81,'3. Input (des)investeringen '!$E$11:$E$81)</f>
        <v>0</v>
      </c>
    </row>
    <row r="1018" spans="2:6">
      <c r="B1018">
        <v>378</v>
      </c>
      <c r="D1018" s="137">
        <f t="shared" si="31"/>
        <v>13413.383324644565</v>
      </c>
      <c r="E1018" s="136">
        <f t="shared" si="32"/>
        <v>2022</v>
      </c>
      <c r="F1018" s="135">
        <f>_xlfn.XLOOKUP(D395,'3. Input (des)investeringen '!$B$11:$B$81,'3. Input (des)investeringen '!$E$11:$E$81)</f>
        <v>0</v>
      </c>
    </row>
    <row r="1019" spans="2:6">
      <c r="B1019">
        <v>379</v>
      </c>
      <c r="D1019" s="137">
        <f t="shared" si="31"/>
        <v>50682.596958467213</v>
      </c>
      <c r="E1019" s="136">
        <f t="shared" si="32"/>
        <v>2022</v>
      </c>
      <c r="F1019" s="135">
        <f>_xlfn.XLOOKUP(D396,'3. Input (des)investeringen '!$B$11:$B$81,'3. Input (des)investeringen '!$E$11:$E$81)</f>
        <v>0</v>
      </c>
    </row>
    <row r="1020" spans="2:6">
      <c r="B1020">
        <v>380</v>
      </c>
      <c r="D1020" s="137">
        <f t="shared" si="31"/>
        <v>17898.901808781233</v>
      </c>
      <c r="E1020" s="136">
        <f t="shared" si="32"/>
        <v>2022</v>
      </c>
      <c r="F1020" s="135">
        <f>_xlfn.XLOOKUP(D397,'3. Input (des)investeringen '!$B$11:$B$81,'3. Input (des)investeringen '!$E$11:$E$81)</f>
        <v>0</v>
      </c>
    </row>
    <row r="1021" spans="2:6">
      <c r="B1021">
        <v>381</v>
      </c>
      <c r="D1021" s="137">
        <f t="shared" si="31"/>
        <v>403437.44663486362</v>
      </c>
      <c r="E1021" s="136">
        <f t="shared" si="32"/>
        <v>2022</v>
      </c>
      <c r="F1021" s="135">
        <f>_xlfn.XLOOKUP(D398,'3. Input (des)investeringen '!$B$11:$B$81,'3. Input (des)investeringen '!$E$11:$E$81)</f>
        <v>0</v>
      </c>
    </row>
    <row r="1022" spans="2:6">
      <c r="B1022">
        <v>382</v>
      </c>
      <c r="D1022" s="137">
        <f t="shared" si="31"/>
        <v>188217.0689445266</v>
      </c>
      <c r="E1022" s="136">
        <f t="shared" si="32"/>
        <v>2022</v>
      </c>
      <c r="F1022" s="135">
        <f>_xlfn.XLOOKUP(D399,'3. Input (des)investeringen '!$B$11:$B$81,'3. Input (des)investeringen '!$E$11:$E$81)</f>
        <v>0</v>
      </c>
    </row>
    <row r="1023" spans="2:6">
      <c r="B1023">
        <v>383</v>
      </c>
      <c r="D1023" s="137">
        <f t="shared" si="31"/>
        <v>48823.521113041956</v>
      </c>
      <c r="E1023" s="136">
        <f t="shared" si="32"/>
        <v>2022</v>
      </c>
      <c r="F1023" s="135">
        <f>_xlfn.XLOOKUP(D400,'3. Input (des)investeringen '!$B$11:$B$81,'3. Input (des)investeringen '!$E$11:$E$81)</f>
        <v>0</v>
      </c>
    </row>
    <row r="1024" spans="2:6">
      <c r="B1024">
        <v>384</v>
      </c>
      <c r="D1024" s="137">
        <f t="shared" si="31"/>
        <v>120450.03732565988</v>
      </c>
      <c r="E1024" s="136">
        <f t="shared" si="32"/>
        <v>2022</v>
      </c>
      <c r="F1024" s="135">
        <f>_xlfn.XLOOKUP(D401,'3. Input (des)investeringen '!$B$11:$B$81,'3. Input (des)investeringen '!$E$11:$E$81)</f>
        <v>0</v>
      </c>
    </row>
    <row r="1025" spans="2:6">
      <c r="B1025">
        <v>385</v>
      </c>
      <c r="D1025" s="137">
        <f t="shared" ref="D1025:D1047" si="33">F402*INDEX($E$556:$CG$636,E402-1945,G402-1945)</f>
        <v>416421.94666146499</v>
      </c>
      <c r="E1025" s="136">
        <f t="shared" ref="E1025:E1047" si="34">G402</f>
        <v>2022</v>
      </c>
      <c r="F1025" s="135">
        <f>_xlfn.XLOOKUP(D402,'3. Input (des)investeringen '!$B$11:$B$81,'3. Input (des)investeringen '!$E$11:$E$81)</f>
        <v>1</v>
      </c>
    </row>
    <row r="1026" spans="2:6">
      <c r="B1026">
        <v>386</v>
      </c>
      <c r="D1026" s="137">
        <f t="shared" si="33"/>
        <v>421406.95898024359</v>
      </c>
      <c r="E1026" s="136">
        <f t="shared" si="34"/>
        <v>2022</v>
      </c>
      <c r="F1026" s="135">
        <f>_xlfn.XLOOKUP(D403,'3. Input (des)investeringen '!$B$11:$B$81,'3. Input (des)investeringen '!$E$11:$E$81)</f>
        <v>1</v>
      </c>
    </row>
    <row r="1027" spans="2:6">
      <c r="B1027">
        <v>387</v>
      </c>
      <c r="D1027" s="137">
        <f t="shared" si="33"/>
        <v>692157.2316583636</v>
      </c>
      <c r="E1027" s="136">
        <f t="shared" si="34"/>
        <v>2022</v>
      </c>
      <c r="F1027" s="135">
        <f>_xlfn.XLOOKUP(D404,'3. Input (des)investeringen '!$B$11:$B$81,'3. Input (des)investeringen '!$E$11:$E$81)</f>
        <v>1</v>
      </c>
    </row>
    <row r="1028" spans="2:6">
      <c r="B1028">
        <v>388</v>
      </c>
      <c r="D1028" s="137">
        <f t="shared" si="33"/>
        <v>25209.605468598776</v>
      </c>
      <c r="E1028" s="136">
        <f t="shared" si="34"/>
        <v>2022</v>
      </c>
      <c r="F1028" s="135">
        <f>_xlfn.XLOOKUP(D405,'3. Input (des)investeringen '!$B$11:$B$81,'3. Input (des)investeringen '!$E$11:$E$81)</f>
        <v>1</v>
      </c>
    </row>
    <row r="1029" spans="2:6">
      <c r="B1029">
        <v>389</v>
      </c>
      <c r="D1029" s="137">
        <f t="shared" si="33"/>
        <v>140714.3745480834</v>
      </c>
      <c r="E1029" s="136">
        <f t="shared" si="34"/>
        <v>2022</v>
      </c>
      <c r="F1029" s="135">
        <f>_xlfn.XLOOKUP(D406,'3. Input (des)investeringen '!$B$11:$B$81,'3. Input (des)investeringen '!$E$11:$E$81)</f>
        <v>1</v>
      </c>
    </row>
    <row r="1030" spans="2:6">
      <c r="B1030">
        <v>390</v>
      </c>
      <c r="D1030" s="137">
        <f t="shared" si="33"/>
        <v>3286060.4941140958</v>
      </c>
      <c r="E1030" s="136">
        <f t="shared" si="34"/>
        <v>2022</v>
      </c>
      <c r="F1030" s="135">
        <f>_xlfn.XLOOKUP(D407,'3. Input (des)investeringen '!$B$11:$B$81,'3. Input (des)investeringen '!$E$11:$E$81)</f>
        <v>0</v>
      </c>
    </row>
    <row r="1031" spans="2:6">
      <c r="B1031">
        <v>391</v>
      </c>
      <c r="D1031" s="137">
        <f t="shared" si="33"/>
        <v>2889336.0511362744</v>
      </c>
      <c r="E1031" s="136">
        <f t="shared" si="34"/>
        <v>2022</v>
      </c>
      <c r="F1031" s="135">
        <f>_xlfn.XLOOKUP(D408,'3. Input (des)investeringen '!$B$11:$B$81,'3. Input (des)investeringen '!$E$11:$E$81)</f>
        <v>0</v>
      </c>
    </row>
    <row r="1032" spans="2:6">
      <c r="B1032">
        <v>392</v>
      </c>
      <c r="D1032" s="137">
        <f t="shared" si="33"/>
        <v>68228.736381040857</v>
      </c>
      <c r="E1032" s="136">
        <f t="shared" si="34"/>
        <v>2022</v>
      </c>
      <c r="F1032" s="135">
        <f>_xlfn.XLOOKUP(D409,'3. Input (des)investeringen '!$B$11:$B$81,'3. Input (des)investeringen '!$E$11:$E$81)</f>
        <v>0</v>
      </c>
    </row>
    <row r="1033" spans="2:6">
      <c r="B1033">
        <v>393</v>
      </c>
      <c r="D1033" s="137">
        <f t="shared" si="33"/>
        <v>10160.534376059844</v>
      </c>
      <c r="E1033" s="136">
        <f t="shared" si="34"/>
        <v>2022</v>
      </c>
      <c r="F1033" s="135">
        <f>_xlfn.XLOOKUP(D410,'3. Input (des)investeringen '!$B$11:$B$81,'3. Input (des)investeringen '!$E$11:$E$81)</f>
        <v>1</v>
      </c>
    </row>
    <row r="1034" spans="2:6">
      <c r="B1034">
        <v>394</v>
      </c>
      <c r="D1034" s="137">
        <f t="shared" si="33"/>
        <v>147761.88545380786</v>
      </c>
      <c r="E1034" s="136">
        <f t="shared" si="34"/>
        <v>2022</v>
      </c>
      <c r="F1034" s="135">
        <f>_xlfn.XLOOKUP(D411,'3. Input (des)investeringen '!$B$11:$B$81,'3. Input (des)investeringen '!$E$11:$E$81)</f>
        <v>1</v>
      </c>
    </row>
    <row r="1035" spans="2:6">
      <c r="B1035">
        <v>395</v>
      </c>
      <c r="D1035" s="137">
        <f t="shared" si="33"/>
        <v>45540.794182929996</v>
      </c>
      <c r="E1035" s="136">
        <f t="shared" si="34"/>
        <v>2022</v>
      </c>
      <c r="F1035" s="135">
        <f>_xlfn.XLOOKUP(D412,'3. Input (des)investeringen '!$B$11:$B$81,'3. Input (des)investeringen '!$E$11:$E$81)</f>
        <v>1</v>
      </c>
    </row>
    <row r="1036" spans="2:6">
      <c r="B1036">
        <v>396</v>
      </c>
      <c r="D1036" s="137">
        <f t="shared" si="33"/>
        <v>93894.172378139556</v>
      </c>
      <c r="E1036" s="136">
        <f t="shared" si="34"/>
        <v>2022</v>
      </c>
      <c r="F1036" s="135">
        <f>_xlfn.XLOOKUP(D413,'3. Input (des)investeringen '!$B$11:$B$81,'3. Input (des)investeringen '!$E$11:$E$81)</f>
        <v>1</v>
      </c>
    </row>
    <row r="1037" spans="2:6">
      <c r="B1037">
        <v>397</v>
      </c>
      <c r="D1037" s="137">
        <f t="shared" si="33"/>
        <v>177718.38388286164</v>
      </c>
      <c r="E1037" s="136">
        <f t="shared" si="34"/>
        <v>2022</v>
      </c>
      <c r="F1037" s="135">
        <f>_xlfn.XLOOKUP(D414,'3. Input (des)investeringen '!$B$11:$B$81,'3. Input (des)investeringen '!$E$11:$E$81)</f>
        <v>1</v>
      </c>
    </row>
    <row r="1038" spans="2:6">
      <c r="B1038">
        <v>398</v>
      </c>
      <c r="D1038" s="137">
        <f t="shared" si="33"/>
        <v>1294499.6997653714</v>
      </c>
      <c r="E1038" s="136">
        <f t="shared" si="34"/>
        <v>2022</v>
      </c>
      <c r="F1038" s="135">
        <f>_xlfn.XLOOKUP(D415,'3. Input (des)investeringen '!$B$11:$B$81,'3. Input (des)investeringen '!$E$11:$E$81)</f>
        <v>1</v>
      </c>
    </row>
    <row r="1039" spans="2:6">
      <c r="B1039">
        <v>399</v>
      </c>
      <c r="D1039" s="137">
        <f t="shared" si="33"/>
        <v>2808385.7094326685</v>
      </c>
      <c r="E1039" s="136">
        <f t="shared" si="34"/>
        <v>2022</v>
      </c>
      <c r="F1039" s="135">
        <f>_xlfn.XLOOKUP(D416,'3. Input (des)investeringen '!$B$11:$B$81,'3. Input (des)investeringen '!$E$11:$E$81)</f>
        <v>1</v>
      </c>
    </row>
    <row r="1040" spans="2:6">
      <c r="B1040">
        <v>400</v>
      </c>
      <c r="D1040" s="137">
        <f t="shared" si="33"/>
        <v>45194.667709534398</v>
      </c>
      <c r="E1040" s="136">
        <f t="shared" si="34"/>
        <v>2022</v>
      </c>
      <c r="F1040" s="135">
        <f>_xlfn.XLOOKUP(D417,'3. Input (des)investeringen '!$B$11:$B$81,'3. Input (des)investeringen '!$E$11:$E$81)</f>
        <v>1</v>
      </c>
    </row>
    <row r="1041" spans="2:9">
      <c r="B1041">
        <v>401</v>
      </c>
      <c r="D1041" s="137">
        <f t="shared" si="33"/>
        <v>352203.69724490831</v>
      </c>
      <c r="E1041" s="136">
        <f t="shared" si="34"/>
        <v>2022</v>
      </c>
      <c r="F1041" s="135">
        <f>_xlfn.XLOOKUP(D418,'3. Input (des)investeringen '!$B$11:$B$81,'3. Input (des)investeringen '!$E$11:$E$81)</f>
        <v>1</v>
      </c>
    </row>
    <row r="1042" spans="2:9">
      <c r="B1042">
        <v>402</v>
      </c>
      <c r="D1042" s="137">
        <f t="shared" si="33"/>
        <v>263048.27140793024</v>
      </c>
      <c r="E1042" s="136">
        <f t="shared" si="34"/>
        <v>2022</v>
      </c>
      <c r="F1042" s="135">
        <f>_xlfn.XLOOKUP(D419,'3. Input (des)investeringen '!$B$11:$B$81,'3. Input (des)investeringen '!$E$11:$E$81)</f>
        <v>1</v>
      </c>
    </row>
    <row r="1043" spans="2:9">
      <c r="B1043">
        <v>403</v>
      </c>
      <c r="D1043" s="137">
        <f t="shared" si="33"/>
        <v>458832.76437743992</v>
      </c>
      <c r="E1043" s="136">
        <f t="shared" si="34"/>
        <v>2022</v>
      </c>
      <c r="F1043" s="135">
        <f>_xlfn.XLOOKUP(D420,'3. Input (des)investeringen '!$B$11:$B$81,'3. Input (des)investeringen '!$E$11:$E$81)</f>
        <v>1</v>
      </c>
    </row>
    <row r="1044" spans="2:9">
      <c r="B1044">
        <v>404</v>
      </c>
      <c r="D1044" s="137">
        <f t="shared" si="33"/>
        <v>3568467.7964144056</v>
      </c>
      <c r="E1044" s="136">
        <f t="shared" si="34"/>
        <v>2022</v>
      </c>
      <c r="F1044" s="135">
        <f>_xlfn.XLOOKUP(D421,'3. Input (des)investeringen '!$B$11:$B$81,'3. Input (des)investeringen '!$E$11:$E$81)</f>
        <v>1</v>
      </c>
    </row>
    <row r="1045" spans="2:9">
      <c r="B1045">
        <v>405</v>
      </c>
      <c r="D1045" s="137">
        <f t="shared" si="33"/>
        <v>26233.757086429297</v>
      </c>
      <c r="E1045" s="136">
        <f t="shared" si="34"/>
        <v>2022</v>
      </c>
      <c r="F1045" s="135">
        <f>_xlfn.XLOOKUP(D422,'3. Input (des)investeringen '!$B$11:$B$81,'3. Input (des)investeringen '!$E$11:$E$81)</f>
        <v>1</v>
      </c>
    </row>
    <row r="1046" spans="2:9">
      <c r="B1046">
        <v>406</v>
      </c>
      <c r="D1046" s="137">
        <f t="shared" si="33"/>
        <v>452051.40390749951</v>
      </c>
      <c r="E1046" s="136">
        <f t="shared" si="34"/>
        <v>2022</v>
      </c>
      <c r="F1046" s="135">
        <f>_xlfn.XLOOKUP(D423,'3. Input (des)investeringen '!$B$11:$B$81,'3. Input (des)investeringen '!$E$11:$E$81)</f>
        <v>1</v>
      </c>
    </row>
    <row r="1047" spans="2:9">
      <c r="B1047">
        <v>407</v>
      </c>
      <c r="D1047" s="137">
        <f t="shared" si="33"/>
        <v>57956.278680094474</v>
      </c>
      <c r="E1047" s="136">
        <f t="shared" si="34"/>
        <v>2022</v>
      </c>
      <c r="F1047" s="135">
        <f>_xlfn.XLOOKUP(D424,'3. Input (des)investeringen '!$B$11:$B$81,'3. Input (des)investeringen '!$E$11:$E$81)</f>
        <v>1</v>
      </c>
    </row>
    <row r="1048" spans="2:9">
      <c r="B1048">
        <v>408</v>
      </c>
      <c r="D1048" s="137">
        <f t="shared" ref="D1048:D1111" si="35">F425*INDEX($E$556:$CG$636,E425-1945,G425-1945)</f>
        <v>285635.79568697215</v>
      </c>
      <c r="E1048" s="136">
        <f t="shared" ref="E1048:E1111" si="36">G425</f>
        <v>2023</v>
      </c>
      <c r="F1048" s="135">
        <f>_xlfn.XLOOKUP(D425,'3. Input (des)investeringen '!$B$11:$B$81,'3. Input (des)investeringen '!$E$11:$E$81)</f>
        <v>1</v>
      </c>
    </row>
    <row r="1049" spans="2:9">
      <c r="B1049">
        <v>409</v>
      </c>
      <c r="D1049" s="137">
        <f t="shared" si="35"/>
        <v>249266.83112068888</v>
      </c>
      <c r="E1049" s="136">
        <f t="shared" si="36"/>
        <v>2023</v>
      </c>
      <c r="F1049" s="135">
        <f>_xlfn.XLOOKUP(D426,'3. Input (des)investeringen '!$B$11:$B$81,'3. Input (des)investeringen '!$E$11:$E$81)</f>
        <v>1</v>
      </c>
    </row>
    <row r="1050" spans="2:9">
      <c r="B1050">
        <v>410</v>
      </c>
      <c r="D1050" s="137">
        <f t="shared" si="35"/>
        <v>347574.85703515873</v>
      </c>
      <c r="E1050" s="136">
        <f t="shared" si="36"/>
        <v>2023</v>
      </c>
      <c r="F1050" s="135">
        <f>_xlfn.XLOOKUP(D427,'3. Input (des)investeringen '!$B$11:$B$81,'3. Input (des)investeringen '!$E$11:$E$81)</f>
        <v>1</v>
      </c>
      <c r="I1050" s="356"/>
    </row>
    <row r="1051" spans="2:9">
      <c r="B1051">
        <v>411</v>
      </c>
      <c r="D1051" s="137">
        <f t="shared" si="35"/>
        <v>321100.81484869617</v>
      </c>
      <c r="E1051" s="136">
        <f t="shared" si="36"/>
        <v>2023</v>
      </c>
      <c r="F1051" s="135">
        <f>_xlfn.XLOOKUP(D428,'3. Input (des)investeringen '!$B$11:$B$81,'3. Input (des)investeringen '!$E$11:$E$81)</f>
        <v>1</v>
      </c>
    </row>
    <row r="1052" spans="2:9">
      <c r="B1052">
        <v>412</v>
      </c>
      <c r="D1052" s="137">
        <f t="shared" si="35"/>
        <v>861524.88487694261</v>
      </c>
      <c r="E1052" s="136">
        <f t="shared" si="36"/>
        <v>2023</v>
      </c>
      <c r="F1052" s="135">
        <f>_xlfn.XLOOKUP(D429,'3. Input (des)investeringen '!$B$11:$B$81,'3. Input (des)investeringen '!$E$11:$E$81)</f>
        <v>1</v>
      </c>
    </row>
    <row r="1053" spans="2:9">
      <c r="B1053">
        <v>413</v>
      </c>
      <c r="D1053" s="137">
        <f t="shared" si="35"/>
        <v>469490.76539010642</v>
      </c>
      <c r="E1053" s="136">
        <f t="shared" si="36"/>
        <v>2023</v>
      </c>
      <c r="F1053" s="135">
        <f>_xlfn.XLOOKUP(D430,'3. Input (des)investeringen '!$B$11:$B$81,'3. Input (des)investeringen '!$E$11:$E$81)</f>
        <v>1</v>
      </c>
    </row>
    <row r="1054" spans="2:9">
      <c r="B1054">
        <v>414</v>
      </c>
      <c r="D1054" s="137">
        <f t="shared" si="35"/>
        <v>483622.21037156548</v>
      </c>
      <c r="E1054" s="136">
        <f t="shared" si="36"/>
        <v>2023</v>
      </c>
      <c r="F1054" s="135">
        <f>_xlfn.XLOOKUP(D431,'3. Input (des)investeringen '!$B$11:$B$81,'3. Input (des)investeringen '!$E$11:$E$81)</f>
        <v>1</v>
      </c>
    </row>
    <row r="1055" spans="2:9">
      <c r="B1055">
        <v>415</v>
      </c>
      <c r="D1055" s="137">
        <f t="shared" si="35"/>
        <v>2866585.2646686863</v>
      </c>
      <c r="E1055" s="136">
        <f t="shared" si="36"/>
        <v>2023</v>
      </c>
      <c r="F1055" s="135">
        <f>_xlfn.XLOOKUP(D432,'3. Input (des)investeringen '!$B$11:$B$81,'3. Input (des)investeringen '!$E$11:$E$81)</f>
        <v>1</v>
      </c>
    </row>
    <row r="1056" spans="2:9">
      <c r="B1056">
        <v>416</v>
      </c>
      <c r="D1056" s="137">
        <f t="shared" si="35"/>
        <v>932820.72214634728</v>
      </c>
      <c r="E1056" s="136">
        <f t="shared" si="36"/>
        <v>2023</v>
      </c>
      <c r="F1056" s="135">
        <f>_xlfn.XLOOKUP(D433,'3. Input (des)investeringen '!$B$11:$B$81,'3. Input (des)investeringen '!$E$11:$E$81)</f>
        <v>1</v>
      </c>
    </row>
    <row r="1057" spans="2:6">
      <c r="B1057">
        <v>417</v>
      </c>
      <c r="D1057" s="137">
        <f t="shared" si="35"/>
        <v>1185977.7434346818</v>
      </c>
      <c r="E1057" s="136">
        <f t="shared" si="36"/>
        <v>2023</v>
      </c>
      <c r="F1057" s="135">
        <f>_xlfn.XLOOKUP(D434,'3. Input (des)investeringen '!$B$11:$B$81,'3. Input (des)investeringen '!$E$11:$E$81)</f>
        <v>1</v>
      </c>
    </row>
    <row r="1058" spans="2:6">
      <c r="B1058">
        <v>418</v>
      </c>
      <c r="D1058" s="137">
        <f t="shared" si="35"/>
        <v>509869.90481401538</v>
      </c>
      <c r="E1058" s="136">
        <f t="shared" si="36"/>
        <v>2023</v>
      </c>
      <c r="F1058" s="135">
        <f>_xlfn.XLOOKUP(D435,'3. Input (des)investeringen '!$B$11:$B$81,'3. Input (des)investeringen '!$E$11:$E$81)</f>
        <v>1</v>
      </c>
    </row>
    <row r="1059" spans="2:6">
      <c r="B1059">
        <v>419</v>
      </c>
      <c r="D1059" s="137">
        <f t="shared" si="35"/>
        <v>236808.48168715212</v>
      </c>
      <c r="E1059" s="136">
        <f t="shared" si="36"/>
        <v>2023</v>
      </c>
      <c r="F1059" s="135">
        <f>_xlfn.XLOOKUP(D436,'3. Input (des)investeringen '!$B$11:$B$81,'3. Input (des)investeringen '!$E$11:$E$81)</f>
        <v>1</v>
      </c>
    </row>
    <row r="1060" spans="2:6">
      <c r="B1060">
        <v>420</v>
      </c>
      <c r="D1060" s="137">
        <f t="shared" si="35"/>
        <v>157003.07208654779</v>
      </c>
      <c r="E1060" s="136">
        <f t="shared" si="36"/>
        <v>2023</v>
      </c>
      <c r="F1060" s="135">
        <f>_xlfn.XLOOKUP(D437,'3. Input (des)investeringen '!$B$11:$B$81,'3. Input (des)investeringen '!$E$11:$E$81)</f>
        <v>1</v>
      </c>
    </row>
    <row r="1061" spans="2:6">
      <c r="B1061">
        <v>421</v>
      </c>
      <c r="D1061" s="137">
        <f t="shared" si="35"/>
        <v>9486.0875217443881</v>
      </c>
      <c r="E1061" s="136">
        <f t="shared" si="36"/>
        <v>2023</v>
      </c>
      <c r="F1061" s="135">
        <f>_xlfn.XLOOKUP(D438,'3. Input (des)investeringen '!$B$11:$B$81,'3. Input (des)investeringen '!$E$11:$E$81)</f>
        <v>1</v>
      </c>
    </row>
    <row r="1062" spans="2:6">
      <c r="B1062">
        <v>422</v>
      </c>
      <c r="D1062" s="137">
        <f t="shared" si="35"/>
        <v>2884.0040012863105</v>
      </c>
      <c r="E1062" s="136">
        <f t="shared" si="36"/>
        <v>2023</v>
      </c>
      <c r="F1062" s="135">
        <f>_xlfn.XLOOKUP(D439,'3. Input (des)investeringen '!$B$11:$B$81,'3. Input (des)investeringen '!$E$11:$E$81)</f>
        <v>1</v>
      </c>
    </row>
    <row r="1063" spans="2:6">
      <c r="B1063">
        <v>423</v>
      </c>
      <c r="D1063" s="137">
        <f t="shared" si="35"/>
        <v>4183.7080719061742</v>
      </c>
      <c r="E1063" s="136">
        <f t="shared" si="36"/>
        <v>2023</v>
      </c>
      <c r="F1063" s="135">
        <f>_xlfn.XLOOKUP(D440,'3. Input (des)investeringen '!$B$11:$B$81,'3. Input (des)investeringen '!$E$11:$E$81)</f>
        <v>1</v>
      </c>
    </row>
    <row r="1064" spans="2:6">
      <c r="B1064">
        <v>424</v>
      </c>
      <c r="D1064" s="137">
        <f t="shared" si="35"/>
        <v>17193.152762402715</v>
      </c>
      <c r="E1064" s="136">
        <f t="shared" si="36"/>
        <v>2023</v>
      </c>
      <c r="F1064" s="135">
        <f>_xlfn.XLOOKUP(D441,'3. Input (des)investeringen '!$B$11:$B$81,'3. Input (des)investeringen '!$E$11:$E$81)</f>
        <v>1</v>
      </c>
    </row>
    <row r="1065" spans="2:6">
      <c r="B1065">
        <v>425</v>
      </c>
      <c r="D1065" s="137">
        <f t="shared" si="35"/>
        <v>310985.27946651384</v>
      </c>
      <c r="E1065" s="136">
        <f t="shared" si="36"/>
        <v>2023</v>
      </c>
      <c r="F1065" s="135">
        <f>_xlfn.XLOOKUP(D442,'3. Input (des)investeringen '!$B$11:$B$81,'3. Input (des)investeringen '!$E$11:$E$81)</f>
        <v>1</v>
      </c>
    </row>
    <row r="1066" spans="2:6">
      <c r="B1066">
        <v>426</v>
      </c>
      <c r="D1066" s="137">
        <f t="shared" si="35"/>
        <v>0</v>
      </c>
      <c r="E1066" s="136">
        <f t="shared" si="36"/>
        <v>2023</v>
      </c>
      <c r="F1066" s="135">
        <f>_xlfn.XLOOKUP(D443,'3. Input (des)investeringen '!$B$11:$B$81,'3. Input (des)investeringen '!$E$11:$E$81)</f>
        <v>1</v>
      </c>
    </row>
    <row r="1067" spans="2:6">
      <c r="B1067">
        <v>427</v>
      </c>
      <c r="D1067" s="137">
        <f t="shared" si="35"/>
        <v>56189.66023157903</v>
      </c>
      <c r="E1067" s="136">
        <f t="shared" si="36"/>
        <v>2023</v>
      </c>
      <c r="F1067" s="135">
        <f>_xlfn.XLOOKUP(D444,'3. Input (des)investeringen '!$B$11:$B$81,'3. Input (des)investeringen '!$E$11:$E$81)</f>
        <v>1</v>
      </c>
    </row>
    <row r="1068" spans="2:6">
      <c r="B1068">
        <v>428</v>
      </c>
      <c r="D1068" s="137">
        <f t="shared" si="35"/>
        <v>23066.943191521783</v>
      </c>
      <c r="E1068" s="136">
        <f t="shared" si="36"/>
        <v>2023</v>
      </c>
      <c r="F1068" s="135">
        <f>_xlfn.XLOOKUP(D445,'3. Input (des)investeringen '!$B$11:$B$81,'3. Input (des)investeringen '!$E$11:$E$81)</f>
        <v>1</v>
      </c>
    </row>
    <row r="1069" spans="2:6">
      <c r="B1069">
        <v>429</v>
      </c>
      <c r="D1069" s="137">
        <f t="shared" si="35"/>
        <v>61765.863576058793</v>
      </c>
      <c r="E1069" s="136">
        <f t="shared" si="36"/>
        <v>2023</v>
      </c>
      <c r="F1069" s="135">
        <f>_xlfn.XLOOKUP(D446,'3. Input (des)investeringen '!$B$11:$B$81,'3. Input (des)investeringen '!$E$11:$E$81)</f>
        <v>1</v>
      </c>
    </row>
    <row r="1070" spans="2:6">
      <c r="B1070">
        <v>430</v>
      </c>
      <c r="D1070" s="137">
        <f t="shared" si="35"/>
        <v>76760.168932161934</v>
      </c>
      <c r="E1070" s="136">
        <f t="shared" si="36"/>
        <v>2023</v>
      </c>
      <c r="F1070" s="135">
        <f>_xlfn.XLOOKUP(D447,'3. Input (des)investeringen '!$B$11:$B$81,'3. Input (des)investeringen '!$E$11:$E$81)</f>
        <v>1</v>
      </c>
    </row>
    <row r="1071" spans="2:6">
      <c r="B1071">
        <v>431</v>
      </c>
      <c r="D1071" s="137">
        <f t="shared" si="35"/>
        <v>13814.065455958173</v>
      </c>
      <c r="E1071" s="136">
        <f t="shared" si="36"/>
        <v>2023</v>
      </c>
      <c r="F1071" s="135">
        <f>_xlfn.XLOOKUP(D448,'3. Input (des)investeringen '!$B$11:$B$81,'3. Input (des)investeringen '!$E$11:$E$81)</f>
        <v>1</v>
      </c>
    </row>
    <row r="1072" spans="2:6">
      <c r="B1072">
        <v>432</v>
      </c>
      <c r="D1072" s="137">
        <f t="shared" si="35"/>
        <v>489924.0047235713</v>
      </c>
      <c r="E1072" s="136">
        <f t="shared" si="36"/>
        <v>2023</v>
      </c>
      <c r="F1072" s="135">
        <f>_xlfn.XLOOKUP(D449,'3. Input (des)investeringen '!$B$11:$B$81,'3. Input (des)investeringen '!$E$11:$E$81)</f>
        <v>1</v>
      </c>
    </row>
    <row r="1073" spans="2:6">
      <c r="B1073">
        <v>433</v>
      </c>
      <c r="D1073" s="137">
        <f t="shared" si="35"/>
        <v>22437.577813218642</v>
      </c>
      <c r="E1073" s="136">
        <f t="shared" si="36"/>
        <v>2023</v>
      </c>
      <c r="F1073" s="135">
        <f>_xlfn.XLOOKUP(D450,'3. Input (des)investeringen '!$B$11:$B$81,'3. Input (des)investeringen '!$E$11:$E$81)</f>
        <v>1</v>
      </c>
    </row>
    <row r="1074" spans="2:6">
      <c r="B1074">
        <v>434</v>
      </c>
      <c r="D1074" s="137">
        <f t="shared" si="35"/>
        <v>482022.08869529201</v>
      </c>
      <c r="E1074" s="136">
        <f t="shared" si="36"/>
        <v>2023</v>
      </c>
      <c r="F1074" s="135">
        <f>_xlfn.XLOOKUP(D451,'3. Input (des)investeringen '!$B$11:$B$81,'3. Input (des)investeringen '!$E$11:$E$81)</f>
        <v>1</v>
      </c>
    </row>
    <row r="1075" spans="2:6">
      <c r="B1075">
        <v>435</v>
      </c>
      <c r="D1075" s="137">
        <f t="shared" si="35"/>
        <v>109148.11117929975</v>
      </c>
      <c r="E1075" s="136">
        <f t="shared" si="36"/>
        <v>2023</v>
      </c>
      <c r="F1075" s="135">
        <f>_xlfn.XLOOKUP(D452,'3. Input (des)investeringen '!$B$11:$B$81,'3. Input (des)investeringen '!$E$11:$E$81)</f>
        <v>0</v>
      </c>
    </row>
    <row r="1076" spans="2:6">
      <c r="B1076">
        <v>436</v>
      </c>
      <c r="D1076" s="137">
        <f t="shared" si="35"/>
        <v>798682.37055175169</v>
      </c>
      <c r="E1076" s="136">
        <f t="shared" si="36"/>
        <v>2023</v>
      </c>
      <c r="F1076" s="135">
        <f>_xlfn.XLOOKUP(D453,'3. Input (des)investeringen '!$B$11:$B$81,'3. Input (des)investeringen '!$E$11:$E$81)</f>
        <v>0</v>
      </c>
    </row>
    <row r="1077" spans="2:6">
      <c r="B1077">
        <v>437</v>
      </c>
      <c r="D1077" s="137">
        <f t="shared" si="35"/>
        <v>1030761.6522493181</v>
      </c>
      <c r="E1077" s="136">
        <f t="shared" si="36"/>
        <v>2023</v>
      </c>
      <c r="F1077" s="135">
        <f>_xlfn.XLOOKUP(D454,'3. Input (des)investeringen '!$B$11:$B$81,'3. Input (des)investeringen '!$E$11:$E$81)</f>
        <v>0</v>
      </c>
    </row>
    <row r="1078" spans="2:6">
      <c r="B1078">
        <v>438</v>
      </c>
      <c r="D1078" s="137">
        <f t="shared" si="35"/>
        <v>173319.41485069564</v>
      </c>
      <c r="E1078" s="136">
        <f t="shared" si="36"/>
        <v>2023</v>
      </c>
      <c r="F1078" s="135">
        <f>_xlfn.XLOOKUP(D455,'3. Input (des)investeringen '!$B$11:$B$81,'3. Input (des)investeringen '!$E$11:$E$81)</f>
        <v>0</v>
      </c>
    </row>
    <row r="1079" spans="2:6">
      <c r="B1079">
        <v>439</v>
      </c>
      <c r="D1079" s="137">
        <f t="shared" si="35"/>
        <v>522403.79514717701</v>
      </c>
      <c r="E1079" s="136">
        <f t="shared" si="36"/>
        <v>2023</v>
      </c>
      <c r="F1079" s="135">
        <f>_xlfn.XLOOKUP(D456,'3. Input (des)investeringen '!$B$11:$B$81,'3. Input (des)investeringen '!$E$11:$E$81)</f>
        <v>0</v>
      </c>
    </row>
    <row r="1080" spans="2:6">
      <c r="B1080">
        <v>440</v>
      </c>
      <c r="D1080" s="137">
        <f t="shared" si="35"/>
        <v>393499.97479407035</v>
      </c>
      <c r="E1080" s="136">
        <f t="shared" si="36"/>
        <v>2023</v>
      </c>
      <c r="F1080" s="135">
        <f>_xlfn.XLOOKUP(D457,'3. Input (des)investeringen '!$B$11:$B$81,'3. Input (des)investeringen '!$E$11:$E$81)</f>
        <v>0</v>
      </c>
    </row>
    <row r="1081" spans="2:6">
      <c r="B1081">
        <v>441</v>
      </c>
      <c r="D1081" s="137">
        <f t="shared" si="35"/>
        <v>720079.2458849001</v>
      </c>
      <c r="E1081" s="136">
        <f t="shared" si="36"/>
        <v>2023</v>
      </c>
      <c r="F1081" s="135">
        <f>_xlfn.XLOOKUP(D458,'3. Input (des)investeringen '!$B$11:$B$81,'3. Input (des)investeringen '!$E$11:$E$81)</f>
        <v>0</v>
      </c>
    </row>
    <row r="1082" spans="2:6">
      <c r="B1082">
        <v>442</v>
      </c>
      <c r="D1082" s="137">
        <f t="shared" si="35"/>
        <v>324939.5513944648</v>
      </c>
      <c r="E1082" s="136">
        <f t="shared" si="36"/>
        <v>2023</v>
      </c>
      <c r="F1082" s="135">
        <f>_xlfn.XLOOKUP(D459,'3. Input (des)investeringen '!$B$11:$B$81,'3. Input (des)investeringen '!$E$11:$E$81)</f>
        <v>0</v>
      </c>
    </row>
    <row r="1083" spans="2:6">
      <c r="B1083">
        <v>443</v>
      </c>
      <c r="D1083" s="137">
        <f t="shared" si="35"/>
        <v>198849.71653117737</v>
      </c>
      <c r="E1083" s="136">
        <f t="shared" si="36"/>
        <v>2023</v>
      </c>
      <c r="F1083" s="135">
        <f>_xlfn.XLOOKUP(D460,'3. Input (des)investeringen '!$B$11:$B$81,'3. Input (des)investeringen '!$E$11:$E$81)</f>
        <v>0</v>
      </c>
    </row>
    <row r="1084" spans="2:6">
      <c r="B1084">
        <v>444</v>
      </c>
      <c r="D1084" s="137">
        <f t="shared" si="35"/>
        <v>164251.35459825987</v>
      </c>
      <c r="E1084" s="136">
        <f t="shared" si="36"/>
        <v>2023</v>
      </c>
      <c r="F1084" s="135">
        <f>_xlfn.XLOOKUP(D461,'3. Input (des)investeringen '!$B$11:$B$81,'3. Input (des)investeringen '!$E$11:$E$81)</f>
        <v>0</v>
      </c>
    </row>
    <row r="1085" spans="2:6">
      <c r="B1085">
        <v>445</v>
      </c>
      <c r="D1085" s="137">
        <f t="shared" si="35"/>
        <v>11733.192073654014</v>
      </c>
      <c r="E1085" s="136">
        <f t="shared" si="36"/>
        <v>2023</v>
      </c>
      <c r="F1085" s="135">
        <f>_xlfn.XLOOKUP(D462,'3. Input (des)investeringen '!$B$11:$B$81,'3. Input (des)investeringen '!$E$11:$E$81)</f>
        <v>0</v>
      </c>
    </row>
    <row r="1086" spans="2:6">
      <c r="B1086">
        <v>446</v>
      </c>
      <c r="D1086" s="137">
        <f t="shared" si="35"/>
        <v>125422.19335400098</v>
      </c>
      <c r="E1086" s="136">
        <f t="shared" si="36"/>
        <v>2023</v>
      </c>
      <c r="F1086" s="135">
        <f>_xlfn.XLOOKUP(D463,'3. Input (des)investeringen '!$B$11:$B$81,'3. Input (des)investeringen '!$E$11:$E$81)</f>
        <v>0</v>
      </c>
    </row>
    <row r="1087" spans="2:6">
      <c r="B1087">
        <v>447</v>
      </c>
      <c r="D1087" s="137">
        <f t="shared" si="35"/>
        <v>150583.87798958004</v>
      </c>
      <c r="E1087" s="136">
        <f t="shared" si="36"/>
        <v>2023</v>
      </c>
      <c r="F1087" s="135">
        <f>_xlfn.XLOOKUP(D464,'3. Input (des)investeringen '!$B$11:$B$81,'3. Input (des)investeringen '!$E$11:$E$81)</f>
        <v>0</v>
      </c>
    </row>
    <row r="1088" spans="2:6">
      <c r="B1088">
        <v>448</v>
      </c>
      <c r="D1088" s="137">
        <f t="shared" si="35"/>
        <v>187073.7124672959</v>
      </c>
      <c r="E1088" s="136">
        <f t="shared" si="36"/>
        <v>2023</v>
      </c>
      <c r="F1088" s="135">
        <f>_xlfn.XLOOKUP(D465,'3. Input (des)investeringen '!$B$11:$B$81,'3. Input (des)investeringen '!$E$11:$E$81)</f>
        <v>0</v>
      </c>
    </row>
    <row r="1089" spans="2:6">
      <c r="B1089">
        <v>449</v>
      </c>
      <c r="D1089" s="137">
        <f t="shared" si="35"/>
        <v>16141.872193424901</v>
      </c>
      <c r="E1089" s="136">
        <f t="shared" si="36"/>
        <v>2023</v>
      </c>
      <c r="F1089" s="135">
        <f>_xlfn.XLOOKUP(D466,'3. Input (des)investeringen '!$B$11:$B$81,'3. Input (des)investeringen '!$E$11:$E$81)</f>
        <v>0</v>
      </c>
    </row>
    <row r="1090" spans="2:6">
      <c r="B1090">
        <v>450</v>
      </c>
      <c r="D1090" s="137">
        <f t="shared" si="35"/>
        <v>6130.344945733591</v>
      </c>
      <c r="E1090" s="136">
        <f t="shared" si="36"/>
        <v>2023</v>
      </c>
      <c r="F1090" s="135">
        <f>_xlfn.XLOOKUP(D467,'3. Input (des)investeringen '!$B$11:$B$81,'3. Input (des)investeringen '!$E$11:$E$81)</f>
        <v>0</v>
      </c>
    </row>
    <row r="1091" spans="2:6">
      <c r="B1091">
        <v>451</v>
      </c>
      <c r="D1091" s="137">
        <f t="shared" si="35"/>
        <v>12506.026558124702</v>
      </c>
      <c r="E1091" s="136">
        <f t="shared" si="36"/>
        <v>2023</v>
      </c>
      <c r="F1091" s="135">
        <f>_xlfn.XLOOKUP(D468,'3. Input (des)investeringen '!$B$11:$B$81,'3. Input (des)investeringen '!$E$11:$E$81)</f>
        <v>0</v>
      </c>
    </row>
    <row r="1092" spans="2:6">
      <c r="B1092">
        <v>452</v>
      </c>
      <c r="D1092" s="137">
        <f t="shared" si="35"/>
        <v>378094.79162456573</v>
      </c>
      <c r="E1092" s="136">
        <f t="shared" si="36"/>
        <v>2023</v>
      </c>
      <c r="F1092" s="135">
        <f>_xlfn.XLOOKUP(D469,'3. Input (des)investeringen '!$B$11:$B$81,'3. Input (des)investeringen '!$E$11:$E$81)</f>
        <v>0</v>
      </c>
    </row>
    <row r="1093" spans="2:6">
      <c r="B1093">
        <v>453</v>
      </c>
      <c r="D1093" s="137">
        <f t="shared" si="35"/>
        <v>16053.69375893263</v>
      </c>
      <c r="E1093" s="136">
        <f t="shared" si="36"/>
        <v>2023</v>
      </c>
      <c r="F1093" s="135">
        <f>_xlfn.XLOOKUP(D470,'3. Input (des)investeringen '!$B$11:$B$81,'3. Input (des)investeringen '!$E$11:$E$81)</f>
        <v>0</v>
      </c>
    </row>
    <row r="1094" spans="2:6">
      <c r="B1094">
        <v>454</v>
      </c>
      <c r="D1094" s="137">
        <f t="shared" si="35"/>
        <v>16819.273813158587</v>
      </c>
      <c r="E1094" s="136">
        <f t="shared" si="36"/>
        <v>2023</v>
      </c>
      <c r="F1094" s="135">
        <f>_xlfn.XLOOKUP(D471,'3. Input (des)investeringen '!$B$11:$B$81,'3. Input (des)investeringen '!$E$11:$E$81)</f>
        <v>0</v>
      </c>
    </row>
    <row r="1095" spans="2:6">
      <c r="B1095">
        <v>455</v>
      </c>
      <c r="D1095" s="137">
        <f t="shared" si="35"/>
        <v>26274.547039751084</v>
      </c>
      <c r="E1095" s="136">
        <f t="shared" si="36"/>
        <v>2023</v>
      </c>
      <c r="F1095" s="135">
        <f>_xlfn.XLOOKUP(D472,'3. Input (des)investeringen '!$B$11:$B$81,'3. Input (des)investeringen '!$E$11:$E$81)</f>
        <v>0</v>
      </c>
    </row>
    <row r="1096" spans="2:6">
      <c r="B1096">
        <v>456</v>
      </c>
      <c r="D1096" s="137">
        <f t="shared" si="35"/>
        <v>34137.96127349008</v>
      </c>
      <c r="E1096" s="136">
        <f t="shared" si="36"/>
        <v>2023</v>
      </c>
      <c r="F1096" s="135">
        <f>_xlfn.XLOOKUP(D473,'3. Input (des)investeringen '!$B$11:$B$81,'3. Input (des)investeringen '!$E$11:$E$81)</f>
        <v>0</v>
      </c>
    </row>
    <row r="1097" spans="2:6">
      <c r="B1097">
        <v>457</v>
      </c>
      <c r="D1097" s="137">
        <f t="shared" si="35"/>
        <v>78535.654281385127</v>
      </c>
      <c r="E1097" s="136">
        <f t="shared" si="36"/>
        <v>2023</v>
      </c>
      <c r="F1097" s="135">
        <f>_xlfn.XLOOKUP(D474,'3. Input (des)investeringen '!$B$11:$B$81,'3. Input (des)investeringen '!$E$11:$E$81)</f>
        <v>0</v>
      </c>
    </row>
    <row r="1098" spans="2:6">
      <c r="B1098">
        <v>458</v>
      </c>
      <c r="D1098" s="137">
        <f t="shared" si="35"/>
        <v>34093.287733188481</v>
      </c>
      <c r="E1098" s="136">
        <f t="shared" si="36"/>
        <v>2023</v>
      </c>
      <c r="F1098" s="135">
        <f>_xlfn.XLOOKUP(D475,'3. Input (des)investeringen '!$B$11:$B$81,'3. Input (des)investeringen '!$E$11:$E$81)</f>
        <v>0</v>
      </c>
    </row>
    <row r="1099" spans="2:6">
      <c r="B1099">
        <v>459</v>
      </c>
      <c r="D1099" s="137">
        <f t="shared" si="35"/>
        <v>94879.334151807998</v>
      </c>
      <c r="E1099" s="136">
        <f t="shared" si="36"/>
        <v>2023</v>
      </c>
      <c r="F1099" s="135">
        <f>_xlfn.XLOOKUP(D476,'3. Input (des)investeringen '!$B$11:$B$81,'3. Input (des)investeringen '!$E$11:$E$81)</f>
        <v>0</v>
      </c>
    </row>
    <row r="1100" spans="2:6">
      <c r="B1100">
        <v>460</v>
      </c>
      <c r="D1100" s="137">
        <f t="shared" si="35"/>
        <v>7995.5990827184187</v>
      </c>
      <c r="E1100" s="136">
        <f t="shared" si="36"/>
        <v>2023</v>
      </c>
      <c r="F1100" s="135">
        <f>_xlfn.XLOOKUP(D477,'3. Input (des)investeringen '!$B$11:$B$81,'3. Input (des)investeringen '!$E$11:$E$81)</f>
        <v>1</v>
      </c>
    </row>
    <row r="1101" spans="2:6">
      <c r="B1101">
        <v>461</v>
      </c>
      <c r="D1101" s="137">
        <f t="shared" si="35"/>
        <v>202260.44489470436</v>
      </c>
      <c r="E1101" s="136">
        <f t="shared" si="36"/>
        <v>2023</v>
      </c>
      <c r="F1101" s="135">
        <f>_xlfn.XLOOKUP(D478,'3. Input (des)investeringen '!$B$11:$B$81,'3. Input (des)investeringen '!$E$11:$E$81)</f>
        <v>0</v>
      </c>
    </row>
    <row r="1102" spans="2:6">
      <c r="B1102">
        <v>462</v>
      </c>
      <c r="D1102" s="137">
        <f t="shared" si="35"/>
        <v>27363.85775491851</v>
      </c>
      <c r="E1102" s="136">
        <f t="shared" si="36"/>
        <v>2023</v>
      </c>
      <c r="F1102" s="135">
        <f>_xlfn.XLOOKUP(D479,'3. Input (des)investeringen '!$B$11:$B$81,'3. Input (des)investeringen '!$E$11:$E$81)</f>
        <v>0</v>
      </c>
    </row>
    <row r="1103" spans="2:6">
      <c r="B1103">
        <v>463</v>
      </c>
      <c r="D1103" s="137">
        <f t="shared" si="35"/>
        <v>2099990.2025125339</v>
      </c>
      <c r="E1103" s="136">
        <f t="shared" si="36"/>
        <v>2023</v>
      </c>
      <c r="F1103" s="135">
        <f>_xlfn.XLOOKUP(D480,'3. Input (des)investeringen '!$B$11:$B$81,'3. Input (des)investeringen '!$E$11:$E$81)</f>
        <v>1</v>
      </c>
    </row>
    <row r="1104" spans="2:6">
      <c r="B1104">
        <v>464</v>
      </c>
      <c r="D1104" s="137">
        <f t="shared" si="35"/>
        <v>88584.167202078708</v>
      </c>
      <c r="E1104" s="136">
        <f t="shared" si="36"/>
        <v>2023</v>
      </c>
      <c r="F1104" s="135">
        <f>_xlfn.XLOOKUP(D481,'3. Input (des)investeringen '!$B$11:$B$81,'3. Input (des)investeringen '!$E$11:$E$81)</f>
        <v>1</v>
      </c>
    </row>
    <row r="1105" spans="2:6">
      <c r="B1105">
        <v>465</v>
      </c>
      <c r="D1105" s="137">
        <f t="shared" si="35"/>
        <v>71192.88784331271</v>
      </c>
      <c r="E1105" s="136">
        <f t="shared" si="36"/>
        <v>2023</v>
      </c>
      <c r="F1105" s="135">
        <f>_xlfn.XLOOKUP(D482,'3. Input (des)investeringen '!$B$11:$B$81,'3. Input (des)investeringen '!$E$11:$E$81)</f>
        <v>1</v>
      </c>
    </row>
    <row r="1106" spans="2:6">
      <c r="B1106">
        <v>466</v>
      </c>
      <c r="D1106" s="137">
        <f t="shared" si="35"/>
        <v>59318.38290921889</v>
      </c>
      <c r="E1106" s="136">
        <f t="shared" si="36"/>
        <v>2023</v>
      </c>
      <c r="F1106" s="135">
        <f>_xlfn.XLOOKUP(D483,'3. Input (des)investeringen '!$B$11:$B$81,'3. Input (des)investeringen '!$E$11:$E$81)</f>
        <v>1</v>
      </c>
    </row>
    <row r="1107" spans="2:6">
      <c r="B1107">
        <v>467</v>
      </c>
      <c r="D1107" s="137">
        <f t="shared" si="35"/>
        <v>17242700.130181815</v>
      </c>
      <c r="E1107" s="136">
        <f t="shared" si="36"/>
        <v>2023</v>
      </c>
      <c r="F1107" s="135">
        <f>_xlfn.XLOOKUP(D484,'3. Input (des)investeringen '!$B$11:$B$81,'3. Input (des)investeringen '!$E$11:$E$81)</f>
        <v>1</v>
      </c>
    </row>
    <row r="1108" spans="2:6">
      <c r="B1108">
        <v>468</v>
      </c>
      <c r="D1108" s="137">
        <f t="shared" si="35"/>
        <v>1434168.6087925173</v>
      </c>
      <c r="E1108" s="136">
        <f t="shared" si="36"/>
        <v>2023</v>
      </c>
      <c r="F1108" s="135">
        <f>_xlfn.XLOOKUP(D485,'3. Input (des)investeringen '!$B$11:$B$81,'3. Input (des)investeringen '!$E$11:$E$81)</f>
        <v>1</v>
      </c>
    </row>
    <row r="1109" spans="2:6">
      <c r="B1109">
        <v>469</v>
      </c>
      <c r="D1109" s="137">
        <f t="shared" si="35"/>
        <v>3313494.6652734946</v>
      </c>
      <c r="E1109" s="136">
        <f t="shared" si="36"/>
        <v>2023</v>
      </c>
      <c r="F1109" s="135">
        <f>_xlfn.XLOOKUP(D486,'3. Input (des)investeringen '!$B$11:$B$81,'3. Input (des)investeringen '!$E$11:$E$81)</f>
        <v>1</v>
      </c>
    </row>
    <row r="1110" spans="2:6">
      <c r="B1110">
        <v>470</v>
      </c>
      <c r="D1110" s="137">
        <f t="shared" si="35"/>
        <v>1909058.9733587019</v>
      </c>
      <c r="E1110" s="136">
        <f t="shared" si="36"/>
        <v>2023</v>
      </c>
      <c r="F1110" s="135">
        <f>_xlfn.XLOOKUP(D487,'3. Input (des)investeringen '!$B$11:$B$81,'3. Input (des)investeringen '!$E$11:$E$81)</f>
        <v>1</v>
      </c>
    </row>
    <row r="1111" spans="2:6">
      <c r="B1111">
        <v>471</v>
      </c>
      <c r="D1111" s="137">
        <f t="shared" si="35"/>
        <v>36457.908194673997</v>
      </c>
      <c r="E1111" s="136">
        <f t="shared" si="36"/>
        <v>2023</v>
      </c>
      <c r="F1111" s="135">
        <f>_xlfn.XLOOKUP(D488,'3. Input (des)investeringen '!$B$11:$B$81,'3. Input (des)investeringen '!$E$11:$E$81)</f>
        <v>1</v>
      </c>
    </row>
    <row r="1112" spans="2:6">
      <c r="B1112">
        <v>472</v>
      </c>
      <c r="D1112" s="137">
        <f t="shared" ref="D1112:D1170" si="37">F489*INDEX($E$556:$CG$636,E489-1945,G489-1945)</f>
        <v>1335938.2338781792</v>
      </c>
      <c r="E1112" s="136">
        <f t="shared" ref="E1112:E1171" si="38">G489</f>
        <v>2023</v>
      </c>
      <c r="F1112" s="135">
        <f>_xlfn.XLOOKUP(D489,'3. Input (des)investeringen '!$B$11:$B$81,'3. Input (des)investeringen '!$E$11:$E$81)</f>
        <v>1</v>
      </c>
    </row>
    <row r="1113" spans="2:6">
      <c r="B1113">
        <v>473</v>
      </c>
      <c r="D1113" s="137">
        <f t="shared" si="37"/>
        <v>30104.760365369744</v>
      </c>
      <c r="E1113" s="136">
        <f t="shared" si="38"/>
        <v>2023</v>
      </c>
      <c r="F1113" s="135">
        <f>_xlfn.XLOOKUP(D490,'3. Input (des)investeringen '!$B$11:$B$81,'3. Input (des)investeringen '!$E$11:$E$81)</f>
        <v>1</v>
      </c>
    </row>
    <row r="1114" spans="2:6">
      <c r="B1114">
        <v>474</v>
      </c>
      <c r="D1114" s="137">
        <f t="shared" si="37"/>
        <v>353019.47498281603</v>
      </c>
      <c r="E1114" s="136">
        <f t="shared" si="38"/>
        <v>2023</v>
      </c>
      <c r="F1114" s="135">
        <f>_xlfn.XLOOKUP(D491,'3. Input (des)investeringen '!$B$11:$B$81,'3. Input (des)investeringen '!$E$11:$E$81)</f>
        <v>1</v>
      </c>
    </row>
    <row r="1115" spans="2:6">
      <c r="B1115">
        <v>475</v>
      </c>
      <c r="D1115" s="137">
        <f t="shared" si="37"/>
        <v>2622997.5830845321</v>
      </c>
      <c r="E1115" s="136">
        <f t="shared" si="38"/>
        <v>2023</v>
      </c>
      <c r="F1115" s="135">
        <f>_xlfn.XLOOKUP(D492,'3. Input (des)investeringen '!$B$11:$B$81,'3. Input (des)investeringen '!$E$11:$E$81)</f>
        <v>1</v>
      </c>
    </row>
    <row r="1116" spans="2:6">
      <c r="B1116">
        <v>476</v>
      </c>
      <c r="D1116" s="137">
        <f t="shared" si="37"/>
        <v>264545.47356776358</v>
      </c>
      <c r="E1116" s="136">
        <f t="shared" si="38"/>
        <v>2023</v>
      </c>
      <c r="F1116" s="135">
        <f>_xlfn.XLOOKUP(D493,'3. Input (des)investeringen '!$B$11:$B$81,'3. Input (des)investeringen '!$E$11:$E$81)</f>
        <v>1</v>
      </c>
    </row>
    <row r="1117" spans="2:6">
      <c r="B1117">
        <v>477</v>
      </c>
      <c r="D1117" s="137">
        <f t="shared" si="37"/>
        <v>59569.387064448449</v>
      </c>
      <c r="E1117" s="136">
        <f t="shared" si="38"/>
        <v>2023</v>
      </c>
      <c r="F1117" s="135">
        <f>_xlfn.XLOOKUP(D494,'3. Input (des)investeringen '!$B$11:$B$81,'3. Input (des)investeringen '!$E$11:$E$81)</f>
        <v>1</v>
      </c>
    </row>
    <row r="1118" spans="2:6">
      <c r="B1118">
        <v>478</v>
      </c>
      <c r="D1118" s="137">
        <f t="shared" si="37"/>
        <v>2874560.047436554</v>
      </c>
      <c r="E1118" s="136">
        <f t="shared" si="38"/>
        <v>2023</v>
      </c>
      <c r="F1118" s="135">
        <f>_xlfn.XLOOKUP(D495,'3. Input (des)investeringen '!$B$11:$B$81,'3. Input (des)investeringen '!$E$11:$E$81)</f>
        <v>1</v>
      </c>
    </row>
    <row r="1119" spans="2:6">
      <c r="B1119">
        <v>479</v>
      </c>
      <c r="D1119" s="137">
        <f t="shared" si="37"/>
        <v>49664.573050075967</v>
      </c>
      <c r="E1119" s="136">
        <f t="shared" si="38"/>
        <v>2023</v>
      </c>
      <c r="F1119" s="135">
        <f>_xlfn.XLOOKUP(D496,'3. Input (des)investeringen '!$B$11:$B$81,'3. Input (des)investeringen '!$E$11:$E$81)</f>
        <v>1</v>
      </c>
    </row>
    <row r="1120" spans="2:6">
      <c r="B1120">
        <v>480</v>
      </c>
      <c r="D1120" s="137">
        <f t="shared" si="37"/>
        <v>251474.2227041962</v>
      </c>
      <c r="E1120" s="136">
        <f t="shared" si="38"/>
        <v>2023</v>
      </c>
      <c r="F1120" s="135">
        <f>_xlfn.XLOOKUP(D497,'3. Input (des)investeringen '!$B$11:$B$81,'3. Input (des)investeringen '!$E$11:$E$81)</f>
        <v>1</v>
      </c>
    </row>
    <row r="1121" spans="2:6">
      <c r="B1121">
        <v>481</v>
      </c>
      <c r="D1121" s="137">
        <f t="shared" si="37"/>
        <v>62681.888254174031</v>
      </c>
      <c r="E1121" s="136">
        <f t="shared" si="38"/>
        <v>2023</v>
      </c>
      <c r="F1121" s="135">
        <f>_xlfn.XLOOKUP(D498,'3. Input (des)investeringen '!$B$11:$B$81,'3. Input (des)investeringen '!$E$11:$E$81)</f>
        <v>1</v>
      </c>
    </row>
    <row r="1122" spans="2:6">
      <c r="B1122">
        <v>482</v>
      </c>
      <c r="D1122" s="137">
        <f t="shared" si="37"/>
        <v>8998910.2149308864</v>
      </c>
      <c r="E1122" s="136">
        <f t="shared" si="38"/>
        <v>2023</v>
      </c>
      <c r="F1122" s="135">
        <f>_xlfn.XLOOKUP(D499,'3. Input (des)investeringen '!$B$11:$B$81,'3. Input (des)investeringen '!$E$11:$E$81)</f>
        <v>1</v>
      </c>
    </row>
    <row r="1123" spans="2:6">
      <c r="B1123">
        <v>483</v>
      </c>
      <c r="D1123" s="137">
        <f t="shared" si="37"/>
        <v>881158.02853810368</v>
      </c>
      <c r="E1123" s="136">
        <f t="shared" si="38"/>
        <v>2023</v>
      </c>
      <c r="F1123" s="135">
        <f>_xlfn.XLOOKUP(D500,'3. Input (des)investeringen '!$B$11:$B$81,'3. Input (des)investeringen '!$E$11:$E$81)</f>
        <v>1</v>
      </c>
    </row>
    <row r="1124" spans="2:6">
      <c r="B1124">
        <v>484</v>
      </c>
      <c r="D1124" s="137">
        <f t="shared" si="37"/>
        <v>480717.66049350589</v>
      </c>
      <c r="E1124" s="136">
        <f t="shared" si="38"/>
        <v>2023</v>
      </c>
      <c r="F1124" s="135">
        <f>_xlfn.XLOOKUP(D501,'3. Input (des)investeringen '!$B$11:$B$81,'3. Input (des)investeringen '!$E$11:$E$81)</f>
        <v>1</v>
      </c>
    </row>
    <row r="1125" spans="2:6">
      <c r="B1125">
        <v>485</v>
      </c>
      <c r="D1125" s="137">
        <f t="shared" si="37"/>
        <v>158468.43405476084</v>
      </c>
      <c r="E1125" s="136">
        <f t="shared" si="38"/>
        <v>2023</v>
      </c>
      <c r="F1125" s="135">
        <f>_xlfn.XLOOKUP(D502,'3. Input (des)investeringen '!$B$11:$B$81,'3. Input (des)investeringen '!$E$11:$E$81)</f>
        <v>1</v>
      </c>
    </row>
    <row r="1126" spans="2:6">
      <c r="B1126">
        <v>486</v>
      </c>
      <c r="D1126" s="137">
        <f t="shared" si="37"/>
        <v>2525665.1004047501</v>
      </c>
      <c r="E1126" s="136">
        <f t="shared" si="38"/>
        <v>2023</v>
      </c>
      <c r="F1126" s="135">
        <f>_xlfn.XLOOKUP(D503,'3. Input (des)investeringen '!$B$11:$B$81,'3. Input (des)investeringen '!$E$11:$E$81)</f>
        <v>0</v>
      </c>
    </row>
    <row r="1127" spans="2:6">
      <c r="B1127">
        <v>487</v>
      </c>
      <c r="D1127" s="137">
        <f t="shared" si="37"/>
        <v>16905407.599479198</v>
      </c>
      <c r="E1127" s="136">
        <f t="shared" si="38"/>
        <v>2023</v>
      </c>
      <c r="F1127" s="135">
        <f>_xlfn.XLOOKUP(D504,'3. Input (des)investeringen '!$B$11:$B$81,'3. Input (des)investeringen '!$E$11:$E$81)</f>
        <v>0</v>
      </c>
    </row>
    <row r="1128" spans="2:6">
      <c r="B1128">
        <v>488</v>
      </c>
      <c r="D1128" s="137">
        <f t="shared" si="37"/>
        <v>791759.55712817342</v>
      </c>
      <c r="E1128" s="136">
        <f t="shared" si="38"/>
        <v>2023</v>
      </c>
      <c r="F1128" s="135">
        <f>_xlfn.XLOOKUP(D505,'3. Input (des)investeringen '!$B$11:$B$81,'3. Input (des)investeringen '!$E$11:$E$81)</f>
        <v>0</v>
      </c>
    </row>
    <row r="1129" spans="2:6">
      <c r="B1129">
        <v>489</v>
      </c>
      <c r="D1129" s="137">
        <f t="shared" si="37"/>
        <v>61276.777943181114</v>
      </c>
      <c r="E1129" s="136">
        <f t="shared" si="38"/>
        <v>2023</v>
      </c>
      <c r="F1129" s="135">
        <f>_xlfn.XLOOKUP(D506,'3. Input (des)investeringen '!$B$11:$B$81,'3. Input (des)investeringen '!$E$11:$E$81)</f>
        <v>0</v>
      </c>
    </row>
    <row r="1130" spans="2:6">
      <c r="B1130">
        <v>490</v>
      </c>
      <c r="D1130" s="137">
        <f t="shared" si="37"/>
        <v>10738035.658221532</v>
      </c>
      <c r="E1130" s="136">
        <f t="shared" si="38"/>
        <v>2023</v>
      </c>
      <c r="F1130" s="135">
        <f>_xlfn.XLOOKUP(D507,'3. Input (des)investeringen '!$B$11:$B$81,'3. Input (des)investeringen '!$E$11:$E$81)</f>
        <v>0</v>
      </c>
    </row>
    <row r="1131" spans="2:6">
      <c r="B1131">
        <v>491</v>
      </c>
      <c r="D1131" s="137">
        <f t="shared" si="37"/>
        <v>4513096.8685017684</v>
      </c>
      <c r="E1131" s="136">
        <f t="shared" si="38"/>
        <v>2023</v>
      </c>
      <c r="F1131" s="135">
        <f>_xlfn.XLOOKUP(D508,'3. Input (des)investeringen '!$B$11:$B$81,'3. Input (des)investeringen '!$E$11:$E$81)</f>
        <v>0</v>
      </c>
    </row>
    <row r="1132" spans="2:6">
      <c r="B1132">
        <v>492</v>
      </c>
      <c r="D1132" s="137">
        <f t="shared" si="37"/>
        <v>20121.628884849415</v>
      </c>
      <c r="E1132" s="136">
        <f t="shared" si="38"/>
        <v>2023</v>
      </c>
      <c r="F1132" s="135">
        <f>_xlfn.XLOOKUP(D509,'3. Input (des)investeringen '!$B$11:$B$81,'3. Input (des)investeringen '!$E$11:$E$81)</f>
        <v>0</v>
      </c>
    </row>
    <row r="1133" spans="2:6">
      <c r="B1133">
        <v>493</v>
      </c>
      <c r="D1133" s="137">
        <f t="shared" si="37"/>
        <v>47146.071159517043</v>
      </c>
      <c r="E1133" s="136">
        <f t="shared" si="38"/>
        <v>2023</v>
      </c>
      <c r="F1133" s="135">
        <f>_xlfn.XLOOKUP(D510,'3. Input (des)investeringen '!$B$11:$B$81,'3. Input (des)investeringen '!$E$11:$E$81)</f>
        <v>0</v>
      </c>
    </row>
    <row r="1134" spans="2:6">
      <c r="B1134">
        <v>494</v>
      </c>
      <c r="D1134" s="137">
        <f t="shared" si="37"/>
        <v>426676.51950934849</v>
      </c>
      <c r="E1134" s="136">
        <f t="shared" si="38"/>
        <v>2023</v>
      </c>
      <c r="F1134" s="135">
        <f>_xlfn.XLOOKUP(D511,'3. Input (des)investeringen '!$B$11:$B$81,'3. Input (des)investeringen '!$E$11:$E$81)</f>
        <v>0</v>
      </c>
    </row>
    <row r="1135" spans="2:6">
      <c r="B1135">
        <v>495</v>
      </c>
      <c r="D1135" s="137">
        <f t="shared" si="37"/>
        <v>50955.736856891977</v>
      </c>
      <c r="E1135" s="136">
        <f t="shared" si="38"/>
        <v>2023</v>
      </c>
      <c r="F1135" s="135">
        <f>_xlfn.XLOOKUP(D512,'3. Input (des)investeringen '!$B$11:$B$81,'3. Input (des)investeringen '!$E$11:$E$81)</f>
        <v>0</v>
      </c>
    </row>
    <row r="1136" spans="2:6">
      <c r="B1136">
        <v>496</v>
      </c>
      <c r="D1136" s="137">
        <f t="shared" si="37"/>
        <v>64205.512183063081</v>
      </c>
      <c r="E1136" s="136">
        <f t="shared" si="38"/>
        <v>2023</v>
      </c>
      <c r="F1136" s="135">
        <f>_xlfn.XLOOKUP(D513,'3. Input (des)investeringen '!$B$11:$B$81,'3. Input (des)investeringen '!$E$11:$E$81)</f>
        <v>0</v>
      </c>
    </row>
    <row r="1137" spans="2:6">
      <c r="B1137">
        <v>497</v>
      </c>
      <c r="D1137" s="137">
        <f t="shared" si="37"/>
        <v>230655.94063060553</v>
      </c>
      <c r="E1137" s="136">
        <f t="shared" si="38"/>
        <v>2023</v>
      </c>
      <c r="F1137" s="135">
        <f>_xlfn.XLOOKUP(D514,'3. Input (des)investeringen '!$B$11:$B$81,'3. Input (des)investeringen '!$E$11:$E$81)</f>
        <v>0</v>
      </c>
    </row>
    <row r="1138" spans="2:6">
      <c r="B1138">
        <v>498</v>
      </c>
      <c r="D1138" s="137">
        <f t="shared" si="37"/>
        <v>574715.02689626382</v>
      </c>
      <c r="E1138" s="136">
        <f t="shared" si="38"/>
        <v>2023</v>
      </c>
      <c r="F1138" s="135">
        <f>_xlfn.XLOOKUP(D515,'3. Input (des)investeringen '!$B$11:$B$81,'3. Input (des)investeringen '!$E$11:$E$81)</f>
        <v>0</v>
      </c>
    </row>
    <row r="1139" spans="2:6">
      <c r="B1139">
        <v>499</v>
      </c>
      <c r="D1139" s="137">
        <f t="shared" si="37"/>
        <v>1469026.1382935997</v>
      </c>
      <c r="E1139" s="136">
        <f t="shared" si="38"/>
        <v>2023</v>
      </c>
      <c r="F1139" s="135">
        <f>_xlfn.XLOOKUP(D516,'3. Input (des)investeringen '!$B$11:$B$81,'3. Input (des)investeringen '!$E$11:$E$81)</f>
        <v>0</v>
      </c>
    </row>
    <row r="1140" spans="2:6">
      <c r="B1140">
        <v>500</v>
      </c>
      <c r="D1140" s="137">
        <f t="shared" si="37"/>
        <v>2050105.43100047</v>
      </c>
      <c r="E1140" s="136">
        <f t="shared" si="38"/>
        <v>2023</v>
      </c>
      <c r="F1140" s="135">
        <f>_xlfn.XLOOKUP(D517,'3. Input (des)investeringen '!$B$11:$B$81,'3. Input (des)investeringen '!$E$11:$E$81)</f>
        <v>0</v>
      </c>
    </row>
    <row r="1141" spans="2:6">
      <c r="B1141">
        <v>501</v>
      </c>
      <c r="D1141" s="137">
        <f t="shared" si="37"/>
        <v>129882.09166575248</v>
      </c>
      <c r="E1141" s="136">
        <f t="shared" si="38"/>
        <v>2023</v>
      </c>
      <c r="F1141" s="135">
        <f>_xlfn.XLOOKUP(D518,'3. Input (des)investeringen '!$B$11:$B$81,'3. Input (des)investeringen '!$E$11:$E$81)</f>
        <v>0</v>
      </c>
    </row>
    <row r="1142" spans="2:6">
      <c r="B1142">
        <v>502</v>
      </c>
      <c r="D1142" s="137">
        <f t="shared" si="37"/>
        <v>1235577.6025156102</v>
      </c>
      <c r="E1142" s="136">
        <f t="shared" si="38"/>
        <v>2023</v>
      </c>
      <c r="F1142" s="135">
        <f>_xlfn.XLOOKUP(D519,'3. Input (des)investeringen '!$B$11:$B$81,'3. Input (des)investeringen '!$E$11:$E$81)</f>
        <v>0</v>
      </c>
    </row>
    <row r="1143" spans="2:6">
      <c r="B1143">
        <v>503</v>
      </c>
      <c r="D1143" s="137">
        <f t="shared" si="37"/>
        <v>1703571.8543817492</v>
      </c>
      <c r="E1143" s="136">
        <f t="shared" si="38"/>
        <v>2023</v>
      </c>
      <c r="F1143" s="135">
        <f>_xlfn.XLOOKUP(D520,'3. Input (des)investeringen '!$B$11:$B$81,'3. Input (des)investeringen '!$E$11:$E$81)</f>
        <v>0</v>
      </c>
    </row>
    <row r="1144" spans="2:6">
      <c r="B1144">
        <v>504</v>
      </c>
      <c r="D1144" s="137">
        <f t="shared" si="37"/>
        <v>595505.82704552368</v>
      </c>
      <c r="E1144" s="136">
        <f t="shared" si="38"/>
        <v>2023</v>
      </c>
      <c r="F1144" s="135">
        <f>_xlfn.XLOOKUP(D521,'3. Input (des)investeringen '!$B$11:$B$81,'3. Input (des)investeringen '!$E$11:$E$81)</f>
        <v>0</v>
      </c>
    </row>
    <row r="1145" spans="2:6">
      <c r="B1145">
        <v>505</v>
      </c>
      <c r="D1145" s="137">
        <f t="shared" si="37"/>
        <v>776768.62070497498</v>
      </c>
      <c r="E1145" s="136">
        <f t="shared" si="38"/>
        <v>2023</v>
      </c>
      <c r="F1145" s="135">
        <f>_xlfn.XLOOKUP(D522,'3. Input (des)investeringen '!$B$11:$B$81,'3. Input (des)investeringen '!$E$11:$E$81)</f>
        <v>0</v>
      </c>
    </row>
    <row r="1146" spans="2:6">
      <c r="B1146">
        <v>506</v>
      </c>
      <c r="D1146" s="137">
        <f t="shared" si="37"/>
        <v>1876.9453947414813</v>
      </c>
      <c r="E1146" s="136">
        <f t="shared" si="38"/>
        <v>2023</v>
      </c>
      <c r="F1146" s="135">
        <f>_xlfn.XLOOKUP(D523,'3. Input (des)investeringen '!$B$11:$B$81,'3. Input (des)investeringen '!$E$11:$E$81)</f>
        <v>0</v>
      </c>
    </row>
    <row r="1147" spans="2:6">
      <c r="B1147">
        <v>507</v>
      </c>
      <c r="D1147" s="137">
        <f t="shared" si="37"/>
        <v>42851.542476290124</v>
      </c>
      <c r="E1147" s="136">
        <f t="shared" si="38"/>
        <v>2023</v>
      </c>
      <c r="F1147" s="135">
        <f>_xlfn.XLOOKUP(D524,'3. Input (des)investeringen '!$B$11:$B$81,'3. Input (des)investeringen '!$E$11:$E$81)</f>
        <v>0</v>
      </c>
    </row>
    <row r="1148" spans="2:6">
      <c r="B1148">
        <v>508</v>
      </c>
      <c r="D1148" s="137">
        <f t="shared" si="37"/>
        <v>22583.7690161561</v>
      </c>
      <c r="E1148" s="136">
        <f t="shared" si="38"/>
        <v>2023</v>
      </c>
      <c r="F1148" s="135">
        <f>_xlfn.XLOOKUP(D525,'3. Input (des)investeringen '!$B$11:$B$81,'3. Input (des)investeringen '!$E$11:$E$81)</f>
        <v>1</v>
      </c>
    </row>
    <row r="1149" spans="2:6">
      <c r="B1149">
        <v>509</v>
      </c>
      <c r="D1149" s="137">
        <f t="shared" si="37"/>
        <v>462227.19518013293</v>
      </c>
      <c r="E1149" s="136">
        <f t="shared" si="38"/>
        <v>2023</v>
      </c>
      <c r="F1149" s="135">
        <f>_xlfn.XLOOKUP(D526,'3. Input (des)investeringen '!$B$11:$B$81,'3. Input (des)investeringen '!$E$11:$E$81)</f>
        <v>1</v>
      </c>
    </row>
    <row r="1150" spans="2:6">
      <c r="B1150">
        <v>510</v>
      </c>
      <c r="D1150" s="137">
        <f t="shared" si="37"/>
        <v>46528.540913690129</v>
      </c>
      <c r="E1150" s="136">
        <f t="shared" si="38"/>
        <v>2023</v>
      </c>
      <c r="F1150" s="135">
        <f>_xlfn.XLOOKUP(D527,'3. Input (des)investeringen '!$B$11:$B$81,'3. Input (des)investeringen '!$E$11:$E$81)</f>
        <v>1</v>
      </c>
    </row>
    <row r="1151" spans="2:6">
      <c r="B1151">
        <v>511</v>
      </c>
      <c r="D1151" s="137">
        <f t="shared" si="37"/>
        <v>98655.140353137496</v>
      </c>
      <c r="E1151" s="136">
        <f t="shared" si="38"/>
        <v>2023</v>
      </c>
      <c r="F1151" s="135">
        <f>_xlfn.XLOOKUP(D528,'3. Input (des)investeringen '!$B$11:$B$81,'3. Input (des)investeringen '!$E$11:$E$81)</f>
        <v>1</v>
      </c>
    </row>
    <row r="1152" spans="2:6">
      <c r="B1152">
        <v>512</v>
      </c>
      <c r="D1152" s="137">
        <f t="shared" si="37"/>
        <v>50825.96589408478</v>
      </c>
      <c r="E1152" s="136">
        <f t="shared" si="38"/>
        <v>2023</v>
      </c>
      <c r="F1152" s="135">
        <f>_xlfn.XLOOKUP(D529,'3. Input (des)investeringen '!$B$11:$B$81,'3. Input (des)investeringen '!$E$11:$E$81)</f>
        <v>1</v>
      </c>
    </row>
    <row r="1153" spans="2:6">
      <c r="B1153">
        <v>513</v>
      </c>
      <c r="D1153" s="137">
        <f t="shared" si="37"/>
        <v>477279.97623645322</v>
      </c>
      <c r="E1153" s="136">
        <f t="shared" si="38"/>
        <v>2023</v>
      </c>
      <c r="F1153" s="135">
        <f>_xlfn.XLOOKUP(D530,'3. Input (des)investeringen '!$B$11:$B$81,'3. Input (des)investeringen '!$E$11:$E$81)</f>
        <v>1</v>
      </c>
    </row>
    <row r="1154" spans="2:6">
      <c r="B1154">
        <v>514</v>
      </c>
      <c r="D1154" s="137">
        <f t="shared" si="37"/>
        <v>116050.5147655762</v>
      </c>
      <c r="E1154" s="136">
        <f t="shared" si="38"/>
        <v>2023</v>
      </c>
      <c r="F1154" s="135">
        <f>_xlfn.XLOOKUP(D531,'3. Input (des)investeringen '!$B$11:$B$81,'3. Input (des)investeringen '!$E$11:$E$81)</f>
        <v>1</v>
      </c>
    </row>
    <row r="1155" spans="2:6">
      <c r="B1155">
        <v>515</v>
      </c>
      <c r="D1155" s="137">
        <f t="shared" si="37"/>
        <v>49918.596992368417</v>
      </c>
      <c r="E1155" s="136">
        <f t="shared" si="38"/>
        <v>2023</v>
      </c>
      <c r="F1155" s="135">
        <f>_xlfn.XLOOKUP(D532,'3. Input (des)investeringen '!$B$11:$B$81,'3. Input (des)investeringen '!$E$11:$E$81)</f>
        <v>1</v>
      </c>
    </row>
    <row r="1156" spans="2:6">
      <c r="B1156">
        <v>516</v>
      </c>
      <c r="D1156" s="137">
        <f t="shared" si="37"/>
        <v>50285.190780729419</v>
      </c>
      <c r="E1156" s="136">
        <f t="shared" si="38"/>
        <v>2023</v>
      </c>
      <c r="F1156" s="135">
        <f>_xlfn.XLOOKUP(D533,'3. Input (des)investeringen '!$B$11:$B$81,'3. Input (des)investeringen '!$E$11:$E$81)</f>
        <v>1</v>
      </c>
    </row>
    <row r="1157" spans="2:6">
      <c r="B1157">
        <v>517</v>
      </c>
      <c r="D1157" s="137">
        <f t="shared" si="37"/>
        <v>67645.586060743793</v>
      </c>
      <c r="E1157" s="136">
        <f t="shared" si="38"/>
        <v>2023</v>
      </c>
      <c r="F1157" s="135">
        <f>_xlfn.XLOOKUP(D534,'3. Input (des)investeringen '!$B$11:$B$81,'3. Input (des)investeringen '!$E$11:$E$81)</f>
        <v>1</v>
      </c>
    </row>
    <row r="1158" spans="2:6">
      <c r="B1158">
        <v>518</v>
      </c>
      <c r="D1158" s="137">
        <f t="shared" si="37"/>
        <v>46656.186949971663</v>
      </c>
      <c r="E1158" s="136">
        <f t="shared" si="38"/>
        <v>2023</v>
      </c>
      <c r="F1158" s="135">
        <f>_xlfn.XLOOKUP(D535,'3. Input (des)investeringen '!$B$11:$B$81,'3. Input (des)investeringen '!$E$11:$E$81)</f>
        <v>1</v>
      </c>
    </row>
    <row r="1159" spans="2:6">
      <c r="B1159">
        <v>519</v>
      </c>
      <c r="D1159" s="137">
        <f t="shared" si="37"/>
        <v>46412.506610726836</v>
      </c>
      <c r="E1159" s="136">
        <f t="shared" si="38"/>
        <v>2023</v>
      </c>
      <c r="F1159" s="135">
        <f>_xlfn.XLOOKUP(D536,'3. Input (des)investeringen '!$B$11:$B$81,'3. Input (des)investeringen '!$E$11:$E$81)</f>
        <v>1</v>
      </c>
    </row>
    <row r="1160" spans="2:6">
      <c r="B1160">
        <v>520</v>
      </c>
      <c r="D1160" s="137">
        <f t="shared" si="37"/>
        <v>45345.465415492457</v>
      </c>
      <c r="E1160" s="136">
        <f t="shared" si="38"/>
        <v>2023</v>
      </c>
      <c r="F1160" s="135">
        <f>_xlfn.XLOOKUP(D537,'3. Input (des)investeringen '!$B$11:$B$81,'3. Input (des)investeringen '!$E$11:$E$81)</f>
        <v>1</v>
      </c>
    </row>
    <row r="1161" spans="2:6">
      <c r="B1161">
        <v>521</v>
      </c>
      <c r="D1161" s="137">
        <f t="shared" si="37"/>
        <v>117969.99669176152</v>
      </c>
      <c r="E1161" s="136">
        <f t="shared" si="38"/>
        <v>2023</v>
      </c>
      <c r="F1161" s="135">
        <f>_xlfn.XLOOKUP(D538,'3. Input (des)investeringen '!$B$11:$B$81,'3. Input (des)investeringen '!$E$11:$E$81)</f>
        <v>1</v>
      </c>
    </row>
    <row r="1162" spans="2:6">
      <c r="B1162">
        <v>522</v>
      </c>
      <c r="D1162" s="137">
        <f t="shared" si="37"/>
        <v>414606.72511429584</v>
      </c>
      <c r="E1162" s="136">
        <f t="shared" si="38"/>
        <v>2023</v>
      </c>
      <c r="F1162" s="135">
        <f>_xlfn.XLOOKUP(D539,'3. Input (des)investeringen '!$B$11:$B$81,'3. Input (des)investeringen '!$E$11:$E$81)</f>
        <v>1</v>
      </c>
    </row>
    <row r="1163" spans="2:6">
      <c r="B1163">
        <v>523</v>
      </c>
      <c r="D1163" s="137">
        <f t="shared" si="37"/>
        <v>45563.426169294267</v>
      </c>
      <c r="E1163" s="136">
        <f t="shared" si="38"/>
        <v>2023</v>
      </c>
      <c r="F1163" s="135">
        <f>_xlfn.XLOOKUP(D540,'3. Input (des)investeringen '!$B$11:$B$81,'3. Input (des)investeringen '!$E$11:$E$81)</f>
        <v>1</v>
      </c>
    </row>
    <row r="1164" spans="2:6">
      <c r="B1164">
        <v>524</v>
      </c>
      <c r="D1164" s="137">
        <f t="shared" si="37"/>
        <v>377798.35934785003</v>
      </c>
      <c r="E1164" s="136">
        <f t="shared" si="38"/>
        <v>2023</v>
      </c>
      <c r="F1164" s="135">
        <f>_xlfn.XLOOKUP(D541,'3. Input (des)investeringen '!$B$11:$B$81,'3. Input (des)investeringen '!$E$11:$E$81)</f>
        <v>1</v>
      </c>
    </row>
    <row r="1165" spans="2:6">
      <c r="B1165">
        <v>525</v>
      </c>
      <c r="D1165" s="137">
        <f t="shared" si="37"/>
        <v>37420.593072654476</v>
      </c>
      <c r="E1165" s="136">
        <f t="shared" si="38"/>
        <v>2023</v>
      </c>
      <c r="F1165" s="135">
        <f>_xlfn.XLOOKUP(D542,'3. Input (des)investeringen '!$B$11:$B$81,'3. Input (des)investeringen '!$E$11:$E$81)</f>
        <v>1</v>
      </c>
    </row>
    <row r="1166" spans="2:6">
      <c r="B1166">
        <v>526</v>
      </c>
      <c r="D1166" s="137">
        <f t="shared" si="37"/>
        <v>84225.708870589981</v>
      </c>
      <c r="E1166" s="136">
        <f t="shared" si="38"/>
        <v>2023</v>
      </c>
      <c r="F1166" s="135">
        <f>_xlfn.XLOOKUP(D543,'3. Input (des)investeringen '!$B$11:$B$81,'3. Input (des)investeringen '!$E$11:$E$81)</f>
        <v>1</v>
      </c>
    </row>
    <row r="1167" spans="2:6">
      <c r="B1167">
        <v>527</v>
      </c>
      <c r="D1167" s="137">
        <f t="shared" si="37"/>
        <v>36582.979680944467</v>
      </c>
      <c r="E1167" s="136">
        <f t="shared" si="38"/>
        <v>2023</v>
      </c>
      <c r="F1167" s="135">
        <f>_xlfn.XLOOKUP(D544,'3. Input (des)investeringen '!$B$11:$B$81,'3. Input (des)investeringen '!$E$11:$E$81)</f>
        <v>1</v>
      </c>
    </row>
    <row r="1168" spans="2:6">
      <c r="B1168">
        <v>528</v>
      </c>
      <c r="D1168" s="137">
        <f t="shared" si="37"/>
        <v>51088.669943961613</v>
      </c>
      <c r="E1168" s="136">
        <f t="shared" si="38"/>
        <v>2023</v>
      </c>
      <c r="F1168" s="135">
        <f>_xlfn.XLOOKUP(D545,'3. Input (des)investeringen '!$B$11:$B$81,'3. Input (des)investeringen '!$E$11:$E$81)</f>
        <v>1</v>
      </c>
    </row>
    <row r="1169" spans="2:10">
      <c r="B1169">
        <v>529</v>
      </c>
      <c r="D1169" s="137">
        <f t="shared" si="37"/>
        <v>108379.16888467838</v>
      </c>
      <c r="E1169" s="136">
        <f t="shared" si="38"/>
        <v>2023</v>
      </c>
      <c r="F1169" s="135">
        <f>_xlfn.XLOOKUP(D546,'3. Input (des)investeringen '!$B$11:$B$81,'3. Input (des)investeringen '!$E$11:$E$81)</f>
        <v>1</v>
      </c>
    </row>
    <row r="1170" spans="2:10">
      <c r="B1170">
        <v>530</v>
      </c>
      <c r="D1170" s="137">
        <f t="shared" si="37"/>
        <v>5144.0217812537448</v>
      </c>
      <c r="E1170" s="136">
        <f t="shared" si="38"/>
        <v>2023</v>
      </c>
      <c r="F1170" s="135">
        <f>_xlfn.XLOOKUP(D547,'3. Input (des)investeringen '!$B$11:$B$81,'3. Input (des)investeringen '!$E$11:$E$81)</f>
        <v>1</v>
      </c>
    </row>
    <row r="1171" spans="2:10">
      <c r="B1171">
        <v>531</v>
      </c>
      <c r="D1171" s="137">
        <f>F548*INDEX($E$556:$CG$636,E548-1945,G548-1945)</f>
        <v>6096028.9926220421</v>
      </c>
      <c r="E1171" s="136">
        <f t="shared" si="38"/>
        <v>2023</v>
      </c>
      <c r="F1171" s="135">
        <f>_xlfn.XLOOKUP(D548,'3. Input (des)investeringen '!$B$11:$B$81,'3. Input (des)investeringen '!$E$11:$E$81)</f>
        <v>0</v>
      </c>
    </row>
    <row r="1173" spans="2:10" s="59" customFormat="1">
      <c r="B1173" s="59" t="s">
        <v>924</v>
      </c>
      <c r="D1173" s="59">
        <v>2020</v>
      </c>
      <c r="E1173" s="59">
        <v>2021</v>
      </c>
      <c r="F1173" s="59">
        <v>2022</v>
      </c>
      <c r="G1173" s="59">
        <v>2023</v>
      </c>
      <c r="H1173" s="59">
        <v>2024</v>
      </c>
      <c r="I1173" s="59">
        <v>2025</v>
      </c>
      <c r="J1173" s="59">
        <v>2026</v>
      </c>
    </row>
    <row r="1175" spans="2:10">
      <c r="B1175" s="3" t="s">
        <v>925</v>
      </c>
      <c r="D1175" s="180">
        <f>SUMIFS($D$641:$D$1171,$E$641:$E$1171,D$1173,$F$641:$F$1171,1)</f>
        <v>37758981.056281559</v>
      </c>
      <c r="E1175" s="180">
        <f>SUMIFS($D$641:$D$1171,$E$641:$E$1171,E$1173,$F$641:$F$1171,1)</f>
        <v>38763732.819702528</v>
      </c>
      <c r="F1175" s="180">
        <f>SUMIFS($D$641:$D$1171,$E$641:$E$1171,F$1173,$F$641:$F$1171,1)</f>
        <v>22960381.53917243</v>
      </c>
      <c r="G1175" s="180">
        <f>SUMIFS($D$641:$D$1171,$E$641:$E$1171,G$1173,$F$641:$F$1171,1)</f>
        <v>58023959.745093741</v>
      </c>
      <c r="H1175" s="138"/>
      <c r="I1175" s="138"/>
      <c r="J1175" s="138"/>
    </row>
    <row r="1176" spans="2:10">
      <c r="B1176" s="3" t="s">
        <v>926</v>
      </c>
      <c r="D1176" s="180">
        <f>SUMIFS($D$641:$D$1171,$E$641:$E$1171,D$1173,$F$641:$F$1171,0)</f>
        <v>27912770.687367041</v>
      </c>
      <c r="E1176" s="180">
        <f>SUMIFS($D$641:$D$1171,$E$641:$E$1171,E$1173,$F$641:$F$1171,0)</f>
        <v>152460325.70788148</v>
      </c>
      <c r="F1176" s="180">
        <f>SUMIFS($D$641:$D$1171,$E$641:$E$1171,F$1173,$F$641:$F$1171,0)</f>
        <v>18326404.223966755</v>
      </c>
      <c r="G1176" s="180">
        <f>SUMIFS($D$641:$D$1171,$E$641:$E$1171,G$1173,$F$641:$F$1171,0)</f>
        <v>56904952.296988726</v>
      </c>
      <c r="H1176" s="138"/>
      <c r="I1176" s="138"/>
      <c r="J1176" s="138"/>
    </row>
  </sheetData>
  <autoFilter ref="D16:G548" xr:uid="{00000000-0001-0000-1000-000000000000}"/>
  <mergeCells count="2">
    <mergeCell ref="B5:N5"/>
    <mergeCell ref="B7:D7"/>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S144"/>
  <sheetViews>
    <sheetView showGridLines="0" zoomScale="80" zoomScaleNormal="80" workbookViewId="0">
      <pane xSplit="3" ySplit="11" topLeftCell="D72" activePane="bottomRight" state="frozen"/>
      <selection pane="topRight" activeCell="D1" sqref="D1"/>
      <selection pane="bottomLeft" activeCell="A12" sqref="A12"/>
      <selection pane="bottomRight" activeCell="N71" sqref="N71"/>
    </sheetView>
  </sheetViews>
  <sheetFormatPr defaultColWidth="9.140625" defaultRowHeight="12.75"/>
  <cols>
    <col min="1" max="1" width="2.5703125" style="357" customWidth="1"/>
    <col min="2" max="2" width="75.85546875" style="3" customWidth="1"/>
    <col min="3" max="3" width="2.5703125" style="3" customWidth="1"/>
    <col min="4" max="4" width="17.85546875" style="3" customWidth="1"/>
    <col min="5" max="5" width="2.5703125" style="3" customWidth="1"/>
    <col min="6" max="6" width="13.5703125" style="3" customWidth="1"/>
    <col min="7" max="7" width="2.5703125" style="3" customWidth="1"/>
    <col min="8" max="11" width="12" style="3" bestFit="1" customWidth="1"/>
    <col min="12" max="12" width="13" style="3" bestFit="1" customWidth="1"/>
    <col min="13" max="17" width="14.85546875" style="3" bestFit="1" customWidth="1"/>
    <col min="18" max="18" width="2.5703125" style="3" customWidth="1"/>
    <col min="19" max="30" width="13.5703125" style="3" customWidth="1"/>
    <col min="31" max="16384" width="9.140625" style="3"/>
  </cols>
  <sheetData>
    <row r="2" spans="1:19" s="12" customFormat="1" ht="18">
      <c r="B2" s="12" t="s">
        <v>927</v>
      </c>
    </row>
    <row r="4" spans="1:19">
      <c r="B4" s="16" t="s">
        <v>844</v>
      </c>
      <c r="C4" s="2"/>
    </row>
    <row r="5" spans="1:19">
      <c r="B5" s="379" t="s">
        <v>928</v>
      </c>
      <c r="C5" s="382"/>
      <c r="D5" s="382"/>
      <c r="F5" s="13"/>
    </row>
    <row r="6" spans="1:19" ht="14.25" customHeight="1">
      <c r="F6" s="195"/>
    </row>
    <row r="7" spans="1:19">
      <c r="B7" s="387" t="s">
        <v>846</v>
      </c>
      <c r="C7" s="389"/>
      <c r="D7" s="389"/>
      <c r="F7" s="13"/>
    </row>
    <row r="8" spans="1:19" ht="57.75" customHeight="1">
      <c r="B8" s="379" t="s">
        <v>929</v>
      </c>
      <c r="C8" s="379"/>
      <c r="D8" s="379"/>
      <c r="F8" s="13"/>
    </row>
    <row r="9" spans="1:19">
      <c r="F9" s="13"/>
    </row>
    <row r="10" spans="1:19" s="8" customFormat="1">
      <c r="A10" s="360"/>
      <c r="B10" s="8" t="s">
        <v>152</v>
      </c>
      <c r="D10" s="8" t="s">
        <v>194</v>
      </c>
      <c r="F10" s="8" t="s">
        <v>195</v>
      </c>
      <c r="H10" s="316" t="s">
        <v>435</v>
      </c>
      <c r="I10" s="316" t="s">
        <v>436</v>
      </c>
      <c r="J10" s="316" t="s">
        <v>437</v>
      </c>
      <c r="K10" s="52">
        <v>2020</v>
      </c>
      <c r="L10" s="52">
        <v>2021</v>
      </c>
      <c r="M10" s="52">
        <v>2022</v>
      </c>
      <c r="N10" s="52">
        <v>2023</v>
      </c>
      <c r="O10" s="52">
        <v>2024</v>
      </c>
      <c r="P10" s="52">
        <v>2025</v>
      </c>
      <c r="Q10" s="52">
        <v>2026</v>
      </c>
      <c r="S10" s="8" t="s">
        <v>197</v>
      </c>
    </row>
    <row r="12" spans="1:19" s="8" customFormat="1">
      <c r="A12" s="360"/>
      <c r="B12" s="8" t="s">
        <v>848</v>
      </c>
    </row>
    <row r="14" spans="1:19">
      <c r="B14" s="2" t="s">
        <v>218</v>
      </c>
    </row>
    <row r="15" spans="1:19">
      <c r="B15" s="3" t="s">
        <v>930</v>
      </c>
      <c r="D15" s="3" t="s">
        <v>223</v>
      </c>
      <c r="H15" s="38">
        <f>'2. Parameters'!H40</f>
        <v>1</v>
      </c>
      <c r="I15" s="38">
        <f>'2. Parameters'!I40</f>
        <v>1.014</v>
      </c>
      <c r="J15" s="38">
        <f>'2. Parameters'!J40</f>
        <v>1.026168</v>
      </c>
      <c r="K15" s="38">
        <f>'2. Parameters'!K40</f>
        <v>1.052848368</v>
      </c>
      <c r="L15" s="38">
        <f>'2. Parameters'!L40</f>
        <v>1.069693941888</v>
      </c>
      <c r="M15" s="38">
        <f>'2. Parameters'!M40</f>
        <v>1.0889484328419841</v>
      </c>
      <c r="N15" s="38">
        <f>'2. Parameters'!N40</f>
        <v>1.1564632356781872</v>
      </c>
      <c r="O15" s="38">
        <f>'2. Parameters'!O40</f>
        <v>1.2489802945324422</v>
      </c>
      <c r="P15" s="38">
        <f>'2. Parameters'!P40</f>
        <v>1.2839517427793505</v>
      </c>
      <c r="Q15" s="38">
        <f>'2. Parameters'!Q40</f>
        <v>1.3057789224065994</v>
      </c>
    </row>
    <row r="16" spans="1:19">
      <c r="B16" s="3" t="s">
        <v>931</v>
      </c>
      <c r="D16" s="3" t="s">
        <v>223</v>
      </c>
      <c r="H16" s="10"/>
      <c r="I16" s="38">
        <f>'2. Parameters'!I41</f>
        <v>1</v>
      </c>
      <c r="J16" s="38">
        <f>'2. Parameters'!J41</f>
        <v>1.012</v>
      </c>
      <c r="K16" s="38">
        <f>'2. Parameters'!K41</f>
        <v>1.0383120000000001</v>
      </c>
      <c r="L16" s="38">
        <f>'2. Parameters'!L41</f>
        <v>1.0549249920000001</v>
      </c>
      <c r="M16" s="38">
        <f>'2. Parameters'!M41</f>
        <v>1.0739136418560002</v>
      </c>
      <c r="N16" s="38">
        <f>'2. Parameters'!N41</f>
        <v>1.1404962876510722</v>
      </c>
      <c r="O16" s="38">
        <f>'2. Parameters'!O41</f>
        <v>1.2317359906631582</v>
      </c>
      <c r="P16" s="38">
        <f>'2. Parameters'!P41</f>
        <v>1.2662245984017266</v>
      </c>
      <c r="Q16" s="38">
        <f>'2. Parameters'!Q41</f>
        <v>1.2877504165745559</v>
      </c>
    </row>
    <row r="17" spans="2:17">
      <c r="B17" s="3" t="s">
        <v>932</v>
      </c>
      <c r="D17" s="3" t="s">
        <v>223</v>
      </c>
      <c r="H17" s="10"/>
      <c r="I17" s="10"/>
      <c r="J17" s="38">
        <f>'2. Parameters'!J42</f>
        <v>1</v>
      </c>
      <c r="K17" s="38">
        <f>'2. Parameters'!K42</f>
        <v>1.026</v>
      </c>
      <c r="L17" s="38">
        <f>'2. Parameters'!L42</f>
        <v>1.042416</v>
      </c>
      <c r="M17" s="38">
        <f>'2. Parameters'!M42</f>
        <v>1.0611794880000001</v>
      </c>
      <c r="N17" s="38">
        <f>'2. Parameters'!N42</f>
        <v>1.1269726162560001</v>
      </c>
      <c r="O17" s="38">
        <f>'2. Parameters'!O42</f>
        <v>1.2171304255564801</v>
      </c>
      <c r="P17" s="38">
        <f>'2. Parameters'!P42</f>
        <v>1.2512100774720616</v>
      </c>
      <c r="Q17" s="38">
        <f>'2. Parameters'!Q42</f>
        <v>1.2724806487890865</v>
      </c>
    </row>
    <row r="18" spans="2:17">
      <c r="B18" s="3" t="s">
        <v>933</v>
      </c>
      <c r="D18" s="3" t="s">
        <v>223</v>
      </c>
      <c r="H18" s="10"/>
      <c r="I18" s="10"/>
      <c r="J18" s="10"/>
      <c r="K18" s="38">
        <f>'2. Parameters'!K43</f>
        <v>1</v>
      </c>
      <c r="L18" s="38">
        <f>'2. Parameters'!L43</f>
        <v>1.016</v>
      </c>
      <c r="M18" s="38">
        <f>'2. Parameters'!M43</f>
        <v>1.0342880000000001</v>
      </c>
      <c r="N18" s="38">
        <f>'2. Parameters'!N43</f>
        <v>1.0984138560000001</v>
      </c>
      <c r="O18" s="38">
        <f>'2. Parameters'!O43</f>
        <v>1.1862869644800003</v>
      </c>
      <c r="P18" s="38">
        <f>'2. Parameters'!P43</f>
        <v>1.2195029994854403</v>
      </c>
      <c r="Q18" s="38">
        <f>'2. Parameters'!Q43</f>
        <v>1.2402345504766927</v>
      </c>
    </row>
    <row r="19" spans="2:17">
      <c r="B19" s="3" t="s">
        <v>934</v>
      </c>
      <c r="D19" s="3" t="s">
        <v>223</v>
      </c>
      <c r="H19" s="10"/>
      <c r="I19" s="10"/>
      <c r="J19" s="10"/>
      <c r="K19" s="10"/>
      <c r="L19" s="38">
        <f>'2. Parameters'!L44</f>
        <v>1</v>
      </c>
      <c r="M19" s="38">
        <f>'2. Parameters'!M44</f>
        <v>1.018</v>
      </c>
      <c r="N19" s="38">
        <f>'2. Parameters'!N44</f>
        <v>1.081116</v>
      </c>
      <c r="O19" s="38">
        <f>'2. Parameters'!O44</f>
        <v>1.1676052800000001</v>
      </c>
      <c r="P19" s="38">
        <f>'2. Parameters'!P44</f>
        <v>1.2002982278400001</v>
      </c>
      <c r="Q19" s="38">
        <f>'2. Parameters'!Q44</f>
        <v>1.2207032977132799</v>
      </c>
    </row>
    <row r="20" spans="2:17">
      <c r="B20" s="3" t="s">
        <v>935</v>
      </c>
      <c r="D20" s="3" t="s">
        <v>223</v>
      </c>
      <c r="H20" s="10"/>
      <c r="I20" s="10"/>
      <c r="J20" s="10"/>
      <c r="K20" s="10"/>
      <c r="L20" s="10"/>
      <c r="M20" s="38">
        <f>'2. Parameters'!M45</f>
        <v>1</v>
      </c>
      <c r="N20" s="38">
        <f>'2. Parameters'!N45</f>
        <v>1.0620000000000001</v>
      </c>
      <c r="O20" s="38">
        <f>'2. Parameters'!O45</f>
        <v>1.1469600000000002</v>
      </c>
      <c r="P20" s="38">
        <f>'2. Parameters'!P45</f>
        <v>1.1790748800000002</v>
      </c>
      <c r="Q20" s="38">
        <f>'2. Parameters'!Q45</f>
        <v>1.19911915296</v>
      </c>
    </row>
    <row r="21" spans="2:17">
      <c r="B21" s="3" t="s">
        <v>936</v>
      </c>
      <c r="D21" s="3" t="s">
        <v>223</v>
      </c>
      <c r="H21" s="10"/>
      <c r="I21" s="10"/>
      <c r="J21" s="10"/>
      <c r="K21" s="10"/>
      <c r="L21" s="10"/>
      <c r="M21" s="10"/>
      <c r="N21" s="38">
        <f>'2. Parameters'!N46</f>
        <v>1</v>
      </c>
      <c r="O21" s="38">
        <f>'2. Parameters'!O46</f>
        <v>1.08</v>
      </c>
      <c r="P21" s="38">
        <f>'2. Parameters'!P46</f>
        <v>1.1102400000000001</v>
      </c>
      <c r="Q21" s="38">
        <f>'2. Parameters'!Q46</f>
        <v>1.1291140799999999</v>
      </c>
    </row>
    <row r="22" spans="2:17">
      <c r="B22" s="3" t="s">
        <v>937</v>
      </c>
      <c r="D22" s="3" t="s">
        <v>223</v>
      </c>
      <c r="H22" s="10"/>
      <c r="I22" s="10"/>
      <c r="J22" s="10"/>
      <c r="K22" s="10"/>
      <c r="L22" s="10"/>
      <c r="M22" s="10"/>
      <c r="N22" s="10"/>
      <c r="O22" s="38">
        <f>'2. Parameters'!O47</f>
        <v>1</v>
      </c>
      <c r="P22" s="38">
        <f>'2. Parameters'!P47</f>
        <v>1.028</v>
      </c>
      <c r="Q22" s="38">
        <f>'2. Parameters'!Q47</f>
        <v>1.0454759999999998</v>
      </c>
    </row>
    <row r="23" spans="2:17">
      <c r="B23" s="3" t="s">
        <v>938</v>
      </c>
      <c r="D23" s="3" t="s">
        <v>223</v>
      </c>
      <c r="H23" s="10"/>
      <c r="I23" s="10"/>
      <c r="J23" s="10"/>
      <c r="K23" s="10"/>
      <c r="L23" s="10"/>
      <c r="M23" s="10"/>
      <c r="N23" s="10"/>
      <c r="O23" s="10"/>
      <c r="P23" s="38">
        <f>'2. Parameters'!P48</f>
        <v>1</v>
      </c>
      <c r="Q23" s="38">
        <f>'2. Parameters'!Q48</f>
        <v>1.0169999999999999</v>
      </c>
    </row>
    <row r="24" spans="2:17">
      <c r="B24" s="3" t="s">
        <v>939</v>
      </c>
      <c r="D24" s="3" t="s">
        <v>223</v>
      </c>
      <c r="H24" s="10"/>
      <c r="I24" s="10"/>
      <c r="J24" s="10"/>
      <c r="K24" s="10"/>
      <c r="L24" s="10"/>
      <c r="M24" s="10"/>
      <c r="N24" s="10"/>
      <c r="O24" s="10"/>
      <c r="P24" s="10"/>
      <c r="Q24" s="38">
        <f>'2. Parameters'!Q49</f>
        <v>1</v>
      </c>
    </row>
    <row r="26" spans="2:17">
      <c r="B26" s="2" t="s">
        <v>233</v>
      </c>
    </row>
    <row r="27" spans="2:17">
      <c r="B27" s="3" t="s">
        <v>940</v>
      </c>
      <c r="D27" s="3" t="s">
        <v>237</v>
      </c>
      <c r="H27" s="38">
        <f>'2. Parameters'!H57</f>
        <v>1</v>
      </c>
      <c r="I27" s="38">
        <f>'2. Parameters'!I57</f>
        <v>0.999</v>
      </c>
      <c r="J27" s="38">
        <f>'2. Parameters'!J57</f>
        <v>0.99800100000000003</v>
      </c>
      <c r="K27" s="38">
        <f>'2. Parameters'!K57</f>
        <v>0.997002999</v>
      </c>
      <c r="L27" s="38">
        <f>'2. Parameters'!L57</f>
        <v>0.99600599600100004</v>
      </c>
      <c r="M27" s="38">
        <f>'2. Parameters'!M57</f>
        <v>0.99202197201699605</v>
      </c>
      <c r="N27" s="38">
        <f>'2. Parameters'!N57</f>
        <v>0.98805388412892803</v>
      </c>
      <c r="O27" s="38">
        <f>'2. Parameters'!O57</f>
        <v>0.98410166859241233</v>
      </c>
      <c r="P27" s="38">
        <f>'2. Parameters'!P57</f>
        <v>0.98016526191804265</v>
      </c>
      <c r="Q27" s="38">
        <f>'2. Parameters'!Q57</f>
        <v>0.97624460087037046</v>
      </c>
    </row>
    <row r="28" spans="2:17">
      <c r="B28" s="3" t="s">
        <v>941</v>
      </c>
      <c r="D28" s="3" t="s">
        <v>237</v>
      </c>
      <c r="H28" s="10"/>
      <c r="I28" s="38">
        <f>'2. Parameters'!I58</f>
        <v>1</v>
      </c>
      <c r="J28" s="38">
        <f>'2. Parameters'!J58</f>
        <v>0.999</v>
      </c>
      <c r="K28" s="38">
        <f>'2. Parameters'!K58</f>
        <v>0.99800100000000003</v>
      </c>
      <c r="L28" s="38">
        <f>'2. Parameters'!L58</f>
        <v>0.997002999</v>
      </c>
      <c r="M28" s="38">
        <f>'2. Parameters'!M58</f>
        <v>0.99301498700400004</v>
      </c>
      <c r="N28" s="38">
        <f>'2. Parameters'!N58</f>
        <v>0.98904292705598407</v>
      </c>
      <c r="O28" s="38">
        <f>'2. Parameters'!O58</f>
        <v>0.98508675534776013</v>
      </c>
      <c r="P28" s="38">
        <f>'2. Parameters'!P58</f>
        <v>0.98114640832636912</v>
      </c>
      <c r="Q28" s="38">
        <f>'2. Parameters'!Q58</f>
        <v>0.97722182269306368</v>
      </c>
    </row>
    <row r="29" spans="2:17">
      <c r="B29" s="3" t="s">
        <v>942</v>
      </c>
      <c r="D29" s="3" t="s">
        <v>237</v>
      </c>
      <c r="H29" s="10"/>
      <c r="I29" s="10"/>
      <c r="J29" s="38">
        <f>'2. Parameters'!J59</f>
        <v>1</v>
      </c>
      <c r="K29" s="38">
        <f>'2. Parameters'!K59</f>
        <v>0.999</v>
      </c>
      <c r="L29" s="38">
        <f>'2. Parameters'!L59</f>
        <v>0.99800100000000003</v>
      </c>
      <c r="M29" s="38">
        <f>'2. Parameters'!M59</f>
        <v>0.99400899600000003</v>
      </c>
      <c r="N29" s="38">
        <f>'2. Parameters'!N59</f>
        <v>0.99003296001600005</v>
      </c>
      <c r="O29" s="38">
        <f>'2. Parameters'!O59</f>
        <v>0.986072828175936</v>
      </c>
      <c r="P29" s="38">
        <f>'2. Parameters'!P59</f>
        <v>0.9821285368632322</v>
      </c>
      <c r="Q29" s="38">
        <f>'2. Parameters'!Q59</f>
        <v>0.97820002271577933</v>
      </c>
    </row>
    <row r="30" spans="2:17">
      <c r="B30" s="3" t="s">
        <v>943</v>
      </c>
      <c r="D30" s="3" t="s">
        <v>237</v>
      </c>
      <c r="H30" s="10"/>
      <c r="I30" s="10"/>
      <c r="J30" s="10"/>
      <c r="K30" s="38">
        <f>'2. Parameters'!K60</f>
        <v>1</v>
      </c>
      <c r="L30" s="38">
        <f>'2. Parameters'!L60</f>
        <v>0.999</v>
      </c>
      <c r="M30" s="38">
        <f>'2. Parameters'!M60</f>
        <v>0.995004</v>
      </c>
      <c r="N30" s="38">
        <f>'2. Parameters'!N60</f>
        <v>0.99102398400000002</v>
      </c>
      <c r="O30" s="38">
        <f>'2. Parameters'!O60</f>
        <v>0.98705988806400002</v>
      </c>
      <c r="P30" s="38">
        <f>'2. Parameters'!P60</f>
        <v>0.98311164851174404</v>
      </c>
      <c r="Q30" s="38">
        <f>'2. Parameters'!Q60</f>
        <v>0.97917920191769703</v>
      </c>
    </row>
    <row r="31" spans="2:17">
      <c r="B31" s="3" t="s">
        <v>944</v>
      </c>
      <c r="D31" s="3" t="s">
        <v>237</v>
      </c>
      <c r="H31" s="10"/>
      <c r="I31" s="10"/>
      <c r="J31" s="10"/>
      <c r="K31" s="10"/>
      <c r="L31" s="38">
        <f>'2. Parameters'!L61</f>
        <v>1</v>
      </c>
      <c r="M31" s="38">
        <f>'2. Parameters'!M61</f>
        <v>0.996</v>
      </c>
      <c r="N31" s="38">
        <f>'2. Parameters'!N61</f>
        <v>0.99201600000000001</v>
      </c>
      <c r="O31" s="38">
        <f>'2. Parameters'!O61</f>
        <v>0.98804793599999996</v>
      </c>
      <c r="P31" s="38">
        <f>'2. Parameters'!P61</f>
        <v>0.98409574425599999</v>
      </c>
      <c r="Q31" s="38">
        <f>'2. Parameters'!Q61</f>
        <v>0.98015936127897596</v>
      </c>
    </row>
    <row r="32" spans="2:17">
      <c r="B32" s="3" t="s">
        <v>945</v>
      </c>
      <c r="D32" s="3" t="s">
        <v>237</v>
      </c>
      <c r="H32" s="10"/>
      <c r="I32" s="10"/>
      <c r="J32" s="10"/>
      <c r="K32" s="10"/>
      <c r="L32" s="10"/>
      <c r="M32" s="38">
        <f>'2. Parameters'!M62</f>
        <v>1</v>
      </c>
      <c r="N32" s="38">
        <f>'2. Parameters'!N62</f>
        <v>0.996</v>
      </c>
      <c r="O32" s="38">
        <f>'2. Parameters'!O62</f>
        <v>0.99201600000000001</v>
      </c>
      <c r="P32" s="38">
        <f>'2. Parameters'!P62</f>
        <v>0.98804793599999996</v>
      </c>
      <c r="Q32" s="38">
        <f>'2. Parameters'!Q62</f>
        <v>0.98409574425599999</v>
      </c>
    </row>
    <row r="33" spans="1:17">
      <c r="B33" s="3" t="s">
        <v>946</v>
      </c>
      <c r="D33" s="3" t="s">
        <v>237</v>
      </c>
      <c r="H33" s="10"/>
      <c r="I33" s="10"/>
      <c r="J33" s="10"/>
      <c r="K33" s="10"/>
      <c r="L33" s="10"/>
      <c r="M33" s="10"/>
      <c r="N33" s="38">
        <f>'2. Parameters'!N63</f>
        <v>1</v>
      </c>
      <c r="O33" s="38">
        <f>'2. Parameters'!O63</f>
        <v>0.996</v>
      </c>
      <c r="P33" s="38">
        <f>'2. Parameters'!P63</f>
        <v>0.99201600000000001</v>
      </c>
      <c r="Q33" s="38">
        <f>'2. Parameters'!Q63</f>
        <v>0.98804793599999996</v>
      </c>
    </row>
    <row r="34" spans="1:17">
      <c r="B34" s="3" t="s">
        <v>947</v>
      </c>
      <c r="D34" s="3" t="s">
        <v>237</v>
      </c>
      <c r="H34" s="10"/>
      <c r="I34" s="10"/>
      <c r="J34" s="10"/>
      <c r="K34" s="10"/>
      <c r="L34" s="10"/>
      <c r="M34" s="10"/>
      <c r="N34" s="10"/>
      <c r="O34" s="38">
        <f>'2. Parameters'!O64</f>
        <v>1</v>
      </c>
      <c r="P34" s="38">
        <f>'2. Parameters'!P64</f>
        <v>0.996</v>
      </c>
      <c r="Q34" s="38">
        <f>'2. Parameters'!Q64</f>
        <v>0.99201600000000001</v>
      </c>
    </row>
    <row r="35" spans="1:17">
      <c r="B35" s="3" t="s">
        <v>948</v>
      </c>
      <c r="D35" s="3" t="s">
        <v>237</v>
      </c>
      <c r="H35" s="10"/>
      <c r="I35" s="10"/>
      <c r="J35" s="10"/>
      <c r="K35" s="10"/>
      <c r="L35" s="10"/>
      <c r="M35" s="10"/>
      <c r="N35" s="10"/>
      <c r="O35" s="10"/>
      <c r="P35" s="38">
        <f>'2. Parameters'!P65</f>
        <v>1</v>
      </c>
      <c r="Q35" s="38">
        <f>'2. Parameters'!Q65</f>
        <v>0.996</v>
      </c>
    </row>
    <row r="36" spans="1:17">
      <c r="B36" s="3" t="s">
        <v>949</v>
      </c>
      <c r="D36" s="3" t="s">
        <v>237</v>
      </c>
      <c r="H36" s="10"/>
      <c r="I36" s="10"/>
      <c r="J36" s="10"/>
      <c r="K36" s="10"/>
      <c r="L36" s="10"/>
      <c r="M36" s="10"/>
      <c r="N36" s="10"/>
      <c r="O36" s="10"/>
      <c r="P36" s="10"/>
      <c r="Q36" s="38">
        <f>'2. Parameters'!Q66</f>
        <v>1</v>
      </c>
    </row>
    <row r="37" spans="1:17" s="98" customFormat="1">
      <c r="A37" s="357"/>
      <c r="P37" s="118"/>
      <c r="Q37" s="118"/>
    </row>
    <row r="38" spans="1:17">
      <c r="B38" s="16" t="s">
        <v>238</v>
      </c>
    </row>
    <row r="39" spans="1:17">
      <c r="B39" s="32" t="s">
        <v>226</v>
      </c>
      <c r="D39" s="3" t="s">
        <v>850</v>
      </c>
      <c r="H39" s="10"/>
      <c r="I39" s="10"/>
      <c r="J39" s="10"/>
      <c r="K39" s="38">
        <f>'2. Parameters'!K74</f>
        <v>1</v>
      </c>
      <c r="L39" s="38">
        <f>'2. Parameters'!L74</f>
        <v>1.02</v>
      </c>
      <c r="M39" s="38">
        <f>'2. Parameters'!M74</f>
        <v>1.0404</v>
      </c>
      <c r="N39" s="38">
        <f>'2. Parameters'!N74</f>
        <v>1.0612079999999999</v>
      </c>
      <c r="O39" s="38">
        <f>'2. Parameters'!O74</f>
        <v>1.10365632</v>
      </c>
      <c r="P39" s="38">
        <f>'2. Parameters'!P74</f>
        <v>1.1809122624000001</v>
      </c>
      <c r="Q39" s="38">
        <f>'2. Parameters'!Q74</f>
        <v>1.2635761207680003</v>
      </c>
    </row>
    <row r="40" spans="1:17">
      <c r="B40" s="32" t="s">
        <v>227</v>
      </c>
      <c r="D40" s="3" t="s">
        <v>850</v>
      </c>
      <c r="H40" s="10"/>
      <c r="I40" s="10"/>
      <c r="J40" s="10"/>
      <c r="K40" s="10"/>
      <c r="L40" s="38">
        <f>'2. Parameters'!L75</f>
        <v>1</v>
      </c>
      <c r="M40" s="38">
        <f>'2. Parameters'!M75</f>
        <v>1.02</v>
      </c>
      <c r="N40" s="38">
        <f>'2. Parameters'!N75</f>
        <v>1.0404</v>
      </c>
      <c r="O40" s="38">
        <f>'2. Parameters'!O75</f>
        <v>1.0820160000000001</v>
      </c>
      <c r="P40" s="38">
        <f>'2. Parameters'!P75</f>
        <v>1.1577571200000001</v>
      </c>
      <c r="Q40" s="38">
        <f>'2. Parameters'!Q75</f>
        <v>1.2388001184000001</v>
      </c>
    </row>
    <row r="41" spans="1:17">
      <c r="B41" s="32" t="s">
        <v>228</v>
      </c>
      <c r="D41" s="3" t="s">
        <v>850</v>
      </c>
      <c r="H41" s="10"/>
      <c r="I41" s="10"/>
      <c r="J41" s="10"/>
      <c r="K41" s="10"/>
      <c r="L41" s="10"/>
      <c r="M41" s="38">
        <f>'2. Parameters'!M76</f>
        <v>1</v>
      </c>
      <c r="N41" s="38">
        <f>'2. Parameters'!N76</f>
        <v>1.02</v>
      </c>
      <c r="O41" s="38">
        <f>'2. Parameters'!O76</f>
        <v>1.0608</v>
      </c>
      <c r="P41" s="38">
        <f>'2. Parameters'!P76</f>
        <v>1.1350560000000001</v>
      </c>
      <c r="Q41" s="38">
        <f>'2. Parameters'!Q76</f>
        <v>1.2145099200000002</v>
      </c>
    </row>
    <row r="42" spans="1:17">
      <c r="B42" s="32" t="s">
        <v>229</v>
      </c>
      <c r="D42" s="3" t="s">
        <v>850</v>
      </c>
      <c r="H42" s="10"/>
      <c r="I42" s="10"/>
      <c r="J42" s="10"/>
      <c r="K42" s="10"/>
      <c r="L42" s="10"/>
      <c r="M42" s="10"/>
      <c r="N42" s="38">
        <f>'2. Parameters'!N77</f>
        <v>1</v>
      </c>
      <c r="O42" s="38">
        <f>'2. Parameters'!O77</f>
        <v>1.04</v>
      </c>
      <c r="P42" s="38">
        <f>'2. Parameters'!P77</f>
        <v>1.1128</v>
      </c>
      <c r="Q42" s="38">
        <f>'2. Parameters'!Q77</f>
        <v>1.190696</v>
      </c>
    </row>
    <row r="43" spans="1:17">
      <c r="B43" s="32" t="s">
        <v>230</v>
      </c>
      <c r="D43" s="3" t="s">
        <v>850</v>
      </c>
      <c r="H43" s="10"/>
      <c r="I43" s="10"/>
      <c r="J43" s="10"/>
      <c r="K43" s="10"/>
      <c r="L43" s="10"/>
      <c r="M43" s="10"/>
      <c r="N43" s="10"/>
      <c r="O43" s="38">
        <f>'2. Parameters'!O78</f>
        <v>1</v>
      </c>
      <c r="P43" s="38">
        <f>'2. Parameters'!P78</f>
        <v>1.07</v>
      </c>
      <c r="Q43" s="38">
        <f>'2. Parameters'!Q78</f>
        <v>1.1449</v>
      </c>
    </row>
    <row r="44" spans="1:17">
      <c r="B44" s="32" t="s">
        <v>231</v>
      </c>
      <c r="D44" s="3" t="s">
        <v>850</v>
      </c>
      <c r="H44" s="10"/>
      <c r="I44" s="10"/>
      <c r="J44" s="10"/>
      <c r="K44" s="10"/>
      <c r="L44" s="10"/>
      <c r="M44" s="10"/>
      <c r="N44" s="10"/>
      <c r="O44" s="10"/>
      <c r="P44" s="38">
        <f>'2. Parameters'!P79</f>
        <v>1</v>
      </c>
      <c r="Q44" s="38">
        <f>'2. Parameters'!Q79</f>
        <v>1.07</v>
      </c>
    </row>
    <row r="45" spans="1:17">
      <c r="B45" s="32" t="s">
        <v>232</v>
      </c>
      <c r="D45" s="3" t="s">
        <v>850</v>
      </c>
      <c r="H45" s="10"/>
      <c r="I45" s="10"/>
      <c r="J45" s="10"/>
      <c r="K45" s="10"/>
      <c r="L45" s="10"/>
      <c r="M45" s="10"/>
      <c r="N45" s="10"/>
      <c r="O45" s="10"/>
      <c r="P45" s="10"/>
      <c r="Q45" s="38">
        <f>'2. Parameters'!Q80</f>
        <v>1</v>
      </c>
    </row>
    <row r="47" spans="1:17">
      <c r="B47" s="2" t="s">
        <v>217</v>
      </c>
    </row>
    <row r="48" spans="1:17">
      <c r="B48" s="3" t="s">
        <v>217</v>
      </c>
      <c r="D48" s="3" t="s">
        <v>199</v>
      </c>
      <c r="F48" s="61">
        <f>'2. Parameters'!F32</f>
        <v>0.01</v>
      </c>
    </row>
    <row r="50" spans="1:19">
      <c r="B50" s="2" t="s">
        <v>241</v>
      </c>
    </row>
    <row r="51" spans="1:19">
      <c r="B51" s="3" t="s">
        <v>241</v>
      </c>
      <c r="D51" s="3" t="s">
        <v>199</v>
      </c>
      <c r="F51" s="61">
        <f>'2. Parameters'!F84</f>
        <v>1</v>
      </c>
    </row>
    <row r="53" spans="1:19">
      <c r="B53" s="2" t="s">
        <v>206</v>
      </c>
    </row>
    <row r="54" spans="1:19">
      <c r="B54" s="3" t="s">
        <v>950</v>
      </c>
      <c r="D54" s="3" t="s">
        <v>199</v>
      </c>
      <c r="H54" s="10"/>
      <c r="I54" s="10"/>
      <c r="J54" s="10"/>
      <c r="K54" s="10"/>
      <c r="L54" s="10"/>
      <c r="M54" s="61">
        <f>'2. Parameters'!M24</f>
        <v>3.4000000000000002E-2</v>
      </c>
      <c r="N54" s="61">
        <f>'2. Parameters'!N24</f>
        <v>3.3000000000000002E-2</v>
      </c>
      <c r="O54" s="61">
        <f>'2. Parameters'!O24</f>
        <v>3.7999999999999999E-2</v>
      </c>
      <c r="P54" s="61">
        <f>'2. Parameters'!P24</f>
        <v>3.7999999999999999E-2</v>
      </c>
      <c r="Q54" s="61">
        <f>'2. Parameters'!Q24</f>
        <v>3.7999999999999999E-2</v>
      </c>
    </row>
    <row r="55" spans="1:19">
      <c r="B55" s="3" t="s">
        <v>951</v>
      </c>
      <c r="D55" s="3" t="s">
        <v>199</v>
      </c>
      <c r="H55" s="10"/>
      <c r="I55" s="10"/>
      <c r="J55" s="10"/>
      <c r="K55" s="10"/>
      <c r="L55" s="10"/>
      <c r="M55" s="260">
        <f>'2. Parameters'!M28</f>
        <v>4.1000000000000002E-2</v>
      </c>
      <c r="N55" s="260">
        <f>'2. Parameters'!N28</f>
        <v>5.0999999999999997E-2</v>
      </c>
      <c r="O55" s="10"/>
      <c r="P55" s="10"/>
      <c r="Q55" s="10"/>
    </row>
    <row r="57" spans="1:19" s="98" customFormat="1">
      <c r="A57" s="357"/>
      <c r="B57" s="115" t="s">
        <v>952</v>
      </c>
    </row>
    <row r="58" spans="1:19">
      <c r="B58" s="3" t="s">
        <v>460</v>
      </c>
      <c r="D58" s="3" t="s">
        <v>204</v>
      </c>
      <c r="H58" s="48">
        <f>'4. Input nacalculaties'!I23</f>
        <v>46141700.732850499</v>
      </c>
      <c r="I58" s="48">
        <f>'4. Input nacalculaties'!J23</f>
        <v>60491853.149999999</v>
      </c>
      <c r="J58" s="48">
        <f>'4. Input nacalculaties'!K23</f>
        <v>59941898.980000004</v>
      </c>
      <c r="K58" s="10"/>
      <c r="L58" s="10"/>
      <c r="M58" s="48">
        <f>'15. Operationele kosten'!F20</f>
        <v>255375350.92082277</v>
      </c>
      <c r="N58" s="48">
        <f>'15. Operationele kosten'!F23</f>
        <v>235931593.58603954</v>
      </c>
      <c r="O58" s="10"/>
      <c r="P58" s="10"/>
      <c r="Q58" s="10"/>
    </row>
    <row r="59" spans="1:19">
      <c r="B59" s="32" t="s">
        <v>953</v>
      </c>
      <c r="D59" s="3" t="s">
        <v>204</v>
      </c>
      <c r="H59" s="48">
        <f>'4. Input nacalculaties'!I24</f>
        <v>51772596.931449495</v>
      </c>
      <c r="I59" s="48">
        <f>'4. Input nacalculaties'!J24</f>
        <v>57577907.726399995</v>
      </c>
      <c r="J59" s="48">
        <f>'4. Input nacalculaties'!K24</f>
        <v>46608188.220100001</v>
      </c>
      <c r="K59" s="10"/>
      <c r="L59" s="10"/>
      <c r="M59" s="48">
        <f>'15. Operationele kosten'!E20</f>
        <v>117613906.59917724</v>
      </c>
      <c r="N59" s="48">
        <f>'15. Operationele kosten'!E23</f>
        <v>85777606.813960448</v>
      </c>
      <c r="O59" s="10"/>
      <c r="P59" s="10"/>
      <c r="Q59" s="10"/>
    </row>
    <row r="60" spans="1:19">
      <c r="B60" s="32" t="s">
        <v>954</v>
      </c>
      <c r="D60" s="3" t="s">
        <v>204</v>
      </c>
      <c r="H60" s="48">
        <f>'7. Input IC peakshaver'!H31</f>
        <v>1320509.5900000001</v>
      </c>
      <c r="I60" s="48">
        <f>'7. Input IC peakshaver'!I31</f>
        <v>1966066.3200000003</v>
      </c>
      <c r="J60" s="48">
        <f>'7. Input IC peakshaver'!J31</f>
        <v>1575548.13</v>
      </c>
      <c r="K60" s="10"/>
      <c r="L60" s="10"/>
      <c r="M60" s="263">
        <f>'15. Operationele kosten'!F21</f>
        <v>4045629</v>
      </c>
      <c r="N60" s="48">
        <f>'15. Operationele kosten'!F24</f>
        <v>4280846.4400000004</v>
      </c>
      <c r="O60" s="10"/>
      <c r="P60" s="10"/>
      <c r="Q60" s="10"/>
      <c r="S60" s="3" t="s">
        <v>955</v>
      </c>
    </row>
    <row r="62" spans="1:19" s="98" customFormat="1">
      <c r="A62" s="357"/>
      <c r="B62" s="115" t="s">
        <v>956</v>
      </c>
    </row>
    <row r="63" spans="1:19" s="98" customFormat="1">
      <c r="A63" s="357"/>
      <c r="B63" s="98" t="s">
        <v>957</v>
      </c>
      <c r="D63" s="98" t="s">
        <v>199</v>
      </c>
      <c r="F63" s="86">
        <f>'2. Parameters'!F100</f>
        <v>0.25</v>
      </c>
    </row>
    <row r="64" spans="1:19">
      <c r="B64" s="3" t="s">
        <v>958</v>
      </c>
      <c r="D64" s="3" t="s">
        <v>199</v>
      </c>
      <c r="F64" s="86">
        <f>'2. Parameters'!F101</f>
        <v>0.2</v>
      </c>
    </row>
    <row r="65" spans="1:17">
      <c r="F65" s="19"/>
    </row>
    <row r="66" spans="1:17">
      <c r="B66" s="254" t="s">
        <v>959</v>
      </c>
    </row>
    <row r="67" spans="1:17">
      <c r="B67" s="174" t="s">
        <v>959</v>
      </c>
      <c r="D67" s="3" t="s">
        <v>199</v>
      </c>
      <c r="F67" s="185">
        <f>'7. Input IC peakshaver'!F17</f>
        <v>0.77</v>
      </c>
    </row>
    <row r="69" spans="1:17" s="8" customFormat="1">
      <c r="A69" s="360"/>
      <c r="B69" s="8" t="s">
        <v>960</v>
      </c>
    </row>
    <row r="71" spans="1:17">
      <c r="B71" s="32" t="s">
        <v>961</v>
      </c>
      <c r="D71" s="3" t="s">
        <v>204</v>
      </c>
      <c r="K71" s="10"/>
      <c r="L71" s="10"/>
      <c r="M71" s="103"/>
      <c r="N71" s="48">
        <f>'4. Input nacalculaties'!O53</f>
        <v>1025152809.5344594</v>
      </c>
      <c r="O71" s="10"/>
      <c r="P71" s="10"/>
      <c r="Q71" s="10"/>
    </row>
    <row r="72" spans="1:17">
      <c r="B72" t="s">
        <v>832</v>
      </c>
      <c r="D72" s="3" t="s">
        <v>204</v>
      </c>
      <c r="K72" s="10"/>
      <c r="L72" s="10"/>
      <c r="M72" s="304"/>
      <c r="N72" s="202">
        <f>_xlfn.XLOOKUP(N10,Omzet[Jaar],Omzet[Omzetregulering tariefgereguleerd])</f>
        <v>1053217263.61</v>
      </c>
      <c r="O72" s="10"/>
      <c r="P72" s="10"/>
      <c r="Q72" s="10"/>
    </row>
    <row r="73" spans="1:17">
      <c r="B73" s="3" t="s">
        <v>962</v>
      </c>
      <c r="D73" s="3" t="s">
        <v>204</v>
      </c>
      <c r="K73" s="10"/>
      <c r="L73" s="10"/>
      <c r="M73" s="103"/>
      <c r="N73" s="49">
        <f>N71-N72</f>
        <v>-28064454.075540662</v>
      </c>
      <c r="O73" s="10"/>
      <c r="P73" s="10"/>
      <c r="Q73" s="10"/>
    </row>
    <row r="74" spans="1:17">
      <c r="B74" s="3" t="s">
        <v>963</v>
      </c>
      <c r="D74" s="3" t="s">
        <v>204</v>
      </c>
      <c r="K74" s="10"/>
      <c r="L74" s="10"/>
      <c r="M74" s="103"/>
      <c r="N74" s="48">
        <f>N73</f>
        <v>-28064454.075540662</v>
      </c>
      <c r="O74" s="10"/>
      <c r="P74" s="10"/>
      <c r="Q74" s="10"/>
    </row>
    <row r="75" spans="1:17">
      <c r="B75" s="3" t="s">
        <v>964</v>
      </c>
      <c r="D75" s="3" t="s">
        <v>204</v>
      </c>
      <c r="K75" s="10"/>
      <c r="L75" s="10"/>
      <c r="M75" s="10"/>
      <c r="N75" s="10"/>
      <c r="O75" s="103"/>
      <c r="P75" s="57">
        <f>N74*INDEX(P$39:P$45,P$10-2021)</f>
        <v>-31230124.495261651</v>
      </c>
      <c r="Q75" s="10"/>
    </row>
    <row r="77" spans="1:17" s="8" customFormat="1">
      <c r="A77" s="360"/>
      <c r="B77" s="8" t="s">
        <v>965</v>
      </c>
    </row>
    <row r="79" spans="1:17">
      <c r="B79" s="3" t="s">
        <v>966</v>
      </c>
      <c r="D79" s="3" t="s">
        <v>204</v>
      </c>
      <c r="K79" s="10"/>
      <c r="L79" s="10"/>
      <c r="M79" s="105"/>
      <c r="N79" s="58">
        <f>_xlfn.XLOOKUP('20. Nacalculaties'!N10,Omzet[Jaar],Omzet[Overboek- en terugkoopregeling])</f>
        <v>36546798.390000001</v>
      </c>
      <c r="O79" s="10"/>
      <c r="P79" s="10"/>
      <c r="Q79" s="10"/>
    </row>
    <row r="80" spans="1:17">
      <c r="B80" s="3" t="s">
        <v>967</v>
      </c>
      <c r="D80" s="3" t="s">
        <v>204</v>
      </c>
      <c r="K80" s="10"/>
      <c r="L80" s="10"/>
      <c r="M80" s="105"/>
      <c r="N80" s="53">
        <f>-N79*50%</f>
        <v>-18273399.195</v>
      </c>
      <c r="O80" s="10"/>
      <c r="P80" s="10"/>
      <c r="Q80" s="10"/>
    </row>
    <row r="81" spans="1:17">
      <c r="B81" s="3" t="s">
        <v>963</v>
      </c>
      <c r="D81" s="3" t="s">
        <v>204</v>
      </c>
      <c r="K81" s="10"/>
      <c r="L81" s="10"/>
      <c r="M81" s="105"/>
      <c r="N81" s="58">
        <f>N80</f>
        <v>-18273399.195</v>
      </c>
      <c r="O81" s="10"/>
      <c r="P81" s="10"/>
      <c r="Q81" s="10"/>
    </row>
    <row r="82" spans="1:17">
      <c r="B82" s="3" t="s">
        <v>964</v>
      </c>
      <c r="D82" s="3" t="s">
        <v>204</v>
      </c>
      <c r="K82" s="10"/>
      <c r="L82" s="10"/>
      <c r="M82" s="10"/>
      <c r="N82" s="10"/>
      <c r="O82" s="103"/>
      <c r="P82" s="57">
        <f>N81*INDEX(P$39:P$45,P$10-2021)</f>
        <v>-20334638.624196</v>
      </c>
      <c r="Q82" s="10"/>
    </row>
    <row r="84" spans="1:17" s="8" customFormat="1">
      <c r="A84" s="360"/>
      <c r="B84" s="8" t="s">
        <v>448</v>
      </c>
    </row>
    <row r="86" spans="1:17">
      <c r="B86" s="3" t="s">
        <v>968</v>
      </c>
      <c r="D86" s="3" t="s">
        <v>204</v>
      </c>
      <c r="K86" s="10"/>
      <c r="L86" s="10"/>
      <c r="M86" s="10"/>
      <c r="N86" s="103"/>
      <c r="O86" s="179">
        <f>'4. Input nacalculaties'!P11</f>
        <v>234818622.54864001</v>
      </c>
      <c r="P86" s="10"/>
      <c r="Q86" s="10"/>
    </row>
    <row r="87" spans="1:17">
      <c r="B87" s="3" t="s">
        <v>969</v>
      </c>
      <c r="D87" s="3" t="s">
        <v>204</v>
      </c>
      <c r="K87" s="10"/>
      <c r="L87" s="10"/>
      <c r="M87" s="10"/>
      <c r="N87" s="10"/>
      <c r="O87" s="103"/>
      <c r="P87" s="49">
        <f>O86*P43</f>
        <v>251255926.12704483</v>
      </c>
      <c r="Q87" s="10"/>
    </row>
    <row r="88" spans="1:17">
      <c r="B88" s="3" t="s">
        <v>829</v>
      </c>
      <c r="D88" s="3" t="s">
        <v>204</v>
      </c>
      <c r="K88" s="10"/>
      <c r="L88" s="10"/>
      <c r="M88" s="305"/>
      <c r="N88" s="176">
        <f>_xlfn.XLOOKUP('20. Nacalculaties'!N10,Omzet[Jaar],Omzet[Veilinggelden])</f>
        <v>161390059.07999998</v>
      </c>
      <c r="O88" s="10"/>
      <c r="P88" s="10"/>
      <c r="Q88" s="10"/>
    </row>
    <row r="89" spans="1:17">
      <c r="B89" s="3" t="s">
        <v>970</v>
      </c>
      <c r="D89" s="3" t="s">
        <v>204</v>
      </c>
      <c r="K89" s="10"/>
      <c r="L89" s="10"/>
      <c r="M89" s="10"/>
      <c r="N89" s="10"/>
      <c r="O89" s="103"/>
      <c r="P89" s="49">
        <f>N88*INDEX(P$39:P$45,P$10-2021)</f>
        <v>179594857.74422398</v>
      </c>
      <c r="Q89" s="10"/>
    </row>
    <row r="90" spans="1:17">
      <c r="B90" s="3" t="s">
        <v>971</v>
      </c>
      <c r="D90" s="3" t="s">
        <v>204</v>
      </c>
      <c r="K90" s="10"/>
      <c r="L90" s="10"/>
      <c r="M90" s="10"/>
      <c r="N90" s="10"/>
      <c r="O90" s="103"/>
      <c r="P90" s="49">
        <f>P87+P89</f>
        <v>430850783.87126881</v>
      </c>
      <c r="Q90" s="10"/>
    </row>
    <row r="91" spans="1:17">
      <c r="B91" s="3" t="s">
        <v>453</v>
      </c>
      <c r="D91" s="3" t="s">
        <v>204</v>
      </c>
      <c r="K91" s="10"/>
      <c r="L91" s="10"/>
      <c r="M91" s="10"/>
      <c r="N91" s="10"/>
      <c r="O91" s="103"/>
      <c r="P91" s="48">
        <f>'4. Input nacalculaties'!Q13</f>
        <v>0</v>
      </c>
      <c r="Q91" s="10"/>
    </row>
    <row r="92" spans="1:17">
      <c r="B92" s="3" t="s">
        <v>454</v>
      </c>
      <c r="D92" s="3" t="s">
        <v>204</v>
      </c>
      <c r="K92" s="10"/>
      <c r="L92" s="10"/>
      <c r="M92" s="10"/>
      <c r="N92" s="10"/>
      <c r="O92" s="103"/>
      <c r="P92" s="57">
        <f>'4. Input nacalculaties'!Q14</f>
        <v>-430850783.87126899</v>
      </c>
      <c r="Q92" s="10"/>
    </row>
    <row r="93" spans="1:17">
      <c r="B93" s="3" t="s">
        <v>972</v>
      </c>
      <c r="D93" s="3" t="s">
        <v>204</v>
      </c>
      <c r="K93" s="10"/>
      <c r="L93" s="10"/>
      <c r="M93" s="10"/>
      <c r="N93" s="10"/>
      <c r="O93" s="103"/>
      <c r="P93" s="49">
        <f>P87+P89+P92</f>
        <v>0</v>
      </c>
      <c r="Q93" s="10"/>
    </row>
    <row r="95" spans="1:17" s="8" customFormat="1">
      <c r="A95" s="360"/>
      <c r="B95" s="8" t="s">
        <v>973</v>
      </c>
    </row>
    <row r="97" spans="1:17">
      <c r="B97" s="3" t="s">
        <v>830</v>
      </c>
      <c r="D97" s="3" t="s">
        <v>204</v>
      </c>
      <c r="K97" s="10"/>
      <c r="L97" s="10"/>
      <c r="M97" s="105"/>
      <c r="N97" s="58">
        <f>_xlfn.XLOOKUP(N10,Omzet[Jaar],Omzet[Saldo administratieve onbalans])</f>
        <v>-76372358.110525161</v>
      </c>
      <c r="O97" s="10"/>
      <c r="P97" s="10"/>
      <c r="Q97" s="10"/>
    </row>
    <row r="98" spans="1:17">
      <c r="B98" s="3" t="s">
        <v>963</v>
      </c>
      <c r="D98" s="3" t="s">
        <v>204</v>
      </c>
      <c r="K98" s="10"/>
      <c r="L98" s="10"/>
      <c r="M98" s="105"/>
      <c r="N98" s="53">
        <f>-N97</f>
        <v>76372358.110525161</v>
      </c>
      <c r="O98" s="10"/>
      <c r="P98" s="10"/>
      <c r="Q98" s="10"/>
    </row>
    <row r="99" spans="1:17">
      <c r="B99" s="3" t="s">
        <v>964</v>
      </c>
      <c r="D99" s="3" t="s">
        <v>204</v>
      </c>
      <c r="K99" s="10"/>
      <c r="L99" s="10"/>
      <c r="M99" s="10"/>
      <c r="N99" s="10"/>
      <c r="O99" s="103"/>
      <c r="P99" s="57">
        <f>N98*INDEX(P$39:P$45,P$10-2021)</f>
        <v>84987160.105392396</v>
      </c>
      <c r="Q99" s="10"/>
    </row>
    <row r="101" spans="1:17" s="8" customFormat="1">
      <c r="A101" s="360"/>
      <c r="B101" s="8" t="s">
        <v>974</v>
      </c>
    </row>
    <row r="103" spans="1:17">
      <c r="B103" s="3" t="s">
        <v>463</v>
      </c>
      <c r="D103" s="3" t="s">
        <v>204</v>
      </c>
      <c r="K103" s="58">
        <f>'4. Input nacalculaties'!L28</f>
        <v>2227061.457252</v>
      </c>
      <c r="L103" s="10"/>
      <c r="M103" s="10"/>
      <c r="N103" s="10"/>
      <c r="O103" s="10"/>
      <c r="P103" s="10"/>
      <c r="Q103" s="10"/>
    </row>
    <row r="104" spans="1:17">
      <c r="B104" s="3" t="s">
        <v>975</v>
      </c>
      <c r="D104" s="3" t="s">
        <v>204</v>
      </c>
      <c r="K104" s="10"/>
      <c r="L104" s="10"/>
      <c r="M104" s="53">
        <f>$K$103*M18*M30</f>
        <v>2291915.0394875272</v>
      </c>
      <c r="N104" s="53">
        <f t="shared" ref="N104:Q104" si="0">$K$103*N18*N30</f>
        <v>2424277.7168480111</v>
      </c>
      <c r="O104" s="53">
        <f t="shared" si="0"/>
        <v>2607747.0544590689</v>
      </c>
      <c r="P104" s="53">
        <f>$K$103*P18*P30</f>
        <v>2670040.9160959874</v>
      </c>
      <c r="Q104" s="53">
        <f t="shared" si="0"/>
        <v>2704569.8852229407</v>
      </c>
    </row>
    <row r="105" spans="1:17">
      <c r="B105" s="3" t="s">
        <v>976</v>
      </c>
      <c r="D105" s="3" t="s">
        <v>204</v>
      </c>
      <c r="K105" s="10"/>
      <c r="L105" s="10"/>
      <c r="M105" s="305"/>
      <c r="N105" s="176">
        <f>'15. Operationele kosten'!E25+'15. Operationele kosten'!F25</f>
        <v>17453557.379999969</v>
      </c>
      <c r="O105" s="10"/>
      <c r="P105" s="10"/>
      <c r="Q105" s="10"/>
    </row>
    <row r="106" spans="1:17">
      <c r="B106" s="3" t="s">
        <v>964</v>
      </c>
      <c r="D106" s="3" t="s">
        <v>204</v>
      </c>
      <c r="K106" s="10"/>
      <c r="L106" s="10"/>
      <c r="M106" s="10"/>
      <c r="N106" s="10"/>
      <c r="O106" s="103"/>
      <c r="P106" s="57">
        <f>(N105-N104)*INDEX(P$39:P$45,P$10-2021)</f>
        <v>16724582.409155497</v>
      </c>
      <c r="Q106" s="10"/>
    </row>
    <row r="108" spans="1:17" s="8" customFormat="1">
      <c r="A108" s="360"/>
      <c r="B108" s="8" t="s">
        <v>480</v>
      </c>
    </row>
    <row r="110" spans="1:17">
      <c r="B110" s="3" t="s">
        <v>925</v>
      </c>
      <c r="D110" s="3" t="s">
        <v>204</v>
      </c>
      <c r="K110" s="48">
        <f>'19. Indexatie desinvesteringen'!D1175</f>
        <v>37758981.056281559</v>
      </c>
      <c r="L110" s="48">
        <f>'19. Indexatie desinvesteringen'!E1175</f>
        <v>38763732.819702528</v>
      </c>
      <c r="M110" s="48">
        <f>'19. Indexatie desinvesteringen'!F1175</f>
        <v>22960381.53917243</v>
      </c>
      <c r="N110" s="48">
        <f>'19. Indexatie desinvesteringen'!G1175</f>
        <v>58023959.745093741</v>
      </c>
      <c r="O110" s="10"/>
      <c r="P110" s="10"/>
      <c r="Q110" s="10"/>
    </row>
    <row r="111" spans="1:17">
      <c r="B111" s="3" t="s">
        <v>926</v>
      </c>
      <c r="D111" s="3" t="s">
        <v>204</v>
      </c>
      <c r="K111" s="48">
        <f>'19. Indexatie desinvesteringen'!D1176</f>
        <v>27912770.687367041</v>
      </c>
      <c r="L111" s="48">
        <f>'19. Indexatie desinvesteringen'!E1176</f>
        <v>152460325.70788148</v>
      </c>
      <c r="M111" s="48">
        <f>'19. Indexatie desinvesteringen'!F1176</f>
        <v>18326404.223966755</v>
      </c>
      <c r="N111" s="48">
        <f>'19. Indexatie desinvesteringen'!G1176</f>
        <v>56904952.296988726</v>
      </c>
      <c r="O111" s="10"/>
      <c r="P111" s="10"/>
      <c r="Q111" s="10"/>
    </row>
    <row r="113" spans="1:19">
      <c r="B113" s="3" t="s">
        <v>977</v>
      </c>
      <c r="D113" s="3" t="s">
        <v>204</v>
      </c>
      <c r="K113" s="10"/>
      <c r="L113" s="10"/>
      <c r="M113" s="53">
        <f>$F$48*$K110*M$18*M$30*$F$51</f>
        <v>388585.48908389639</v>
      </c>
      <c r="N113" s="53">
        <f>$F$48*$K110*N$18*N$30*$F$51</f>
        <v>411027.07824946957</v>
      </c>
      <c r="O113" s="53">
        <f>$F$48*$K110*O$18*O$30*$F$51</f>
        <v>442133.60753138951</v>
      </c>
      <c r="P113" s="53">
        <f>$F$48*$K110*P$18*P$30*$F$51</f>
        <v>452695.29514809937</v>
      </c>
      <c r="Q113" s="105"/>
    </row>
    <row r="114" spans="1:19">
      <c r="B114" s="3" t="s">
        <v>978</v>
      </c>
      <c r="D114" s="3" t="s">
        <v>204</v>
      </c>
      <c r="K114" s="10"/>
      <c r="L114" s="10"/>
      <c r="M114" s="53">
        <f>$F$48*$K111*M$18*M$30</f>
        <v>287256.10029227083</v>
      </c>
      <c r="N114" s="53">
        <f>$F$48*$K111*N$18*N$30</f>
        <v>303845.71459635004</v>
      </c>
      <c r="O114" s="53">
        <f>$F$48*$K111*O$18*O$30</f>
        <v>326840.75827700185</v>
      </c>
      <c r="P114" s="53">
        <f>$F$48*$K111*P$18*P$30</f>
        <v>334648.33031072287</v>
      </c>
      <c r="Q114" s="105"/>
    </row>
    <row r="115" spans="1:19">
      <c r="B115" s="3" t="s">
        <v>979</v>
      </c>
      <c r="D115" s="3" t="s">
        <v>204</v>
      </c>
      <c r="K115" s="10"/>
      <c r="L115" s="10"/>
      <c r="M115" s="53">
        <f>$F$48*$L110*M$19*M$31*$F$51</f>
        <v>393036.34090415348</v>
      </c>
      <c r="N115" s="53">
        <f>$F$48*$L110*N$19*N$31*$F$51</f>
        <v>415734.97566405014</v>
      </c>
      <c r="O115" s="53">
        <f>$F$48*$L110*O$19*O$31*$F$51</f>
        <v>447197.79862230545</v>
      </c>
      <c r="P115" s="53">
        <f>$F$48*$L110*P$19*P$31*$F$51</f>
        <v>457880.45963579509</v>
      </c>
      <c r="Q115" s="105"/>
    </row>
    <row r="116" spans="1:19">
      <c r="B116" s="3" t="s">
        <v>980</v>
      </c>
      <c r="D116" s="3" t="s">
        <v>204</v>
      </c>
      <c r="K116" s="10"/>
      <c r="L116" s="10"/>
      <c r="M116" s="53">
        <f>$F$48*$L111*M$19*M$31</f>
        <v>1545837.9312434087</v>
      </c>
      <c r="N116" s="53">
        <f>$F$48*$L111*N$19*N$31</f>
        <v>1635113.1634485777</v>
      </c>
      <c r="O116" s="53">
        <f>$F$48*$L111*O$19*O$31</f>
        <v>1758858.5276583664</v>
      </c>
      <c r="P116" s="53">
        <f>$F$48*$L111*P$19*P$31</f>
        <v>1800874.1401670694</v>
      </c>
      <c r="Q116" s="105"/>
    </row>
    <row r="117" spans="1:19">
      <c r="B117" s="3" t="s">
        <v>981</v>
      </c>
      <c r="D117" s="3" t="s">
        <v>204</v>
      </c>
      <c r="K117" s="10"/>
      <c r="L117" s="10"/>
      <c r="M117" s="53">
        <f>$F$48*$M110*M$20*M$32*$F$51</f>
        <v>229603.81539172429</v>
      </c>
      <c r="N117" s="53">
        <f>$F$48*$M110*N$20*N$32*$F$51</f>
        <v>242863.89493822717</v>
      </c>
      <c r="O117" s="53">
        <f>$F$48*$M110*O$20*O$32*$F$51</f>
        <v>261243.83450715223</v>
      </c>
      <c r="P117" s="53">
        <f>$F$48*$M110*P$20*P$32*$F$51</f>
        <v>267484.42722585908</v>
      </c>
      <c r="Q117" s="105"/>
    </row>
    <row r="118" spans="1:19">
      <c r="B118" s="3" t="s">
        <v>982</v>
      </c>
      <c r="D118" s="3" t="s">
        <v>204</v>
      </c>
      <c r="K118" s="10"/>
      <c r="L118" s="10"/>
      <c r="M118" s="53">
        <f>$F$48*$M111*M$20*M$32</f>
        <v>183264.04223966756</v>
      </c>
      <c r="N118" s="53">
        <f>$F$48*$M111*N$20*N$32</f>
        <v>193847.90720709285</v>
      </c>
      <c r="O118" s="53">
        <f>$F$48*$M111*O$20*O$32</f>
        <v>208518.31682452565</v>
      </c>
      <c r="P118" s="53">
        <f>$F$48*$M111*P$20*P$32</f>
        <v>213499.40237682991</v>
      </c>
      <c r="Q118" s="105"/>
    </row>
    <row r="119" spans="1:19">
      <c r="B119" s="3" t="s">
        <v>983</v>
      </c>
      <c r="D119" s="3" t="s">
        <v>204</v>
      </c>
      <c r="K119" s="10"/>
      <c r="L119" s="10"/>
      <c r="M119" s="105"/>
      <c r="N119" s="53">
        <f>$F$48*$N110*N$21*N$33*$F$51</f>
        <v>580239.59745093738</v>
      </c>
      <c r="O119" s="53">
        <f>$F$48*$N110*O$21*O$33*$F$51</f>
        <v>624152.13018602435</v>
      </c>
      <c r="P119" s="53">
        <f>$F$48*$N110*P$21*P$33*$F$51</f>
        <v>639061.87627190806</v>
      </c>
      <c r="Q119" s="105"/>
    </row>
    <row r="120" spans="1:19">
      <c r="B120" s="3" t="s">
        <v>984</v>
      </c>
      <c r="D120" s="3" t="s">
        <v>204</v>
      </c>
      <c r="K120" s="10"/>
      <c r="L120" s="10"/>
      <c r="M120" s="105"/>
      <c r="N120" s="53">
        <f>$F$48*$N111*N$21*N$33</f>
        <v>569049.52296988724</v>
      </c>
      <c r="O120" s="53">
        <f>$F$48*$N111*O$21*O$33</f>
        <v>612115.19086824835</v>
      </c>
      <c r="P120" s="53">
        <f>$F$48*$N111*P$21*P$33</f>
        <v>626737.3985477091</v>
      </c>
      <c r="Q120" s="105"/>
    </row>
    <row r="122" spans="1:19">
      <c r="B122" s="3" t="s">
        <v>985</v>
      </c>
      <c r="D122" s="3" t="s">
        <v>204</v>
      </c>
      <c r="K122" s="10"/>
      <c r="L122" s="10"/>
      <c r="M122" s="53">
        <f>-SUM(M113:M114)</f>
        <v>-675841.58937616716</v>
      </c>
      <c r="N122" s="53">
        <f>-SUM(N113:N116)</f>
        <v>-2765720.9319584472</v>
      </c>
      <c r="O122" s="49">
        <f>-(SUM(O113:O118)+SUM(M115:M118)*O41+SUM(N117:N118)*O42)</f>
        <v>-6393701.1689213878</v>
      </c>
      <c r="P122" s="104">
        <f>-SUM(P113:P120,N119:O120)</f>
        <v>-7178437.7711590901</v>
      </c>
      <c r="Q122" s="10"/>
      <c r="S122" s="3" t="s">
        <v>986</v>
      </c>
    </row>
    <row r="123" spans="1:19">
      <c r="D123" s="2"/>
    </row>
    <row r="124" spans="1:19" s="8" customFormat="1">
      <c r="A124" s="360"/>
      <c r="B124" s="8" t="s">
        <v>481</v>
      </c>
    </row>
    <row r="126" spans="1:19">
      <c r="B126" s="3" t="s">
        <v>456</v>
      </c>
      <c r="D126" s="3" t="s">
        <v>204</v>
      </c>
      <c r="K126" s="10"/>
      <c r="L126" s="10"/>
      <c r="M126" s="58">
        <f>'4. Input nacalculaties'!N18</f>
        <v>5268139756.0391312</v>
      </c>
      <c r="N126" s="58">
        <f>'4. Input nacalculaties'!O18</f>
        <v>5115634665.0918875</v>
      </c>
      <c r="O126" s="58">
        <f>'4. Input nacalculaties'!P18</f>
        <v>4980890118.9719696</v>
      </c>
      <c r="P126" s="58">
        <f>'4. Input nacalculaties'!Q18</f>
        <v>4857675740.1304922</v>
      </c>
      <c r="Q126" s="58">
        <f>'4. Input nacalculaties'!R18</f>
        <v>4748752834.5466137</v>
      </c>
    </row>
    <row r="127" spans="1:19">
      <c r="B127" s="3" t="s">
        <v>458</v>
      </c>
      <c r="D127" s="3" t="s">
        <v>204</v>
      </c>
      <c r="K127" s="10"/>
      <c r="L127" s="10"/>
      <c r="M127" s="58">
        <f>'4. Input nacalculaties'!N19</f>
        <v>1236767462.5833061</v>
      </c>
      <c r="N127" s="58">
        <f>'4. Input nacalculaties'!O19</f>
        <v>1207881645.0947828</v>
      </c>
      <c r="O127" s="58">
        <f>'4. Input nacalculaties'!P19</f>
        <v>1182417569.8607492</v>
      </c>
      <c r="P127" s="58">
        <f>'4. Input nacalculaties'!Q19</f>
        <v>1160937568.2311876</v>
      </c>
      <c r="Q127" s="58">
        <f>'4. Input nacalculaties'!R19</f>
        <v>1143786642.7114766</v>
      </c>
    </row>
    <row r="128" spans="1:19">
      <c r="B128" s="3" t="s">
        <v>987</v>
      </c>
      <c r="D128" s="3" t="s">
        <v>204</v>
      </c>
      <c r="K128" s="10"/>
      <c r="L128" s="10"/>
      <c r="M128" s="58">
        <f>SUM('17. Nacalculatie bijschatten'!AN61:AN200)</f>
        <v>583544072.88691294</v>
      </c>
      <c r="N128" s="58">
        <f>SUM('17. Nacalculatie bijschatten'!AO61:AO200)</f>
        <v>757686269.26272178</v>
      </c>
      <c r="O128" s="58">
        <f>SUM('17. Nacalculatie bijschatten'!AP61:AP200)</f>
        <v>923791317.77928603</v>
      </c>
      <c r="P128" s="58">
        <f>SUM('17. Nacalculatie bijschatten'!AQ61:AQ200)</f>
        <v>1083407630.1572626</v>
      </c>
      <c r="Q128" s="58">
        <f>SUM('17. Nacalculatie bijschatten'!AR61:AR200)</f>
        <v>1238003822.5213494</v>
      </c>
    </row>
    <row r="129" spans="1:19">
      <c r="B129" s="3" t="s">
        <v>988</v>
      </c>
      <c r="D129" s="3" t="s">
        <v>204</v>
      </c>
      <c r="K129" s="10"/>
      <c r="L129" s="10"/>
      <c r="M129" s="58">
        <f>SUM('17. Nacalculatie bijschatten'!AN217:AN307)</f>
        <v>254422748.43621174</v>
      </c>
      <c r="N129" s="58">
        <f>SUM('17. Nacalculatie bijschatten'!AO217:AO307)</f>
        <v>304872520.13231742</v>
      </c>
      <c r="O129" s="58">
        <f>SUM('17. Nacalculatie bijschatten'!AP217:AP307)</f>
        <v>292306920.64587361</v>
      </c>
      <c r="P129" s="58">
        <f>SUM('17. Nacalculatie bijschatten'!AQ217:AQ307)</f>
        <v>280431164.59253109</v>
      </c>
      <c r="Q129" s="58">
        <f>SUM('17. Nacalculatie bijschatten'!AR217:AR307)</f>
        <v>269956186.9607085</v>
      </c>
    </row>
    <row r="130" spans="1:19">
      <c r="B130" s="3" t="s">
        <v>989</v>
      </c>
      <c r="D130" s="3" t="s">
        <v>204</v>
      </c>
      <c r="K130" s="10"/>
      <c r="L130" s="10"/>
      <c r="M130" s="58">
        <f>SUMIF('16. WUI &amp; ombouwtaak'!$J60:'16. WUI &amp; ombouwtaak'!$J79,"WUI",'16. WUI &amp; ombouwtaak'!AP60:'16. WUI &amp; ombouwtaak'!AP79)</f>
        <v>0</v>
      </c>
      <c r="N130" s="58">
        <f>SUMIF('16. WUI &amp; ombouwtaak'!$J60:'16. WUI &amp; ombouwtaak'!$J79,"WUI",'16. WUI &amp; ombouwtaak'!AQ60:'16. WUI &amp; ombouwtaak'!AQ79)</f>
        <v>185354192.34279776</v>
      </c>
      <c r="O130" s="58">
        <f>SUMIF('16. WUI &amp; ombouwtaak'!$J60:'16. WUI &amp; ombouwtaak'!$J79,"WUI",'16. WUI &amp; ombouwtaak'!AR60:'16. WUI &amp; ombouwtaak'!AR79)</f>
        <v>174635897.83781826</v>
      </c>
      <c r="P130" s="58">
        <f>SUMIF('16. WUI &amp; ombouwtaak'!$J60:'16. WUI &amp; ombouwtaak'!$J79,"WUI",'16. WUI &amp; ombouwtaak'!AS60:'16. WUI &amp; ombouwtaak'!AS79)</f>
        <v>164732763.9626056</v>
      </c>
      <c r="Q130" s="58">
        <f>SUMIF('16. WUI &amp; ombouwtaak'!$J60:'16. WUI &amp; ombouwtaak'!$J79,"WUI",'16. WUI &amp; ombouwtaak'!AT60:'16. WUI &amp; ombouwtaak'!AT79)</f>
        <v>155468990.92096281</v>
      </c>
    </row>
    <row r="131" spans="1:19">
      <c r="B131" s="3" t="s">
        <v>990</v>
      </c>
      <c r="D131" s="3" t="s">
        <v>204</v>
      </c>
      <c r="K131" s="10"/>
      <c r="L131" s="10"/>
      <c r="M131" s="58">
        <f>SUMIF('16. WUI &amp; ombouwtaak'!$K60:'16. WUI &amp; ombouwtaak'!$K79,"Ja",'16. WUI &amp; ombouwtaak'!AP60:'16. WUI &amp; ombouwtaak'!AP79)</f>
        <v>12135578.180691097</v>
      </c>
      <c r="N131" s="58">
        <f>SUMIF('16. WUI &amp; ombouwtaak'!$K60:'16. WUI &amp; ombouwtaak'!$K79,"Ja",'16. WUI &amp; ombouwtaak'!AQ60:'16. WUI &amp; ombouwtaak'!AQ79)</f>
        <v>18542334.539458171</v>
      </c>
      <c r="O131" s="58">
        <f>SUMIF('16. WUI &amp; ombouwtaak'!$K60:'16. WUI &amp; ombouwtaak'!$K79,"Ja",'16. WUI &amp; ombouwtaak'!AR60:'16. WUI &amp; ombouwtaak'!AR79)</f>
        <v>17953778.053511653</v>
      </c>
      <c r="P131" s="58">
        <f>SUMIF('16. WUI &amp; ombouwtaak'!$K60:'16. WUI &amp; ombouwtaak'!$K79,"Ja",'16. WUI &amp; ombouwtaak'!AS60:'16. WUI &amp; ombouwtaak'!AS79)</f>
        <v>17384349.286982913</v>
      </c>
      <c r="Q131" s="58">
        <f>SUMIF('16. WUI &amp; ombouwtaak'!$K60:'16. WUI &amp; ombouwtaak'!$K79,"Ja",'16. WUI &amp; ombouwtaak'!AT60:'16. WUI &amp; ombouwtaak'!AT79)</f>
        <v>16833319.636123355</v>
      </c>
    </row>
    <row r="132" spans="1:19">
      <c r="B132" s="3" t="s">
        <v>991</v>
      </c>
      <c r="D132" s="3" t="s">
        <v>204</v>
      </c>
      <c r="K132" s="10"/>
      <c r="L132" s="10"/>
      <c r="M132" s="10"/>
      <c r="N132" s="58">
        <f>SUMIF('18. Nacalculatie desinv.'!$H$51:$H$266,"&lt;"&amp;N10,'18. Nacalculatie desinv.'!AI51:AI266)</f>
        <v>2577836.9558432451</v>
      </c>
      <c r="O132" s="58">
        <f>SUMIF('18. Nacalculatie desinv.'!$H$51:$H$266,"&lt;"&amp;O10,'18. Nacalculatie desinv.'!AJ51:AJ266)</f>
        <v>17942316.745205738</v>
      </c>
      <c r="P132" s="58">
        <f>SUMIF('18. Nacalculatie desinv.'!$H$51:$H$266,"&lt;"&amp;P10,'18. Nacalculatie desinv.'!AK51:AK266)</f>
        <v>16526844.407226007</v>
      </c>
      <c r="Q132" s="58">
        <f>SUMIF('18. Nacalculatie desinv.'!$H$51:$H$266,"&lt;"&amp;Q10,'18. Nacalculatie desinv.'!AL51:AL266)</f>
        <v>15252030.369377695</v>
      </c>
    </row>
    <row r="133" spans="1:19">
      <c r="B133" s="3" t="s">
        <v>992</v>
      </c>
      <c r="D133" s="3" t="s">
        <v>204</v>
      </c>
      <c r="K133" s="10"/>
      <c r="L133" s="10"/>
      <c r="M133" s="58">
        <f>SUM('22. Correctie assetoverdracht'!AD307:AD549)</f>
        <v>175619169.84408131</v>
      </c>
      <c r="N133" s="58">
        <f>SUM('22. Correctie assetoverdracht'!AE307:AE549)</f>
        <v>148841369.24125001</v>
      </c>
      <c r="O133" s="58">
        <f>SUM('22. Correctie assetoverdracht'!AF307:AF549)</f>
        <v>125733839.90927796</v>
      </c>
      <c r="P133" s="58">
        <f>SUM('22. Correctie assetoverdracht'!AG307:AG549)</f>
        <v>107155312.15046735</v>
      </c>
      <c r="Q133" s="58">
        <f>SUM('22. Correctie assetoverdracht'!AH307:AH549)</f>
        <v>92951486.785070807</v>
      </c>
    </row>
    <row r="134" spans="1:19">
      <c r="B134" s="3" t="s">
        <v>993</v>
      </c>
      <c r="D134" s="3" t="s">
        <v>204</v>
      </c>
      <c r="K134" s="10"/>
      <c r="L134" s="10"/>
      <c r="M134" s="58">
        <f>SUM('22. Correctie assetoverdracht'!V555:V797)+SUM('22. Correctie assetoverdracht'!Q803:Q820)</f>
        <v>196919651.58165225</v>
      </c>
      <c r="N134" s="58">
        <f>SUM('22. Correctie assetoverdracht'!W555:W797)+SUM('22. Correctie assetoverdracht'!R803:R820)</f>
        <v>174852577.48214272</v>
      </c>
      <c r="O134" s="58">
        <f>SUM('22. Correctie assetoverdracht'!X555:X797)+SUM('22. Correctie assetoverdracht'!S803:S820)</f>
        <v>147557774.67629302</v>
      </c>
      <c r="P134" s="58">
        <f>SUM('22. Correctie assetoverdracht'!Y555:Y797)+SUM('22. Correctie assetoverdracht'!T803:T820)</f>
        <v>124715867.84886405</v>
      </c>
      <c r="Q134" s="58">
        <f>SUM('22. Correctie assetoverdracht'!Z555:Z797)+SUM('22. Correctie assetoverdracht'!U803:U820)</f>
        <v>106657594.27311492</v>
      </c>
    </row>
    <row r="135" spans="1:19">
      <c r="B135" s="3" t="s">
        <v>964</v>
      </c>
      <c r="D135" s="3" t="s">
        <v>204</v>
      </c>
      <c r="K135" s="10"/>
      <c r="L135" s="10"/>
      <c r="M135" s="10"/>
      <c r="N135" s="10"/>
      <c r="O135" s="49">
        <f>(M126+M127-M128+M129+M130+M131)*(M55-M54)*O41</f>
        <v>45949029.685100175</v>
      </c>
      <c r="P135" s="186">
        <f>(N126+N127-N128+N129+N130+N131-N132-N133+N134)*(N55-N54)*P42+(-M132-M133+M134)*(M55-M54)*P41</f>
        <v>122315270.04842561</v>
      </c>
      <c r="Q135" s="10"/>
      <c r="S135" s="3" t="s">
        <v>994</v>
      </c>
    </row>
    <row r="137" spans="1:19" s="8" customFormat="1">
      <c r="A137" s="360"/>
      <c r="B137" s="8" t="s">
        <v>475</v>
      </c>
    </row>
    <row r="139" spans="1:19">
      <c r="B139" s="3" t="s">
        <v>995</v>
      </c>
      <c r="D139" s="3" t="s">
        <v>204</v>
      </c>
      <c r="K139" s="126"/>
      <c r="L139" s="126"/>
      <c r="M139" s="103"/>
      <c r="N139" s="319">
        <f>AVERAGE(($H$58+$H$59+$H$60*-$F$67)*N15*N27,($I$58+$I$59+$I$60*-$F$67)*N16*N28,($J$58+$J$59+$J$60*-$F$67)*N17*N29)</f>
        <v>119907790.68674393</v>
      </c>
      <c r="O139" s="320"/>
      <c r="P139" s="320"/>
      <c r="Q139" s="10"/>
    </row>
    <row r="140" spans="1:19">
      <c r="B140" s="3" t="s">
        <v>996</v>
      </c>
      <c r="D140" s="3" t="s">
        <v>204</v>
      </c>
      <c r="K140" s="126"/>
      <c r="L140" s="126"/>
      <c r="M140" s="105"/>
      <c r="N140" s="319">
        <f>N139-(N58+N59+N60*(1-F67))</f>
        <v>-202786004.39445609</v>
      </c>
      <c r="O140" s="320"/>
      <c r="P140" s="320"/>
      <c r="Q140" s="126"/>
    </row>
    <row r="141" spans="1:19">
      <c r="B141" s="3" t="s">
        <v>997</v>
      </c>
      <c r="D141" s="3" t="s">
        <v>204</v>
      </c>
      <c r="K141" s="126"/>
      <c r="L141" s="126"/>
      <c r="M141" s="105"/>
      <c r="N141" s="319">
        <f>N140*F63</f>
        <v>-50696501.098614022</v>
      </c>
      <c r="O141" s="320"/>
      <c r="P141" s="320"/>
      <c r="Q141" s="126"/>
    </row>
    <row r="142" spans="1:19">
      <c r="B142" s="3" t="s">
        <v>998</v>
      </c>
      <c r="D142" s="3" t="s">
        <v>204</v>
      </c>
      <c r="K142" s="126"/>
      <c r="L142" s="126"/>
      <c r="M142" s="105"/>
      <c r="N142" s="319">
        <f>IF(N140&lt;0, -F63*F64*N139,F63*F64*N139)</f>
        <v>-5995389.5343371965</v>
      </c>
      <c r="O142" s="320"/>
      <c r="P142" s="320"/>
      <c r="Q142" s="126"/>
    </row>
    <row r="143" spans="1:19">
      <c r="B143" s="3" t="s">
        <v>999</v>
      </c>
      <c r="D143" s="3" t="s">
        <v>204</v>
      </c>
      <c r="K143" s="126"/>
      <c r="L143" s="126"/>
      <c r="M143" s="105"/>
      <c r="N143" s="319">
        <f>IF(N140&lt;0, MAX(N141,N142),MIN(N141,N142))</f>
        <v>-5995389.5343371965</v>
      </c>
      <c r="O143" s="320"/>
      <c r="P143" s="320"/>
      <c r="Q143" s="126"/>
    </row>
    <row r="144" spans="1:19">
      <c r="B144" s="3" t="s">
        <v>1132</v>
      </c>
      <c r="D144" s="3" t="s">
        <v>204</v>
      </c>
      <c r="K144" s="126"/>
      <c r="L144" s="126"/>
      <c r="M144" s="126"/>
      <c r="N144" s="320"/>
      <c r="O144" s="321"/>
      <c r="P144" s="322">
        <f>-(N140-N143)*P42</f>
        <v>218988596.2163403</v>
      </c>
      <c r="Q144" s="126"/>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212" customWidth="1"/>
    <col min="2" max="2" width="52.5703125" style="3" customWidth="1"/>
    <col min="3" max="3" width="2.5703125" style="3" customWidth="1"/>
    <col min="4" max="4" width="16.7109375" style="3" customWidth="1"/>
    <col min="5" max="5" width="2.5703125" style="3" customWidth="1"/>
    <col min="6" max="6" width="21.5703125" style="3" customWidth="1"/>
    <col min="7" max="7" width="2.5703125" style="3" customWidth="1"/>
    <col min="8" max="8" width="22.42578125" style="3" customWidth="1"/>
    <col min="9" max="9" width="18.5703125" style="3" bestFit="1" customWidth="1"/>
    <col min="10" max="10" width="16.5703125" style="3" bestFit="1" customWidth="1"/>
    <col min="11" max="17" width="14.5703125" style="3" customWidth="1"/>
    <col min="18" max="18" width="2.5703125" style="3" customWidth="1"/>
    <col min="19" max="23" width="13.5703125" style="212" customWidth="1"/>
    <col min="24" max="24" width="2.5703125" style="212" customWidth="1"/>
    <col min="25" max="29" width="13.5703125" style="212" customWidth="1"/>
    <col min="30" max="30" width="2.5703125" style="212" customWidth="1"/>
    <col min="31" max="31" width="14.5703125" style="212" customWidth="1"/>
    <col min="32" max="35" width="14.5703125" style="3" customWidth="1"/>
    <col min="36" max="36" width="2.5703125" style="3" customWidth="1"/>
    <col min="37" max="41" width="14.5703125" style="3" customWidth="1"/>
    <col min="42" max="16384" width="9.140625" style="3"/>
  </cols>
  <sheetData>
    <row r="2" spans="1:31" s="12" customFormat="1" ht="18">
      <c r="B2" s="12" t="s">
        <v>1000</v>
      </c>
    </row>
    <row r="3" spans="1:31">
      <c r="A3" s="3"/>
    </row>
    <row r="4" spans="1:31">
      <c r="A4" s="3"/>
      <c r="B4" s="16" t="s">
        <v>192</v>
      </c>
      <c r="C4" s="2"/>
    </row>
    <row r="5" spans="1:31" ht="83.25" customHeight="1">
      <c r="A5" s="3"/>
      <c r="B5" s="379" t="s">
        <v>1001</v>
      </c>
      <c r="C5" s="379"/>
      <c r="D5" s="379"/>
      <c r="F5" s="13"/>
    </row>
    <row r="6" spans="1:31">
      <c r="A6" s="3"/>
    </row>
    <row r="7" spans="1:31">
      <c r="A7" s="3"/>
      <c r="B7" s="17" t="s">
        <v>150</v>
      </c>
    </row>
    <row r="8" spans="1:31" ht="41.25" customHeight="1">
      <c r="A8" s="3"/>
      <c r="B8" s="379" t="s">
        <v>1002</v>
      </c>
      <c r="C8" s="379"/>
      <c r="D8" s="379"/>
    </row>
    <row r="10" spans="1:31" s="8" customFormat="1" ht="12.75" customHeight="1">
      <c r="B10" s="8" t="s">
        <v>152</v>
      </c>
    </row>
    <row r="12" spans="1:31" s="8" customFormat="1" ht="12.75" customHeight="1">
      <c r="B12" s="8" t="s">
        <v>1003</v>
      </c>
      <c r="D12" s="8" t="s">
        <v>194</v>
      </c>
      <c r="F12" s="8" t="s">
        <v>195</v>
      </c>
      <c r="H12" s="52">
        <v>2022</v>
      </c>
      <c r="I12" s="52">
        <v>2023</v>
      </c>
      <c r="J12" s="52">
        <v>2024</v>
      </c>
      <c r="K12" s="52">
        <v>2025</v>
      </c>
      <c r="L12" s="52">
        <v>2026</v>
      </c>
      <c r="N12" s="8" t="s">
        <v>197</v>
      </c>
    </row>
    <row r="13" spans="1:31">
      <c r="B13" s="2"/>
      <c r="C13" s="5"/>
      <c r="D13" s="5"/>
      <c r="E13" s="13"/>
      <c r="F13" s="13"/>
      <c r="G13" s="13"/>
      <c r="O13" s="212"/>
      <c r="P13" s="212"/>
      <c r="Q13" s="212"/>
      <c r="R13" s="212"/>
      <c r="AB13" s="3"/>
      <c r="AC13" s="3"/>
      <c r="AD13" s="3"/>
      <c r="AE13" s="3"/>
    </row>
    <row r="14" spans="1:31">
      <c r="A14" s="232"/>
      <c r="B14" s="16" t="s">
        <v>207</v>
      </c>
      <c r="C14" s="5"/>
      <c r="D14" s="5"/>
      <c r="E14" s="13"/>
      <c r="F14" s="13"/>
      <c r="G14" s="13"/>
      <c r="O14" s="232"/>
      <c r="P14" s="232"/>
      <c r="Q14" s="232"/>
      <c r="R14" s="232"/>
      <c r="S14" s="232"/>
      <c r="T14" s="232"/>
      <c r="U14" s="232"/>
      <c r="V14" s="232"/>
      <c r="W14" s="232"/>
      <c r="X14" s="232"/>
      <c r="Y14" s="232"/>
      <c r="Z14" s="232"/>
      <c r="AA14" s="232"/>
      <c r="AB14" s="3"/>
      <c r="AC14" s="3"/>
      <c r="AD14" s="3"/>
      <c r="AE14" s="3"/>
    </row>
    <row r="15" spans="1:31">
      <c r="A15" s="3"/>
      <c r="B15" s="234" t="s">
        <v>1004</v>
      </c>
      <c r="D15" s="3" t="s">
        <v>199</v>
      </c>
      <c r="F15" s="235"/>
      <c r="H15" s="242">
        <f>IF(ISBLANK('2. Parameters'!M28),'2. Parameters'!M24,'2. Parameters'!M28)</f>
        <v>4.1000000000000002E-2</v>
      </c>
      <c r="I15" s="242">
        <f>IF(ISBLANK('2. Parameters'!N28),'2. Parameters'!N24,'2. Parameters'!N28)</f>
        <v>5.0999999999999997E-2</v>
      </c>
      <c r="J15" s="242">
        <f>IF(ISBLANK('2. Parameters'!O28),'2. Parameters'!O24,'2. Parameters'!O28)</f>
        <v>3.7999999999999999E-2</v>
      </c>
      <c r="K15" s="242">
        <f>IF(ISBLANK('2. Parameters'!P28),'2. Parameters'!P24,'2. Parameters'!P28)</f>
        <v>3.7999999999999999E-2</v>
      </c>
      <c r="L15" s="242">
        <f>IF(ISBLANK('2. Parameters'!Q28),'2. Parameters'!Q24,'2. Parameters'!Q28)</f>
        <v>3.7999999999999999E-2</v>
      </c>
      <c r="N15" s="379"/>
      <c r="O15" s="379"/>
      <c r="P15" s="379"/>
      <c r="Q15" s="379"/>
      <c r="R15" s="379"/>
      <c r="S15" s="379"/>
      <c r="T15" s="379"/>
      <c r="U15" s="3"/>
      <c r="V15" s="3"/>
      <c r="W15" s="3"/>
      <c r="X15" s="3"/>
      <c r="Y15" s="3"/>
      <c r="Z15" s="3"/>
      <c r="AA15" s="3"/>
      <c r="AB15" s="3"/>
      <c r="AC15" s="3"/>
      <c r="AD15" s="3"/>
      <c r="AE15" s="3"/>
    </row>
    <row r="16" spans="1:31">
      <c r="A16" s="232"/>
      <c r="B16" s="2"/>
      <c r="C16" s="5"/>
      <c r="D16" s="5"/>
      <c r="E16" s="13"/>
      <c r="F16" s="13"/>
      <c r="G16" s="13"/>
      <c r="O16" s="232"/>
      <c r="P16" s="232"/>
      <c r="Q16" s="232"/>
      <c r="R16" s="232"/>
      <c r="S16" s="232"/>
      <c r="T16" s="232"/>
      <c r="U16" s="232"/>
      <c r="V16" s="232"/>
      <c r="W16" s="232"/>
      <c r="X16" s="232"/>
      <c r="Y16" s="232"/>
      <c r="Z16" s="232"/>
      <c r="AA16" s="232"/>
      <c r="AB16" s="3"/>
      <c r="AC16" s="3"/>
      <c r="AD16" s="3"/>
      <c r="AE16" s="3"/>
    </row>
    <row r="17" spans="1:27" s="3" customFormat="1">
      <c r="B17" s="2" t="s">
        <v>239</v>
      </c>
      <c r="H17" s="233"/>
      <c r="I17" s="233"/>
      <c r="J17" s="233"/>
      <c r="K17" s="233"/>
      <c r="L17" s="96"/>
    </row>
    <row r="18" spans="1:27" s="3" customFormat="1">
      <c r="B18" s="32" t="s">
        <v>228</v>
      </c>
      <c r="D18" s="3" t="s">
        <v>240</v>
      </c>
      <c r="H18" s="222">
        <f>'2. Parameters'!M76</f>
        <v>1</v>
      </c>
      <c r="I18" s="222">
        <f>'2. Parameters'!N76</f>
        <v>1.02</v>
      </c>
      <c r="J18" s="222">
        <f>'2. Parameters'!O76</f>
        <v>1.0608</v>
      </c>
      <c r="K18" s="222">
        <f>'2. Parameters'!P76</f>
        <v>1.1350560000000001</v>
      </c>
      <c r="L18" s="222">
        <f>'2. Parameters'!Q76</f>
        <v>1.2145099200000002</v>
      </c>
    </row>
    <row r="19" spans="1:27" s="3" customFormat="1">
      <c r="B19" s="32" t="s">
        <v>229</v>
      </c>
      <c r="D19" s="3" t="s">
        <v>240</v>
      </c>
      <c r="H19" s="223"/>
      <c r="I19" s="222">
        <f>'2. Parameters'!N77</f>
        <v>1</v>
      </c>
      <c r="J19" s="222">
        <f>'2. Parameters'!O77</f>
        <v>1.04</v>
      </c>
      <c r="K19" s="222">
        <f>'2. Parameters'!P77</f>
        <v>1.1128</v>
      </c>
      <c r="L19" s="222">
        <f>'2. Parameters'!Q77</f>
        <v>1.190696</v>
      </c>
    </row>
    <row r="20" spans="1:27" s="3" customFormat="1">
      <c r="B20" s="32" t="s">
        <v>230</v>
      </c>
      <c r="D20" s="3" t="s">
        <v>240</v>
      </c>
      <c r="H20" s="223"/>
      <c r="I20" s="223"/>
      <c r="J20" s="222">
        <f>'2. Parameters'!O78</f>
        <v>1</v>
      </c>
      <c r="K20" s="222">
        <f>'2. Parameters'!P78</f>
        <v>1.07</v>
      </c>
      <c r="L20" s="222">
        <f>'2. Parameters'!Q78</f>
        <v>1.1449</v>
      </c>
    </row>
    <row r="21" spans="1:27" s="3" customFormat="1">
      <c r="B21" s="32" t="s">
        <v>231</v>
      </c>
      <c r="D21" s="3" t="s">
        <v>240</v>
      </c>
      <c r="H21" s="223"/>
      <c r="I21" s="223"/>
      <c r="J21" s="223"/>
      <c r="K21" s="222">
        <f>'2. Parameters'!P79</f>
        <v>1</v>
      </c>
      <c r="L21" s="222">
        <f>'2. Parameters'!Q79</f>
        <v>1.07</v>
      </c>
    </row>
    <row r="22" spans="1:27" s="3" customFormat="1">
      <c r="B22" s="32" t="s">
        <v>232</v>
      </c>
      <c r="D22" s="3" t="s">
        <v>240</v>
      </c>
      <c r="H22" s="223"/>
      <c r="I22" s="223"/>
      <c r="J22" s="223"/>
      <c r="K22" s="223"/>
      <c r="L22" s="222">
        <f>'2. Parameters'!Q80</f>
        <v>1</v>
      </c>
    </row>
    <row r="23" spans="1:27" s="3" customFormat="1">
      <c r="H23" s="233"/>
      <c r="I23" s="233"/>
      <c r="J23" s="233"/>
      <c r="K23" s="233"/>
      <c r="L23" s="96"/>
    </row>
    <row r="24" spans="1:27" s="3" customFormat="1">
      <c r="B24" s="2" t="s">
        <v>242</v>
      </c>
      <c r="H24" s="233"/>
      <c r="I24" s="233"/>
      <c r="J24" s="233"/>
      <c r="K24" s="233"/>
      <c r="L24" s="96"/>
    </row>
    <row r="25" spans="1:27" s="3" customFormat="1">
      <c r="B25" s="3" t="s">
        <v>242</v>
      </c>
      <c r="D25" s="3" t="s">
        <v>199</v>
      </c>
      <c r="F25" s="224">
        <f>'2. Parameters'!F88</f>
        <v>1.3</v>
      </c>
      <c r="H25" s="233"/>
      <c r="I25" s="233"/>
      <c r="J25" s="233"/>
      <c r="K25" s="233"/>
      <c r="L25" s="96"/>
    </row>
    <row r="26" spans="1:27" s="3" customFormat="1">
      <c r="H26" s="233"/>
      <c r="I26" s="233"/>
      <c r="J26" s="233"/>
      <c r="K26" s="233"/>
      <c r="L26" s="96"/>
    </row>
    <row r="27" spans="1:27" s="3" customFormat="1">
      <c r="B27" s="2" t="s">
        <v>1005</v>
      </c>
      <c r="H27" s="233"/>
      <c r="I27" s="233"/>
      <c r="J27" s="233"/>
      <c r="K27" s="233"/>
      <c r="L27" s="96"/>
    </row>
    <row r="28" spans="1:27" s="3" customFormat="1">
      <c r="B28" s="3" t="s">
        <v>1005</v>
      </c>
      <c r="D28" s="3" t="s">
        <v>199</v>
      </c>
      <c r="F28" s="86">
        <f>'2. Parameters'!F92</f>
        <v>0.1</v>
      </c>
      <c r="H28" s="233"/>
      <c r="I28" s="233"/>
      <c r="J28" s="233"/>
      <c r="K28" s="233"/>
      <c r="L28" s="96"/>
    </row>
    <row r="29" spans="1:27" s="3" customFormat="1">
      <c r="H29" s="233"/>
      <c r="I29" s="233"/>
      <c r="J29" s="233"/>
      <c r="K29" s="233"/>
      <c r="L29" s="96"/>
    </row>
    <row r="30" spans="1:27" s="3" customFormat="1">
      <c r="A30" s="232"/>
      <c r="B30" s="2" t="s">
        <v>516</v>
      </c>
      <c r="O30" s="232"/>
      <c r="P30" s="232"/>
      <c r="Q30" s="232"/>
      <c r="R30" s="232"/>
      <c r="S30" s="232"/>
      <c r="T30" s="232"/>
      <c r="U30" s="232"/>
      <c r="V30" s="232"/>
      <c r="W30" s="232"/>
      <c r="X30" s="232"/>
      <c r="Y30" s="232"/>
      <c r="Z30" s="232"/>
      <c r="AA30" s="232"/>
    </row>
    <row r="31" spans="1:27" s="3" customFormat="1">
      <c r="A31" s="232"/>
      <c r="B31" s="3" t="s">
        <v>516</v>
      </c>
      <c r="D31" s="3" t="s">
        <v>204</v>
      </c>
      <c r="H31" s="225">
        <f>'6. Input incidentele corr. WQA'!L21</f>
        <v>323752.474602776</v>
      </c>
      <c r="I31" s="225">
        <f>'6. Input incidentele corr. WQA'!M21</f>
        <v>167602.10407855455</v>
      </c>
      <c r="O31" s="232"/>
      <c r="P31" s="232"/>
      <c r="Q31" s="232"/>
      <c r="R31" s="232"/>
      <c r="S31" s="232"/>
      <c r="T31" s="232"/>
      <c r="U31" s="232"/>
      <c r="V31" s="232"/>
      <c r="W31" s="232"/>
      <c r="X31" s="232"/>
      <c r="Y31" s="232"/>
      <c r="Z31" s="232"/>
      <c r="AA31" s="232"/>
    </row>
    <row r="32" spans="1:27" s="3" customFormat="1">
      <c r="A32" s="232"/>
      <c r="O32" s="232"/>
      <c r="P32" s="232"/>
      <c r="Q32" s="232"/>
      <c r="R32" s="232"/>
      <c r="S32" s="232"/>
      <c r="T32" s="232"/>
      <c r="U32" s="232"/>
      <c r="V32" s="232"/>
      <c r="W32" s="232"/>
      <c r="X32" s="232"/>
      <c r="Y32" s="232"/>
      <c r="Z32" s="232"/>
      <c r="AA32" s="232"/>
    </row>
    <row r="33" spans="1:41">
      <c r="A33" s="232"/>
      <c r="B33" s="2" t="s">
        <v>518</v>
      </c>
      <c r="O33" s="232"/>
      <c r="P33" s="232"/>
      <c r="Q33" s="232"/>
      <c r="R33" s="232"/>
      <c r="S33" s="232"/>
      <c r="T33" s="232"/>
      <c r="U33" s="232"/>
      <c r="V33" s="232"/>
      <c r="W33" s="232"/>
      <c r="X33" s="232"/>
      <c r="Y33" s="232"/>
      <c r="Z33" s="232"/>
      <c r="AA33" s="232"/>
      <c r="AB33" s="3"/>
      <c r="AC33" s="3"/>
      <c r="AD33" s="3"/>
      <c r="AE33" s="3"/>
    </row>
    <row r="34" spans="1:41">
      <c r="A34" s="232"/>
      <c r="B34" s="3" t="s">
        <v>518</v>
      </c>
      <c r="D34" s="3" t="s">
        <v>204</v>
      </c>
      <c r="H34" s="225">
        <f>'6. Input incidentele corr. WQA'!L24</f>
        <v>3395116.47</v>
      </c>
      <c r="I34" s="225">
        <f>'6. Input incidentele corr. WQA'!M24</f>
        <v>3474997.3600000003</v>
      </c>
      <c r="O34" s="232"/>
      <c r="P34" s="232"/>
      <c r="Q34" s="232"/>
      <c r="R34" s="232"/>
      <c r="S34" s="232"/>
      <c r="T34" s="232"/>
      <c r="U34" s="232"/>
      <c r="V34" s="232"/>
      <c r="W34" s="232"/>
      <c r="X34" s="232"/>
      <c r="Y34" s="232"/>
      <c r="Z34" s="232"/>
      <c r="AA34" s="232"/>
      <c r="AB34" s="3"/>
      <c r="AC34" s="3"/>
      <c r="AD34" s="3"/>
      <c r="AE34" s="3"/>
    </row>
    <row r="35" spans="1:41" ht="13.5" customHeight="1">
      <c r="A35" s="232"/>
      <c r="S35" s="232"/>
      <c r="T35" s="232"/>
      <c r="U35" s="232"/>
      <c r="V35" s="232"/>
      <c r="W35" s="232"/>
      <c r="X35" s="232"/>
      <c r="Y35" s="232"/>
      <c r="Z35" s="232"/>
      <c r="AA35" s="232"/>
      <c r="AB35" s="232"/>
      <c r="AC35" s="232"/>
      <c r="AD35" s="232"/>
      <c r="AE35" s="232"/>
    </row>
    <row r="36" spans="1:41" s="39" customFormat="1" ht="12.75" customHeight="1">
      <c r="A36" s="106"/>
      <c r="B36" s="39" t="s">
        <v>1006</v>
      </c>
      <c r="M36" s="39" t="s">
        <v>862</v>
      </c>
      <c r="S36" s="39" t="s">
        <v>1007</v>
      </c>
      <c r="Y36" s="39" t="s">
        <v>864</v>
      </c>
      <c r="AE36" s="39" t="s">
        <v>865</v>
      </c>
      <c r="AK36" s="39" t="s">
        <v>866</v>
      </c>
    </row>
    <row r="37" spans="1:41" s="40" customFormat="1" ht="12.75" customHeight="1">
      <c r="A37" s="107"/>
      <c r="F37" s="40" t="s">
        <v>360</v>
      </c>
      <c r="H37" s="40" t="s">
        <v>282</v>
      </c>
      <c r="I37" s="40" t="s">
        <v>501</v>
      </c>
      <c r="K37" s="109" t="s">
        <v>1008</v>
      </c>
      <c r="L37" s="109"/>
      <c r="M37" s="51">
        <v>2022</v>
      </c>
      <c r="N37" s="51">
        <v>2023</v>
      </c>
      <c r="O37" s="51">
        <v>2024</v>
      </c>
      <c r="P37" s="51">
        <v>2025</v>
      </c>
      <c r="Q37" s="51">
        <v>2026</v>
      </c>
      <c r="R37" s="45"/>
      <c r="S37" s="51">
        <v>2022</v>
      </c>
      <c r="T37" s="51">
        <v>2023</v>
      </c>
      <c r="U37" s="51">
        <v>2024</v>
      </c>
      <c r="V37" s="51">
        <v>2025</v>
      </c>
      <c r="W37" s="51">
        <v>2026</v>
      </c>
      <c r="X37" s="45"/>
      <c r="Y37" s="51">
        <v>2022</v>
      </c>
      <c r="Z37" s="51">
        <v>2023</v>
      </c>
      <c r="AA37" s="51">
        <v>2024</v>
      </c>
      <c r="AB37" s="51">
        <v>2025</v>
      </c>
      <c r="AC37" s="51">
        <v>2026</v>
      </c>
      <c r="AD37" s="45"/>
      <c r="AE37" s="51">
        <v>2022</v>
      </c>
      <c r="AF37" s="51">
        <v>2023</v>
      </c>
      <c r="AG37" s="51">
        <v>2024</v>
      </c>
      <c r="AH37" s="51">
        <v>2025</v>
      </c>
      <c r="AI37" s="51">
        <v>2026</v>
      </c>
      <c r="AJ37" s="45"/>
      <c r="AK37" s="51">
        <v>2022</v>
      </c>
      <c r="AL37" s="51">
        <v>2023</v>
      </c>
      <c r="AM37" s="51">
        <v>2024</v>
      </c>
      <c r="AN37" s="51">
        <v>2025</v>
      </c>
      <c r="AO37" s="51">
        <v>2026</v>
      </c>
    </row>
    <row r="38" spans="1:41" ht="13.5" customHeight="1">
      <c r="A38" s="232"/>
      <c r="S38" s="232"/>
      <c r="T38" s="232"/>
      <c r="U38" s="232"/>
      <c r="V38" s="232"/>
      <c r="W38" s="232"/>
      <c r="X38" s="232"/>
      <c r="Y38" s="232"/>
      <c r="Z38" s="232"/>
      <c r="AA38" s="232"/>
      <c r="AB38" s="232"/>
      <c r="AC38" s="232"/>
      <c r="AD38" s="232"/>
      <c r="AE38" s="232"/>
    </row>
    <row r="39" spans="1:41">
      <c r="A39" s="232"/>
      <c r="B39" s="3" t="s">
        <v>507</v>
      </c>
      <c r="F39" s="43">
        <f>'6. Input incidentele corr. WQA'!F12</f>
        <v>2011</v>
      </c>
      <c r="H39" s="43">
        <f>'6. Input incidentele corr. WQA'!H12</f>
        <v>30</v>
      </c>
      <c r="I39" s="48">
        <f>'6. Input incidentele corr. WQA'!J12</f>
        <v>17376205.576952007</v>
      </c>
      <c r="K39" s="44">
        <f>H39-2022+F39+0.5</f>
        <v>19.5</v>
      </c>
      <c r="M39" s="226">
        <f t="shared" ref="M39:Q43" si="0">IF($F39+$H39&lt;M$37,0,VDB($I39*(1-$F$28),0,$K39,MAX(0,M$37-2022),MIN($K39,M$37-2021),$F$25,FALSE))</f>
        <v>1042572.3346171203</v>
      </c>
      <c r="N39" s="226">
        <f t="shared" si="0"/>
        <v>973067.51230931235</v>
      </c>
      <c r="O39" s="226">
        <f t="shared" si="0"/>
        <v>908196.34482202481</v>
      </c>
      <c r="P39" s="226">
        <f t="shared" si="0"/>
        <v>847649.92183388979</v>
      </c>
      <c r="Q39" s="226">
        <f t="shared" si="0"/>
        <v>791139.92704496381</v>
      </c>
      <c r="S39" s="226">
        <f t="shared" ref="S39:W43" si="1">IF($F39+$H39&lt;S$37,0,VDB($I39*$F$28,0,$K39,MAX(0,S$37-2022),MIN($K39,S$37-2021),1,FALSE))</f>
        <v>89108.746548471827</v>
      </c>
      <c r="T39" s="226">
        <f t="shared" si="1"/>
        <v>89108.746548471827</v>
      </c>
      <c r="U39" s="226">
        <f t="shared" si="1"/>
        <v>89108.746548471827</v>
      </c>
      <c r="V39" s="226">
        <f t="shared" si="1"/>
        <v>89108.746548471827</v>
      </c>
      <c r="W39" s="226">
        <f t="shared" si="1"/>
        <v>89108.746548471827</v>
      </c>
      <c r="X39" s="232"/>
      <c r="Y39" s="226">
        <f>M39+S39</f>
        <v>1131681.0811655922</v>
      </c>
      <c r="Z39" s="226">
        <f t="shared" ref="Z39:AC43" si="2">N39+T39</f>
        <v>1062176.2588577841</v>
      </c>
      <c r="AA39" s="226">
        <f t="shared" si="2"/>
        <v>997305.09137049667</v>
      </c>
      <c r="AB39" s="226">
        <f t="shared" si="2"/>
        <v>936758.66838236165</v>
      </c>
      <c r="AC39" s="226">
        <f t="shared" si="2"/>
        <v>880248.67359343567</v>
      </c>
      <c r="AD39" s="232"/>
      <c r="AE39" s="226">
        <f t="shared" ref="AE39:AI43" si="3">IF($F39+$H39&lt;M$37&lt;=H$12,0,
IF(AE$37=2022,I39-Y39,AD39-Y39))</f>
        <v>16244524.495786414</v>
      </c>
      <c r="AF39" s="226">
        <f t="shared" si="3"/>
        <v>15182348.236928629</v>
      </c>
      <c r="AG39" s="226">
        <f t="shared" si="3"/>
        <v>14185043.145558132</v>
      </c>
      <c r="AH39" s="226">
        <f t="shared" si="3"/>
        <v>13248284.47717577</v>
      </c>
      <c r="AI39" s="226">
        <f t="shared" si="3"/>
        <v>12368035.803582335</v>
      </c>
      <c r="AK39" s="226">
        <f t="shared" ref="AK39:AO43" si="4">Y39+AE39*H$15</f>
        <v>1797706.5854928351</v>
      </c>
      <c r="AL39" s="226">
        <f t="shared" si="4"/>
        <v>1836476.018941144</v>
      </c>
      <c r="AM39" s="226">
        <f t="shared" si="4"/>
        <v>1536336.7309017056</v>
      </c>
      <c r="AN39" s="226">
        <f t="shared" si="4"/>
        <v>1440193.4785150408</v>
      </c>
      <c r="AO39" s="226">
        <f>AC39+AI39*L$15</f>
        <v>1350234.0341295644</v>
      </c>
    </row>
    <row r="40" spans="1:41">
      <c r="A40" s="232"/>
      <c r="B40" s="3" t="s">
        <v>510</v>
      </c>
      <c r="F40" s="43">
        <f>'6. Input incidentele corr. WQA'!F13</f>
        <v>2012</v>
      </c>
      <c r="H40" s="43">
        <f>'6. Input incidentele corr. WQA'!H13</f>
        <v>30</v>
      </c>
      <c r="I40" s="48">
        <f>'6. Input incidentele corr. WQA'!J13</f>
        <v>1104502.0714844635</v>
      </c>
      <c r="K40" s="44">
        <f t="shared" ref="K40:K43" si="5">H40-2022+F40+0.5</f>
        <v>20.5</v>
      </c>
      <c r="M40" s="226">
        <f t="shared" si="0"/>
        <v>63037.435299357188</v>
      </c>
      <c r="N40" s="226">
        <f t="shared" si="0"/>
        <v>59039.939402324781</v>
      </c>
      <c r="O40" s="226">
        <f t="shared" si="0"/>
        <v>55295.943245104187</v>
      </c>
      <c r="P40" s="226">
        <f t="shared" si="0"/>
        <v>51789.371234439044</v>
      </c>
      <c r="Q40" s="226">
        <f t="shared" si="0"/>
        <v>48505.167204938029</v>
      </c>
      <c r="S40" s="226">
        <f t="shared" si="1"/>
        <v>5387.8149828510413</v>
      </c>
      <c r="T40" s="226">
        <f t="shared" si="1"/>
        <v>5387.8149828510423</v>
      </c>
      <c r="U40" s="226">
        <f t="shared" si="1"/>
        <v>5387.8149828510423</v>
      </c>
      <c r="V40" s="226">
        <f t="shared" si="1"/>
        <v>5387.8149828510423</v>
      </c>
      <c r="W40" s="226">
        <f t="shared" si="1"/>
        <v>5387.8149828510423</v>
      </c>
      <c r="X40" s="232"/>
      <c r="Y40" s="226">
        <f t="shared" ref="Y40:Y43" si="6">M40+S40</f>
        <v>68425.250282208232</v>
      </c>
      <c r="Z40" s="226">
        <f t="shared" si="2"/>
        <v>64427.754385175824</v>
      </c>
      <c r="AA40" s="226">
        <f t="shared" si="2"/>
        <v>60683.75822795523</v>
      </c>
      <c r="AB40" s="226">
        <f t="shared" si="2"/>
        <v>57177.186217290087</v>
      </c>
      <c r="AC40" s="226">
        <f t="shared" si="2"/>
        <v>53892.982187789072</v>
      </c>
      <c r="AD40" s="232"/>
      <c r="AE40" s="226">
        <f t="shared" si="3"/>
        <v>1036076.8212022553</v>
      </c>
      <c r="AF40" s="226">
        <f t="shared" si="3"/>
        <v>971649.06681707944</v>
      </c>
      <c r="AG40" s="226">
        <f t="shared" si="3"/>
        <v>910965.30858912424</v>
      </c>
      <c r="AH40" s="226">
        <f t="shared" si="3"/>
        <v>853788.12237183412</v>
      </c>
      <c r="AI40" s="226">
        <f t="shared" si="3"/>
        <v>799895.14018404507</v>
      </c>
      <c r="AK40" s="226">
        <f t="shared" si="4"/>
        <v>110904.3999515007</v>
      </c>
      <c r="AL40" s="226">
        <f t="shared" si="4"/>
        <v>113981.85679284687</v>
      </c>
      <c r="AM40" s="226">
        <f t="shared" si="4"/>
        <v>95300.439954341942</v>
      </c>
      <c r="AN40" s="226">
        <f t="shared" si="4"/>
        <v>89621.13486741978</v>
      </c>
      <c r="AO40" s="226">
        <f t="shared" si="4"/>
        <v>84288.997514782779</v>
      </c>
    </row>
    <row r="41" spans="1:41">
      <c r="A41" s="232"/>
      <c r="B41" s="3" t="s">
        <v>511</v>
      </c>
      <c r="F41" s="43">
        <f>'6. Input incidentele corr. WQA'!F14</f>
        <v>2013</v>
      </c>
      <c r="H41" s="43">
        <f>'6. Input incidentele corr. WQA'!H14</f>
        <v>30</v>
      </c>
      <c r="I41" s="48">
        <f>'6. Input incidentele corr. WQA'!J14</f>
        <v>271685.95797538623</v>
      </c>
      <c r="K41" s="44">
        <f t="shared" si="5"/>
        <v>21.5</v>
      </c>
      <c r="M41" s="226">
        <f t="shared" si="0"/>
        <v>14784.770736334973</v>
      </c>
      <c r="N41" s="226">
        <f t="shared" si="0"/>
        <v>13890.80785460309</v>
      </c>
      <c r="O41" s="226">
        <f t="shared" si="0"/>
        <v>13050.898542464298</v>
      </c>
      <c r="P41" s="226">
        <f t="shared" si="0"/>
        <v>12261.774444547853</v>
      </c>
      <c r="Q41" s="226">
        <f t="shared" si="0"/>
        <v>11520.364826970539</v>
      </c>
      <c r="S41" s="226">
        <f t="shared" si="1"/>
        <v>1263.6556184901688</v>
      </c>
      <c r="T41" s="226">
        <f t="shared" si="1"/>
        <v>1263.6556184901688</v>
      </c>
      <c r="U41" s="226">
        <f t="shared" si="1"/>
        <v>1263.6556184901688</v>
      </c>
      <c r="V41" s="226">
        <f t="shared" si="1"/>
        <v>1263.6556184901688</v>
      </c>
      <c r="W41" s="226">
        <f t="shared" si="1"/>
        <v>1263.6556184901688</v>
      </c>
      <c r="X41" s="232"/>
      <c r="Y41" s="226">
        <f t="shared" si="6"/>
        <v>16048.426354825142</v>
      </c>
      <c r="Z41" s="226">
        <f t="shared" si="2"/>
        <v>15154.463473093259</v>
      </c>
      <c r="AA41" s="226">
        <f t="shared" si="2"/>
        <v>14314.554160954467</v>
      </c>
      <c r="AB41" s="226">
        <f t="shared" si="2"/>
        <v>13525.430063038022</v>
      </c>
      <c r="AC41" s="226">
        <f t="shared" si="2"/>
        <v>12784.020445460708</v>
      </c>
      <c r="AD41" s="232"/>
      <c r="AE41" s="226">
        <f t="shared" si="3"/>
        <v>255637.53162056109</v>
      </c>
      <c r="AF41" s="226">
        <f t="shared" si="3"/>
        <v>240483.06814746783</v>
      </c>
      <c r="AG41" s="226">
        <f t="shared" si="3"/>
        <v>226168.51398651337</v>
      </c>
      <c r="AH41" s="226">
        <f t="shared" si="3"/>
        <v>212643.08392347535</v>
      </c>
      <c r="AI41" s="226">
        <f t="shared" si="3"/>
        <v>199859.06347801464</v>
      </c>
      <c r="AK41" s="226">
        <f t="shared" si="4"/>
        <v>26529.565151268147</v>
      </c>
      <c r="AL41" s="226">
        <f t="shared" si="4"/>
        <v>27419.099948614115</v>
      </c>
      <c r="AM41" s="226">
        <f t="shared" si="4"/>
        <v>22908.957692441974</v>
      </c>
      <c r="AN41" s="226">
        <f t="shared" si="4"/>
        <v>21605.867252130083</v>
      </c>
      <c r="AO41" s="226">
        <f t="shared" si="4"/>
        <v>20378.664857625263</v>
      </c>
    </row>
    <row r="42" spans="1:41">
      <c r="A42" s="232"/>
      <c r="B42" s="3" t="s">
        <v>512</v>
      </c>
      <c r="F42" s="43">
        <f>'6. Input incidentele corr. WQA'!F15</f>
        <v>2014</v>
      </c>
      <c r="H42" s="43">
        <f>'6. Input incidentele corr. WQA'!H15</f>
        <v>30</v>
      </c>
      <c r="I42" s="48">
        <f>'6. Input incidentele corr. WQA'!J15</f>
        <v>137435.09908722798</v>
      </c>
      <c r="K42" s="44">
        <f t="shared" si="5"/>
        <v>22.5</v>
      </c>
      <c r="M42" s="226">
        <f t="shared" si="0"/>
        <v>7146.6251525358557</v>
      </c>
      <c r="N42" s="226">
        <f t="shared" si="0"/>
        <v>6733.7090326115613</v>
      </c>
      <c r="O42" s="226">
        <f t="shared" si="0"/>
        <v>6344.6502885051159</v>
      </c>
      <c r="P42" s="226">
        <f t="shared" si="0"/>
        <v>5978.0704940581536</v>
      </c>
      <c r="Q42" s="226">
        <f t="shared" si="0"/>
        <v>5632.6708655125722</v>
      </c>
      <c r="S42" s="226">
        <f t="shared" si="1"/>
        <v>610.82266260990218</v>
      </c>
      <c r="T42" s="226">
        <f t="shared" si="1"/>
        <v>610.82266260990218</v>
      </c>
      <c r="U42" s="226">
        <f t="shared" si="1"/>
        <v>610.82266260990218</v>
      </c>
      <c r="V42" s="226">
        <f t="shared" si="1"/>
        <v>610.82266260990218</v>
      </c>
      <c r="W42" s="226">
        <f t="shared" si="1"/>
        <v>610.82266260990218</v>
      </c>
      <c r="X42" s="232"/>
      <c r="Y42" s="226">
        <f t="shared" si="6"/>
        <v>7757.4478151457579</v>
      </c>
      <c r="Z42" s="226">
        <f t="shared" si="2"/>
        <v>7344.5316952214635</v>
      </c>
      <c r="AA42" s="226">
        <f t="shared" si="2"/>
        <v>6955.4729511150181</v>
      </c>
      <c r="AB42" s="226">
        <f t="shared" si="2"/>
        <v>6588.8931566680558</v>
      </c>
      <c r="AC42" s="226">
        <f t="shared" si="2"/>
        <v>6243.4935281224743</v>
      </c>
      <c r="AD42" s="232"/>
      <c r="AE42" s="226">
        <f t="shared" si="3"/>
        <v>129677.65127208222</v>
      </c>
      <c r="AF42" s="226">
        <f t="shared" si="3"/>
        <v>122333.11957686076</v>
      </c>
      <c r="AG42" s="226">
        <f t="shared" si="3"/>
        <v>115377.64662574574</v>
      </c>
      <c r="AH42" s="226">
        <f t="shared" si="3"/>
        <v>108788.75346907768</v>
      </c>
      <c r="AI42" s="226">
        <f t="shared" si="3"/>
        <v>102545.25994095521</v>
      </c>
      <c r="AK42" s="226">
        <f t="shared" si="4"/>
        <v>13074.23151730113</v>
      </c>
      <c r="AL42" s="226">
        <f t="shared" si="4"/>
        <v>13583.520793641361</v>
      </c>
      <c r="AM42" s="226">
        <f t="shared" si="4"/>
        <v>11339.823522893355</v>
      </c>
      <c r="AN42" s="226">
        <f t="shared" si="4"/>
        <v>10722.865788493007</v>
      </c>
      <c r="AO42" s="226">
        <f t="shared" si="4"/>
        <v>10140.213405878772</v>
      </c>
    </row>
    <row r="43" spans="1:41">
      <c r="A43" s="232"/>
      <c r="B43" s="3" t="s">
        <v>513</v>
      </c>
      <c r="F43" s="43">
        <f>'6. Input incidentele corr. WQA'!F16</f>
        <v>2015</v>
      </c>
      <c r="H43" s="43">
        <f>'6. Input incidentele corr. WQA'!H16</f>
        <v>30</v>
      </c>
      <c r="I43" s="48">
        <f>'6. Input incidentele corr. WQA'!J16</f>
        <v>2218.4673824688466</v>
      </c>
      <c r="K43" s="44">
        <f t="shared" si="5"/>
        <v>23.5</v>
      </c>
      <c r="M43" s="226">
        <f t="shared" si="0"/>
        <v>110.45135478674685</v>
      </c>
      <c r="N43" s="226">
        <f t="shared" si="0"/>
        <v>104.34127984109702</v>
      </c>
      <c r="O43" s="226">
        <f t="shared" si="0"/>
        <v>98.569209041376752</v>
      </c>
      <c r="P43" s="226">
        <f t="shared" si="0"/>
        <v>93.116444285896335</v>
      </c>
      <c r="Q43" s="226">
        <f t="shared" si="0"/>
        <v>87.965321836038243</v>
      </c>
      <c r="S43" s="226">
        <f t="shared" si="1"/>
        <v>9.4402867339099874</v>
      </c>
      <c r="T43" s="226">
        <f t="shared" si="1"/>
        <v>9.4402867339099874</v>
      </c>
      <c r="U43" s="226">
        <f t="shared" si="1"/>
        <v>9.4402867339099874</v>
      </c>
      <c r="V43" s="226">
        <f t="shared" si="1"/>
        <v>9.4402867339099874</v>
      </c>
      <c r="W43" s="226">
        <f t="shared" si="1"/>
        <v>9.4402867339099874</v>
      </c>
      <c r="X43" s="232"/>
      <c r="Y43" s="226">
        <f t="shared" si="6"/>
        <v>119.89164152065683</v>
      </c>
      <c r="Z43" s="226">
        <f t="shared" si="2"/>
        <v>113.78156657500701</v>
      </c>
      <c r="AA43" s="226">
        <f t="shared" si="2"/>
        <v>108.00949577528674</v>
      </c>
      <c r="AB43" s="226">
        <f t="shared" si="2"/>
        <v>102.55673101980632</v>
      </c>
      <c r="AC43" s="226">
        <f t="shared" si="2"/>
        <v>97.405608569948228</v>
      </c>
      <c r="AD43" s="232"/>
      <c r="AE43" s="226">
        <f t="shared" si="3"/>
        <v>2098.5757409481898</v>
      </c>
      <c r="AF43" s="226">
        <f t="shared" si="3"/>
        <v>1984.7941743731828</v>
      </c>
      <c r="AG43" s="226">
        <f t="shared" si="3"/>
        <v>1876.7846785978961</v>
      </c>
      <c r="AH43" s="226">
        <f t="shared" si="3"/>
        <v>1774.2279475780897</v>
      </c>
      <c r="AI43" s="226">
        <f t="shared" si="3"/>
        <v>1676.8223390081414</v>
      </c>
      <c r="AK43" s="226">
        <f t="shared" si="4"/>
        <v>205.93324689953261</v>
      </c>
      <c r="AL43" s="226">
        <f t="shared" si="4"/>
        <v>215.00606946803933</v>
      </c>
      <c r="AM43" s="226">
        <f t="shared" si="4"/>
        <v>179.32731356200679</v>
      </c>
      <c r="AN43" s="226">
        <f t="shared" si="4"/>
        <v>169.97739302777373</v>
      </c>
      <c r="AO43" s="226">
        <f t="shared" si="4"/>
        <v>161.1248574522576</v>
      </c>
    </row>
    <row r="44" spans="1:41">
      <c r="A44" s="232"/>
      <c r="L44" s="236"/>
      <c r="M44" s="236"/>
      <c r="N44" s="236"/>
      <c r="O44" s="236"/>
      <c r="P44" s="236"/>
      <c r="S44" s="232"/>
      <c r="T44" s="232"/>
      <c r="U44" s="232"/>
      <c r="V44" s="232"/>
      <c r="W44" s="232"/>
      <c r="X44" s="232"/>
      <c r="Y44" s="232"/>
      <c r="Z44" s="232"/>
      <c r="AA44" s="232"/>
      <c r="AB44" s="232"/>
      <c r="AC44" s="232"/>
      <c r="AD44" s="232"/>
      <c r="AE44" s="232"/>
    </row>
    <row r="45" spans="1:41" s="227" customFormat="1">
      <c r="B45" s="227" t="s">
        <v>1009</v>
      </c>
      <c r="F45" s="227" t="s">
        <v>195</v>
      </c>
      <c r="H45" s="228">
        <v>2022</v>
      </c>
      <c r="I45" s="228">
        <v>2023</v>
      </c>
      <c r="J45" s="228">
        <v>2024</v>
      </c>
      <c r="K45" s="228">
        <v>2025</v>
      </c>
      <c r="L45" s="228">
        <v>2026</v>
      </c>
      <c r="O45" s="229"/>
      <c r="P45" s="229"/>
      <c r="Q45" s="229"/>
      <c r="R45" s="229"/>
      <c r="S45" s="229"/>
      <c r="T45" s="229"/>
      <c r="U45" s="229"/>
      <c r="V45" s="229"/>
      <c r="W45" s="229"/>
      <c r="X45" s="229"/>
      <c r="Y45" s="229"/>
      <c r="Z45" s="229"/>
      <c r="AA45" s="229"/>
    </row>
    <row r="46" spans="1:41">
      <c r="A46" s="232"/>
      <c r="B46" s="2"/>
      <c r="H46" s="237"/>
      <c r="I46" s="237"/>
      <c r="J46" s="237"/>
      <c r="K46" s="237"/>
      <c r="L46" s="237"/>
      <c r="O46" s="232"/>
      <c r="P46" s="232"/>
      <c r="Q46" s="232"/>
      <c r="R46" s="232"/>
      <c r="S46" s="232"/>
      <c r="T46" s="232"/>
      <c r="U46" s="232"/>
      <c r="V46" s="232"/>
      <c r="W46" s="232"/>
      <c r="X46" s="232"/>
      <c r="Y46" s="232"/>
      <c r="Z46" s="232"/>
      <c r="AA46" s="232"/>
      <c r="AB46" s="3"/>
      <c r="AC46" s="3"/>
      <c r="AD46" s="3"/>
      <c r="AE46" s="3"/>
    </row>
    <row r="47" spans="1:41">
      <c r="A47" s="232"/>
      <c r="B47" s="3" t="s">
        <v>866</v>
      </c>
      <c r="D47" s="3" t="s">
        <v>204</v>
      </c>
      <c r="H47" s="226">
        <f>SUM(AK39:AK43)</f>
        <v>1948420.7153598047</v>
      </c>
      <c r="I47" s="226">
        <f>SUM(AL39:AL43)</f>
        <v>1991675.5025457146</v>
      </c>
      <c r="J47" s="226">
        <f t="shared" ref="J47:K47" si="7">SUM(AM39:AM43)</f>
        <v>1666065.2793849446</v>
      </c>
      <c r="K47" s="226">
        <f t="shared" si="7"/>
        <v>1562313.3238161115</v>
      </c>
      <c r="L47" s="226">
        <f>SUM(AO39:AO43)</f>
        <v>1465203.0347653034</v>
      </c>
      <c r="O47" s="232"/>
      <c r="P47" s="232"/>
      <c r="Q47" s="232"/>
      <c r="R47" s="232"/>
      <c r="S47" s="232"/>
      <c r="T47" s="232"/>
      <c r="U47" s="232"/>
      <c r="V47" s="232"/>
      <c r="W47" s="232"/>
      <c r="X47" s="232"/>
      <c r="Y47" s="232"/>
      <c r="Z47" s="232"/>
      <c r="AA47" s="232"/>
      <c r="AB47" s="3"/>
      <c r="AC47" s="3"/>
      <c r="AD47" s="3"/>
      <c r="AE47" s="3"/>
    </row>
    <row r="48" spans="1:41">
      <c r="A48" s="232"/>
      <c r="O48" s="232"/>
      <c r="P48" s="232"/>
      <c r="Q48" s="232"/>
      <c r="R48" s="232"/>
      <c r="S48" s="232"/>
      <c r="T48" s="232"/>
      <c r="U48" s="232"/>
      <c r="V48" s="232"/>
      <c r="W48" s="232"/>
      <c r="X48" s="232"/>
      <c r="Y48" s="232"/>
      <c r="Z48" s="232"/>
      <c r="AA48" s="232"/>
      <c r="AB48" s="3"/>
      <c r="AC48" s="3"/>
      <c r="AD48" s="3"/>
      <c r="AE48" s="3"/>
    </row>
    <row r="49" spans="1:31" s="8" customFormat="1" ht="12.75" customHeight="1">
      <c r="B49" s="8" t="s">
        <v>1010</v>
      </c>
      <c r="D49" s="8" t="s">
        <v>194</v>
      </c>
      <c r="F49" s="8" t="s">
        <v>195</v>
      </c>
      <c r="H49" s="52">
        <v>2022</v>
      </c>
      <c r="I49" s="52">
        <v>2023</v>
      </c>
      <c r="J49" s="52">
        <v>2024</v>
      </c>
      <c r="K49" s="52">
        <v>2025</v>
      </c>
      <c r="L49" s="52">
        <v>2026</v>
      </c>
      <c r="N49" s="8" t="s">
        <v>197</v>
      </c>
    </row>
    <row r="50" spans="1:31">
      <c r="A50" s="232"/>
      <c r="O50" s="232"/>
      <c r="P50" s="232"/>
      <c r="Q50" s="232"/>
      <c r="R50" s="232"/>
      <c r="S50" s="232"/>
      <c r="T50" s="232"/>
      <c r="U50" s="232"/>
      <c r="V50" s="232"/>
      <c r="W50" s="232"/>
      <c r="X50" s="232"/>
      <c r="Y50" s="232"/>
      <c r="Z50" s="232"/>
      <c r="AA50" s="232"/>
      <c r="AB50" s="3"/>
      <c r="AC50" s="3"/>
      <c r="AD50" s="3"/>
      <c r="AE50" s="3"/>
    </row>
    <row r="51" spans="1:31">
      <c r="A51" s="3"/>
      <c r="B51" s="2" t="s">
        <v>1011</v>
      </c>
      <c r="H51" s="238"/>
      <c r="I51" s="238"/>
      <c r="J51" s="238"/>
      <c r="K51" s="238"/>
      <c r="L51" s="238"/>
      <c r="S51" s="3"/>
      <c r="T51" s="3"/>
      <c r="U51" s="3"/>
      <c r="V51" s="3"/>
      <c r="W51" s="3"/>
      <c r="X51" s="3"/>
      <c r="Y51" s="3"/>
      <c r="Z51" s="3"/>
      <c r="AA51" s="3"/>
      <c r="AB51" s="3"/>
      <c r="AC51" s="3"/>
      <c r="AD51" s="3"/>
      <c r="AE51" s="3"/>
    </row>
    <row r="52" spans="1:31">
      <c r="A52" s="3"/>
      <c r="B52" s="3" t="s">
        <v>1012</v>
      </c>
      <c r="D52" s="3" t="s">
        <v>204</v>
      </c>
      <c r="H52" s="230">
        <f>H31+H34</f>
        <v>3718868.9446027763</v>
      </c>
      <c r="I52" s="230">
        <f>I31+I34</f>
        <v>3642599.4640785549</v>
      </c>
      <c r="J52" s="223"/>
      <c r="K52" s="223"/>
      <c r="L52" s="223"/>
      <c r="S52" s="3"/>
      <c r="T52" s="3"/>
      <c r="U52" s="3"/>
      <c r="V52" s="3"/>
      <c r="W52" s="3"/>
      <c r="X52" s="3"/>
      <c r="Y52" s="3"/>
      <c r="Z52" s="3"/>
      <c r="AA52" s="3"/>
      <c r="AB52" s="3"/>
      <c r="AC52" s="3"/>
      <c r="AD52" s="3"/>
      <c r="AE52" s="3"/>
    </row>
    <row r="53" spans="1:31">
      <c r="A53" s="232"/>
      <c r="O53" s="232"/>
      <c r="P53" s="232"/>
      <c r="Q53" s="232"/>
      <c r="R53" s="232"/>
      <c r="S53" s="232"/>
      <c r="T53" s="232"/>
      <c r="U53" s="232"/>
      <c r="V53" s="232"/>
      <c r="W53" s="232"/>
      <c r="X53" s="232"/>
      <c r="Y53" s="232"/>
      <c r="Z53" s="232"/>
      <c r="AA53" s="232"/>
      <c r="AB53" s="3"/>
      <c r="AC53" s="3"/>
      <c r="AD53" s="3"/>
      <c r="AE53" s="3"/>
    </row>
    <row r="54" spans="1:31" s="8" customFormat="1" ht="12.75" customHeight="1">
      <c r="B54" s="8" t="s">
        <v>1013</v>
      </c>
      <c r="D54" s="8" t="s">
        <v>194</v>
      </c>
      <c r="F54" s="8" t="s">
        <v>195</v>
      </c>
      <c r="H54" s="52">
        <v>2022</v>
      </c>
      <c r="I54" s="52">
        <v>2023</v>
      </c>
      <c r="J54" s="52">
        <v>2024</v>
      </c>
      <c r="K54" s="52">
        <v>2025</v>
      </c>
      <c r="L54" s="52">
        <v>2026</v>
      </c>
      <c r="N54" s="8" t="s">
        <v>197</v>
      </c>
    </row>
    <row r="55" spans="1:31">
      <c r="A55" s="232"/>
      <c r="O55" s="232"/>
      <c r="P55" s="232"/>
      <c r="Q55" s="232"/>
      <c r="R55" s="232"/>
      <c r="S55" s="232"/>
      <c r="T55" s="232"/>
      <c r="U55" s="232"/>
      <c r="V55" s="232"/>
      <c r="W55" s="232"/>
      <c r="X55" s="232"/>
      <c r="Y55" s="232"/>
      <c r="Z55" s="232"/>
      <c r="AA55" s="232"/>
      <c r="AB55" s="3"/>
      <c r="AC55" s="3"/>
      <c r="AD55" s="3"/>
      <c r="AE55" s="3"/>
    </row>
    <row r="56" spans="1:31">
      <c r="A56" s="232"/>
      <c r="B56" s="2" t="s">
        <v>868</v>
      </c>
      <c r="O56" s="232"/>
      <c r="P56" s="232"/>
      <c r="Q56" s="232"/>
      <c r="R56" s="232"/>
      <c r="S56" s="232"/>
      <c r="T56" s="232"/>
      <c r="U56" s="232"/>
      <c r="V56" s="232"/>
      <c r="W56" s="232"/>
      <c r="X56" s="232"/>
      <c r="Y56" s="232"/>
      <c r="Z56" s="232"/>
      <c r="AA56" s="232"/>
      <c r="AB56" s="3"/>
      <c r="AC56" s="3"/>
      <c r="AD56" s="3"/>
      <c r="AE56" s="3"/>
    </row>
    <row r="57" spans="1:31">
      <c r="A57" s="232"/>
      <c r="B57" s="3" t="s">
        <v>1014</v>
      </c>
      <c r="D57" s="3" t="s">
        <v>204</v>
      </c>
      <c r="H57" s="223"/>
      <c r="I57" s="223"/>
      <c r="J57" s="297">
        <f>(H47+H52)*J18</f>
        <v>6011860.8712883061</v>
      </c>
      <c r="K57" s="231">
        <f>(I47+I52)*K19</f>
        <v>6269821.1828594869</v>
      </c>
      <c r="L57" s="223"/>
      <c r="O57" s="232"/>
      <c r="P57" s="232"/>
      <c r="Q57" s="232"/>
      <c r="R57" s="232"/>
      <c r="S57" s="232"/>
      <c r="T57" s="232"/>
      <c r="U57" s="232"/>
      <c r="V57" s="232"/>
      <c r="W57" s="232"/>
      <c r="X57" s="232"/>
      <c r="Y57" s="232"/>
      <c r="Z57" s="232"/>
      <c r="AA57" s="232"/>
      <c r="AB57" s="3"/>
      <c r="AC57" s="3"/>
      <c r="AD57" s="3"/>
      <c r="AE57" s="3"/>
    </row>
    <row r="58" spans="1:31">
      <c r="A58" s="232"/>
      <c r="O58" s="232"/>
      <c r="P58" s="232"/>
      <c r="Q58" s="232"/>
      <c r="R58" s="232"/>
      <c r="S58" s="232"/>
      <c r="T58" s="232"/>
      <c r="U58" s="232"/>
      <c r="V58" s="232"/>
      <c r="W58" s="232"/>
      <c r="X58" s="232"/>
      <c r="Y58" s="232"/>
      <c r="Z58" s="232"/>
      <c r="AA58" s="232"/>
      <c r="AB58" s="3"/>
      <c r="AC58" s="3"/>
      <c r="AD58" s="3"/>
      <c r="AE58" s="3"/>
    </row>
    <row r="59" spans="1:31">
      <c r="A59" s="232"/>
      <c r="O59" s="232"/>
      <c r="P59" s="232"/>
      <c r="Q59" s="232"/>
      <c r="R59" s="232"/>
      <c r="S59" s="232"/>
      <c r="T59" s="232"/>
      <c r="U59" s="232"/>
      <c r="V59" s="232"/>
      <c r="W59" s="232"/>
      <c r="X59" s="232"/>
      <c r="Y59" s="232"/>
      <c r="Z59" s="232"/>
      <c r="AA59" s="232"/>
      <c r="AB59" s="3"/>
      <c r="AC59" s="3"/>
      <c r="AD59" s="3"/>
      <c r="AE59" s="3"/>
    </row>
    <row r="60" spans="1:31">
      <c r="A60" s="232"/>
      <c r="I60" s="3" t="s">
        <v>1015</v>
      </c>
      <c r="O60" s="232"/>
      <c r="P60" s="232"/>
      <c r="Q60" s="232"/>
      <c r="R60" s="232"/>
      <c r="S60" s="232"/>
      <c r="T60" s="232"/>
      <c r="U60" s="232"/>
      <c r="V60" s="232"/>
      <c r="W60" s="232"/>
      <c r="X60" s="232"/>
      <c r="Y60" s="232"/>
      <c r="Z60" s="232"/>
      <c r="AA60" s="232"/>
      <c r="AB60" s="3"/>
      <c r="AC60" s="3"/>
      <c r="AD60" s="3"/>
      <c r="AE60" s="3"/>
    </row>
    <row r="61" spans="1:31">
      <c r="A61" s="232"/>
      <c r="S61" s="232"/>
      <c r="T61" s="232"/>
      <c r="U61" s="232"/>
      <c r="V61" s="232"/>
      <c r="W61" s="232"/>
      <c r="X61" s="232"/>
      <c r="Y61" s="232"/>
      <c r="Z61" s="232"/>
      <c r="AA61" s="232"/>
      <c r="AB61" s="232"/>
      <c r="AC61" s="232"/>
      <c r="AD61" s="232"/>
      <c r="AE61" s="232"/>
    </row>
    <row r="62" spans="1:31">
      <c r="A62" s="232"/>
      <c r="S62" s="232"/>
      <c r="T62" s="232"/>
      <c r="U62" s="232"/>
      <c r="V62" s="232"/>
      <c r="W62" s="232"/>
      <c r="X62" s="232"/>
      <c r="Y62" s="232"/>
      <c r="Z62" s="232"/>
      <c r="AA62" s="232"/>
      <c r="AB62" s="232"/>
      <c r="AC62" s="232"/>
      <c r="AD62" s="232"/>
      <c r="AE62" s="232"/>
    </row>
    <row r="63" spans="1:31">
      <c r="A63" s="232"/>
      <c r="S63" s="232"/>
      <c r="T63" s="232"/>
      <c r="U63" s="232"/>
      <c r="V63" s="232"/>
      <c r="W63" s="232"/>
      <c r="X63" s="232"/>
      <c r="Y63" s="232"/>
      <c r="Z63" s="232"/>
      <c r="AA63" s="232"/>
      <c r="AB63" s="232"/>
      <c r="AC63" s="232"/>
      <c r="AD63" s="232"/>
      <c r="AE63" s="232"/>
    </row>
    <row r="64" spans="1:31">
      <c r="A64" s="232"/>
      <c r="S64" s="232"/>
      <c r="T64" s="232"/>
      <c r="U64" s="232"/>
      <c r="V64" s="232"/>
      <c r="W64" s="232"/>
      <c r="X64" s="232"/>
      <c r="Y64" s="232"/>
      <c r="Z64" s="232"/>
      <c r="AA64" s="232"/>
      <c r="AB64" s="232"/>
      <c r="AC64" s="232"/>
      <c r="AD64" s="232"/>
      <c r="AE64" s="232"/>
    </row>
    <row r="65" spans="1:31">
      <c r="A65" s="232"/>
      <c r="S65" s="232"/>
      <c r="T65" s="232"/>
      <c r="U65" s="232"/>
      <c r="V65" s="232"/>
      <c r="W65" s="232"/>
      <c r="X65" s="232"/>
      <c r="Y65" s="232"/>
      <c r="Z65" s="232"/>
      <c r="AA65" s="232"/>
      <c r="AB65" s="232"/>
      <c r="AC65" s="232"/>
      <c r="AD65" s="232"/>
      <c r="AE65" s="232"/>
    </row>
    <row r="66" spans="1:31">
      <c r="A66" s="232"/>
      <c r="S66" s="232"/>
      <c r="T66" s="232"/>
      <c r="U66" s="232"/>
      <c r="V66" s="232"/>
      <c r="W66" s="232"/>
      <c r="X66" s="232"/>
      <c r="Y66" s="232"/>
      <c r="Z66" s="232"/>
      <c r="AA66" s="232"/>
      <c r="AB66" s="232"/>
      <c r="AC66" s="232"/>
      <c r="AD66" s="232"/>
      <c r="AE66" s="232"/>
    </row>
    <row r="67" spans="1:31">
      <c r="A67" s="232"/>
      <c r="S67" s="232"/>
      <c r="T67" s="232"/>
      <c r="U67" s="232"/>
      <c r="V67" s="232"/>
      <c r="W67" s="232"/>
      <c r="X67" s="232"/>
      <c r="Y67" s="232"/>
      <c r="Z67" s="232"/>
      <c r="AA67" s="232"/>
      <c r="AB67" s="232"/>
      <c r="AC67" s="232"/>
      <c r="AD67" s="232"/>
      <c r="AE67" s="232"/>
    </row>
    <row r="68" spans="1:31">
      <c r="A68" s="232"/>
      <c r="S68" s="232"/>
      <c r="T68" s="232"/>
      <c r="U68" s="232"/>
      <c r="V68" s="232"/>
      <c r="W68" s="232"/>
      <c r="X68" s="232"/>
      <c r="Y68" s="232"/>
      <c r="Z68" s="232"/>
      <c r="AA68" s="232"/>
      <c r="AB68" s="232"/>
      <c r="AC68" s="232"/>
      <c r="AD68" s="232"/>
      <c r="AE68" s="232"/>
    </row>
    <row r="69" spans="1:31">
      <c r="A69" s="232"/>
      <c r="S69" s="232"/>
      <c r="T69" s="232"/>
      <c r="U69" s="232"/>
      <c r="V69" s="232"/>
      <c r="W69" s="232"/>
      <c r="X69" s="232"/>
      <c r="Y69" s="232"/>
      <c r="Z69" s="232"/>
      <c r="AA69" s="232"/>
      <c r="AB69" s="232"/>
      <c r="AC69" s="232"/>
      <c r="AD69" s="232"/>
      <c r="AE69" s="232"/>
    </row>
    <row r="70" spans="1:31">
      <c r="A70" s="232"/>
      <c r="S70" s="232"/>
      <c r="T70" s="232"/>
      <c r="U70" s="232"/>
      <c r="V70" s="232"/>
      <c r="W70" s="232"/>
      <c r="X70" s="232"/>
      <c r="Y70" s="232"/>
      <c r="Z70" s="232"/>
      <c r="AA70" s="232"/>
      <c r="AB70" s="232"/>
      <c r="AC70" s="232"/>
      <c r="AD70" s="232"/>
      <c r="AE70" s="232"/>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33"/>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52.85546875" style="3" customWidth="1"/>
    <col min="3" max="3" width="2.5703125" style="3" customWidth="1"/>
    <col min="4" max="4" width="15.42578125" style="3" customWidth="1"/>
    <col min="5" max="5" width="2.5703125" style="3" customWidth="1"/>
    <col min="6" max="6" width="32.140625" style="3" bestFit="1" customWidth="1"/>
    <col min="7" max="7" width="29" style="3" bestFit="1" customWidth="1"/>
    <col min="8" max="12" width="18.140625" style="3" customWidth="1"/>
    <col min="13" max="13" width="19" style="3" customWidth="1"/>
    <col min="14" max="14" width="25.42578125" style="3" customWidth="1"/>
    <col min="15" max="15" width="16" style="3" customWidth="1"/>
    <col min="16" max="27" width="12.5703125" style="3" customWidth="1"/>
    <col min="28" max="28" width="17.42578125" style="3" bestFit="1" customWidth="1"/>
    <col min="29" max="30" width="12.5703125" style="3" customWidth="1"/>
    <col min="31" max="31" width="18.5703125" style="3" bestFit="1" customWidth="1"/>
    <col min="32" max="52" width="12.5703125" style="3" customWidth="1"/>
    <col min="53" max="16384" width="9.140625" style="3"/>
  </cols>
  <sheetData>
    <row r="2" spans="2:37" s="12" customFormat="1" ht="18">
      <c r="B2" s="12" t="s">
        <v>1016</v>
      </c>
    </row>
    <row r="4" spans="2:37">
      <c r="B4" s="16" t="s">
        <v>844</v>
      </c>
      <c r="C4" s="2"/>
    </row>
    <row r="5" spans="2:37" ht="30.75" customHeight="1">
      <c r="B5" s="379" t="s">
        <v>1017</v>
      </c>
      <c r="C5" s="379"/>
      <c r="D5" s="379"/>
      <c r="F5" s="13"/>
    </row>
    <row r="6" spans="2:37">
      <c r="B6" s="4"/>
    </row>
    <row r="7" spans="2:37">
      <c r="B7" s="17" t="s">
        <v>150</v>
      </c>
    </row>
    <row r="8" spans="2:37" ht="161.25" customHeight="1">
      <c r="B8" s="379" t="s">
        <v>1018</v>
      </c>
      <c r="C8" s="379"/>
      <c r="D8" s="379"/>
    </row>
    <row r="9" spans="2:37">
      <c r="AJ9" s="30"/>
      <c r="AK9" s="351"/>
    </row>
    <row r="10" spans="2:37" s="8" customFormat="1">
      <c r="B10" s="8" t="s">
        <v>152</v>
      </c>
      <c r="P10" s="52"/>
      <c r="Q10" s="52"/>
      <c r="S10" s="8" t="s">
        <v>197</v>
      </c>
    </row>
    <row r="12" spans="2:37" s="8" customFormat="1">
      <c r="B12" s="8" t="s">
        <v>848</v>
      </c>
      <c r="D12" s="8" t="s">
        <v>194</v>
      </c>
      <c r="F12" s="8" t="s">
        <v>195</v>
      </c>
      <c r="G12" s="8">
        <v>2020</v>
      </c>
      <c r="H12" s="8">
        <v>2021</v>
      </c>
      <c r="I12" s="8">
        <v>2022</v>
      </c>
      <c r="J12" s="8">
        <v>2023</v>
      </c>
      <c r="K12" s="8">
        <v>2024</v>
      </c>
      <c r="L12" s="8">
        <v>2025</v>
      </c>
      <c r="M12" s="8">
        <v>2026</v>
      </c>
    </row>
    <row r="13" spans="2:37">
      <c r="P13" s="97"/>
    </row>
    <row r="14" spans="2:37">
      <c r="B14" s="16" t="s">
        <v>206</v>
      </c>
    </row>
    <row r="15" spans="2:37">
      <c r="B15" s="158" t="s">
        <v>208</v>
      </c>
      <c r="D15" s="3" t="s">
        <v>199</v>
      </c>
      <c r="G15" s="149">
        <f>'2. Parameters'!K22</f>
        <v>3.3000000000000002E-2</v>
      </c>
      <c r="H15" s="149">
        <f>'2. Parameters'!L22</f>
        <v>0.03</v>
      </c>
      <c r="I15" s="10"/>
      <c r="J15" s="10"/>
      <c r="K15" s="10"/>
      <c r="L15" s="10"/>
      <c r="M15" s="10"/>
    </row>
    <row r="16" spans="2:37">
      <c r="B16" s="158" t="s">
        <v>849</v>
      </c>
      <c r="D16" s="3" t="s">
        <v>199</v>
      </c>
      <c r="G16" s="10"/>
      <c r="H16" s="10"/>
      <c r="I16" s="149">
        <f>'2. Parameters'!M24</f>
        <v>3.4000000000000002E-2</v>
      </c>
      <c r="J16" s="149">
        <f>'2. Parameters'!N24</f>
        <v>3.3000000000000002E-2</v>
      </c>
      <c r="K16" s="149">
        <f>'2. Parameters'!O24</f>
        <v>3.7999999999999999E-2</v>
      </c>
      <c r="L16" s="149">
        <f>'2. Parameters'!P24</f>
        <v>3.7999999999999999E-2</v>
      </c>
      <c r="M16" s="149">
        <f>'2. Parameters'!Q24</f>
        <v>3.7999999999999999E-2</v>
      </c>
    </row>
    <row r="17" spans="1:20">
      <c r="B17" s="158"/>
    </row>
    <row r="18" spans="1:20">
      <c r="B18" s="2" t="s">
        <v>241</v>
      </c>
    </row>
    <row r="19" spans="1:20">
      <c r="B19" s="3" t="s">
        <v>241</v>
      </c>
      <c r="D19" s="3" t="s">
        <v>199</v>
      </c>
      <c r="F19" s="61">
        <f>'2. Parameters'!F84</f>
        <v>1</v>
      </c>
      <c r="T19" s="3" t="s">
        <v>118</v>
      </c>
    </row>
    <row r="20" spans="1:20">
      <c r="F20" s="30"/>
    </row>
    <row r="21" spans="1:20">
      <c r="B21" s="2" t="s">
        <v>242</v>
      </c>
      <c r="F21" s="30"/>
    </row>
    <row r="22" spans="1:20">
      <c r="B22" s="3" t="s">
        <v>242</v>
      </c>
      <c r="D22" s="3" t="s">
        <v>199</v>
      </c>
      <c r="F22" s="184">
        <f>'2. Parameters'!F88</f>
        <v>1.3</v>
      </c>
      <c r="T22" s="3" t="s">
        <v>118</v>
      </c>
    </row>
    <row r="23" spans="1:20">
      <c r="F23" s="183"/>
    </row>
    <row r="24" spans="1:20">
      <c r="B24" s="2" t="s">
        <v>243</v>
      </c>
      <c r="F24" s="183"/>
    </row>
    <row r="25" spans="1:20">
      <c r="B25" s="3" t="s">
        <v>243</v>
      </c>
      <c r="D25" s="3" t="s">
        <v>199</v>
      </c>
      <c r="F25" s="86">
        <f>'2. Parameters'!F92</f>
        <v>0.1</v>
      </c>
      <c r="T25" s="3" t="s">
        <v>118</v>
      </c>
    </row>
    <row r="26" spans="1:20">
      <c r="B26" s="16"/>
    </row>
    <row r="27" spans="1:20">
      <c r="B27" s="2" t="s">
        <v>217</v>
      </c>
    </row>
    <row r="28" spans="1:20">
      <c r="B28" s="3" t="s">
        <v>217</v>
      </c>
      <c r="D28" s="3" t="s">
        <v>199</v>
      </c>
      <c r="F28" s="185">
        <f>'2. Parameters'!F32</f>
        <v>0.01</v>
      </c>
    </row>
    <row r="29" spans="1:20" s="98" customFormat="1">
      <c r="A29" s="3"/>
      <c r="F29" s="114"/>
    </row>
    <row r="30" spans="1:20">
      <c r="B30" s="16" t="s">
        <v>238</v>
      </c>
    </row>
    <row r="31" spans="1:20">
      <c r="B31" s="32" t="s">
        <v>226</v>
      </c>
      <c r="D31" s="3" t="s">
        <v>240</v>
      </c>
      <c r="G31" s="38">
        <f>'2. Parameters'!K74</f>
        <v>1</v>
      </c>
      <c r="H31" s="38">
        <f>'2. Parameters'!L74</f>
        <v>1.02</v>
      </c>
      <c r="I31" s="38">
        <f>'2. Parameters'!M74</f>
        <v>1.0404</v>
      </c>
      <c r="J31" s="38">
        <f>'2. Parameters'!N74</f>
        <v>1.0612079999999999</v>
      </c>
      <c r="K31" s="38">
        <f>'2. Parameters'!O74</f>
        <v>1.10365632</v>
      </c>
      <c r="L31" s="38">
        <f>'2. Parameters'!P74</f>
        <v>1.1809122624000001</v>
      </c>
      <c r="M31" s="38">
        <f>'2. Parameters'!Q74</f>
        <v>1.2635761207680003</v>
      </c>
    </row>
    <row r="32" spans="1:20">
      <c r="B32" s="32" t="s">
        <v>227</v>
      </c>
      <c r="D32" s="3" t="s">
        <v>240</v>
      </c>
      <c r="G32" s="10"/>
      <c r="H32" s="38">
        <f>'2. Parameters'!L75</f>
        <v>1</v>
      </c>
      <c r="I32" s="38">
        <f>'2. Parameters'!M75</f>
        <v>1.02</v>
      </c>
      <c r="J32" s="38">
        <f>'2. Parameters'!N75</f>
        <v>1.0404</v>
      </c>
      <c r="K32" s="38">
        <f>'2. Parameters'!O75</f>
        <v>1.0820160000000001</v>
      </c>
      <c r="L32" s="38">
        <f>'2. Parameters'!P75</f>
        <v>1.1577571200000001</v>
      </c>
      <c r="M32" s="38">
        <f>'2. Parameters'!Q75</f>
        <v>1.2388001184000001</v>
      </c>
    </row>
    <row r="33" spans="2:13">
      <c r="B33" s="32" t="s">
        <v>228</v>
      </c>
      <c r="D33" s="3" t="s">
        <v>240</v>
      </c>
      <c r="G33" s="10"/>
      <c r="H33" s="10"/>
      <c r="I33" s="38">
        <f>'2. Parameters'!M76</f>
        <v>1</v>
      </c>
      <c r="J33" s="38">
        <f>'2. Parameters'!N76</f>
        <v>1.02</v>
      </c>
      <c r="K33" s="38">
        <f>'2. Parameters'!O76</f>
        <v>1.0608</v>
      </c>
      <c r="L33" s="38">
        <f>'2. Parameters'!P76</f>
        <v>1.1350560000000001</v>
      </c>
      <c r="M33" s="38">
        <f>'2. Parameters'!Q76</f>
        <v>1.2145099200000002</v>
      </c>
    </row>
    <row r="34" spans="2:13">
      <c r="B34" s="32" t="s">
        <v>229</v>
      </c>
      <c r="D34" s="3" t="s">
        <v>240</v>
      </c>
      <c r="G34" s="10"/>
      <c r="H34" s="10"/>
      <c r="I34" s="10"/>
      <c r="J34" s="38">
        <f>'2. Parameters'!N77</f>
        <v>1</v>
      </c>
      <c r="K34" s="38">
        <f>'2. Parameters'!O77</f>
        <v>1.04</v>
      </c>
      <c r="L34" s="38">
        <f>'2. Parameters'!P77</f>
        <v>1.1128</v>
      </c>
      <c r="M34" s="38">
        <f>'2. Parameters'!Q77</f>
        <v>1.190696</v>
      </c>
    </row>
    <row r="35" spans="2:13">
      <c r="B35" s="32" t="s">
        <v>230</v>
      </c>
      <c r="D35" s="3" t="s">
        <v>240</v>
      </c>
      <c r="G35" s="10"/>
      <c r="H35" s="10"/>
      <c r="I35" s="10"/>
      <c r="J35" s="10"/>
      <c r="K35" s="38">
        <f>'2. Parameters'!O78</f>
        <v>1</v>
      </c>
      <c r="L35" s="38">
        <f>'2. Parameters'!P78</f>
        <v>1.07</v>
      </c>
      <c r="M35" s="38">
        <f>'2. Parameters'!Q78</f>
        <v>1.1449</v>
      </c>
    </row>
    <row r="36" spans="2:13">
      <c r="B36" s="32" t="s">
        <v>231</v>
      </c>
      <c r="D36" s="3" t="s">
        <v>240</v>
      </c>
      <c r="G36" s="10"/>
      <c r="H36" s="10"/>
      <c r="I36" s="10"/>
      <c r="J36" s="10"/>
      <c r="K36" s="10"/>
      <c r="L36" s="38">
        <f>'2. Parameters'!P79</f>
        <v>1</v>
      </c>
      <c r="M36" s="38">
        <f>'2. Parameters'!Q79</f>
        <v>1.07</v>
      </c>
    </row>
    <row r="37" spans="2:13">
      <c r="B37" s="32" t="s">
        <v>232</v>
      </c>
      <c r="D37" s="3" t="s">
        <v>240</v>
      </c>
      <c r="G37" s="10"/>
      <c r="H37" s="10"/>
      <c r="I37" s="10"/>
      <c r="J37" s="10"/>
      <c r="K37" s="10"/>
      <c r="L37" s="10"/>
      <c r="M37" s="38">
        <f>'2. Parameters'!Q80</f>
        <v>1</v>
      </c>
    </row>
    <row r="38" spans="2:13">
      <c r="B38" s="32"/>
      <c r="M38" s="302"/>
    </row>
    <row r="39" spans="2:13">
      <c r="B39" s="16" t="s">
        <v>221</v>
      </c>
      <c r="M39" s="302"/>
    </row>
    <row r="40" spans="2:13">
      <c r="B40" s="32" t="s">
        <v>226</v>
      </c>
      <c r="D40" s="3" t="s">
        <v>223</v>
      </c>
      <c r="G40" s="60">
        <f>'2. Parameters'!K43</f>
        <v>1</v>
      </c>
      <c r="H40" s="60">
        <f>'2. Parameters'!L43</f>
        <v>1.016</v>
      </c>
      <c r="I40" s="60">
        <f>'2. Parameters'!M43</f>
        <v>1.0342880000000001</v>
      </c>
      <c r="J40" s="60">
        <f>'2. Parameters'!N43</f>
        <v>1.0984138560000001</v>
      </c>
      <c r="K40" s="60">
        <f>'2. Parameters'!O43</f>
        <v>1.1862869644800003</v>
      </c>
      <c r="L40" s="60">
        <f>'2. Parameters'!P43</f>
        <v>1.2195029994854403</v>
      </c>
      <c r="M40" s="60">
        <f>'2. Parameters'!Q43</f>
        <v>1.2402345504766927</v>
      </c>
    </row>
    <row r="41" spans="2:13">
      <c r="B41" s="32" t="s">
        <v>227</v>
      </c>
      <c r="D41" s="3" t="s">
        <v>223</v>
      </c>
      <c r="G41" s="126"/>
      <c r="H41" s="60">
        <f>'2. Parameters'!L44</f>
        <v>1</v>
      </c>
      <c r="I41" s="60">
        <f>'2. Parameters'!M44</f>
        <v>1.018</v>
      </c>
      <c r="J41" s="60">
        <f>'2. Parameters'!N44</f>
        <v>1.081116</v>
      </c>
      <c r="K41" s="60">
        <f>'2. Parameters'!O44</f>
        <v>1.1676052800000001</v>
      </c>
      <c r="L41" s="60">
        <f>'2. Parameters'!P44</f>
        <v>1.2002982278400001</v>
      </c>
      <c r="M41" s="60">
        <f>'2. Parameters'!Q44</f>
        <v>1.2207032977132799</v>
      </c>
    </row>
    <row r="42" spans="2:13">
      <c r="B42" s="32" t="s">
        <v>228</v>
      </c>
      <c r="D42" s="3" t="s">
        <v>223</v>
      </c>
      <c r="G42" s="126"/>
      <c r="H42" s="126"/>
      <c r="I42" s="60">
        <f>'2. Parameters'!M45</f>
        <v>1</v>
      </c>
      <c r="J42" s="60">
        <f>'2. Parameters'!N45</f>
        <v>1.0620000000000001</v>
      </c>
      <c r="K42" s="60">
        <f>'2. Parameters'!O45</f>
        <v>1.1469600000000002</v>
      </c>
      <c r="L42" s="60">
        <f>'2. Parameters'!P45</f>
        <v>1.1790748800000002</v>
      </c>
      <c r="M42" s="60">
        <f>'2. Parameters'!Q45</f>
        <v>1.19911915296</v>
      </c>
    </row>
    <row r="43" spans="2:13">
      <c r="B43" s="32" t="s">
        <v>229</v>
      </c>
      <c r="D43" s="3" t="s">
        <v>223</v>
      </c>
      <c r="G43" s="126"/>
      <c r="H43" s="126"/>
      <c r="I43" s="126"/>
      <c r="J43" s="60">
        <f>'2. Parameters'!N46</f>
        <v>1</v>
      </c>
      <c r="K43" s="60">
        <f>'2. Parameters'!O46</f>
        <v>1.08</v>
      </c>
      <c r="L43" s="60">
        <f>'2. Parameters'!P46</f>
        <v>1.1102400000000001</v>
      </c>
      <c r="M43" s="60">
        <f>'2. Parameters'!Q46</f>
        <v>1.1291140799999999</v>
      </c>
    </row>
    <row r="44" spans="2:13">
      <c r="B44" s="32" t="s">
        <v>230</v>
      </c>
      <c r="D44" s="3" t="s">
        <v>223</v>
      </c>
      <c r="G44" s="126"/>
      <c r="H44" s="126"/>
      <c r="I44" s="126"/>
      <c r="J44" s="126"/>
      <c r="K44" s="60">
        <f>'2. Parameters'!O47</f>
        <v>1</v>
      </c>
      <c r="L44" s="60">
        <f>'2. Parameters'!P47</f>
        <v>1.028</v>
      </c>
      <c r="M44" s="60">
        <f>'2. Parameters'!Q47</f>
        <v>1.0454759999999998</v>
      </c>
    </row>
    <row r="45" spans="2:13">
      <c r="B45" s="32" t="s">
        <v>231</v>
      </c>
      <c r="D45" s="3" t="s">
        <v>223</v>
      </c>
      <c r="G45" s="126"/>
      <c r="H45" s="126"/>
      <c r="I45" s="126"/>
      <c r="J45" s="126"/>
      <c r="K45" s="126"/>
      <c r="L45" s="60">
        <f>'2. Parameters'!P48</f>
        <v>1</v>
      </c>
      <c r="M45" s="60">
        <f>'2. Parameters'!Q48</f>
        <v>1.0169999999999999</v>
      </c>
    </row>
    <row r="46" spans="2:13">
      <c r="B46" s="32" t="s">
        <v>232</v>
      </c>
      <c r="D46" s="3" t="s">
        <v>223</v>
      </c>
      <c r="G46" s="126"/>
      <c r="H46" s="126"/>
      <c r="I46" s="126"/>
      <c r="J46" s="126"/>
      <c r="K46" s="126"/>
      <c r="L46" s="126"/>
      <c r="M46" s="60">
        <f>'2. Parameters'!Q49</f>
        <v>1</v>
      </c>
    </row>
    <row r="47" spans="2:13">
      <c r="B47" s="32"/>
      <c r="M47" s="302"/>
    </row>
    <row r="48" spans="2:13">
      <c r="B48" s="16" t="s">
        <v>233</v>
      </c>
      <c r="M48" s="302"/>
    </row>
    <row r="49" spans="2:13">
      <c r="B49" s="32" t="s">
        <v>226</v>
      </c>
      <c r="D49" s="3" t="s">
        <v>237</v>
      </c>
      <c r="G49" s="60">
        <f>'2. Parameters'!K60</f>
        <v>1</v>
      </c>
      <c r="H49" s="60">
        <f>'2. Parameters'!L60</f>
        <v>0.999</v>
      </c>
      <c r="I49" s="60">
        <f>'2. Parameters'!M60</f>
        <v>0.995004</v>
      </c>
      <c r="J49" s="60">
        <f>'2. Parameters'!N60</f>
        <v>0.99102398400000002</v>
      </c>
      <c r="K49" s="60">
        <f>'2. Parameters'!O60</f>
        <v>0.98705988806400002</v>
      </c>
      <c r="L49" s="60">
        <f>'2. Parameters'!P60</f>
        <v>0.98311164851174404</v>
      </c>
      <c r="M49" s="60">
        <f>'2. Parameters'!Q60</f>
        <v>0.97917920191769703</v>
      </c>
    </row>
    <row r="50" spans="2:13">
      <c r="B50" s="32" t="s">
        <v>227</v>
      </c>
      <c r="D50" s="3" t="s">
        <v>237</v>
      </c>
      <c r="G50" s="126"/>
      <c r="H50" s="60">
        <f>'2. Parameters'!L61</f>
        <v>1</v>
      </c>
      <c r="I50" s="60">
        <f>'2. Parameters'!M61</f>
        <v>0.996</v>
      </c>
      <c r="J50" s="60">
        <f>'2. Parameters'!N61</f>
        <v>0.99201600000000001</v>
      </c>
      <c r="K50" s="60">
        <f>'2. Parameters'!O61</f>
        <v>0.98804793599999996</v>
      </c>
      <c r="L50" s="60">
        <f>'2. Parameters'!P61</f>
        <v>0.98409574425599999</v>
      </c>
      <c r="M50" s="60">
        <f>'2. Parameters'!Q61</f>
        <v>0.98015936127897596</v>
      </c>
    </row>
    <row r="51" spans="2:13">
      <c r="B51" s="32" t="s">
        <v>228</v>
      </c>
      <c r="D51" s="3" t="s">
        <v>237</v>
      </c>
      <c r="G51" s="126"/>
      <c r="H51" s="126"/>
      <c r="I51" s="60">
        <f>'2. Parameters'!M62</f>
        <v>1</v>
      </c>
      <c r="J51" s="60">
        <f>'2. Parameters'!N62</f>
        <v>0.996</v>
      </c>
      <c r="K51" s="60">
        <f>'2. Parameters'!O62</f>
        <v>0.99201600000000001</v>
      </c>
      <c r="L51" s="60">
        <f>'2. Parameters'!P62</f>
        <v>0.98804793599999996</v>
      </c>
      <c r="M51" s="60">
        <f>'2. Parameters'!Q62</f>
        <v>0.98409574425599999</v>
      </c>
    </row>
    <row r="52" spans="2:13">
      <c r="B52" s="32" t="s">
        <v>229</v>
      </c>
      <c r="D52" s="3" t="s">
        <v>237</v>
      </c>
      <c r="G52" s="126"/>
      <c r="H52" s="126"/>
      <c r="I52" s="126"/>
      <c r="J52" s="60">
        <f>'2. Parameters'!N63</f>
        <v>1</v>
      </c>
      <c r="K52" s="60">
        <f>'2. Parameters'!O63</f>
        <v>0.996</v>
      </c>
      <c r="L52" s="60">
        <f>'2. Parameters'!P63</f>
        <v>0.99201600000000001</v>
      </c>
      <c r="M52" s="60">
        <f>'2. Parameters'!Q63</f>
        <v>0.98804793599999996</v>
      </c>
    </row>
    <row r="53" spans="2:13">
      <c r="B53" s="32" t="s">
        <v>230</v>
      </c>
      <c r="D53" s="3" t="s">
        <v>237</v>
      </c>
      <c r="G53" s="126"/>
      <c r="H53" s="126"/>
      <c r="I53" s="126"/>
      <c r="J53" s="126"/>
      <c r="K53" s="60">
        <f>'2. Parameters'!O64</f>
        <v>1</v>
      </c>
      <c r="L53" s="60">
        <f>'2. Parameters'!P64</f>
        <v>0.996</v>
      </c>
      <c r="M53" s="60">
        <f>'2. Parameters'!Q64</f>
        <v>0.99201600000000001</v>
      </c>
    </row>
    <row r="54" spans="2:13">
      <c r="B54" s="32" t="s">
        <v>231</v>
      </c>
      <c r="D54" s="3" t="s">
        <v>237</v>
      </c>
      <c r="G54" s="126"/>
      <c r="H54" s="126"/>
      <c r="I54" s="126"/>
      <c r="J54" s="126"/>
      <c r="K54" s="126"/>
      <c r="L54" s="60">
        <f>'2. Parameters'!P65</f>
        <v>1</v>
      </c>
      <c r="M54" s="60">
        <f>'2. Parameters'!Q65</f>
        <v>0.996</v>
      </c>
    </row>
    <row r="55" spans="2:13">
      <c r="B55" s="32" t="s">
        <v>232</v>
      </c>
      <c r="D55" s="3" t="s">
        <v>237</v>
      </c>
      <c r="G55" s="126"/>
      <c r="H55" s="126"/>
      <c r="I55" s="126"/>
      <c r="J55" s="126"/>
      <c r="K55" s="126"/>
      <c r="L55" s="126"/>
      <c r="M55" s="60">
        <f>'2. Parameters'!Q66</f>
        <v>1</v>
      </c>
    </row>
    <row r="57" spans="2:13" s="8" customFormat="1">
      <c r="B57" s="8" t="s">
        <v>1019</v>
      </c>
      <c r="F57" s="8" t="s">
        <v>281</v>
      </c>
      <c r="G57" s="8" t="s">
        <v>533</v>
      </c>
      <c r="H57" s="8" t="s">
        <v>534</v>
      </c>
      <c r="I57" s="8" t="s">
        <v>535</v>
      </c>
      <c r="J57" s="8" t="s">
        <v>282</v>
      </c>
      <c r="K57" s="8" t="s">
        <v>1020</v>
      </c>
      <c r="L57" s="8" t="s">
        <v>536</v>
      </c>
      <c r="M57" s="8" t="s">
        <v>1021</v>
      </c>
    </row>
    <row r="59" spans="2:13">
      <c r="B59" s="43" t="str">
        <f>'8. Input IC huur Gasunie'!B12</f>
        <v>Asset 1</v>
      </c>
      <c r="F59" s="43" t="str">
        <f>'8. Input IC huur Gasunie'!F12</f>
        <v>05 Wegen en terreinvoorzieningen</v>
      </c>
      <c r="G59" s="43">
        <f>'8. Input IC huur Gasunie'!G12</f>
        <v>1971</v>
      </c>
      <c r="H59" s="48">
        <f>'8. Input IC huur Gasunie'!H12</f>
        <v>47083.78</v>
      </c>
      <c r="I59" s="43">
        <f>'8. Input IC huur Gasunie'!I12</f>
        <v>2021</v>
      </c>
      <c r="J59" s="48">
        <f>_xlfn.XLOOKUP(F59,'3. Input (des)investeringen '!$B$11:$B$81,'3. Input (des)investeringen '!$D$11:$D$81)</f>
        <v>10</v>
      </c>
      <c r="K59" s="48">
        <f>_xlfn.XLOOKUP(F59,'3. Input (des)investeringen '!$B$11:$B$81,'3. Input (des)investeringen '!$E$11:$E$81)</f>
        <v>0</v>
      </c>
      <c r="L59" s="48">
        <f>'8. Input IC huur Gasunie'!J12</f>
        <v>0</v>
      </c>
      <c r="M59" s="48">
        <f>'8. Input IC huur Gasunie'!K12</f>
        <v>38383584.379999995</v>
      </c>
    </row>
    <row r="60" spans="2:13">
      <c r="B60" s="43" t="str">
        <f>'8. Input IC huur Gasunie'!B13</f>
        <v>Asset 2</v>
      </c>
      <c r="F60" s="43" t="str">
        <f>'8. Input IC huur Gasunie'!F13</f>
        <v>06 Utiliteitsgebouwen</v>
      </c>
      <c r="G60" s="43">
        <f>'8. Input IC huur Gasunie'!G13</f>
        <v>1961</v>
      </c>
      <c r="H60" s="48">
        <f>'8. Input IC huur Gasunie'!H13</f>
        <v>50334.43</v>
      </c>
      <c r="I60" s="43">
        <f>'8. Input IC huur Gasunie'!I13</f>
        <v>2021</v>
      </c>
      <c r="J60" s="48">
        <f>_xlfn.XLOOKUP(F60,'3. Input (des)investeringen '!$B$11:$B$81,'3. Input (des)investeringen '!$D$11:$D$81)</f>
        <v>30</v>
      </c>
      <c r="K60" s="48">
        <f>_xlfn.XLOOKUP(F60,'3. Input (des)investeringen '!$B$11:$B$81,'3. Input (des)investeringen '!$E$11:$E$81)</f>
        <v>0</v>
      </c>
      <c r="L60" s="48">
        <f>'8. Input IC huur Gasunie'!J13</f>
        <v>0</v>
      </c>
      <c r="M60" s="48">
        <f>'8. Input IC huur Gasunie'!K13</f>
        <v>0</v>
      </c>
    </row>
    <row r="61" spans="2:13">
      <c r="B61" s="43" t="str">
        <f>'8. Input IC huur Gasunie'!B14</f>
        <v>Asset 3</v>
      </c>
      <c r="F61" s="43" t="str">
        <f>'8. Input IC huur Gasunie'!F14</f>
        <v>06 Utiliteitsgebouwen</v>
      </c>
      <c r="G61" s="43">
        <f>'8. Input IC huur Gasunie'!G14</f>
        <v>1972</v>
      </c>
      <c r="H61" s="48">
        <f>'8. Input IC huur Gasunie'!H14</f>
        <v>2621.49</v>
      </c>
      <c r="I61" s="43">
        <f>'8. Input IC huur Gasunie'!I14</f>
        <v>2021</v>
      </c>
      <c r="J61" s="48">
        <f>_xlfn.XLOOKUP(F61,'3. Input (des)investeringen '!$B$11:$B$81,'3. Input (des)investeringen '!$D$11:$D$81)</f>
        <v>30</v>
      </c>
      <c r="K61" s="48">
        <f>_xlfn.XLOOKUP(F61,'3. Input (des)investeringen '!$B$11:$B$81,'3. Input (des)investeringen '!$E$11:$E$81)</f>
        <v>0</v>
      </c>
      <c r="L61" s="48">
        <f>'8. Input IC huur Gasunie'!J14</f>
        <v>0</v>
      </c>
      <c r="M61" s="48">
        <f>'8. Input IC huur Gasunie'!K14</f>
        <v>0</v>
      </c>
    </row>
    <row r="62" spans="2:13">
      <c r="B62" s="43" t="str">
        <f>'8. Input IC huur Gasunie'!B15</f>
        <v>Asset 4</v>
      </c>
      <c r="F62" s="43" t="str">
        <f>'8. Input IC huur Gasunie'!F15</f>
        <v>08 Inrichting gebouwen</v>
      </c>
      <c r="G62" s="43">
        <f>'8. Input IC huur Gasunie'!G15</f>
        <v>1997</v>
      </c>
      <c r="H62" s="48">
        <f>'8. Input IC huur Gasunie'!H15</f>
        <v>151227.48000000004</v>
      </c>
      <c r="I62" s="43">
        <f>'8. Input IC huur Gasunie'!I15</f>
        <v>2021</v>
      </c>
      <c r="J62" s="48">
        <f>_xlfn.XLOOKUP(F62,'3. Input (des)investeringen '!$B$11:$B$81,'3. Input (des)investeringen '!$D$11:$D$81)</f>
        <v>10</v>
      </c>
      <c r="K62" s="48">
        <f>_xlfn.XLOOKUP(F62,'3. Input (des)investeringen '!$B$11:$B$81,'3. Input (des)investeringen '!$E$11:$E$81)</f>
        <v>0</v>
      </c>
      <c r="L62" s="48">
        <f>'8. Input IC huur Gasunie'!J15</f>
        <v>0</v>
      </c>
      <c r="M62" s="48">
        <f>'8. Input IC huur Gasunie'!K15</f>
        <v>0</v>
      </c>
    </row>
    <row r="63" spans="2:13">
      <c r="B63" s="43" t="str">
        <f>'8. Input IC huur Gasunie'!B16</f>
        <v>Asset 5</v>
      </c>
      <c r="F63" s="43" t="str">
        <f>'8. Input IC huur Gasunie'!F16</f>
        <v>11 Werktuigen</v>
      </c>
      <c r="G63" s="43">
        <f>'8. Input IC huur Gasunie'!G16</f>
        <v>2009</v>
      </c>
      <c r="H63" s="48">
        <f>'8. Input IC huur Gasunie'!H16</f>
        <v>1313895.18</v>
      </c>
      <c r="I63" s="43">
        <f>'8. Input IC huur Gasunie'!I16</f>
        <v>2021</v>
      </c>
      <c r="J63" s="48">
        <f>_xlfn.XLOOKUP(F63,'3. Input (des)investeringen '!$B$11:$B$81,'3. Input (des)investeringen '!$D$11:$D$81)</f>
        <v>10</v>
      </c>
      <c r="K63" s="48">
        <f>_xlfn.XLOOKUP(F63,'3. Input (des)investeringen '!$B$11:$B$81,'3. Input (des)investeringen '!$E$11:$E$81)</f>
        <v>1</v>
      </c>
      <c r="L63" s="48">
        <f>'8. Input IC huur Gasunie'!J16</f>
        <v>0</v>
      </c>
      <c r="M63" s="48">
        <f>'8. Input IC huur Gasunie'!K16</f>
        <v>0</v>
      </c>
    </row>
    <row r="64" spans="2:13">
      <c r="B64" s="43" t="str">
        <f>'8. Input IC huur Gasunie'!B17</f>
        <v>Asset 6</v>
      </c>
      <c r="F64" s="43" t="str">
        <f>'8. Input IC huur Gasunie'!F17</f>
        <v>37 ICT middelen 1</v>
      </c>
      <c r="G64" s="43">
        <f>'8. Input IC huur Gasunie'!G17</f>
        <v>2009</v>
      </c>
      <c r="H64" s="48">
        <f>'8. Input IC huur Gasunie'!H17</f>
        <v>3658553.4539964925</v>
      </c>
      <c r="I64" s="43">
        <f>'8. Input IC huur Gasunie'!I17</f>
        <v>2021</v>
      </c>
      <c r="J64" s="48">
        <f>_xlfn.XLOOKUP(F64,'3. Input (des)investeringen '!$B$11:$B$81,'3. Input (des)investeringen '!$D$11:$D$81)</f>
        <v>5</v>
      </c>
      <c r="K64" s="48">
        <f>_xlfn.XLOOKUP(F64,'3. Input (des)investeringen '!$B$11:$B$81,'3. Input (des)investeringen '!$E$11:$E$81)</f>
        <v>1</v>
      </c>
      <c r="L64" s="48">
        <f>'8. Input IC huur Gasunie'!J17</f>
        <v>0</v>
      </c>
      <c r="M64" s="48">
        <f>'8. Input IC huur Gasunie'!K17</f>
        <v>114985168</v>
      </c>
    </row>
    <row r="65" spans="2:13">
      <c r="B65" s="43" t="str">
        <f>'8. Input IC huur Gasunie'!B18</f>
        <v>Asset 7</v>
      </c>
      <c r="F65" s="43" t="str">
        <f>'8. Input IC huur Gasunie'!F18</f>
        <v>37 ICT middelen 1</v>
      </c>
      <c r="G65" s="43">
        <f>'8. Input IC huur Gasunie'!G18</f>
        <v>2010</v>
      </c>
      <c r="H65" s="48">
        <f>'8. Input IC huur Gasunie'!H18</f>
        <v>17379179.522018339</v>
      </c>
      <c r="I65" s="43">
        <f>'8. Input IC huur Gasunie'!I18</f>
        <v>2021</v>
      </c>
      <c r="J65" s="48">
        <f>_xlfn.XLOOKUP(F65,'3. Input (des)investeringen '!$B$11:$B$81,'3. Input (des)investeringen '!$D$11:$D$81)</f>
        <v>5</v>
      </c>
      <c r="K65" s="48">
        <f>_xlfn.XLOOKUP(F65,'3. Input (des)investeringen '!$B$11:$B$81,'3. Input (des)investeringen '!$E$11:$E$81)</f>
        <v>1</v>
      </c>
      <c r="L65" s="48">
        <f>'8. Input IC huur Gasunie'!J18</f>
        <v>0</v>
      </c>
      <c r="M65" s="48">
        <f>'8. Input IC huur Gasunie'!K18</f>
        <v>0</v>
      </c>
    </row>
    <row r="66" spans="2:13">
      <c r="B66" s="43" t="str">
        <f>'8. Input IC huur Gasunie'!B19</f>
        <v>Asset 8</v>
      </c>
      <c r="F66" s="43" t="str">
        <f>'8. Input IC huur Gasunie'!F19</f>
        <v>10 Gereedschap</v>
      </c>
      <c r="G66" s="43">
        <f>'8. Input IC huur Gasunie'!G19</f>
        <v>2010</v>
      </c>
      <c r="H66" s="48">
        <f>'8. Input IC huur Gasunie'!H19</f>
        <v>2369604.1752097155</v>
      </c>
      <c r="I66" s="43">
        <f>'8. Input IC huur Gasunie'!I19</f>
        <v>2021</v>
      </c>
      <c r="J66" s="48">
        <f>_xlfn.XLOOKUP(F66,'3. Input (des)investeringen '!$B$11:$B$81,'3. Input (des)investeringen '!$D$11:$D$81)</f>
        <v>10</v>
      </c>
      <c r="K66" s="48">
        <f>_xlfn.XLOOKUP(F66,'3. Input (des)investeringen '!$B$11:$B$81,'3. Input (des)investeringen '!$E$11:$E$81)</f>
        <v>1</v>
      </c>
      <c r="L66" s="48">
        <f>'8. Input IC huur Gasunie'!J19</f>
        <v>0</v>
      </c>
      <c r="M66" s="48">
        <f>'8. Input IC huur Gasunie'!K19</f>
        <v>0</v>
      </c>
    </row>
    <row r="67" spans="2:13">
      <c r="B67" s="43" t="str">
        <f>'8. Input IC huur Gasunie'!B20</f>
        <v>Asset 9</v>
      </c>
      <c r="F67" s="43" t="str">
        <f>'8. Input IC huur Gasunie'!F20</f>
        <v>37 ICT middelen 1 (transparency)</v>
      </c>
      <c r="G67" s="43">
        <f>'8. Input IC huur Gasunie'!G20</f>
        <v>2010</v>
      </c>
      <c r="H67" s="48">
        <f>'8. Input IC huur Gasunie'!H20</f>
        <v>137063.35897796138</v>
      </c>
      <c r="I67" s="43">
        <f>'8. Input IC huur Gasunie'!I20</f>
        <v>2021</v>
      </c>
      <c r="J67" s="48">
        <f>_xlfn.XLOOKUP(F67,'3. Input (des)investeringen '!$B$11:$B$81,'3. Input (des)investeringen '!$D$11:$D$81)</f>
        <v>5</v>
      </c>
      <c r="K67" s="48">
        <f>_xlfn.XLOOKUP(F67,'3. Input (des)investeringen '!$B$11:$B$81,'3. Input (des)investeringen '!$E$11:$E$81)</f>
        <v>0</v>
      </c>
      <c r="L67" s="48">
        <f>'8. Input IC huur Gasunie'!J20</f>
        <v>0</v>
      </c>
      <c r="M67" s="48">
        <f>'8. Input IC huur Gasunie'!K20</f>
        <v>0</v>
      </c>
    </row>
    <row r="68" spans="2:13">
      <c r="B68" s="43" t="str">
        <f>'8. Input IC huur Gasunie'!B21</f>
        <v>Asset 10</v>
      </c>
      <c r="F68" s="43" t="str">
        <f>'8. Input IC huur Gasunie'!F21</f>
        <v>11 Werktuigen (gaschromatografen en comptabele meters)</v>
      </c>
      <c r="G68" s="43">
        <f>'8. Input IC huur Gasunie'!G21</f>
        <v>2011</v>
      </c>
      <c r="H68" s="48">
        <f>'8. Input IC huur Gasunie'!H21</f>
        <v>852201.48356837523</v>
      </c>
      <c r="I68" s="43">
        <f>'8. Input IC huur Gasunie'!I21</f>
        <v>2021</v>
      </c>
      <c r="J68" s="48">
        <f>_xlfn.XLOOKUP(F68,'3. Input (des)investeringen '!$B$11:$B$81,'3. Input (des)investeringen '!$D$11:$D$81)</f>
        <v>10</v>
      </c>
      <c r="K68" s="48">
        <f>_xlfn.XLOOKUP(F68,'3. Input (des)investeringen '!$B$11:$B$81,'3. Input (des)investeringen '!$E$11:$E$81)</f>
        <v>0</v>
      </c>
      <c r="L68" s="48">
        <f>'8. Input IC huur Gasunie'!J21</f>
        <v>0</v>
      </c>
      <c r="M68" s="48">
        <f>'8. Input IC huur Gasunie'!K21</f>
        <v>0</v>
      </c>
    </row>
    <row r="69" spans="2:13">
      <c r="B69" s="43" t="str">
        <f>'8. Input IC huur Gasunie'!B22</f>
        <v>Asset 11</v>
      </c>
      <c r="F69" s="43" t="str">
        <f>'8. Input IC huur Gasunie'!F22</f>
        <v>20 Kantoorgebouwen</v>
      </c>
      <c r="G69" s="43">
        <f>'8. Input IC huur Gasunie'!G22</f>
        <v>2011</v>
      </c>
      <c r="H69" s="48">
        <f>'8. Input IC huur Gasunie'!H22</f>
        <v>3100554.2541983742</v>
      </c>
      <c r="I69" s="43">
        <f>'8. Input IC huur Gasunie'!I22</f>
        <v>2021</v>
      </c>
      <c r="J69" s="48">
        <f>_xlfn.XLOOKUP(F69,'3. Input (des)investeringen '!$B$11:$B$81,'3. Input (des)investeringen '!$D$11:$D$81)</f>
        <v>30</v>
      </c>
      <c r="K69" s="48">
        <f>_xlfn.XLOOKUP(F69,'3. Input (des)investeringen '!$B$11:$B$81,'3. Input (des)investeringen '!$E$11:$E$81)</f>
        <v>0</v>
      </c>
      <c r="L69" s="48">
        <f>'8. Input IC huur Gasunie'!J22</f>
        <v>2372891.9585730941</v>
      </c>
      <c r="M69" s="48">
        <f>'8. Input IC huur Gasunie'!K22</f>
        <v>56326732</v>
      </c>
    </row>
    <row r="70" spans="2:13">
      <c r="B70" s="43" t="str">
        <f>'8. Input IC huur Gasunie'!B23</f>
        <v>Asset 12</v>
      </c>
      <c r="F70" s="43" t="str">
        <f>'8. Input IC huur Gasunie'!F23</f>
        <v>37 ICT middelen 1</v>
      </c>
      <c r="G70" s="43">
        <f>'8. Input IC huur Gasunie'!G23</f>
        <v>2011</v>
      </c>
      <c r="H70" s="48">
        <f>'8. Input IC huur Gasunie'!H23</f>
        <v>30115806.268534236</v>
      </c>
      <c r="I70" s="43">
        <f>'8. Input IC huur Gasunie'!I23</f>
        <v>2021</v>
      </c>
      <c r="J70" s="48">
        <f>_xlfn.XLOOKUP(F70,'3. Input (des)investeringen '!$B$11:$B$81,'3. Input (des)investeringen '!$D$11:$D$81)</f>
        <v>5</v>
      </c>
      <c r="K70" s="48">
        <f>_xlfn.XLOOKUP(F70,'3. Input (des)investeringen '!$B$11:$B$81,'3. Input (des)investeringen '!$E$11:$E$81)</f>
        <v>1</v>
      </c>
      <c r="L70" s="48">
        <f>'8. Input IC huur Gasunie'!J23</f>
        <v>0</v>
      </c>
      <c r="M70" s="48">
        <f>'8. Input IC huur Gasunie'!K23</f>
        <v>0</v>
      </c>
    </row>
    <row r="71" spans="2:13">
      <c r="B71" s="43" t="str">
        <f>'8. Input IC huur Gasunie'!B24</f>
        <v>Asset 13</v>
      </c>
      <c r="F71" s="43" t="str">
        <f>'8. Input IC huur Gasunie'!F24</f>
        <v>06 Utiliteitsgebouwen</v>
      </c>
      <c r="G71" s="43">
        <f>'8. Input IC huur Gasunie'!G24</f>
        <v>2011</v>
      </c>
      <c r="H71" s="48">
        <f>'8. Input IC huur Gasunie'!H24</f>
        <v>2437521.6070272112</v>
      </c>
      <c r="I71" s="43">
        <f>'8. Input IC huur Gasunie'!I24</f>
        <v>2021</v>
      </c>
      <c r="J71" s="48">
        <f>_xlfn.XLOOKUP(F71,'3. Input (des)investeringen '!$B$11:$B$81,'3. Input (des)investeringen '!$D$11:$D$81)</f>
        <v>30</v>
      </c>
      <c r="K71" s="48">
        <f>_xlfn.XLOOKUP(F71,'3. Input (des)investeringen '!$B$11:$B$81,'3. Input (des)investeringen '!$E$11:$E$81)</f>
        <v>0</v>
      </c>
      <c r="L71" s="48">
        <f>'8. Input IC huur Gasunie'!J24</f>
        <v>1865464.9930189459</v>
      </c>
      <c r="M71" s="48">
        <f>'8. Input IC huur Gasunie'!K24</f>
        <v>0</v>
      </c>
    </row>
    <row r="72" spans="2:13">
      <c r="B72" s="43" t="str">
        <f>'8. Input IC huur Gasunie'!B25</f>
        <v>Asset 14</v>
      </c>
      <c r="F72" s="43" t="str">
        <f>'8. Input IC huur Gasunie'!F25</f>
        <v>10 Gereedschap</v>
      </c>
      <c r="G72" s="43">
        <f>'8. Input IC huur Gasunie'!G25</f>
        <v>2011</v>
      </c>
      <c r="H72" s="48">
        <f>'8. Input IC huur Gasunie'!H25</f>
        <v>322323.48030063207</v>
      </c>
      <c r="I72" s="43">
        <f>'8. Input IC huur Gasunie'!I25</f>
        <v>2021</v>
      </c>
      <c r="J72" s="48">
        <f>_xlfn.XLOOKUP(F72,'3. Input (des)investeringen '!$B$11:$B$81,'3. Input (des)investeringen '!$D$11:$D$81)</f>
        <v>10</v>
      </c>
      <c r="K72" s="48">
        <f>_xlfn.XLOOKUP(F72,'3. Input (des)investeringen '!$B$11:$B$81,'3. Input (des)investeringen '!$E$11:$E$81)</f>
        <v>1</v>
      </c>
      <c r="L72" s="48">
        <f>'8. Input IC huur Gasunie'!J25</f>
        <v>0</v>
      </c>
      <c r="M72" s="48">
        <f>'8. Input IC huur Gasunie'!K25</f>
        <v>0</v>
      </c>
    </row>
    <row r="73" spans="2:13">
      <c r="B73" s="43" t="str">
        <f>'8. Input IC huur Gasunie'!B26</f>
        <v>Asset 15</v>
      </c>
      <c r="F73" s="43" t="str">
        <f>'8. Input IC huur Gasunie'!F26</f>
        <v>14 Overig rollend materieel</v>
      </c>
      <c r="G73" s="43">
        <f>'8. Input IC huur Gasunie'!G26</f>
        <v>2011</v>
      </c>
      <c r="H73" s="48">
        <f>'8. Input IC huur Gasunie'!H26</f>
        <v>4126005.7948834877</v>
      </c>
      <c r="I73" s="43">
        <f>'8. Input IC huur Gasunie'!I26</f>
        <v>2021</v>
      </c>
      <c r="J73" s="48">
        <f>_xlfn.XLOOKUP(F73,'3. Input (des)investeringen '!$B$11:$B$81,'3. Input (des)investeringen '!$D$11:$D$81)</f>
        <v>10</v>
      </c>
      <c r="K73" s="48">
        <f>_xlfn.XLOOKUP(F73,'3. Input (des)investeringen '!$B$11:$B$81,'3. Input (des)investeringen '!$E$11:$E$81)</f>
        <v>1</v>
      </c>
      <c r="L73" s="48">
        <f>'8. Input IC huur Gasunie'!J26</f>
        <v>0</v>
      </c>
      <c r="M73" s="48">
        <f>'8. Input IC huur Gasunie'!K26</f>
        <v>0</v>
      </c>
    </row>
    <row r="74" spans="2:13">
      <c r="B74" s="43" t="str">
        <f>'8. Input IC huur Gasunie'!B27</f>
        <v>Asset 16</v>
      </c>
      <c r="F74" s="43" t="str">
        <f>'8. Input IC huur Gasunie'!F27</f>
        <v>37 ICT middelen 1</v>
      </c>
      <c r="G74" s="43">
        <f>'8. Input IC huur Gasunie'!G27</f>
        <v>2012</v>
      </c>
      <c r="H74" s="48">
        <f>'8. Input IC huur Gasunie'!H27</f>
        <v>22695798.709637098</v>
      </c>
      <c r="I74" s="43">
        <f>'8. Input IC huur Gasunie'!I27</f>
        <v>2021</v>
      </c>
      <c r="J74" s="48">
        <f>_xlfn.XLOOKUP(F74,'3. Input (des)investeringen '!$B$11:$B$81,'3. Input (des)investeringen '!$D$11:$D$81)</f>
        <v>5</v>
      </c>
      <c r="K74" s="48">
        <f>_xlfn.XLOOKUP(F74,'3. Input (des)investeringen '!$B$11:$B$81,'3. Input (des)investeringen '!$E$11:$E$81)</f>
        <v>1</v>
      </c>
      <c r="L74" s="48">
        <f>'8. Input IC huur Gasunie'!J27</f>
        <v>0</v>
      </c>
      <c r="M74" s="48">
        <f>'8. Input IC huur Gasunie'!K27</f>
        <v>0</v>
      </c>
    </row>
    <row r="75" spans="2:13">
      <c r="B75" s="43" t="str">
        <f>'8. Input IC huur Gasunie'!B28</f>
        <v>Asset 17</v>
      </c>
      <c r="F75" s="43" t="str">
        <f>'8. Input IC huur Gasunie'!F28</f>
        <v>37 ICT middelen 1</v>
      </c>
      <c r="G75" s="43">
        <f>'8. Input IC huur Gasunie'!G28</f>
        <v>2013</v>
      </c>
      <c r="H75" s="48">
        <f>'8. Input IC huur Gasunie'!H28</f>
        <v>18719949.80436749</v>
      </c>
      <c r="I75" s="43">
        <f>'8. Input IC huur Gasunie'!I28</f>
        <v>2021</v>
      </c>
      <c r="J75" s="48">
        <f>_xlfn.XLOOKUP(F75,'3. Input (des)investeringen '!$B$11:$B$81,'3. Input (des)investeringen '!$D$11:$D$81)</f>
        <v>5</v>
      </c>
      <c r="K75" s="48">
        <f>_xlfn.XLOOKUP(F75,'3. Input (des)investeringen '!$B$11:$B$81,'3. Input (des)investeringen '!$E$11:$E$81)</f>
        <v>1</v>
      </c>
      <c r="L75" s="48">
        <f>'8. Input IC huur Gasunie'!J28</f>
        <v>0</v>
      </c>
      <c r="M75" s="48">
        <f>'8. Input IC huur Gasunie'!K28</f>
        <v>0</v>
      </c>
    </row>
    <row r="76" spans="2:13">
      <c r="B76" s="43" t="str">
        <f>'8. Input IC huur Gasunie'!B29</f>
        <v>Asset 18</v>
      </c>
      <c r="F76" s="43" t="str">
        <f>'8. Input IC huur Gasunie'!F29</f>
        <v>14 Overig rollend materieel</v>
      </c>
      <c r="G76" s="43">
        <f>'8. Input IC huur Gasunie'!G29</f>
        <v>2013</v>
      </c>
      <c r="H76" s="48">
        <f>'8. Input IC huur Gasunie'!H29</f>
        <v>14233.766853302437</v>
      </c>
      <c r="I76" s="43">
        <f>'8. Input IC huur Gasunie'!I29</f>
        <v>2021</v>
      </c>
      <c r="J76" s="48">
        <f>_xlfn.XLOOKUP(F76,'3. Input (des)investeringen '!$B$11:$B$81,'3. Input (des)investeringen '!$D$11:$D$81)</f>
        <v>10</v>
      </c>
      <c r="K76" s="48">
        <f>_xlfn.XLOOKUP(F76,'3. Input (des)investeringen '!$B$11:$B$81,'3. Input (des)investeringen '!$E$11:$E$81)</f>
        <v>1</v>
      </c>
      <c r="L76" s="48">
        <f>'8. Input IC huur Gasunie'!J29</f>
        <v>2395.0433871794298</v>
      </c>
      <c r="M76" s="48">
        <f>'8. Input IC huur Gasunie'!K29</f>
        <v>0</v>
      </c>
    </row>
    <row r="77" spans="2:13">
      <c r="B77" s="43" t="str">
        <f>'8. Input IC huur Gasunie'!B30</f>
        <v>Asset 19</v>
      </c>
      <c r="F77" s="43" t="str">
        <f>'8. Input IC huur Gasunie'!F30</f>
        <v>10 Gereedschap</v>
      </c>
      <c r="G77" s="43">
        <f>'8. Input IC huur Gasunie'!G30</f>
        <v>2013</v>
      </c>
      <c r="H77" s="48">
        <f>'8. Input IC huur Gasunie'!H30</f>
        <v>717715.3058753697</v>
      </c>
      <c r="I77" s="43">
        <f>'8. Input IC huur Gasunie'!I30</f>
        <v>2021</v>
      </c>
      <c r="J77" s="48">
        <f>_xlfn.XLOOKUP(F77,'3. Input (des)investeringen '!$B$11:$B$81,'3. Input (des)investeringen '!$D$11:$D$81)</f>
        <v>10</v>
      </c>
      <c r="K77" s="48">
        <f>_xlfn.XLOOKUP(F77,'3. Input (des)investeringen '!$B$11:$B$81,'3. Input (des)investeringen '!$E$11:$E$81)</f>
        <v>1</v>
      </c>
      <c r="L77" s="48">
        <f>'8. Input IC huur Gasunie'!J30</f>
        <v>120766.29573396736</v>
      </c>
      <c r="M77" s="48">
        <f>'8. Input IC huur Gasunie'!K30</f>
        <v>0</v>
      </c>
    </row>
    <row r="78" spans="2:13">
      <c r="B78" s="43" t="str">
        <f>'8. Input IC huur Gasunie'!B31</f>
        <v>Asset 20</v>
      </c>
      <c r="F78" s="43" t="str">
        <f>'8. Input IC huur Gasunie'!F31</f>
        <v>37 ICT middelen 1</v>
      </c>
      <c r="G78" s="43">
        <f>'8. Input IC huur Gasunie'!G31</f>
        <v>2014</v>
      </c>
      <c r="H78" s="48">
        <f>'8. Input IC huur Gasunie'!H31</f>
        <v>29278944.009914741</v>
      </c>
      <c r="I78" s="43">
        <f>'8. Input IC huur Gasunie'!I31</f>
        <v>2021</v>
      </c>
      <c r="J78" s="48">
        <f>_xlfn.XLOOKUP(F78,'3. Input (des)investeringen '!$B$11:$B$81,'3. Input (des)investeringen '!$D$11:$D$81)</f>
        <v>5</v>
      </c>
      <c r="K78" s="48">
        <f>_xlfn.XLOOKUP(F78,'3. Input (des)investeringen '!$B$11:$B$81,'3. Input (des)investeringen '!$E$11:$E$81)</f>
        <v>1</v>
      </c>
      <c r="L78" s="48">
        <f>'8. Input IC huur Gasunie'!J31</f>
        <v>0</v>
      </c>
      <c r="M78" s="48">
        <f>'8. Input IC huur Gasunie'!K31</f>
        <v>0</v>
      </c>
    </row>
    <row r="79" spans="2:13">
      <c r="B79" s="43" t="str">
        <f>'8. Input IC huur Gasunie'!B32</f>
        <v>Asset 21</v>
      </c>
      <c r="F79" s="43" t="str">
        <f>'8. Input IC huur Gasunie'!F32</f>
        <v>38 ICT middelen 2</v>
      </c>
      <c r="G79" s="43">
        <f>'8. Input IC huur Gasunie'!G32</f>
        <v>2014</v>
      </c>
      <c r="H79" s="48">
        <f>'8. Input IC huur Gasunie'!H32</f>
        <v>149619.99545874962</v>
      </c>
      <c r="I79" s="43">
        <f>'8. Input IC huur Gasunie'!I32</f>
        <v>2021</v>
      </c>
      <c r="J79" s="48">
        <f>_xlfn.XLOOKUP(F79,'3. Input (des)investeringen '!$B$11:$B$81,'3. Input (des)investeringen '!$D$11:$D$81)</f>
        <v>10</v>
      </c>
      <c r="K79" s="48">
        <f>_xlfn.XLOOKUP(F79,'3. Input (des)investeringen '!$B$11:$B$81,'3. Input (des)investeringen '!$E$11:$E$81)</f>
        <v>1</v>
      </c>
      <c r="L79" s="48">
        <f>'8. Input IC huur Gasunie'!J32</f>
        <v>40816.786477904512</v>
      </c>
      <c r="M79" s="48">
        <f>'8. Input IC huur Gasunie'!K32</f>
        <v>0</v>
      </c>
    </row>
    <row r="80" spans="2:13">
      <c r="B80" s="43" t="str">
        <f>'8. Input IC huur Gasunie'!B33</f>
        <v>Asset 22</v>
      </c>
      <c r="F80" s="43" t="str">
        <f>'8. Input IC huur Gasunie'!F33</f>
        <v>37 ICT middelen 1 (transparency)</v>
      </c>
      <c r="G80" s="43">
        <f>'8. Input IC huur Gasunie'!G33</f>
        <v>2014</v>
      </c>
      <c r="H80" s="48">
        <f>'8. Input IC huur Gasunie'!H33</f>
        <v>180341</v>
      </c>
      <c r="I80" s="43">
        <f>'8. Input IC huur Gasunie'!I33</f>
        <v>2021</v>
      </c>
      <c r="J80" s="48">
        <f>_xlfn.XLOOKUP(F80,'3. Input (des)investeringen '!$B$11:$B$81,'3. Input (des)investeringen '!$D$11:$D$81)</f>
        <v>5</v>
      </c>
      <c r="K80" s="48">
        <f>_xlfn.XLOOKUP(F80,'3. Input (des)investeringen '!$B$11:$B$81,'3. Input (des)investeringen '!$E$11:$E$81)</f>
        <v>0</v>
      </c>
      <c r="L80" s="48">
        <f>'8. Input IC huur Gasunie'!J33</f>
        <v>0</v>
      </c>
      <c r="M80" s="48">
        <f>'8. Input IC huur Gasunie'!K33</f>
        <v>0</v>
      </c>
    </row>
    <row r="81" spans="2:13">
      <c r="B81" s="43" t="str">
        <f>'8. Input IC huur Gasunie'!B34</f>
        <v>Asset 23</v>
      </c>
      <c r="F81" s="43" t="str">
        <f>'8. Input IC huur Gasunie'!F34</f>
        <v>37 ICT middelen 1</v>
      </c>
      <c r="G81" s="43">
        <f>'8. Input IC huur Gasunie'!G34</f>
        <v>2015</v>
      </c>
      <c r="H81" s="48">
        <f>'8. Input IC huur Gasunie'!H34</f>
        <v>16219637.049707994</v>
      </c>
      <c r="I81" s="43">
        <f>'8. Input IC huur Gasunie'!I34</f>
        <v>2021</v>
      </c>
      <c r="J81" s="48">
        <f>_xlfn.XLOOKUP(F81,'3. Input (des)investeringen '!$B$11:$B$81,'3. Input (des)investeringen '!$D$11:$D$81)</f>
        <v>5</v>
      </c>
      <c r="K81" s="48">
        <f>_xlfn.XLOOKUP(F81,'3. Input (des)investeringen '!$B$11:$B$81,'3. Input (des)investeringen '!$E$11:$E$81)</f>
        <v>1</v>
      </c>
      <c r="L81" s="48">
        <f>'8. Input IC huur Gasunie'!J34</f>
        <v>0</v>
      </c>
      <c r="M81" s="48">
        <f>'8. Input IC huur Gasunie'!K34</f>
        <v>0</v>
      </c>
    </row>
    <row r="82" spans="2:13">
      <c r="B82" s="43" t="str">
        <f>'8. Input IC huur Gasunie'!B35</f>
        <v>Asset 24</v>
      </c>
      <c r="F82" s="43" t="str">
        <f>'8. Input IC huur Gasunie'!F35</f>
        <v>14 Overig rollend materieel</v>
      </c>
      <c r="G82" s="43">
        <f>'8. Input IC huur Gasunie'!G35</f>
        <v>2015</v>
      </c>
      <c r="H82" s="48">
        <f>'8. Input IC huur Gasunie'!H35</f>
        <v>9111235.8707030155</v>
      </c>
      <c r="I82" s="43">
        <f>'8. Input IC huur Gasunie'!I35</f>
        <v>2021</v>
      </c>
      <c r="J82" s="48">
        <f>_xlfn.XLOOKUP(F82,'3. Input (des)investeringen '!$B$11:$B$81,'3. Input (des)investeringen '!$D$11:$D$81)</f>
        <v>10</v>
      </c>
      <c r="K82" s="48">
        <f>_xlfn.XLOOKUP(F82,'3. Input (des)investeringen '!$B$11:$B$81,'3. Input (des)investeringen '!$E$11:$E$81)</f>
        <v>1</v>
      </c>
      <c r="L82" s="48">
        <f>'8. Input IC huur Gasunie'!J35</f>
        <v>3445348.23215965</v>
      </c>
      <c r="M82" s="48">
        <f>'8. Input IC huur Gasunie'!K35</f>
        <v>0</v>
      </c>
    </row>
    <row r="83" spans="2:13">
      <c r="B83" s="43" t="str">
        <f>'8. Input IC huur Gasunie'!B36</f>
        <v>Asset 25</v>
      </c>
      <c r="F83" s="43" t="str">
        <f>'8. Input IC huur Gasunie'!F36</f>
        <v>10 Gereedschap</v>
      </c>
      <c r="G83" s="43">
        <f>'8. Input IC huur Gasunie'!G36</f>
        <v>2015</v>
      </c>
      <c r="H83" s="48">
        <f>'8. Input IC huur Gasunie'!H36</f>
        <v>1215996.3265953835</v>
      </c>
      <c r="I83" s="43">
        <f>'8. Input IC huur Gasunie'!I36</f>
        <v>2021</v>
      </c>
      <c r="J83" s="48">
        <f>_xlfn.XLOOKUP(F83,'3. Input (des)investeringen '!$B$11:$B$81,'3. Input (des)investeringen '!$D$11:$D$81)</f>
        <v>10</v>
      </c>
      <c r="K83" s="48">
        <f>_xlfn.XLOOKUP(F83,'3. Input (des)investeringen '!$B$11:$B$81,'3. Input (des)investeringen '!$E$11:$E$81)</f>
        <v>1</v>
      </c>
      <c r="L83" s="48">
        <f>'8. Input IC huur Gasunie'!J36</f>
        <v>459820.25420057232</v>
      </c>
      <c r="M83" s="48">
        <f>'8. Input IC huur Gasunie'!K36</f>
        <v>0</v>
      </c>
    </row>
    <row r="84" spans="2:13">
      <c r="B84" s="43" t="str">
        <f>'8. Input IC huur Gasunie'!B37</f>
        <v>Asset 26</v>
      </c>
      <c r="F84" s="43" t="str">
        <f>'8. Input IC huur Gasunie'!F37</f>
        <v>13 Aanhangwagens (gaschromatografen en comptabele meters)</v>
      </c>
      <c r="G84" s="43">
        <f>'8. Input IC huur Gasunie'!G37</f>
        <v>2015</v>
      </c>
      <c r="H84" s="48">
        <f>'8. Input IC huur Gasunie'!H37</f>
        <v>7968.6502792695001</v>
      </c>
      <c r="I84" s="43">
        <f>'8. Input IC huur Gasunie'!I37</f>
        <v>2021</v>
      </c>
      <c r="J84" s="48">
        <f>_xlfn.XLOOKUP(F84,'3. Input (des)investeringen '!$B$11:$B$81,'3. Input (des)investeringen '!$D$11:$D$81)</f>
        <v>10</v>
      </c>
      <c r="K84" s="48">
        <f>_xlfn.XLOOKUP(F84,'3. Input (des)investeringen '!$B$11:$B$81,'3. Input (des)investeringen '!$E$11:$E$81)</f>
        <v>0</v>
      </c>
      <c r="L84" s="48">
        <f>'8. Input IC huur Gasunie'!J37</f>
        <v>3013.2877188110033</v>
      </c>
      <c r="M84" s="48">
        <f>'8. Input IC huur Gasunie'!K37</f>
        <v>0</v>
      </c>
    </row>
    <row r="85" spans="2:13">
      <c r="B85" s="43" t="str">
        <f>'8. Input IC huur Gasunie'!B38</f>
        <v>Asset 27</v>
      </c>
      <c r="F85" s="43" t="str">
        <f>'8. Input IC huur Gasunie'!F38</f>
        <v>37 ICT middelen 1</v>
      </c>
      <c r="G85" s="43">
        <f>'8. Input IC huur Gasunie'!G38</f>
        <v>2016</v>
      </c>
      <c r="H85" s="48">
        <f>'8. Input IC huur Gasunie'!H38</f>
        <v>15289349.60564645</v>
      </c>
      <c r="I85" s="43">
        <f>'8. Input IC huur Gasunie'!I38</f>
        <v>2021</v>
      </c>
      <c r="J85" s="48">
        <f>_xlfn.XLOOKUP(F85,'3. Input (des)investeringen '!$B$11:$B$81,'3. Input (des)investeringen '!$D$11:$D$81)</f>
        <v>5</v>
      </c>
      <c r="K85" s="48">
        <f>_xlfn.XLOOKUP(F85,'3. Input (des)investeringen '!$B$11:$B$81,'3. Input (des)investeringen '!$E$11:$E$81)</f>
        <v>1</v>
      </c>
      <c r="L85" s="48">
        <f>'8. Input IC huur Gasunie'!J38</f>
        <v>0</v>
      </c>
      <c r="M85" s="48">
        <f>'8. Input IC huur Gasunie'!K38</f>
        <v>0</v>
      </c>
    </row>
    <row r="86" spans="2:13">
      <c r="B86" s="43" t="str">
        <f>'8. Input IC huur Gasunie'!B39</f>
        <v>Asset 28</v>
      </c>
      <c r="F86" s="43" t="str">
        <f>'8. Input IC huur Gasunie'!F39</f>
        <v>11 Werktuigen</v>
      </c>
      <c r="G86" s="43">
        <f>'8. Input IC huur Gasunie'!G39</f>
        <v>2016</v>
      </c>
      <c r="H86" s="48">
        <f>'8. Input IC huur Gasunie'!H39</f>
        <v>1481397.6896878041</v>
      </c>
      <c r="I86" s="43">
        <f>'8. Input IC huur Gasunie'!I39</f>
        <v>2021</v>
      </c>
      <c r="J86" s="48">
        <f>_xlfn.XLOOKUP(F86,'3. Input (des)investeringen '!$B$11:$B$81,'3. Input (des)investeringen '!$D$11:$D$81)</f>
        <v>10</v>
      </c>
      <c r="K86" s="48">
        <f>_xlfn.XLOOKUP(F86,'3. Input (des)investeringen '!$B$11:$B$81,'3. Input (des)investeringen '!$E$11:$E$81)</f>
        <v>1</v>
      </c>
      <c r="L86" s="48">
        <f>'8. Input IC huur Gasunie'!J39</f>
        <v>714515.13830443297</v>
      </c>
      <c r="M86" s="48">
        <f>'8. Input IC huur Gasunie'!K39</f>
        <v>0</v>
      </c>
    </row>
    <row r="87" spans="2:13">
      <c r="B87" s="43" t="str">
        <f>'8. Input IC huur Gasunie'!B40</f>
        <v>Asset 29</v>
      </c>
      <c r="F87" s="43" t="str">
        <f>'8. Input IC huur Gasunie'!F40</f>
        <v>14 Overig rollend materieel</v>
      </c>
      <c r="G87" s="43">
        <f>'8. Input IC huur Gasunie'!G40</f>
        <v>2016</v>
      </c>
      <c r="H87" s="48">
        <f>'8. Input IC huur Gasunie'!H40</f>
        <v>5338260.5379699524</v>
      </c>
      <c r="I87" s="43">
        <f>'8. Input IC huur Gasunie'!I40</f>
        <v>2021</v>
      </c>
      <c r="J87" s="48">
        <f>_xlfn.XLOOKUP(F87,'3. Input (des)investeringen '!$B$11:$B$81,'3. Input (des)investeringen '!$D$11:$D$81)</f>
        <v>10</v>
      </c>
      <c r="K87" s="48">
        <f>_xlfn.XLOOKUP(F87,'3. Input (des)investeringen '!$B$11:$B$81,'3. Input (des)investeringen '!$E$11:$E$81)</f>
        <v>1</v>
      </c>
      <c r="L87" s="48">
        <f>'8. Input IC huur Gasunie'!J40</f>
        <v>2574776.5054207225</v>
      </c>
      <c r="M87" s="48">
        <f>'8. Input IC huur Gasunie'!K40</f>
        <v>0</v>
      </c>
    </row>
    <row r="88" spans="2:13">
      <c r="B88" s="43" t="str">
        <f>'8. Input IC huur Gasunie'!B41</f>
        <v>Asset 30</v>
      </c>
      <c r="F88" s="43" t="str">
        <f>'8. Input IC huur Gasunie'!F41</f>
        <v>37 ICT middelen 1</v>
      </c>
      <c r="G88" s="43">
        <f>'8. Input IC huur Gasunie'!G41</f>
        <v>2017</v>
      </c>
      <c r="H88" s="48">
        <f>'8. Input IC huur Gasunie'!H41</f>
        <v>17348227.126304951</v>
      </c>
      <c r="I88" s="43">
        <f>'8. Input IC huur Gasunie'!I41</f>
        <v>2021</v>
      </c>
      <c r="J88" s="48">
        <f>_xlfn.XLOOKUP(F88,'3. Input (des)investeringen '!$B$11:$B$81,'3. Input (des)investeringen '!$D$11:$D$81)</f>
        <v>5</v>
      </c>
      <c r="K88" s="48">
        <f>_xlfn.XLOOKUP(F88,'3. Input (des)investeringen '!$B$11:$B$81,'3. Input (des)investeringen '!$E$11:$E$81)</f>
        <v>1</v>
      </c>
      <c r="L88" s="48">
        <f>'8. Input IC huur Gasunie'!J41</f>
        <v>1855729.3459505453</v>
      </c>
      <c r="M88" s="48">
        <f>'8. Input IC huur Gasunie'!K41</f>
        <v>0</v>
      </c>
    </row>
    <row r="89" spans="2:13">
      <c r="B89" s="43" t="str">
        <f>'8. Input IC huur Gasunie'!B42</f>
        <v>Asset 31</v>
      </c>
      <c r="F89" s="43" t="str">
        <f>'8. Input IC huur Gasunie'!F42</f>
        <v>05 Wegen en terreinvoorzieningen</v>
      </c>
      <c r="G89" s="43">
        <f>'8. Input IC huur Gasunie'!G42</f>
        <v>2012</v>
      </c>
      <c r="H89" s="48">
        <f>'8. Input IC huur Gasunie'!H42</f>
        <v>56189.23</v>
      </c>
      <c r="I89" s="43">
        <f>'8. Input IC huur Gasunie'!I42</f>
        <v>2021</v>
      </c>
      <c r="J89" s="48">
        <f>_xlfn.XLOOKUP(F89,'3. Input (des)investeringen '!$B$11:$B$81,'3. Input (des)investeringen '!$D$11:$D$81)</f>
        <v>10</v>
      </c>
      <c r="K89" s="48">
        <f>_xlfn.XLOOKUP(F89,'3. Input (des)investeringen '!$B$11:$B$81,'3. Input (des)investeringen '!$E$11:$E$81)</f>
        <v>0</v>
      </c>
      <c r="L89" s="48">
        <f>'8. Input IC huur Gasunie'!J42</f>
        <v>3224.0442736663617</v>
      </c>
      <c r="M89" s="48">
        <f>'8. Input IC huur Gasunie'!K42</f>
        <v>0</v>
      </c>
    </row>
    <row r="90" spans="2:13">
      <c r="B90" s="43" t="str">
        <f>'8. Input IC huur Gasunie'!B43</f>
        <v>Asset 32</v>
      </c>
      <c r="F90" s="43" t="str">
        <f>'8. Input IC huur Gasunie'!F43</f>
        <v>37 ICT middelen 1</v>
      </c>
      <c r="G90" s="43">
        <f>'8. Input IC huur Gasunie'!G43</f>
        <v>2018</v>
      </c>
      <c r="H90" s="48">
        <f>'8. Input IC huur Gasunie'!H43</f>
        <v>20811887.293785572</v>
      </c>
      <c r="I90" s="43">
        <f>'8. Input IC huur Gasunie'!I43</f>
        <v>2021</v>
      </c>
      <c r="J90" s="48">
        <f>_xlfn.XLOOKUP(F90,'3. Input (des)investeringen '!$B$11:$B$81,'3. Input (des)investeringen '!$D$11:$D$81)</f>
        <v>5</v>
      </c>
      <c r="K90" s="48">
        <f>_xlfn.XLOOKUP(F90,'3. Input (des)investeringen '!$B$11:$B$81,'3. Input (des)investeringen '!$E$11:$E$81)</f>
        <v>1</v>
      </c>
      <c r="L90" s="48">
        <f>'8. Input IC huur Gasunie'!J43</f>
        <v>6586494.0110704908</v>
      </c>
      <c r="M90" s="48">
        <f>'8. Input IC huur Gasunie'!K43</f>
        <v>0</v>
      </c>
    </row>
    <row r="91" spans="2:13">
      <c r="B91" s="43" t="str">
        <f>'8. Input IC huur Gasunie'!B44</f>
        <v>Asset 33</v>
      </c>
      <c r="F91" s="43" t="str">
        <f>'8. Input IC huur Gasunie'!F44</f>
        <v>37 ICT middelen 1</v>
      </c>
      <c r="G91" s="43">
        <f>'8. Input IC huur Gasunie'!G44</f>
        <v>2005</v>
      </c>
      <c r="H91" s="48">
        <f>'8. Input IC huur Gasunie'!H44</f>
        <v>3284081.86</v>
      </c>
      <c r="I91" s="43">
        <f>'8. Input IC huur Gasunie'!I44</f>
        <v>2021</v>
      </c>
      <c r="J91" s="48">
        <f>_xlfn.XLOOKUP(F91,'3. Input (des)investeringen '!$B$11:$B$81,'3. Input (des)investeringen '!$D$11:$D$81)</f>
        <v>5</v>
      </c>
      <c r="K91" s="48">
        <f>_xlfn.XLOOKUP(F91,'3. Input (des)investeringen '!$B$11:$B$81,'3. Input (des)investeringen '!$E$11:$E$81)</f>
        <v>1</v>
      </c>
      <c r="L91" s="48">
        <f>'8. Input IC huur Gasunie'!J44</f>
        <v>0</v>
      </c>
      <c r="M91" s="48">
        <f>'8. Input IC huur Gasunie'!K44</f>
        <v>0</v>
      </c>
    </row>
    <row r="92" spans="2:13">
      <c r="B92" s="43" t="str">
        <f>'8. Input IC huur Gasunie'!B45</f>
        <v>Asset 34</v>
      </c>
      <c r="F92" s="43" t="str">
        <f>'8. Input IC huur Gasunie'!F45</f>
        <v>14 Overig rollend materieel</v>
      </c>
      <c r="G92" s="43">
        <f>'8. Input IC huur Gasunie'!G45</f>
        <v>2005</v>
      </c>
      <c r="H92" s="48">
        <f>'8. Input IC huur Gasunie'!H45</f>
        <v>1438517.3199999998</v>
      </c>
      <c r="I92" s="43">
        <f>'8. Input IC huur Gasunie'!I45</f>
        <v>2021</v>
      </c>
      <c r="J92" s="48">
        <f>_xlfn.XLOOKUP(F92,'3. Input (des)investeringen '!$B$11:$B$81,'3. Input (des)investeringen '!$D$11:$D$81)</f>
        <v>10</v>
      </c>
      <c r="K92" s="48">
        <f>_xlfn.XLOOKUP(F92,'3. Input (des)investeringen '!$B$11:$B$81,'3. Input (des)investeringen '!$E$11:$E$81)</f>
        <v>1</v>
      </c>
      <c r="L92" s="48">
        <f>'8. Input IC huur Gasunie'!J45</f>
        <v>0</v>
      </c>
      <c r="M92" s="48">
        <f>'8. Input IC huur Gasunie'!K45</f>
        <v>0</v>
      </c>
    </row>
    <row r="93" spans="2:13">
      <c r="B93" s="43" t="str">
        <f>'8. Input IC huur Gasunie'!B46</f>
        <v>Asset 35</v>
      </c>
      <c r="F93" s="43" t="str">
        <f>'8. Input IC huur Gasunie'!F46</f>
        <v>11 Werktuigen</v>
      </c>
      <c r="G93" s="43">
        <f>'8. Input IC huur Gasunie'!G46</f>
        <v>2005</v>
      </c>
      <c r="H93" s="48">
        <f>'8. Input IC huur Gasunie'!H46</f>
        <v>499809.02999999997</v>
      </c>
      <c r="I93" s="43">
        <f>'8. Input IC huur Gasunie'!I46</f>
        <v>2021</v>
      </c>
      <c r="J93" s="48">
        <f>_xlfn.XLOOKUP(F93,'3. Input (des)investeringen '!$B$11:$B$81,'3. Input (des)investeringen '!$D$11:$D$81)</f>
        <v>10</v>
      </c>
      <c r="K93" s="48">
        <f>_xlfn.XLOOKUP(F93,'3. Input (des)investeringen '!$B$11:$B$81,'3. Input (des)investeringen '!$E$11:$E$81)</f>
        <v>1</v>
      </c>
      <c r="L93" s="48">
        <f>'8. Input IC huur Gasunie'!J46</f>
        <v>0</v>
      </c>
      <c r="M93" s="48">
        <f>'8. Input IC huur Gasunie'!K46</f>
        <v>0</v>
      </c>
    </row>
    <row r="94" spans="2:13">
      <c r="B94" s="43" t="str">
        <f>'8. Input IC huur Gasunie'!B47</f>
        <v>Asset 36</v>
      </c>
      <c r="F94" s="43" t="str">
        <f>'8. Input IC huur Gasunie'!F47</f>
        <v>14 Overig rollend materieel (odorisatie)</v>
      </c>
      <c r="G94" s="43">
        <f>'8. Input IC huur Gasunie'!G47</f>
        <v>2005</v>
      </c>
      <c r="H94" s="48">
        <f>'8. Input IC huur Gasunie'!H47</f>
        <v>245809.3</v>
      </c>
      <c r="I94" s="43">
        <f>'8. Input IC huur Gasunie'!I47</f>
        <v>2021</v>
      </c>
      <c r="J94" s="48">
        <f>_xlfn.XLOOKUP(F94,'3. Input (des)investeringen '!$B$11:$B$81,'3. Input (des)investeringen '!$D$11:$D$81)</f>
        <v>10</v>
      </c>
      <c r="K94" s="48">
        <f>_xlfn.XLOOKUP(F94,'3. Input (des)investeringen '!$B$11:$B$81,'3. Input (des)investeringen '!$E$11:$E$81)</f>
        <v>0</v>
      </c>
      <c r="L94" s="48">
        <f>'8. Input IC huur Gasunie'!J47</f>
        <v>0</v>
      </c>
      <c r="M94" s="48">
        <f>'8. Input IC huur Gasunie'!K47</f>
        <v>0</v>
      </c>
    </row>
    <row r="95" spans="2:13">
      <c r="B95" s="43" t="str">
        <f>'8. Input IC huur Gasunie'!B48</f>
        <v>Asset 37</v>
      </c>
      <c r="F95" s="43" t="str">
        <f>'8. Input IC huur Gasunie'!F48</f>
        <v>10 Gereedschap</v>
      </c>
      <c r="G95" s="43">
        <f>'8. Input IC huur Gasunie'!G48</f>
        <v>2005</v>
      </c>
      <c r="H95" s="48">
        <f>'8. Input IC huur Gasunie'!H48</f>
        <v>58217.59</v>
      </c>
      <c r="I95" s="43">
        <f>'8. Input IC huur Gasunie'!I48</f>
        <v>2021</v>
      </c>
      <c r="J95" s="48">
        <f>_xlfn.XLOOKUP(F95,'3. Input (des)investeringen '!$B$11:$B$81,'3. Input (des)investeringen '!$D$11:$D$81)</f>
        <v>10</v>
      </c>
      <c r="K95" s="48">
        <f>_xlfn.XLOOKUP(F95,'3. Input (des)investeringen '!$B$11:$B$81,'3. Input (des)investeringen '!$E$11:$E$81)</f>
        <v>1</v>
      </c>
      <c r="L95" s="48">
        <f>'8. Input IC huur Gasunie'!J48</f>
        <v>0</v>
      </c>
      <c r="M95" s="48">
        <f>'8. Input IC huur Gasunie'!K48</f>
        <v>0</v>
      </c>
    </row>
    <row r="96" spans="2:13">
      <c r="B96" s="43" t="str">
        <f>'8. Input IC huur Gasunie'!B49</f>
        <v>Asset 38</v>
      </c>
      <c r="F96" s="43" t="str">
        <f>'8. Input IC huur Gasunie'!F49</f>
        <v>37 ICT middelen 1</v>
      </c>
      <c r="G96" s="43">
        <f>'8. Input IC huur Gasunie'!G49</f>
        <v>2006</v>
      </c>
      <c r="H96" s="48">
        <f>'8. Input IC huur Gasunie'!H49</f>
        <v>4639319.7116944697</v>
      </c>
      <c r="I96" s="43">
        <f>'8. Input IC huur Gasunie'!I49</f>
        <v>2021</v>
      </c>
      <c r="J96" s="48">
        <f>_xlfn.XLOOKUP(F96,'3. Input (des)investeringen '!$B$11:$B$81,'3. Input (des)investeringen '!$D$11:$D$81)</f>
        <v>5</v>
      </c>
      <c r="K96" s="48">
        <f>_xlfn.XLOOKUP(F96,'3. Input (des)investeringen '!$B$11:$B$81,'3. Input (des)investeringen '!$E$11:$E$81)</f>
        <v>1</v>
      </c>
      <c r="L96" s="48">
        <f>'8. Input IC huur Gasunie'!J49</f>
        <v>0</v>
      </c>
      <c r="M96" s="48">
        <f>'8. Input IC huur Gasunie'!K49</f>
        <v>0</v>
      </c>
    </row>
    <row r="97" spans="2:13">
      <c r="B97" s="43" t="str">
        <f>'8. Input IC huur Gasunie'!B50</f>
        <v>Asset 39</v>
      </c>
      <c r="F97" s="43" t="str">
        <f>'8. Input IC huur Gasunie'!F50</f>
        <v>08 Inrichting gebouwen</v>
      </c>
      <c r="G97" s="43">
        <f>'8. Input IC huur Gasunie'!G50</f>
        <v>2006</v>
      </c>
      <c r="H97" s="48">
        <f>'8. Input IC huur Gasunie'!H50</f>
        <v>68586.959999999992</v>
      </c>
      <c r="I97" s="43">
        <f>'8. Input IC huur Gasunie'!I50</f>
        <v>2021</v>
      </c>
      <c r="J97" s="48">
        <f>_xlfn.XLOOKUP(F97,'3. Input (des)investeringen '!$B$11:$B$81,'3. Input (des)investeringen '!$D$11:$D$81)</f>
        <v>10</v>
      </c>
      <c r="K97" s="48">
        <f>_xlfn.XLOOKUP(F97,'3. Input (des)investeringen '!$B$11:$B$81,'3. Input (des)investeringen '!$E$11:$E$81)</f>
        <v>0</v>
      </c>
      <c r="L97" s="48">
        <f>'8. Input IC huur Gasunie'!J50</f>
        <v>0</v>
      </c>
      <c r="M97" s="48">
        <f>'8. Input IC huur Gasunie'!K50</f>
        <v>0</v>
      </c>
    </row>
    <row r="98" spans="2:13">
      <c r="B98" s="43" t="str">
        <f>'8. Input IC huur Gasunie'!B51</f>
        <v>Asset 40</v>
      </c>
      <c r="F98" s="43" t="str">
        <f>'8. Input IC huur Gasunie'!F51</f>
        <v>20 Kantoorgebouwen</v>
      </c>
      <c r="G98" s="43">
        <f>'8. Input IC huur Gasunie'!G51</f>
        <v>2006</v>
      </c>
      <c r="H98" s="48">
        <f>'8. Input IC huur Gasunie'!H51</f>
        <v>104600</v>
      </c>
      <c r="I98" s="43">
        <f>'8. Input IC huur Gasunie'!I51</f>
        <v>2021</v>
      </c>
      <c r="J98" s="48">
        <f>_xlfn.XLOOKUP(F98,'3. Input (des)investeringen '!$B$11:$B$81,'3. Input (des)investeringen '!$D$11:$D$81)</f>
        <v>30</v>
      </c>
      <c r="K98" s="48">
        <f>_xlfn.XLOOKUP(F98,'3. Input (des)investeringen '!$B$11:$B$81,'3. Input (des)investeringen '!$E$11:$E$81)</f>
        <v>0</v>
      </c>
      <c r="L98" s="48">
        <f>'8. Input IC huur Gasunie'!J51</f>
        <v>64112.024048213396</v>
      </c>
      <c r="M98" s="48">
        <f>'8. Input IC huur Gasunie'!K51</f>
        <v>0</v>
      </c>
    </row>
    <row r="99" spans="2:13">
      <c r="B99" s="43" t="str">
        <f>'8. Input IC huur Gasunie'!B52</f>
        <v>Asset 41</v>
      </c>
      <c r="F99" s="43" t="str">
        <f>'8. Input IC huur Gasunie'!F52</f>
        <v>09 Bedrijfsinventaris</v>
      </c>
      <c r="G99" s="43">
        <f>'8. Input IC huur Gasunie'!G52</f>
        <v>2006</v>
      </c>
      <c r="H99" s="48">
        <f>'8. Input IC huur Gasunie'!H52</f>
        <v>243251.93</v>
      </c>
      <c r="I99" s="43">
        <f>'8. Input IC huur Gasunie'!I52</f>
        <v>2021</v>
      </c>
      <c r="J99" s="48">
        <f>_xlfn.XLOOKUP(F99,'3. Input (des)investeringen '!$B$11:$B$81,'3. Input (des)investeringen '!$D$11:$D$81)</f>
        <v>10</v>
      </c>
      <c r="K99" s="48">
        <f>_xlfn.XLOOKUP(F99,'3. Input (des)investeringen '!$B$11:$B$81,'3. Input (des)investeringen '!$E$11:$E$81)</f>
        <v>1</v>
      </c>
      <c r="L99" s="48">
        <f>'8. Input IC huur Gasunie'!J52</f>
        <v>0</v>
      </c>
      <c r="M99" s="48">
        <f>'8. Input IC huur Gasunie'!K52</f>
        <v>0</v>
      </c>
    </row>
    <row r="100" spans="2:13">
      <c r="B100" s="43" t="str">
        <f>'8. Input IC huur Gasunie'!B53</f>
        <v>Asset 42</v>
      </c>
      <c r="F100" s="43" t="str">
        <f>'8. Input IC huur Gasunie'!F53</f>
        <v>10 Gereedschap</v>
      </c>
      <c r="G100" s="43">
        <f>'8. Input IC huur Gasunie'!G53</f>
        <v>2006</v>
      </c>
      <c r="H100" s="48">
        <f>'8. Input IC huur Gasunie'!H53</f>
        <v>585474.13</v>
      </c>
      <c r="I100" s="43">
        <f>'8. Input IC huur Gasunie'!I53</f>
        <v>2021</v>
      </c>
      <c r="J100" s="48">
        <f>_xlfn.XLOOKUP(F100,'3. Input (des)investeringen '!$B$11:$B$81,'3. Input (des)investeringen '!$D$11:$D$81)</f>
        <v>10</v>
      </c>
      <c r="K100" s="48">
        <f>_xlfn.XLOOKUP(F100,'3. Input (des)investeringen '!$B$11:$B$81,'3. Input (des)investeringen '!$E$11:$E$81)</f>
        <v>1</v>
      </c>
      <c r="L100" s="48">
        <f>'8. Input IC huur Gasunie'!J53</f>
        <v>0</v>
      </c>
      <c r="M100" s="48">
        <f>'8. Input IC huur Gasunie'!K53</f>
        <v>0</v>
      </c>
    </row>
    <row r="101" spans="2:13">
      <c r="B101" s="43" t="str">
        <f>'8. Input IC huur Gasunie'!B54</f>
        <v>Asset 43</v>
      </c>
      <c r="F101" s="43" t="str">
        <f>'8. Input IC huur Gasunie'!F54</f>
        <v>08 Inrichting gebouwen</v>
      </c>
      <c r="G101" s="43">
        <f>'8. Input IC huur Gasunie'!G54</f>
        <v>2007</v>
      </c>
      <c r="H101" s="48">
        <f>'8. Input IC huur Gasunie'!H54</f>
        <v>332079.90999999997</v>
      </c>
      <c r="I101" s="43">
        <f>'8. Input IC huur Gasunie'!I54</f>
        <v>2021</v>
      </c>
      <c r="J101" s="48">
        <f>_xlfn.XLOOKUP(F101,'3. Input (des)investeringen '!$B$11:$B$81,'3. Input (des)investeringen '!$D$11:$D$81)</f>
        <v>10</v>
      </c>
      <c r="K101" s="48">
        <f>_xlfn.XLOOKUP(F101,'3. Input (des)investeringen '!$B$11:$B$81,'3. Input (des)investeringen '!$E$11:$E$81)</f>
        <v>0</v>
      </c>
      <c r="L101" s="48">
        <f>'8. Input IC huur Gasunie'!J54</f>
        <v>0</v>
      </c>
      <c r="M101" s="48">
        <f>'8. Input IC huur Gasunie'!K54</f>
        <v>0</v>
      </c>
    </row>
    <row r="102" spans="2:13">
      <c r="B102" s="43" t="str">
        <f>'8. Input IC huur Gasunie'!B55</f>
        <v>Asset 44</v>
      </c>
      <c r="F102" s="43" t="str">
        <f>'8. Input IC huur Gasunie'!F55</f>
        <v>20 Kantoorgebouwen</v>
      </c>
      <c r="G102" s="43">
        <f>'8. Input IC huur Gasunie'!G55</f>
        <v>2007</v>
      </c>
      <c r="H102" s="48">
        <f>'8. Input IC huur Gasunie'!H55</f>
        <v>163550.16999999998</v>
      </c>
      <c r="I102" s="43">
        <f>'8. Input IC huur Gasunie'!I55</f>
        <v>2021</v>
      </c>
      <c r="J102" s="48">
        <f>_xlfn.XLOOKUP(F102,'3. Input (des)investeringen '!$B$11:$B$81,'3. Input (des)investeringen '!$D$11:$D$81)</f>
        <v>30</v>
      </c>
      <c r="K102" s="48">
        <f>_xlfn.XLOOKUP(F102,'3. Input (des)investeringen '!$B$11:$B$81,'3. Input (des)investeringen '!$E$11:$E$81)</f>
        <v>0</v>
      </c>
      <c r="L102" s="48">
        <f>'8. Input IC huur Gasunie'!J55</f>
        <v>105677.9899746046</v>
      </c>
      <c r="M102" s="48">
        <f>'8. Input IC huur Gasunie'!K55</f>
        <v>0</v>
      </c>
    </row>
    <row r="103" spans="2:13">
      <c r="B103" s="43" t="str">
        <f>'8. Input IC huur Gasunie'!B56</f>
        <v>Asset 45</v>
      </c>
      <c r="F103" s="43" t="str">
        <f>'8. Input IC huur Gasunie'!F56</f>
        <v>37 ICT middelen 1</v>
      </c>
      <c r="G103" s="43">
        <f>'8. Input IC huur Gasunie'!G56</f>
        <v>2007</v>
      </c>
      <c r="H103" s="48">
        <f>'8. Input IC huur Gasunie'!H56</f>
        <v>21517730.71653875</v>
      </c>
      <c r="I103" s="43">
        <f>'8. Input IC huur Gasunie'!I56</f>
        <v>2021</v>
      </c>
      <c r="J103" s="48">
        <f>_xlfn.XLOOKUP(F103,'3. Input (des)investeringen '!$B$11:$B$81,'3. Input (des)investeringen '!$D$11:$D$81)</f>
        <v>5</v>
      </c>
      <c r="K103" s="48">
        <f>_xlfn.XLOOKUP(F103,'3. Input (des)investeringen '!$B$11:$B$81,'3. Input (des)investeringen '!$E$11:$E$81)</f>
        <v>1</v>
      </c>
      <c r="L103" s="48">
        <f>'8. Input IC huur Gasunie'!J56</f>
        <v>0</v>
      </c>
      <c r="M103" s="48">
        <f>'8. Input IC huur Gasunie'!K56</f>
        <v>0</v>
      </c>
    </row>
    <row r="104" spans="2:13">
      <c r="B104" s="43" t="str">
        <f>'8. Input IC huur Gasunie'!B57</f>
        <v>Asset 46</v>
      </c>
      <c r="F104" s="43" t="str">
        <f>'8. Input IC huur Gasunie'!F57</f>
        <v>10 Gereedschap</v>
      </c>
      <c r="G104" s="43">
        <f>'8. Input IC huur Gasunie'!G57</f>
        <v>2007</v>
      </c>
      <c r="H104" s="48">
        <f>'8. Input IC huur Gasunie'!H57</f>
        <v>611283.49</v>
      </c>
      <c r="I104" s="43">
        <f>'8. Input IC huur Gasunie'!I57</f>
        <v>2021</v>
      </c>
      <c r="J104" s="48">
        <f>_xlfn.XLOOKUP(F104,'3. Input (des)investeringen '!$B$11:$B$81,'3. Input (des)investeringen '!$D$11:$D$81)</f>
        <v>10</v>
      </c>
      <c r="K104" s="48">
        <f>_xlfn.XLOOKUP(F104,'3. Input (des)investeringen '!$B$11:$B$81,'3. Input (des)investeringen '!$E$11:$E$81)</f>
        <v>1</v>
      </c>
      <c r="L104" s="48">
        <f>'8. Input IC huur Gasunie'!J57</f>
        <v>0</v>
      </c>
      <c r="M104" s="48">
        <f>'8. Input IC huur Gasunie'!K57</f>
        <v>0</v>
      </c>
    </row>
    <row r="105" spans="2:13">
      <c r="B105" s="43" t="str">
        <f>'8. Input IC huur Gasunie'!B58</f>
        <v>Asset 47</v>
      </c>
      <c r="F105" s="43" t="str">
        <f>'8. Input IC huur Gasunie'!F58</f>
        <v>09 Bedrijfsinventaris</v>
      </c>
      <c r="G105" s="43">
        <f>'8. Input IC huur Gasunie'!G58</f>
        <v>2007</v>
      </c>
      <c r="H105" s="48">
        <f>'8. Input IC huur Gasunie'!H58</f>
        <v>87193.72</v>
      </c>
      <c r="I105" s="43">
        <f>'8. Input IC huur Gasunie'!I58</f>
        <v>2021</v>
      </c>
      <c r="J105" s="48">
        <f>_xlfn.XLOOKUP(F105,'3. Input (des)investeringen '!$B$11:$B$81,'3. Input (des)investeringen '!$D$11:$D$81)</f>
        <v>10</v>
      </c>
      <c r="K105" s="48">
        <f>_xlfn.XLOOKUP(F105,'3. Input (des)investeringen '!$B$11:$B$81,'3. Input (des)investeringen '!$E$11:$E$81)</f>
        <v>1</v>
      </c>
      <c r="L105" s="48">
        <f>'8. Input IC huur Gasunie'!J58</f>
        <v>0</v>
      </c>
      <c r="M105" s="48">
        <f>'8. Input IC huur Gasunie'!K58</f>
        <v>0</v>
      </c>
    </row>
    <row r="106" spans="2:13">
      <c r="B106" s="43" t="str">
        <f>'8. Input IC huur Gasunie'!B59</f>
        <v>Asset 48</v>
      </c>
      <c r="F106" s="43" t="str">
        <f>'8. Input IC huur Gasunie'!F59</f>
        <v>13 Aanhangwagens</v>
      </c>
      <c r="G106" s="43">
        <f>'8. Input IC huur Gasunie'!G59</f>
        <v>2007</v>
      </c>
      <c r="H106" s="48">
        <f>'8. Input IC huur Gasunie'!H59</f>
        <v>25760.58</v>
      </c>
      <c r="I106" s="43">
        <f>'8. Input IC huur Gasunie'!I59</f>
        <v>2021</v>
      </c>
      <c r="J106" s="48">
        <f>_xlfn.XLOOKUP(F106,'3. Input (des)investeringen '!$B$11:$B$81,'3. Input (des)investeringen '!$D$11:$D$81)</f>
        <v>10</v>
      </c>
      <c r="K106" s="48">
        <f>_xlfn.XLOOKUP(F106,'3. Input (des)investeringen '!$B$11:$B$81,'3. Input (des)investeringen '!$E$11:$E$81)</f>
        <v>1</v>
      </c>
      <c r="L106" s="48">
        <f>'8. Input IC huur Gasunie'!J59</f>
        <v>0</v>
      </c>
      <c r="M106" s="48">
        <f>'8. Input IC huur Gasunie'!K59</f>
        <v>0</v>
      </c>
    </row>
    <row r="107" spans="2:13">
      <c r="B107" s="43" t="str">
        <f>'8. Input IC huur Gasunie'!B60</f>
        <v>Asset 49</v>
      </c>
      <c r="F107" s="43" t="str">
        <f>'8. Input IC huur Gasunie'!F60</f>
        <v>37 ICT middelen 1 (gaschromatografen en comptabele meting)</v>
      </c>
      <c r="G107" s="43">
        <f>'8. Input IC huur Gasunie'!G60</f>
        <v>2007</v>
      </c>
      <c r="H107" s="48">
        <f>'8. Input IC huur Gasunie'!H60</f>
        <v>140047.50693888956</v>
      </c>
      <c r="I107" s="43">
        <f>'8. Input IC huur Gasunie'!I60</f>
        <v>2021</v>
      </c>
      <c r="J107" s="48">
        <f>_xlfn.XLOOKUP(F107,'3. Input (des)investeringen '!$B$11:$B$81,'3. Input (des)investeringen '!$D$11:$D$81)</f>
        <v>5</v>
      </c>
      <c r="K107" s="48">
        <f>_xlfn.XLOOKUP(F107,'3. Input (des)investeringen '!$B$11:$B$81,'3. Input (des)investeringen '!$E$11:$E$81)</f>
        <v>0</v>
      </c>
      <c r="L107" s="48">
        <f>'8. Input IC huur Gasunie'!J60</f>
        <v>0</v>
      </c>
      <c r="M107" s="48">
        <f>'8. Input IC huur Gasunie'!K60</f>
        <v>0</v>
      </c>
    </row>
    <row r="108" spans="2:13">
      <c r="B108" s="43" t="str">
        <f>'8. Input IC huur Gasunie'!B61</f>
        <v>Asset 50</v>
      </c>
      <c r="F108" s="43" t="str">
        <f>'8. Input IC huur Gasunie'!F61</f>
        <v>37 ICT middelen 1</v>
      </c>
      <c r="G108" s="43">
        <f>'8. Input IC huur Gasunie'!G61</f>
        <v>2008</v>
      </c>
      <c r="H108" s="48">
        <f>'8. Input IC huur Gasunie'!H61</f>
        <v>1405801.5634173665</v>
      </c>
      <c r="I108" s="43">
        <f>'8. Input IC huur Gasunie'!I61</f>
        <v>2021</v>
      </c>
      <c r="J108" s="48">
        <f>_xlfn.XLOOKUP(F108,'3. Input (des)investeringen '!$B$11:$B$81,'3. Input (des)investeringen '!$D$11:$D$81)</f>
        <v>5</v>
      </c>
      <c r="K108" s="48">
        <f>_xlfn.XLOOKUP(F108,'3. Input (des)investeringen '!$B$11:$B$81,'3. Input (des)investeringen '!$E$11:$E$81)</f>
        <v>1</v>
      </c>
      <c r="L108" s="48">
        <f>'8. Input IC huur Gasunie'!J61</f>
        <v>0</v>
      </c>
      <c r="M108" s="48">
        <f>'8. Input IC huur Gasunie'!K61</f>
        <v>0</v>
      </c>
    </row>
    <row r="109" spans="2:13">
      <c r="B109" s="43" t="str">
        <f>'8. Input IC huur Gasunie'!B62</f>
        <v>Asset 51</v>
      </c>
      <c r="F109" s="43" t="str">
        <f>'8. Input IC huur Gasunie'!F62</f>
        <v>13 Aanhangwagens</v>
      </c>
      <c r="G109" s="43">
        <f>'8. Input IC huur Gasunie'!G62</f>
        <v>2008</v>
      </c>
      <c r="H109" s="48">
        <f>'8. Input IC huur Gasunie'!H62</f>
        <v>6485.6</v>
      </c>
      <c r="I109" s="43">
        <f>'8. Input IC huur Gasunie'!I62</f>
        <v>2021</v>
      </c>
      <c r="J109" s="48">
        <f>_xlfn.XLOOKUP(F109,'3. Input (des)investeringen '!$B$11:$B$81,'3. Input (des)investeringen '!$D$11:$D$81)</f>
        <v>10</v>
      </c>
      <c r="K109" s="48">
        <f>_xlfn.XLOOKUP(F109,'3. Input (des)investeringen '!$B$11:$B$81,'3. Input (des)investeringen '!$E$11:$E$81)</f>
        <v>1</v>
      </c>
      <c r="L109" s="48">
        <f>'8. Input IC huur Gasunie'!J62</f>
        <v>0</v>
      </c>
      <c r="M109" s="48">
        <f>'8. Input IC huur Gasunie'!K62</f>
        <v>0</v>
      </c>
    </row>
    <row r="110" spans="2:13">
      <c r="B110" s="43" t="str">
        <f>'8. Input IC huur Gasunie'!B63</f>
        <v>Asset 52</v>
      </c>
      <c r="F110" s="43" t="str">
        <f>'8. Input IC huur Gasunie'!F63</f>
        <v>04 Terreinen</v>
      </c>
      <c r="G110" s="43">
        <f>'8. Input IC huur Gasunie'!G63</f>
        <v>1956</v>
      </c>
      <c r="H110" s="48">
        <f>'8. Input IC huur Gasunie'!H63</f>
        <v>32433.599999999999</v>
      </c>
      <c r="I110" s="43">
        <f>'8. Input IC huur Gasunie'!I63</f>
        <v>2021</v>
      </c>
      <c r="J110" s="48">
        <f>_xlfn.XLOOKUP(F110,'3. Input (des)investeringen '!$B$11:$B$81,'3. Input (des)investeringen '!$D$11:$D$81)</f>
        <v>0</v>
      </c>
      <c r="K110" s="48">
        <f>_xlfn.XLOOKUP(F110,'3. Input (des)investeringen '!$B$11:$B$81,'3. Input (des)investeringen '!$E$11:$E$81)</f>
        <v>0</v>
      </c>
      <c r="L110" s="48">
        <f>'8. Input IC huur Gasunie'!J63</f>
        <v>275057.7098199001</v>
      </c>
      <c r="M110" s="48">
        <f>'8. Input IC huur Gasunie'!K63</f>
        <v>0</v>
      </c>
    </row>
    <row r="111" spans="2:13">
      <c r="B111" s="43" t="str">
        <f>'8. Input IC huur Gasunie'!B64</f>
        <v>Asset 53</v>
      </c>
      <c r="F111" s="43" t="str">
        <f>'8. Input IC huur Gasunie'!F64</f>
        <v>04 Terreinen</v>
      </c>
      <c r="G111" s="43">
        <f>'8. Input IC huur Gasunie'!G64</f>
        <v>1968</v>
      </c>
      <c r="H111" s="48">
        <f>'8. Input IC huur Gasunie'!H64</f>
        <v>219516.18</v>
      </c>
      <c r="I111" s="43">
        <f>'8. Input IC huur Gasunie'!I64</f>
        <v>2021</v>
      </c>
      <c r="J111" s="48">
        <f>_xlfn.XLOOKUP(F111,'3. Input (des)investeringen '!$B$11:$B$81,'3. Input (des)investeringen '!$D$11:$D$81)</f>
        <v>0</v>
      </c>
      <c r="K111" s="48">
        <f>_xlfn.XLOOKUP(F111,'3. Input (des)investeringen '!$B$11:$B$81,'3. Input (des)investeringen '!$E$11:$E$81)</f>
        <v>0</v>
      </c>
      <c r="L111" s="48">
        <f>'8. Input IC huur Gasunie'!J64</f>
        <v>1219692.8562955547</v>
      </c>
      <c r="M111" s="48">
        <f>'8. Input IC huur Gasunie'!K64</f>
        <v>0</v>
      </c>
    </row>
    <row r="112" spans="2:13">
      <c r="B112" s="43" t="str">
        <f>'8. Input IC huur Gasunie'!B65</f>
        <v>Asset 54</v>
      </c>
      <c r="F112" s="43" t="str">
        <f>'8. Input IC huur Gasunie'!F65</f>
        <v>04 Terreinen</v>
      </c>
      <c r="G112" s="43">
        <f>'8. Input IC huur Gasunie'!G65</f>
        <v>1972</v>
      </c>
      <c r="H112" s="48">
        <f>'8. Input IC huur Gasunie'!H65</f>
        <v>411128.51</v>
      </c>
      <c r="I112" s="43">
        <f>'8. Input IC huur Gasunie'!I65</f>
        <v>2021</v>
      </c>
      <c r="J112" s="48">
        <f>_xlfn.XLOOKUP(F112,'3. Input (des)investeringen '!$B$11:$B$81,'3. Input (des)investeringen '!$D$11:$D$81)</f>
        <v>0</v>
      </c>
      <c r="K112" s="48">
        <f>_xlfn.XLOOKUP(F112,'3. Input (des)investeringen '!$B$11:$B$81,'3. Input (des)investeringen '!$E$11:$E$81)</f>
        <v>0</v>
      </c>
      <c r="L112" s="48">
        <f>'8. Input IC huur Gasunie'!J65</f>
        <v>1824024.3386379536</v>
      </c>
      <c r="M112" s="48">
        <f>'8. Input IC huur Gasunie'!K65</f>
        <v>0</v>
      </c>
    </row>
    <row r="113" spans="2:13">
      <c r="B113" s="43" t="str">
        <f>'8. Input IC huur Gasunie'!B66</f>
        <v>Asset 55</v>
      </c>
      <c r="F113" s="43" t="str">
        <f>'8. Input IC huur Gasunie'!F66</f>
        <v>05 Wegen en terreinvoorzieningen</v>
      </c>
      <c r="G113" s="43">
        <f>'8. Input IC huur Gasunie'!G66</f>
        <v>1970</v>
      </c>
      <c r="H113" s="48">
        <f>'8. Input IC huur Gasunie'!H66</f>
        <v>65342.54</v>
      </c>
      <c r="I113" s="43">
        <f>'8. Input IC huur Gasunie'!I66</f>
        <v>2021</v>
      </c>
      <c r="J113" s="48">
        <f>_xlfn.XLOOKUP(F113,'3. Input (des)investeringen '!$B$11:$B$81,'3. Input (des)investeringen '!$D$11:$D$81)</f>
        <v>10</v>
      </c>
      <c r="K113" s="48">
        <f>_xlfn.XLOOKUP(F113,'3. Input (des)investeringen '!$B$11:$B$81,'3. Input (des)investeringen '!$E$11:$E$81)</f>
        <v>0</v>
      </c>
      <c r="L113" s="48">
        <f>'8. Input IC huur Gasunie'!J66</f>
        <v>0</v>
      </c>
      <c r="M113" s="48">
        <f>'8. Input IC huur Gasunie'!K66</f>
        <v>0</v>
      </c>
    </row>
    <row r="114" spans="2:13">
      <c r="B114" s="43" t="str">
        <f>'8. Input IC huur Gasunie'!B67</f>
        <v>Asset 56</v>
      </c>
      <c r="F114" s="43" t="str">
        <f>'8. Input IC huur Gasunie'!F67</f>
        <v>06 Utiliteitsgebouwen</v>
      </c>
      <c r="G114" s="43">
        <f>'8. Input IC huur Gasunie'!G67</f>
        <v>1980</v>
      </c>
      <c r="H114" s="48">
        <f>'8. Input IC huur Gasunie'!H67</f>
        <v>1188787.02</v>
      </c>
      <c r="I114" s="43">
        <f>'8. Input IC huur Gasunie'!I67</f>
        <v>2021</v>
      </c>
      <c r="J114" s="48">
        <f>_xlfn.XLOOKUP(F114,'3. Input (des)investeringen '!$B$11:$B$81,'3. Input (des)investeringen '!$D$11:$D$81)</f>
        <v>30</v>
      </c>
      <c r="K114" s="48">
        <f>_xlfn.XLOOKUP(F114,'3. Input (des)investeringen '!$B$11:$B$81,'3. Input (des)investeringen '!$E$11:$E$81)</f>
        <v>0</v>
      </c>
      <c r="L114" s="48">
        <f>'8. Input IC huur Gasunie'!J67</f>
        <v>0</v>
      </c>
      <c r="M114" s="48">
        <f>'8. Input IC huur Gasunie'!K67</f>
        <v>0</v>
      </c>
    </row>
    <row r="115" spans="2:13">
      <c r="B115" s="43" t="str">
        <f>'8. Input IC huur Gasunie'!B68</f>
        <v>Asset 57</v>
      </c>
      <c r="F115" s="43" t="str">
        <f>'8. Input IC huur Gasunie'!F68</f>
        <v>06 Utiliteitsgebouwen</v>
      </c>
      <c r="G115" s="43">
        <f>'8. Input IC huur Gasunie'!G68</f>
        <v>1971</v>
      </c>
      <c r="H115" s="48">
        <f>'8. Input IC huur Gasunie'!H68</f>
        <v>1287617.6299999999</v>
      </c>
      <c r="I115" s="43">
        <f>'8. Input IC huur Gasunie'!I68</f>
        <v>2021</v>
      </c>
      <c r="J115" s="48">
        <f>_xlfn.XLOOKUP(F115,'3. Input (des)investeringen '!$B$11:$B$81,'3. Input (des)investeringen '!$D$11:$D$81)</f>
        <v>30</v>
      </c>
      <c r="K115" s="48">
        <f>_xlfn.XLOOKUP(F115,'3. Input (des)investeringen '!$B$11:$B$81,'3. Input (des)investeringen '!$E$11:$E$81)</f>
        <v>0</v>
      </c>
      <c r="L115" s="48">
        <f>'8. Input IC huur Gasunie'!J68</f>
        <v>0</v>
      </c>
      <c r="M115" s="48">
        <f>'8. Input IC huur Gasunie'!K68</f>
        <v>0</v>
      </c>
    </row>
    <row r="116" spans="2:13">
      <c r="B116" s="43" t="str">
        <f>'8. Input IC huur Gasunie'!B69</f>
        <v>Asset 58</v>
      </c>
      <c r="F116" s="43" t="str">
        <f>'8. Input IC huur Gasunie'!F69</f>
        <v>06 Utiliteitsgebouwen</v>
      </c>
      <c r="G116" s="43">
        <f>'8. Input IC huur Gasunie'!G69</f>
        <v>1986</v>
      </c>
      <c r="H116" s="48">
        <f>'8. Input IC huur Gasunie'!H69</f>
        <v>986052.31</v>
      </c>
      <c r="I116" s="43">
        <f>'8. Input IC huur Gasunie'!I69</f>
        <v>2021</v>
      </c>
      <c r="J116" s="48">
        <f>_xlfn.XLOOKUP(F116,'3. Input (des)investeringen '!$B$11:$B$81,'3. Input (des)investeringen '!$D$11:$D$81)</f>
        <v>30</v>
      </c>
      <c r="K116" s="48">
        <f>_xlfn.XLOOKUP(F116,'3. Input (des)investeringen '!$B$11:$B$81,'3. Input (des)investeringen '!$E$11:$E$81)</f>
        <v>0</v>
      </c>
      <c r="L116" s="48">
        <f>'8. Input IC huur Gasunie'!J69</f>
        <v>0</v>
      </c>
      <c r="M116" s="48">
        <f>'8. Input IC huur Gasunie'!K69</f>
        <v>0</v>
      </c>
    </row>
    <row r="117" spans="2:13">
      <c r="B117" s="43" t="str">
        <f>'8. Input IC huur Gasunie'!B70</f>
        <v>Asset 59</v>
      </c>
      <c r="F117" s="43" t="str">
        <f>'8. Input IC huur Gasunie'!F70</f>
        <v>06 Utiliteitsgebouwen</v>
      </c>
      <c r="G117" s="43">
        <f>'8. Input IC huur Gasunie'!G70</f>
        <v>1988</v>
      </c>
      <c r="H117" s="48">
        <f>'8. Input IC huur Gasunie'!H70</f>
        <v>45049.48</v>
      </c>
      <c r="I117" s="43">
        <f>'8. Input IC huur Gasunie'!I70</f>
        <v>2021</v>
      </c>
      <c r="J117" s="48">
        <f>_xlfn.XLOOKUP(F117,'3. Input (des)investeringen '!$B$11:$B$81,'3. Input (des)investeringen '!$D$11:$D$81)</f>
        <v>30</v>
      </c>
      <c r="K117" s="48">
        <f>_xlfn.XLOOKUP(F117,'3. Input (des)investeringen '!$B$11:$B$81,'3. Input (des)investeringen '!$E$11:$E$81)</f>
        <v>0</v>
      </c>
      <c r="L117" s="48">
        <f>'8. Input IC huur Gasunie'!J70</f>
        <v>0</v>
      </c>
      <c r="M117" s="48">
        <f>'8. Input IC huur Gasunie'!K70</f>
        <v>0</v>
      </c>
    </row>
    <row r="118" spans="2:13">
      <c r="B118" s="43" t="str">
        <f>'8. Input IC huur Gasunie'!B71</f>
        <v>Asset 60</v>
      </c>
      <c r="F118" s="43" t="str">
        <f>'8. Input IC huur Gasunie'!F71</f>
        <v>04 Terreinen</v>
      </c>
      <c r="G118" s="43">
        <f>'8. Input IC huur Gasunie'!G71</f>
        <v>1969</v>
      </c>
      <c r="H118" s="48">
        <f>'8. Input IC huur Gasunie'!H71</f>
        <v>35732.019999999997</v>
      </c>
      <c r="I118" s="43">
        <f>'8. Input IC huur Gasunie'!I71</f>
        <v>2021</v>
      </c>
      <c r="J118" s="48">
        <f>_xlfn.XLOOKUP(F118,'3. Input (des)investeringen '!$B$11:$B$81,'3. Input (des)investeringen '!$D$11:$D$81)</f>
        <v>0</v>
      </c>
      <c r="K118" s="48">
        <f>_xlfn.XLOOKUP(F118,'3. Input (des)investeringen '!$B$11:$B$81,'3. Input (des)investeringen '!$E$11:$E$81)</f>
        <v>0</v>
      </c>
      <c r="L118" s="48">
        <f>'8. Input IC huur Gasunie'!J71</f>
        <v>192194.60406110552</v>
      </c>
      <c r="M118" s="48">
        <f>'8. Input IC huur Gasunie'!K71</f>
        <v>0</v>
      </c>
    </row>
    <row r="119" spans="2:13">
      <c r="B119" s="43" t="str">
        <f>'8. Input IC huur Gasunie'!B72</f>
        <v>Asset 61</v>
      </c>
      <c r="F119" s="43" t="str">
        <f>'8. Input IC huur Gasunie'!F72</f>
        <v>06 Utiliteitsgebouwen</v>
      </c>
      <c r="G119" s="43">
        <f>'8. Input IC huur Gasunie'!G72</f>
        <v>1993</v>
      </c>
      <c r="H119" s="48">
        <f>'8. Input IC huur Gasunie'!H72</f>
        <v>4915025</v>
      </c>
      <c r="I119" s="43">
        <f>'8. Input IC huur Gasunie'!I72</f>
        <v>2021</v>
      </c>
      <c r="J119" s="48">
        <f>_xlfn.XLOOKUP(F119,'3. Input (des)investeringen '!$B$11:$B$81,'3. Input (des)investeringen '!$D$11:$D$81)</f>
        <v>30</v>
      </c>
      <c r="K119" s="48">
        <f>_xlfn.XLOOKUP(F119,'3. Input (des)investeringen '!$B$11:$B$81,'3. Input (des)investeringen '!$E$11:$E$81)</f>
        <v>0</v>
      </c>
      <c r="L119" s="48">
        <f>'8. Input IC huur Gasunie'!J72</f>
        <v>420683.7813984917</v>
      </c>
      <c r="M119" s="48">
        <f>'8. Input IC huur Gasunie'!K72</f>
        <v>0</v>
      </c>
    </row>
    <row r="120" spans="2:13">
      <c r="B120" s="43" t="str">
        <f>'8. Input IC huur Gasunie'!B73</f>
        <v>Asset 62</v>
      </c>
      <c r="F120" s="43" t="str">
        <f>'8. Input IC huur Gasunie'!F73</f>
        <v>04 Terreinen</v>
      </c>
      <c r="G120" s="43">
        <f>'8. Input IC huur Gasunie'!G73</f>
        <v>1990</v>
      </c>
      <c r="H120" s="48">
        <f>'8. Input IC huur Gasunie'!H73</f>
        <v>4936129.59</v>
      </c>
      <c r="I120" s="43">
        <f>'8. Input IC huur Gasunie'!I73</f>
        <v>2021</v>
      </c>
      <c r="J120" s="48">
        <f>_xlfn.XLOOKUP(F120,'3. Input (des)investeringen '!$B$11:$B$81,'3. Input (des)investeringen '!$D$11:$D$81)</f>
        <v>0</v>
      </c>
      <c r="K120" s="48">
        <f>_xlfn.XLOOKUP(F120,'3. Input (des)investeringen '!$B$11:$B$81,'3. Input (des)investeringen '!$E$11:$E$81)</f>
        <v>0</v>
      </c>
      <c r="L120" s="48">
        <f>'8. Input IC huur Gasunie'!J73</f>
        <v>9367389.4688880406</v>
      </c>
      <c r="M120" s="48">
        <f>'8. Input IC huur Gasunie'!K73</f>
        <v>0</v>
      </c>
    </row>
    <row r="121" spans="2:13">
      <c r="B121" s="43" t="str">
        <f>'8. Input IC huur Gasunie'!B74</f>
        <v>Asset 63</v>
      </c>
      <c r="F121" s="43" t="str">
        <f>'8. Input IC huur Gasunie'!F74</f>
        <v>09 Bedrijfsinventaris</v>
      </c>
      <c r="G121" s="43">
        <f>'8. Input IC huur Gasunie'!G74</f>
        <v>1994</v>
      </c>
      <c r="H121" s="48">
        <f>'8. Input IC huur Gasunie'!H74</f>
        <v>5646696.2199999997</v>
      </c>
      <c r="I121" s="43">
        <f>'8. Input IC huur Gasunie'!I74</f>
        <v>2021</v>
      </c>
      <c r="J121" s="48">
        <f>_xlfn.XLOOKUP(F121,'3. Input (des)investeringen '!$B$11:$B$81,'3. Input (des)investeringen '!$D$11:$D$81)</f>
        <v>10</v>
      </c>
      <c r="K121" s="48">
        <f>_xlfn.XLOOKUP(F121,'3. Input (des)investeringen '!$B$11:$B$81,'3. Input (des)investeringen '!$E$11:$E$81)</f>
        <v>1</v>
      </c>
      <c r="L121" s="48">
        <f>'8. Input IC huur Gasunie'!J74</f>
        <v>0</v>
      </c>
      <c r="M121" s="48">
        <f>'8. Input IC huur Gasunie'!K74</f>
        <v>0</v>
      </c>
    </row>
    <row r="122" spans="2:13">
      <c r="B122" s="43" t="str">
        <f>'8. Input IC huur Gasunie'!B75</f>
        <v>Asset 64</v>
      </c>
      <c r="F122" s="43" t="str">
        <f>'8. Input IC huur Gasunie'!F75</f>
        <v>06 Utiliteitsgebouwen</v>
      </c>
      <c r="G122" s="43">
        <f>'8. Input IC huur Gasunie'!G75</f>
        <v>1994</v>
      </c>
      <c r="H122" s="48">
        <f>'8. Input IC huur Gasunie'!H75</f>
        <v>326095.09000000003</v>
      </c>
      <c r="I122" s="43">
        <f>'8. Input IC huur Gasunie'!I75</f>
        <v>2021</v>
      </c>
      <c r="J122" s="48">
        <f>_xlfn.XLOOKUP(F122,'3. Input (des)investeringen '!$B$11:$B$81,'3. Input (des)investeringen '!$D$11:$D$81)</f>
        <v>30</v>
      </c>
      <c r="K122" s="48">
        <f>_xlfn.XLOOKUP(F122,'3. Input (des)investeringen '!$B$11:$B$81,'3. Input (des)investeringen '!$E$11:$E$81)</f>
        <v>0</v>
      </c>
      <c r="L122" s="48">
        <f>'8. Input IC huur Gasunie'!J75</f>
        <v>45606.0937185246</v>
      </c>
      <c r="M122" s="48">
        <f>'8. Input IC huur Gasunie'!K75</f>
        <v>0</v>
      </c>
    </row>
    <row r="123" spans="2:13">
      <c r="B123" s="43" t="str">
        <f>'8. Input IC huur Gasunie'!B76</f>
        <v>Asset 65</v>
      </c>
      <c r="F123" s="43" t="str">
        <f>'8. Input IC huur Gasunie'!F76</f>
        <v>05 Wegen en terreinvoorzieningen</v>
      </c>
      <c r="G123" s="43">
        <f>'8. Input IC huur Gasunie'!G76</f>
        <v>1993</v>
      </c>
      <c r="H123" s="48">
        <f>'8. Input IC huur Gasunie'!H76</f>
        <v>174007.47</v>
      </c>
      <c r="I123" s="43">
        <f>'8. Input IC huur Gasunie'!I76</f>
        <v>2021</v>
      </c>
      <c r="J123" s="48">
        <f>_xlfn.XLOOKUP(F123,'3. Input (des)investeringen '!$B$11:$B$81,'3. Input (des)investeringen '!$D$11:$D$81)</f>
        <v>10</v>
      </c>
      <c r="K123" s="48">
        <f>_xlfn.XLOOKUP(F123,'3. Input (des)investeringen '!$B$11:$B$81,'3. Input (des)investeringen '!$E$11:$E$81)</f>
        <v>0</v>
      </c>
      <c r="L123" s="48">
        <f>'8. Input IC huur Gasunie'!J76</f>
        <v>0</v>
      </c>
      <c r="M123" s="48">
        <f>'8. Input IC huur Gasunie'!K76</f>
        <v>0</v>
      </c>
    </row>
    <row r="124" spans="2:13">
      <c r="B124" s="43" t="str">
        <f>'8. Input IC huur Gasunie'!B77</f>
        <v>Asset 66</v>
      </c>
      <c r="F124" s="43" t="str">
        <f>'8. Input IC huur Gasunie'!F77</f>
        <v>20 Kantoorgebouwen</v>
      </c>
      <c r="G124" s="43">
        <f>'8. Input IC huur Gasunie'!G77</f>
        <v>1991</v>
      </c>
      <c r="H124" s="48">
        <f>'8. Input IC huur Gasunie'!H77</f>
        <v>475302.12</v>
      </c>
      <c r="I124" s="43">
        <f>'8. Input IC huur Gasunie'!I77</f>
        <v>2021</v>
      </c>
      <c r="J124" s="48">
        <f>_xlfn.XLOOKUP(F124,'3. Input (des)investeringen '!$B$11:$B$81,'3. Input (des)investeringen '!$D$11:$D$81)</f>
        <v>30</v>
      </c>
      <c r="K124" s="48">
        <f>_xlfn.XLOOKUP(F124,'3. Input (des)investeringen '!$B$11:$B$81,'3. Input (des)investeringen '!$E$11:$E$81)</f>
        <v>0</v>
      </c>
      <c r="L124" s="48">
        <f>'8. Input IC huur Gasunie'!J77</f>
        <v>0</v>
      </c>
      <c r="M124" s="48">
        <f>'8. Input IC huur Gasunie'!K77</f>
        <v>0</v>
      </c>
    </row>
    <row r="125" spans="2:13">
      <c r="B125" s="43" t="str">
        <f>'8. Input IC huur Gasunie'!B78</f>
        <v>Asset 67</v>
      </c>
      <c r="F125" s="43" t="str">
        <f>'8. Input IC huur Gasunie'!F78</f>
        <v>08 Inrichting gebouwen</v>
      </c>
      <c r="G125" s="43">
        <f>'8. Input IC huur Gasunie'!G78</f>
        <v>1995</v>
      </c>
      <c r="H125" s="48">
        <f>'8. Input IC huur Gasunie'!H78</f>
        <v>365539.92999999993</v>
      </c>
      <c r="I125" s="43">
        <f>'8. Input IC huur Gasunie'!I78</f>
        <v>2021</v>
      </c>
      <c r="J125" s="48">
        <f>_xlfn.XLOOKUP(F125,'3. Input (des)investeringen '!$B$11:$B$81,'3. Input (des)investeringen '!$D$11:$D$81)</f>
        <v>10</v>
      </c>
      <c r="K125" s="48">
        <f>_xlfn.XLOOKUP(F125,'3. Input (des)investeringen '!$B$11:$B$81,'3. Input (des)investeringen '!$E$11:$E$81)</f>
        <v>0</v>
      </c>
      <c r="L125" s="48">
        <f>'8. Input IC huur Gasunie'!J78</f>
        <v>0</v>
      </c>
      <c r="M125" s="48">
        <f>'8. Input IC huur Gasunie'!K78</f>
        <v>0</v>
      </c>
    </row>
    <row r="126" spans="2:13">
      <c r="B126" s="43" t="str">
        <f>'8. Input IC huur Gasunie'!B79</f>
        <v>Asset 68</v>
      </c>
      <c r="F126" s="43" t="str">
        <f>'8. Input IC huur Gasunie'!F79</f>
        <v>08 Inrichting gebouwen</v>
      </c>
      <c r="G126" s="43">
        <f>'8. Input IC huur Gasunie'!G79</f>
        <v>1994</v>
      </c>
      <c r="H126" s="48">
        <f>'8. Input IC huur Gasunie'!H79</f>
        <v>6615395.4499999993</v>
      </c>
      <c r="I126" s="43">
        <f>'8. Input IC huur Gasunie'!I79</f>
        <v>2021</v>
      </c>
      <c r="J126" s="48">
        <f>_xlfn.XLOOKUP(F126,'3. Input (des)investeringen '!$B$11:$B$81,'3. Input (des)investeringen '!$D$11:$D$81)</f>
        <v>10</v>
      </c>
      <c r="K126" s="48">
        <f>_xlfn.XLOOKUP(F126,'3. Input (des)investeringen '!$B$11:$B$81,'3. Input (des)investeringen '!$E$11:$E$81)</f>
        <v>0</v>
      </c>
      <c r="L126" s="48">
        <f>'8. Input IC huur Gasunie'!J79</f>
        <v>0</v>
      </c>
      <c r="M126" s="48">
        <f>'8. Input IC huur Gasunie'!K79</f>
        <v>0</v>
      </c>
    </row>
    <row r="127" spans="2:13">
      <c r="B127" s="43" t="str">
        <f>'8. Input IC huur Gasunie'!B80</f>
        <v>Asset 69</v>
      </c>
      <c r="F127" s="43" t="str">
        <f>'8. Input IC huur Gasunie'!F80</f>
        <v>20 Kantoorgebouwen</v>
      </c>
      <c r="G127" s="43">
        <f>'8. Input IC huur Gasunie'!G80</f>
        <v>1998</v>
      </c>
      <c r="H127" s="48">
        <f>'8. Input IC huur Gasunie'!H80</f>
        <v>789493.11</v>
      </c>
      <c r="I127" s="43">
        <f>'8. Input IC huur Gasunie'!I80</f>
        <v>2021</v>
      </c>
      <c r="J127" s="48">
        <f>_xlfn.XLOOKUP(F127,'3. Input (des)investeringen '!$B$11:$B$81,'3. Input (des)investeringen '!$D$11:$D$81)</f>
        <v>30</v>
      </c>
      <c r="K127" s="48">
        <f>_xlfn.XLOOKUP(F127,'3. Input (des)investeringen '!$B$11:$B$81,'3. Input (des)investeringen '!$E$11:$E$81)</f>
        <v>0</v>
      </c>
      <c r="L127" s="48">
        <f>'8. Input IC huur Gasunie'!J80</f>
        <v>263672.8175889462</v>
      </c>
      <c r="M127" s="48">
        <f>'8. Input IC huur Gasunie'!K80</f>
        <v>0</v>
      </c>
    </row>
    <row r="128" spans="2:13">
      <c r="B128" s="43" t="str">
        <f>'8. Input IC huur Gasunie'!B81</f>
        <v>Asset 70</v>
      </c>
      <c r="F128" s="43" t="str">
        <f>'8. Input IC huur Gasunie'!F81</f>
        <v>20 Kantoorgebouwen</v>
      </c>
      <c r="G128" s="43">
        <f>'8. Input IC huur Gasunie'!G81</f>
        <v>1995</v>
      </c>
      <c r="H128" s="48">
        <f>'8. Input IC huur Gasunie'!H81</f>
        <v>93310335.520000011</v>
      </c>
      <c r="I128" s="43">
        <f>'8. Input IC huur Gasunie'!I81</f>
        <v>2021</v>
      </c>
      <c r="J128" s="48">
        <f>_xlfn.XLOOKUP(F128,'3. Input (des)investeringen '!$B$11:$B$81,'3. Input (des)investeringen '!$D$11:$D$81)</f>
        <v>30</v>
      </c>
      <c r="K128" s="48">
        <f>_xlfn.XLOOKUP(F128,'3. Input (des)investeringen '!$B$11:$B$81,'3. Input (des)investeringen '!$E$11:$E$81)</f>
        <v>0</v>
      </c>
      <c r="L128" s="48">
        <f>'8. Input IC huur Gasunie'!J81</f>
        <v>17806929.596040629</v>
      </c>
      <c r="M128" s="48">
        <f>'8. Input IC huur Gasunie'!K81</f>
        <v>0</v>
      </c>
    </row>
    <row r="129" spans="2:13">
      <c r="B129" s="43" t="str">
        <f>'8. Input IC huur Gasunie'!B82</f>
        <v>Asset 71</v>
      </c>
      <c r="F129" s="43" t="str">
        <f>'8. Input IC huur Gasunie'!F82</f>
        <v>09 Bedrijfsinventaris</v>
      </c>
      <c r="G129" s="43">
        <f>'8. Input IC huur Gasunie'!G82</f>
        <v>1997</v>
      </c>
      <c r="H129" s="48">
        <f>'8. Input IC huur Gasunie'!H82</f>
        <v>3767.74</v>
      </c>
      <c r="I129" s="43">
        <f>'8. Input IC huur Gasunie'!I82</f>
        <v>2021</v>
      </c>
      <c r="J129" s="48">
        <f>_xlfn.XLOOKUP(F129,'3. Input (des)investeringen '!$B$11:$B$81,'3. Input (des)investeringen '!$D$11:$D$81)</f>
        <v>10</v>
      </c>
      <c r="K129" s="48">
        <f>_xlfn.XLOOKUP(F129,'3. Input (des)investeringen '!$B$11:$B$81,'3. Input (des)investeringen '!$E$11:$E$81)</f>
        <v>1</v>
      </c>
      <c r="L129" s="48">
        <f>'8. Input IC huur Gasunie'!J82</f>
        <v>0</v>
      </c>
      <c r="M129" s="48">
        <f>'8. Input IC huur Gasunie'!K82</f>
        <v>0</v>
      </c>
    </row>
    <row r="130" spans="2:13">
      <c r="B130" s="43" t="str">
        <f>'8. Input IC huur Gasunie'!B83</f>
        <v>Asset 72</v>
      </c>
      <c r="F130" s="43" t="str">
        <f>'8. Input IC huur Gasunie'!F83</f>
        <v>08 Inrichting gebouwen</v>
      </c>
      <c r="G130" s="43">
        <f>'8. Input IC huur Gasunie'!G83</f>
        <v>2002</v>
      </c>
      <c r="H130" s="48">
        <f>'8. Input IC huur Gasunie'!H83</f>
        <v>257167.26</v>
      </c>
      <c r="I130" s="43">
        <f>'8. Input IC huur Gasunie'!I83</f>
        <v>2021</v>
      </c>
      <c r="J130" s="48">
        <f>_xlfn.XLOOKUP(F130,'3. Input (des)investeringen '!$B$11:$B$81,'3. Input (des)investeringen '!$D$11:$D$81)</f>
        <v>10</v>
      </c>
      <c r="K130" s="48">
        <f>_xlfn.XLOOKUP(F130,'3. Input (des)investeringen '!$B$11:$B$81,'3. Input (des)investeringen '!$E$11:$E$81)</f>
        <v>0</v>
      </c>
      <c r="L130" s="48">
        <f>'8. Input IC huur Gasunie'!J83</f>
        <v>0</v>
      </c>
      <c r="M130" s="48">
        <f>'8. Input IC huur Gasunie'!K83</f>
        <v>0</v>
      </c>
    </row>
    <row r="131" spans="2:13">
      <c r="B131" s="43" t="str">
        <f>'8. Input IC huur Gasunie'!B84</f>
        <v>Asset 73</v>
      </c>
      <c r="F131" s="43" t="str">
        <f>'8. Input IC huur Gasunie'!F84</f>
        <v>20 Kantoorgebouwen</v>
      </c>
      <c r="G131" s="43">
        <f>'8. Input IC huur Gasunie'!G84</f>
        <v>1997</v>
      </c>
      <c r="H131" s="48">
        <f>'8. Input IC huur Gasunie'!H84</f>
        <v>9956.39</v>
      </c>
      <c r="I131" s="43">
        <f>'8. Input IC huur Gasunie'!I84</f>
        <v>2021</v>
      </c>
      <c r="J131" s="48">
        <f>_xlfn.XLOOKUP(F131,'3. Input (des)investeringen '!$B$11:$B$81,'3. Input (des)investeringen '!$D$11:$D$81)</f>
        <v>30</v>
      </c>
      <c r="K131" s="48">
        <f>_xlfn.XLOOKUP(F131,'3. Input (des)investeringen '!$B$11:$B$81,'3. Input (des)investeringen '!$E$11:$E$81)</f>
        <v>0</v>
      </c>
      <c r="L131" s="48">
        <f>'8. Input IC huur Gasunie'!J84</f>
        <v>2886.7927731398736</v>
      </c>
      <c r="M131" s="48">
        <f>'8. Input IC huur Gasunie'!K84</f>
        <v>0</v>
      </c>
    </row>
    <row r="132" spans="2:13">
      <c r="B132" s="43" t="str">
        <f>'8. Input IC huur Gasunie'!B85</f>
        <v>Asset 74</v>
      </c>
      <c r="F132" s="43" t="str">
        <f>'8. Input IC huur Gasunie'!F85</f>
        <v>09 Bedrijfsinventaris</v>
      </c>
      <c r="G132" s="43">
        <f>'8. Input IC huur Gasunie'!G85</f>
        <v>2002</v>
      </c>
      <c r="H132" s="48">
        <f>'8. Input IC huur Gasunie'!H85</f>
        <v>259859.76</v>
      </c>
      <c r="I132" s="43">
        <f>'8. Input IC huur Gasunie'!I85</f>
        <v>2021</v>
      </c>
      <c r="J132" s="48">
        <f>_xlfn.XLOOKUP(F132,'3. Input (des)investeringen '!$B$11:$B$81,'3. Input (des)investeringen '!$D$11:$D$81)</f>
        <v>10</v>
      </c>
      <c r="K132" s="48">
        <f>_xlfn.XLOOKUP(F132,'3. Input (des)investeringen '!$B$11:$B$81,'3. Input (des)investeringen '!$E$11:$E$81)</f>
        <v>1</v>
      </c>
      <c r="L132" s="48">
        <f>'8. Input IC huur Gasunie'!J85</f>
        <v>0</v>
      </c>
      <c r="M132" s="48">
        <f>'8. Input IC huur Gasunie'!K85</f>
        <v>0</v>
      </c>
    </row>
    <row r="133" spans="2:13">
      <c r="B133" s="43" t="str">
        <f>'8. Input IC huur Gasunie'!B86</f>
        <v>Asset 75</v>
      </c>
      <c r="F133" s="43" t="str">
        <f>'8. Input IC huur Gasunie'!F86</f>
        <v>37 ICT middelen 1</v>
      </c>
      <c r="G133" s="43">
        <f>'8. Input IC huur Gasunie'!G86</f>
        <v>1998</v>
      </c>
      <c r="H133" s="48">
        <f>'8. Input IC huur Gasunie'!H86</f>
        <v>194674.43</v>
      </c>
      <c r="I133" s="43">
        <f>'8. Input IC huur Gasunie'!I86</f>
        <v>2021</v>
      </c>
      <c r="J133" s="48">
        <f>_xlfn.XLOOKUP(F133,'3. Input (des)investeringen '!$B$11:$B$81,'3. Input (des)investeringen '!$D$11:$D$81)</f>
        <v>5</v>
      </c>
      <c r="K133" s="48">
        <f>_xlfn.XLOOKUP(F133,'3. Input (des)investeringen '!$B$11:$B$81,'3. Input (des)investeringen '!$E$11:$E$81)</f>
        <v>1</v>
      </c>
      <c r="L133" s="48">
        <f>'8. Input IC huur Gasunie'!J86</f>
        <v>0</v>
      </c>
      <c r="M133" s="48">
        <f>'8. Input IC huur Gasunie'!K86</f>
        <v>0</v>
      </c>
    </row>
    <row r="134" spans="2:13">
      <c r="B134" s="43" t="str">
        <f>'8. Input IC huur Gasunie'!B87</f>
        <v>Asset 76</v>
      </c>
      <c r="F134" s="43" t="str">
        <f>'8. Input IC huur Gasunie'!F87</f>
        <v>13 Aanhangwagens</v>
      </c>
      <c r="G134" s="43">
        <f>'8. Input IC huur Gasunie'!G87</f>
        <v>2000</v>
      </c>
      <c r="H134" s="48">
        <f>'8. Input IC huur Gasunie'!H87</f>
        <v>5437.76</v>
      </c>
      <c r="I134" s="43">
        <f>'8. Input IC huur Gasunie'!I87</f>
        <v>2021</v>
      </c>
      <c r="J134" s="48">
        <f>_xlfn.XLOOKUP(F134,'3. Input (des)investeringen '!$B$11:$B$81,'3. Input (des)investeringen '!$D$11:$D$81)</f>
        <v>10</v>
      </c>
      <c r="K134" s="48">
        <f>_xlfn.XLOOKUP(F134,'3. Input (des)investeringen '!$B$11:$B$81,'3. Input (des)investeringen '!$E$11:$E$81)</f>
        <v>1</v>
      </c>
      <c r="L134" s="48">
        <f>'8. Input IC huur Gasunie'!J87</f>
        <v>0</v>
      </c>
      <c r="M134" s="48">
        <f>'8. Input IC huur Gasunie'!K87</f>
        <v>0</v>
      </c>
    </row>
    <row r="135" spans="2:13">
      <c r="B135" s="43" t="str">
        <f>'8. Input IC huur Gasunie'!B88</f>
        <v>Asset 77</v>
      </c>
      <c r="F135" s="43" t="str">
        <f>'8. Input IC huur Gasunie'!F88</f>
        <v>09 Bedrijfsinventaris</v>
      </c>
      <c r="G135" s="43">
        <f>'8. Input IC huur Gasunie'!G88</f>
        <v>1998</v>
      </c>
      <c r="H135" s="48">
        <f>'8. Input IC huur Gasunie'!H88</f>
        <v>159402.09</v>
      </c>
      <c r="I135" s="43">
        <f>'8. Input IC huur Gasunie'!I88</f>
        <v>2021</v>
      </c>
      <c r="J135" s="48">
        <f>_xlfn.XLOOKUP(F135,'3. Input (des)investeringen '!$B$11:$B$81,'3. Input (des)investeringen '!$D$11:$D$81)</f>
        <v>10</v>
      </c>
      <c r="K135" s="48">
        <f>_xlfn.XLOOKUP(F135,'3. Input (des)investeringen '!$B$11:$B$81,'3. Input (des)investeringen '!$E$11:$E$81)</f>
        <v>1</v>
      </c>
      <c r="L135" s="48">
        <f>'8. Input IC huur Gasunie'!J88</f>
        <v>0</v>
      </c>
      <c r="M135" s="48">
        <f>'8. Input IC huur Gasunie'!K88</f>
        <v>0</v>
      </c>
    </row>
    <row r="136" spans="2:13">
      <c r="B136" s="43" t="str">
        <f>'8. Input IC huur Gasunie'!B89</f>
        <v>Asset 78</v>
      </c>
      <c r="F136" s="43" t="str">
        <f>'8. Input IC huur Gasunie'!F89</f>
        <v>08 Inrichting gebouwen</v>
      </c>
      <c r="G136" s="43">
        <f>'8. Input IC huur Gasunie'!G89</f>
        <v>1998</v>
      </c>
      <c r="H136" s="48">
        <f>'8. Input IC huur Gasunie'!H89</f>
        <v>120568.99000000002</v>
      </c>
      <c r="I136" s="43">
        <f>'8. Input IC huur Gasunie'!I89</f>
        <v>2021</v>
      </c>
      <c r="J136" s="48">
        <f>_xlfn.XLOOKUP(F136,'3. Input (des)investeringen '!$B$11:$B$81,'3. Input (des)investeringen '!$D$11:$D$81)</f>
        <v>10</v>
      </c>
      <c r="K136" s="48">
        <f>_xlfn.XLOOKUP(F136,'3. Input (des)investeringen '!$B$11:$B$81,'3. Input (des)investeringen '!$E$11:$E$81)</f>
        <v>0</v>
      </c>
      <c r="L136" s="48">
        <f>'8. Input IC huur Gasunie'!J89</f>
        <v>0</v>
      </c>
      <c r="M136" s="48">
        <f>'8. Input IC huur Gasunie'!K89</f>
        <v>0</v>
      </c>
    </row>
    <row r="137" spans="2:13">
      <c r="B137" s="43" t="str">
        <f>'8. Input IC huur Gasunie'!B90</f>
        <v>Asset 79</v>
      </c>
      <c r="F137" s="43" t="str">
        <f>'8. Input IC huur Gasunie'!F90</f>
        <v>37 ICT middelen 1</v>
      </c>
      <c r="G137" s="43">
        <f>'8. Input IC huur Gasunie'!G90</f>
        <v>2002</v>
      </c>
      <c r="H137" s="48">
        <f>'8. Input IC huur Gasunie'!H90</f>
        <v>342396.39</v>
      </c>
      <c r="I137" s="43">
        <f>'8. Input IC huur Gasunie'!I90</f>
        <v>2021</v>
      </c>
      <c r="J137" s="48">
        <f>_xlfn.XLOOKUP(F137,'3. Input (des)investeringen '!$B$11:$B$81,'3. Input (des)investeringen '!$D$11:$D$81)</f>
        <v>5</v>
      </c>
      <c r="K137" s="48">
        <f>_xlfn.XLOOKUP(F137,'3. Input (des)investeringen '!$B$11:$B$81,'3. Input (des)investeringen '!$E$11:$E$81)</f>
        <v>1</v>
      </c>
      <c r="L137" s="48">
        <f>'8. Input IC huur Gasunie'!J90</f>
        <v>0</v>
      </c>
      <c r="M137" s="48">
        <f>'8. Input IC huur Gasunie'!K90</f>
        <v>0</v>
      </c>
    </row>
    <row r="138" spans="2:13">
      <c r="B138" s="43" t="str">
        <f>'8. Input IC huur Gasunie'!B91</f>
        <v>Asset 80</v>
      </c>
      <c r="F138" s="43" t="str">
        <f>'8. Input IC huur Gasunie'!F91</f>
        <v>37 ICT middelen 1 (gaschromatografen en comptabele meting)</v>
      </c>
      <c r="G138" s="43">
        <f>'8. Input IC huur Gasunie'!G91</f>
        <v>2000</v>
      </c>
      <c r="H138" s="48">
        <f>'8. Input IC huur Gasunie'!H91</f>
        <v>717051.87</v>
      </c>
      <c r="I138" s="43">
        <f>'8. Input IC huur Gasunie'!I91</f>
        <v>2021</v>
      </c>
      <c r="J138" s="48">
        <f>_xlfn.XLOOKUP(F138,'3. Input (des)investeringen '!$B$11:$B$81,'3. Input (des)investeringen '!$D$11:$D$81)</f>
        <v>5</v>
      </c>
      <c r="K138" s="48">
        <f>_xlfn.XLOOKUP(F138,'3. Input (des)investeringen '!$B$11:$B$81,'3. Input (des)investeringen '!$E$11:$E$81)</f>
        <v>0</v>
      </c>
      <c r="L138" s="48">
        <f>'8. Input IC huur Gasunie'!J91</f>
        <v>0</v>
      </c>
      <c r="M138" s="48">
        <f>'8. Input IC huur Gasunie'!K91</f>
        <v>0</v>
      </c>
    </row>
    <row r="139" spans="2:13">
      <c r="B139" s="43" t="str">
        <f>'8. Input IC huur Gasunie'!B92</f>
        <v>Asset 81</v>
      </c>
      <c r="F139" s="43" t="str">
        <f>'8. Input IC huur Gasunie'!F92</f>
        <v>09 Bedrijfsinventaris</v>
      </c>
      <c r="G139" s="43">
        <f>'8. Input IC huur Gasunie'!G92</f>
        <v>1999</v>
      </c>
      <c r="H139" s="48">
        <f>'8. Input IC huur Gasunie'!H92</f>
        <v>64305.72</v>
      </c>
      <c r="I139" s="43">
        <f>'8. Input IC huur Gasunie'!I92</f>
        <v>2021</v>
      </c>
      <c r="J139" s="48">
        <f>_xlfn.XLOOKUP(F139,'3. Input (des)investeringen '!$B$11:$B$81,'3. Input (des)investeringen '!$D$11:$D$81)</f>
        <v>10</v>
      </c>
      <c r="K139" s="48">
        <f>_xlfn.XLOOKUP(F139,'3. Input (des)investeringen '!$B$11:$B$81,'3. Input (des)investeringen '!$E$11:$E$81)</f>
        <v>1</v>
      </c>
      <c r="L139" s="48">
        <f>'8. Input IC huur Gasunie'!J92</f>
        <v>0</v>
      </c>
      <c r="M139" s="48">
        <f>'8. Input IC huur Gasunie'!K92</f>
        <v>0</v>
      </c>
    </row>
    <row r="140" spans="2:13">
      <c r="B140" s="43" t="str">
        <f>'8. Input IC huur Gasunie'!B93</f>
        <v>Asset 82</v>
      </c>
      <c r="F140" s="43" t="str">
        <f>'8. Input IC huur Gasunie'!F93</f>
        <v>08 Inrichting gebouwen</v>
      </c>
      <c r="G140" s="43">
        <f>'8. Input IC huur Gasunie'!G93</f>
        <v>1999</v>
      </c>
      <c r="H140" s="48">
        <f>'8. Input IC huur Gasunie'!H93</f>
        <v>41263.56</v>
      </c>
      <c r="I140" s="43">
        <f>'8. Input IC huur Gasunie'!I93</f>
        <v>2021</v>
      </c>
      <c r="J140" s="48">
        <f>_xlfn.XLOOKUP(F140,'3. Input (des)investeringen '!$B$11:$B$81,'3. Input (des)investeringen '!$D$11:$D$81)</f>
        <v>10</v>
      </c>
      <c r="K140" s="48">
        <f>_xlfn.XLOOKUP(F140,'3. Input (des)investeringen '!$B$11:$B$81,'3. Input (des)investeringen '!$E$11:$E$81)</f>
        <v>0</v>
      </c>
      <c r="L140" s="48">
        <f>'8. Input IC huur Gasunie'!J93</f>
        <v>0</v>
      </c>
      <c r="M140" s="48">
        <f>'8. Input IC huur Gasunie'!K93</f>
        <v>0</v>
      </c>
    </row>
    <row r="141" spans="2:13">
      <c r="B141" s="43" t="str">
        <f>'8. Input IC huur Gasunie'!B94</f>
        <v>Asset 83</v>
      </c>
      <c r="F141" s="43" t="str">
        <f>'8. Input IC huur Gasunie'!F94</f>
        <v>09 Bedrijfsinventaris</v>
      </c>
      <c r="G141" s="43">
        <f>'8. Input IC huur Gasunie'!G94</f>
        <v>2000</v>
      </c>
      <c r="H141" s="48">
        <f>'8. Input IC huur Gasunie'!H94</f>
        <v>5312.4</v>
      </c>
      <c r="I141" s="43">
        <f>'8. Input IC huur Gasunie'!I94</f>
        <v>2021</v>
      </c>
      <c r="J141" s="48">
        <f>_xlfn.XLOOKUP(F141,'3. Input (des)investeringen '!$B$11:$B$81,'3. Input (des)investeringen '!$D$11:$D$81)</f>
        <v>10</v>
      </c>
      <c r="K141" s="48">
        <f>_xlfn.XLOOKUP(F141,'3. Input (des)investeringen '!$B$11:$B$81,'3. Input (des)investeringen '!$E$11:$E$81)</f>
        <v>1</v>
      </c>
      <c r="L141" s="48">
        <f>'8. Input IC huur Gasunie'!J94</f>
        <v>0</v>
      </c>
      <c r="M141" s="48">
        <f>'8. Input IC huur Gasunie'!K94</f>
        <v>0</v>
      </c>
    </row>
    <row r="142" spans="2:13">
      <c r="B142" s="43" t="str">
        <f>'8. Input IC huur Gasunie'!B95</f>
        <v>Asset 84</v>
      </c>
      <c r="F142" s="43" t="str">
        <f>'8. Input IC huur Gasunie'!F95</f>
        <v>37 ICT middelen 1</v>
      </c>
      <c r="G142" s="43">
        <f>'8. Input IC huur Gasunie'!G95</f>
        <v>2001</v>
      </c>
      <c r="H142" s="48">
        <f>'8. Input IC huur Gasunie'!H95</f>
        <v>1754908.7700000003</v>
      </c>
      <c r="I142" s="43">
        <f>'8. Input IC huur Gasunie'!I95</f>
        <v>2021</v>
      </c>
      <c r="J142" s="48">
        <f>_xlfn.XLOOKUP(F142,'3. Input (des)investeringen '!$B$11:$B$81,'3. Input (des)investeringen '!$D$11:$D$81)</f>
        <v>5</v>
      </c>
      <c r="K142" s="48">
        <f>_xlfn.XLOOKUP(F142,'3. Input (des)investeringen '!$B$11:$B$81,'3. Input (des)investeringen '!$E$11:$E$81)</f>
        <v>1</v>
      </c>
      <c r="L142" s="48">
        <f>'8. Input IC huur Gasunie'!J95</f>
        <v>0</v>
      </c>
      <c r="M142" s="48">
        <f>'8. Input IC huur Gasunie'!K95</f>
        <v>0</v>
      </c>
    </row>
    <row r="143" spans="2:13">
      <c r="B143" s="43" t="str">
        <f>'8. Input IC huur Gasunie'!B96</f>
        <v>Asset 85</v>
      </c>
      <c r="F143" s="43" t="str">
        <f>'8. Input IC huur Gasunie'!F96</f>
        <v>11 Werktuigen</v>
      </c>
      <c r="G143" s="43">
        <f>'8. Input IC huur Gasunie'!G96</f>
        <v>2000</v>
      </c>
      <c r="H143" s="48">
        <f>'8. Input IC huur Gasunie'!H96</f>
        <v>86461.709999999992</v>
      </c>
      <c r="I143" s="43">
        <f>'8. Input IC huur Gasunie'!I96</f>
        <v>2021</v>
      </c>
      <c r="J143" s="48">
        <f>_xlfn.XLOOKUP(F143,'3. Input (des)investeringen '!$B$11:$B$81,'3. Input (des)investeringen '!$D$11:$D$81)</f>
        <v>10</v>
      </c>
      <c r="K143" s="48">
        <f>_xlfn.XLOOKUP(F143,'3. Input (des)investeringen '!$B$11:$B$81,'3. Input (des)investeringen '!$E$11:$E$81)</f>
        <v>1</v>
      </c>
      <c r="L143" s="48">
        <f>'8. Input IC huur Gasunie'!J96</f>
        <v>0</v>
      </c>
      <c r="M143" s="48">
        <f>'8. Input IC huur Gasunie'!K96</f>
        <v>0</v>
      </c>
    </row>
    <row r="144" spans="2:13">
      <c r="B144" s="43" t="str">
        <f>'8. Input IC huur Gasunie'!B97</f>
        <v>Asset 86</v>
      </c>
      <c r="F144" s="43" t="str">
        <f>'8. Input IC huur Gasunie'!F97</f>
        <v>13 Aanhangwagens</v>
      </c>
      <c r="G144" s="43">
        <f>'8. Input IC huur Gasunie'!G97</f>
        <v>1998</v>
      </c>
      <c r="H144" s="48">
        <f>'8. Input IC huur Gasunie'!H97</f>
        <v>3630.24</v>
      </c>
      <c r="I144" s="43">
        <f>'8. Input IC huur Gasunie'!I97</f>
        <v>2021</v>
      </c>
      <c r="J144" s="48">
        <f>_xlfn.XLOOKUP(F144,'3. Input (des)investeringen '!$B$11:$B$81,'3. Input (des)investeringen '!$D$11:$D$81)</f>
        <v>10</v>
      </c>
      <c r="K144" s="48">
        <f>_xlfn.XLOOKUP(F144,'3. Input (des)investeringen '!$B$11:$B$81,'3. Input (des)investeringen '!$E$11:$E$81)</f>
        <v>1</v>
      </c>
      <c r="L144" s="48">
        <f>'8. Input IC huur Gasunie'!J97</f>
        <v>0</v>
      </c>
      <c r="M144" s="48">
        <f>'8. Input IC huur Gasunie'!K97</f>
        <v>0</v>
      </c>
    </row>
    <row r="145" spans="2:13">
      <c r="B145" s="43" t="str">
        <f>'8. Input IC huur Gasunie'!B98</f>
        <v>Asset 87</v>
      </c>
      <c r="F145" s="43" t="str">
        <f>'8. Input IC huur Gasunie'!F98</f>
        <v>37 ICT middelen 1</v>
      </c>
      <c r="G145" s="43">
        <f>'8. Input IC huur Gasunie'!G98</f>
        <v>2000</v>
      </c>
      <c r="H145" s="48">
        <f>'8. Input IC huur Gasunie'!H98</f>
        <v>63690.75</v>
      </c>
      <c r="I145" s="43">
        <f>'8. Input IC huur Gasunie'!I98</f>
        <v>2021</v>
      </c>
      <c r="J145" s="48">
        <f>_xlfn.XLOOKUP(F145,'3. Input (des)investeringen '!$B$11:$B$81,'3. Input (des)investeringen '!$D$11:$D$81)</f>
        <v>5</v>
      </c>
      <c r="K145" s="48">
        <f>_xlfn.XLOOKUP(F145,'3. Input (des)investeringen '!$B$11:$B$81,'3. Input (des)investeringen '!$E$11:$E$81)</f>
        <v>1</v>
      </c>
      <c r="L145" s="48">
        <f>'8. Input IC huur Gasunie'!J98</f>
        <v>0</v>
      </c>
      <c r="M145" s="48">
        <f>'8. Input IC huur Gasunie'!K98</f>
        <v>0</v>
      </c>
    </row>
    <row r="146" spans="2:13">
      <c r="B146" s="43" t="str">
        <f>'8. Input IC huur Gasunie'!B99</f>
        <v>Asset 88</v>
      </c>
      <c r="F146" s="43" t="str">
        <f>'8. Input IC huur Gasunie'!F99</f>
        <v>08 Inrichting gebouwen</v>
      </c>
      <c r="G146" s="43">
        <f>'8. Input IC huur Gasunie'!G99</f>
        <v>2000</v>
      </c>
      <c r="H146" s="48">
        <f>'8. Input IC huur Gasunie'!H99</f>
        <v>53314.77</v>
      </c>
      <c r="I146" s="43">
        <f>'8. Input IC huur Gasunie'!I99</f>
        <v>2021</v>
      </c>
      <c r="J146" s="48">
        <f>_xlfn.XLOOKUP(F146,'3. Input (des)investeringen '!$B$11:$B$81,'3. Input (des)investeringen '!$D$11:$D$81)</f>
        <v>10</v>
      </c>
      <c r="K146" s="48">
        <f>_xlfn.XLOOKUP(F146,'3. Input (des)investeringen '!$B$11:$B$81,'3. Input (des)investeringen '!$E$11:$E$81)</f>
        <v>0</v>
      </c>
      <c r="L146" s="48">
        <f>'8. Input IC huur Gasunie'!J99</f>
        <v>0</v>
      </c>
      <c r="M146" s="48">
        <f>'8. Input IC huur Gasunie'!K99</f>
        <v>0</v>
      </c>
    </row>
    <row r="147" spans="2:13">
      <c r="B147" s="43" t="str">
        <f>'8. Input IC huur Gasunie'!B100</f>
        <v>Asset 89</v>
      </c>
      <c r="F147" s="43" t="str">
        <f>'8. Input IC huur Gasunie'!F100</f>
        <v>14 Overig rollend materieel</v>
      </c>
      <c r="G147" s="43">
        <f>'8. Input IC huur Gasunie'!G100</f>
        <v>2000</v>
      </c>
      <c r="H147" s="48">
        <f>'8. Input IC huur Gasunie'!H100</f>
        <v>36334.86</v>
      </c>
      <c r="I147" s="43">
        <f>'8. Input IC huur Gasunie'!I100</f>
        <v>2021</v>
      </c>
      <c r="J147" s="48">
        <f>_xlfn.XLOOKUP(F147,'3. Input (des)investeringen '!$B$11:$B$81,'3. Input (des)investeringen '!$D$11:$D$81)</f>
        <v>10</v>
      </c>
      <c r="K147" s="48">
        <f>_xlfn.XLOOKUP(F147,'3. Input (des)investeringen '!$B$11:$B$81,'3. Input (des)investeringen '!$E$11:$E$81)</f>
        <v>1</v>
      </c>
      <c r="L147" s="48">
        <f>'8. Input IC huur Gasunie'!J100</f>
        <v>0</v>
      </c>
      <c r="M147" s="48">
        <f>'8. Input IC huur Gasunie'!K100</f>
        <v>0</v>
      </c>
    </row>
    <row r="148" spans="2:13">
      <c r="B148" s="43" t="str">
        <f>'8. Input IC huur Gasunie'!B101</f>
        <v>Asset 90</v>
      </c>
      <c r="F148" s="43" t="str">
        <f>'8. Input IC huur Gasunie'!F101</f>
        <v>06 Utiliteitsgebouwen</v>
      </c>
      <c r="G148" s="43">
        <f>'8. Input IC huur Gasunie'!G101</f>
        <v>2000</v>
      </c>
      <c r="H148" s="48">
        <f>'8. Input IC huur Gasunie'!H101</f>
        <v>61022.52</v>
      </c>
      <c r="I148" s="43">
        <f>'8. Input IC huur Gasunie'!I101</f>
        <v>2021</v>
      </c>
      <c r="J148" s="48">
        <f>_xlfn.XLOOKUP(F148,'3. Input (des)investeringen '!$B$11:$B$81,'3. Input (des)investeringen '!$D$11:$D$81)</f>
        <v>30</v>
      </c>
      <c r="K148" s="48">
        <f>_xlfn.XLOOKUP(F148,'3. Input (des)investeringen '!$B$11:$B$81,'3. Input (des)investeringen '!$E$11:$E$81)</f>
        <v>0</v>
      </c>
      <c r="L148" s="48">
        <f>'8. Input IC huur Gasunie'!J101</f>
        <v>25541.383007029126</v>
      </c>
      <c r="M148" s="48">
        <f>'8. Input IC huur Gasunie'!K101</f>
        <v>0</v>
      </c>
    </row>
    <row r="149" spans="2:13">
      <c r="B149" s="43" t="str">
        <f>'8. Input IC huur Gasunie'!B102</f>
        <v>Asset 91</v>
      </c>
      <c r="F149" s="43" t="str">
        <f>'8. Input IC huur Gasunie'!F102</f>
        <v>11 Werktuigen</v>
      </c>
      <c r="G149" s="43">
        <f>'8. Input IC huur Gasunie'!G102</f>
        <v>2001</v>
      </c>
      <c r="H149" s="48">
        <f>'8. Input IC huur Gasunie'!H102</f>
        <v>11928.48</v>
      </c>
      <c r="I149" s="43">
        <f>'8. Input IC huur Gasunie'!I102</f>
        <v>2021</v>
      </c>
      <c r="J149" s="48">
        <f>_xlfn.XLOOKUP(F149,'3. Input (des)investeringen '!$B$11:$B$81,'3. Input (des)investeringen '!$D$11:$D$81)</f>
        <v>10</v>
      </c>
      <c r="K149" s="48">
        <f>_xlfn.XLOOKUP(F149,'3. Input (des)investeringen '!$B$11:$B$81,'3. Input (des)investeringen '!$E$11:$E$81)</f>
        <v>1</v>
      </c>
      <c r="L149" s="48">
        <f>'8. Input IC huur Gasunie'!J102</f>
        <v>0</v>
      </c>
      <c r="M149" s="48">
        <f>'8. Input IC huur Gasunie'!K102</f>
        <v>0</v>
      </c>
    </row>
    <row r="150" spans="2:13">
      <c r="B150" s="43" t="str">
        <f>'8. Input IC huur Gasunie'!B103</f>
        <v>Asset 92</v>
      </c>
      <c r="F150" s="43" t="str">
        <f>'8. Input IC huur Gasunie'!F103</f>
        <v>14 Overig rollend materieel</v>
      </c>
      <c r="G150" s="43">
        <f>'8. Input IC huur Gasunie'!G103</f>
        <v>2001</v>
      </c>
      <c r="H150" s="48">
        <f>'8. Input IC huur Gasunie'!H103</f>
        <v>70639.289999999994</v>
      </c>
      <c r="I150" s="43">
        <f>'8. Input IC huur Gasunie'!I103</f>
        <v>2021</v>
      </c>
      <c r="J150" s="48">
        <f>_xlfn.XLOOKUP(F150,'3. Input (des)investeringen '!$B$11:$B$81,'3. Input (des)investeringen '!$D$11:$D$81)</f>
        <v>10</v>
      </c>
      <c r="K150" s="48">
        <f>_xlfn.XLOOKUP(F150,'3. Input (des)investeringen '!$B$11:$B$81,'3. Input (des)investeringen '!$E$11:$E$81)</f>
        <v>1</v>
      </c>
      <c r="L150" s="48">
        <f>'8. Input IC huur Gasunie'!J103</f>
        <v>0</v>
      </c>
      <c r="M150" s="48">
        <f>'8. Input IC huur Gasunie'!K103</f>
        <v>0</v>
      </c>
    </row>
    <row r="151" spans="2:13">
      <c r="B151" s="43" t="str">
        <f>'8. Input IC huur Gasunie'!B104</f>
        <v>Asset 93</v>
      </c>
      <c r="F151" s="43" t="str">
        <f>'8. Input IC huur Gasunie'!F104</f>
        <v>09 Bedrijfsinventaris</v>
      </c>
      <c r="G151" s="43">
        <f>'8. Input IC huur Gasunie'!G104</f>
        <v>2001</v>
      </c>
      <c r="H151" s="48">
        <f>'8. Input IC huur Gasunie'!H104</f>
        <v>55051.729999999996</v>
      </c>
      <c r="I151" s="43">
        <f>'8. Input IC huur Gasunie'!I104</f>
        <v>2021</v>
      </c>
      <c r="J151" s="48">
        <f>_xlfn.XLOOKUP(F151,'3. Input (des)investeringen '!$B$11:$B$81,'3. Input (des)investeringen '!$D$11:$D$81)</f>
        <v>10</v>
      </c>
      <c r="K151" s="48">
        <f>_xlfn.XLOOKUP(F151,'3. Input (des)investeringen '!$B$11:$B$81,'3. Input (des)investeringen '!$E$11:$E$81)</f>
        <v>1</v>
      </c>
      <c r="L151" s="48">
        <f>'8. Input IC huur Gasunie'!J104</f>
        <v>0</v>
      </c>
      <c r="M151" s="48">
        <f>'8. Input IC huur Gasunie'!K104</f>
        <v>0</v>
      </c>
    </row>
    <row r="152" spans="2:13">
      <c r="B152" s="43" t="str">
        <f>'8. Input IC huur Gasunie'!B105</f>
        <v>Asset 94</v>
      </c>
      <c r="F152" s="43" t="str">
        <f>'8. Input IC huur Gasunie'!F105</f>
        <v>10 Gereedschap</v>
      </c>
      <c r="G152" s="43">
        <f>'8. Input IC huur Gasunie'!G105</f>
        <v>2002</v>
      </c>
      <c r="H152" s="48">
        <f>'8. Input IC huur Gasunie'!H105</f>
        <v>26546</v>
      </c>
      <c r="I152" s="43">
        <f>'8. Input IC huur Gasunie'!I105</f>
        <v>2021</v>
      </c>
      <c r="J152" s="48">
        <f>_xlfn.XLOOKUP(F152,'3. Input (des)investeringen '!$B$11:$B$81,'3. Input (des)investeringen '!$D$11:$D$81)</f>
        <v>10</v>
      </c>
      <c r="K152" s="48">
        <f>_xlfn.XLOOKUP(F152,'3. Input (des)investeringen '!$B$11:$B$81,'3. Input (des)investeringen '!$E$11:$E$81)</f>
        <v>1</v>
      </c>
      <c r="L152" s="48">
        <f>'8. Input IC huur Gasunie'!J105</f>
        <v>0</v>
      </c>
      <c r="M152" s="48">
        <f>'8. Input IC huur Gasunie'!K105</f>
        <v>0</v>
      </c>
    </row>
    <row r="153" spans="2:13">
      <c r="B153" s="43" t="str">
        <f>'8. Input IC huur Gasunie'!B106</f>
        <v>Asset 95</v>
      </c>
      <c r="F153" s="43" t="str">
        <f>'8. Input IC huur Gasunie'!F106</f>
        <v>03 Verremeting</v>
      </c>
      <c r="G153" s="43">
        <f>'8. Input IC huur Gasunie'!G106</f>
        <v>2001</v>
      </c>
      <c r="H153" s="48">
        <f>'8. Input IC huur Gasunie'!H106</f>
        <v>16968.61</v>
      </c>
      <c r="I153" s="43">
        <f>'8. Input IC huur Gasunie'!I106</f>
        <v>2021</v>
      </c>
      <c r="J153" s="48">
        <f>_xlfn.XLOOKUP(F153,'3. Input (des)investeringen '!$B$11:$B$81,'3. Input (des)investeringen '!$D$11:$D$81)</f>
        <v>5</v>
      </c>
      <c r="K153" s="48">
        <f>_xlfn.XLOOKUP(F153,'3. Input (des)investeringen '!$B$11:$B$81,'3. Input (des)investeringen '!$E$11:$E$81)</f>
        <v>1</v>
      </c>
      <c r="L153" s="48">
        <f>'8. Input IC huur Gasunie'!J106</f>
        <v>0</v>
      </c>
      <c r="M153" s="48">
        <f>'8. Input IC huur Gasunie'!K106</f>
        <v>0</v>
      </c>
    </row>
    <row r="154" spans="2:13">
      <c r="B154" s="43" t="str">
        <f>'8. Input IC huur Gasunie'!B107</f>
        <v>Asset 96</v>
      </c>
      <c r="F154" s="43" t="str">
        <f>'8. Input IC huur Gasunie'!F107</f>
        <v>08 Inrichting gebouwen</v>
      </c>
      <c r="G154" s="43">
        <f>'8. Input IC huur Gasunie'!G107</f>
        <v>2001</v>
      </c>
      <c r="H154" s="48">
        <f>'8. Input IC huur Gasunie'!H107</f>
        <v>7752.83</v>
      </c>
      <c r="I154" s="43">
        <f>'8. Input IC huur Gasunie'!I107</f>
        <v>2021</v>
      </c>
      <c r="J154" s="48">
        <f>_xlfn.XLOOKUP(F154,'3. Input (des)investeringen '!$B$11:$B$81,'3. Input (des)investeringen '!$D$11:$D$81)</f>
        <v>10</v>
      </c>
      <c r="K154" s="48">
        <f>_xlfn.XLOOKUP(F154,'3. Input (des)investeringen '!$B$11:$B$81,'3. Input (des)investeringen '!$E$11:$E$81)</f>
        <v>0</v>
      </c>
      <c r="L154" s="48">
        <f>'8. Input IC huur Gasunie'!J107</f>
        <v>0</v>
      </c>
      <c r="M154" s="48">
        <f>'8. Input IC huur Gasunie'!K107</f>
        <v>0</v>
      </c>
    </row>
    <row r="155" spans="2:13">
      <c r="B155" s="43" t="str">
        <f>'8. Input IC huur Gasunie'!B108</f>
        <v>Asset 97</v>
      </c>
      <c r="F155" s="43" t="str">
        <f>'8. Input IC huur Gasunie'!F108</f>
        <v>37 ICT middelen 1 (gaschromatografen en comptabele meting)</v>
      </c>
      <c r="G155" s="43">
        <f>'8. Input IC huur Gasunie'!G108</f>
        <v>2001</v>
      </c>
      <c r="H155" s="48">
        <f>'8. Input IC huur Gasunie'!H108</f>
        <v>757040.92</v>
      </c>
      <c r="I155" s="43">
        <f>'8. Input IC huur Gasunie'!I108</f>
        <v>2021</v>
      </c>
      <c r="J155" s="48">
        <f>_xlfn.XLOOKUP(F155,'3. Input (des)investeringen '!$B$11:$B$81,'3. Input (des)investeringen '!$D$11:$D$81)</f>
        <v>5</v>
      </c>
      <c r="K155" s="48">
        <f>_xlfn.XLOOKUP(F155,'3. Input (des)investeringen '!$B$11:$B$81,'3. Input (des)investeringen '!$E$11:$E$81)</f>
        <v>0</v>
      </c>
      <c r="L155" s="48">
        <f>'8. Input IC huur Gasunie'!J108</f>
        <v>0</v>
      </c>
      <c r="M155" s="48">
        <f>'8. Input IC huur Gasunie'!K108</f>
        <v>0</v>
      </c>
    </row>
    <row r="156" spans="2:13">
      <c r="B156" s="43" t="str">
        <f>'8. Input IC huur Gasunie'!B109</f>
        <v>Asset 98</v>
      </c>
      <c r="F156" s="43" t="str">
        <f>'8. Input IC huur Gasunie'!F109</f>
        <v>13 Aanhangwagens</v>
      </c>
      <c r="G156" s="43">
        <f>'8. Input IC huur Gasunie'!G109</f>
        <v>2001</v>
      </c>
      <c r="H156" s="48">
        <f>'8. Input IC huur Gasunie'!H109</f>
        <v>2746.92</v>
      </c>
      <c r="I156" s="43">
        <f>'8. Input IC huur Gasunie'!I109</f>
        <v>2021</v>
      </c>
      <c r="J156" s="48">
        <f>_xlfn.XLOOKUP(F156,'3. Input (des)investeringen '!$B$11:$B$81,'3. Input (des)investeringen '!$D$11:$D$81)</f>
        <v>10</v>
      </c>
      <c r="K156" s="48">
        <f>_xlfn.XLOOKUP(F156,'3. Input (des)investeringen '!$B$11:$B$81,'3. Input (des)investeringen '!$E$11:$E$81)</f>
        <v>1</v>
      </c>
      <c r="L156" s="48">
        <f>'8. Input IC huur Gasunie'!J109</f>
        <v>0</v>
      </c>
      <c r="M156" s="48">
        <f>'8. Input IC huur Gasunie'!K109</f>
        <v>0</v>
      </c>
    </row>
    <row r="157" spans="2:13">
      <c r="B157" s="43" t="str">
        <f>'8. Input IC huur Gasunie'!B110</f>
        <v>Asset 99</v>
      </c>
      <c r="F157" s="43" t="str">
        <f>'8. Input IC huur Gasunie'!F110</f>
        <v>11 Werktuigen</v>
      </c>
      <c r="G157" s="43">
        <f>'8. Input IC huur Gasunie'!G110</f>
        <v>2002</v>
      </c>
      <c r="H157" s="48">
        <f>'8. Input IC huur Gasunie'!H110</f>
        <v>108571.05</v>
      </c>
      <c r="I157" s="43">
        <f>'8. Input IC huur Gasunie'!I110</f>
        <v>2021</v>
      </c>
      <c r="J157" s="48">
        <f>_xlfn.XLOOKUP(F157,'3. Input (des)investeringen '!$B$11:$B$81,'3. Input (des)investeringen '!$D$11:$D$81)</f>
        <v>10</v>
      </c>
      <c r="K157" s="48">
        <f>_xlfn.XLOOKUP(F157,'3. Input (des)investeringen '!$B$11:$B$81,'3. Input (des)investeringen '!$E$11:$E$81)</f>
        <v>1</v>
      </c>
      <c r="L157" s="48">
        <f>'8. Input IC huur Gasunie'!J110</f>
        <v>0</v>
      </c>
      <c r="M157" s="48">
        <f>'8. Input IC huur Gasunie'!K110</f>
        <v>0</v>
      </c>
    </row>
    <row r="158" spans="2:13">
      <c r="B158" s="43" t="str">
        <f>'8. Input IC huur Gasunie'!B111</f>
        <v>Asset 100</v>
      </c>
      <c r="F158" s="43" t="str">
        <f>'8. Input IC huur Gasunie'!F111</f>
        <v>37 ICT middelen 1 (gaschromatografen en comptabele meting)</v>
      </c>
      <c r="G158" s="43">
        <f>'8. Input IC huur Gasunie'!G111</f>
        <v>2002</v>
      </c>
      <c r="H158" s="48">
        <f>'8. Input IC huur Gasunie'!H111</f>
        <v>27589.78</v>
      </c>
      <c r="I158" s="43">
        <f>'8. Input IC huur Gasunie'!I111</f>
        <v>2021</v>
      </c>
      <c r="J158" s="48">
        <f>_xlfn.XLOOKUP(F158,'3. Input (des)investeringen '!$B$11:$B$81,'3. Input (des)investeringen '!$D$11:$D$81)</f>
        <v>5</v>
      </c>
      <c r="K158" s="48">
        <f>_xlfn.XLOOKUP(F158,'3. Input (des)investeringen '!$B$11:$B$81,'3. Input (des)investeringen '!$E$11:$E$81)</f>
        <v>0</v>
      </c>
      <c r="L158" s="48">
        <f>'8. Input IC huur Gasunie'!J111</f>
        <v>0</v>
      </c>
      <c r="M158" s="48">
        <f>'8. Input IC huur Gasunie'!K111</f>
        <v>0</v>
      </c>
    </row>
    <row r="159" spans="2:13">
      <c r="B159" s="43" t="str">
        <f>'8. Input IC huur Gasunie'!B112</f>
        <v>Asset 101</v>
      </c>
      <c r="F159" s="43" t="str">
        <f>'8. Input IC huur Gasunie'!F112</f>
        <v>14 Overig rollend materieel</v>
      </c>
      <c r="G159" s="43">
        <f>'8. Input IC huur Gasunie'!G112</f>
        <v>2002</v>
      </c>
      <c r="H159" s="48">
        <f>'8. Input IC huur Gasunie'!H112</f>
        <v>7905</v>
      </c>
      <c r="I159" s="43">
        <f>'8. Input IC huur Gasunie'!I112</f>
        <v>2021</v>
      </c>
      <c r="J159" s="48">
        <f>_xlfn.XLOOKUP(F159,'3. Input (des)investeringen '!$B$11:$B$81,'3. Input (des)investeringen '!$D$11:$D$81)</f>
        <v>10</v>
      </c>
      <c r="K159" s="48">
        <f>_xlfn.XLOOKUP(F159,'3. Input (des)investeringen '!$B$11:$B$81,'3. Input (des)investeringen '!$E$11:$E$81)</f>
        <v>1</v>
      </c>
      <c r="L159" s="48">
        <f>'8. Input IC huur Gasunie'!J112</f>
        <v>0</v>
      </c>
      <c r="M159" s="48">
        <f>'8. Input IC huur Gasunie'!K112</f>
        <v>0</v>
      </c>
    </row>
    <row r="160" spans="2:13">
      <c r="B160" s="43" t="str">
        <f>'8. Input IC huur Gasunie'!B113</f>
        <v>Asset 102</v>
      </c>
      <c r="F160" s="43" t="str">
        <f>'8. Input IC huur Gasunie'!F113</f>
        <v>13 Aanhangwagens</v>
      </c>
      <c r="G160" s="43">
        <f>'8. Input IC huur Gasunie'!G113</f>
        <v>2002</v>
      </c>
      <c r="H160" s="48">
        <f>'8. Input IC huur Gasunie'!H113</f>
        <v>1243</v>
      </c>
      <c r="I160" s="43">
        <f>'8. Input IC huur Gasunie'!I113</f>
        <v>2021</v>
      </c>
      <c r="J160" s="48">
        <f>_xlfn.XLOOKUP(F160,'3. Input (des)investeringen '!$B$11:$B$81,'3. Input (des)investeringen '!$D$11:$D$81)</f>
        <v>10</v>
      </c>
      <c r="K160" s="48">
        <f>_xlfn.XLOOKUP(F160,'3. Input (des)investeringen '!$B$11:$B$81,'3. Input (des)investeringen '!$E$11:$E$81)</f>
        <v>1</v>
      </c>
      <c r="L160" s="48">
        <f>'8. Input IC huur Gasunie'!J113</f>
        <v>0</v>
      </c>
      <c r="M160" s="48">
        <f>'8. Input IC huur Gasunie'!K113</f>
        <v>0</v>
      </c>
    </row>
    <row r="161" spans="2:13">
      <c r="B161" s="43" t="str">
        <f>'8. Input IC huur Gasunie'!B114</f>
        <v>Asset 103</v>
      </c>
      <c r="F161" s="43" t="str">
        <f>'8. Input IC huur Gasunie'!F114</f>
        <v>06 Utiliteitsgebouwen</v>
      </c>
      <c r="G161" s="43">
        <f>'8. Input IC huur Gasunie'!G114</f>
        <v>2002</v>
      </c>
      <c r="H161" s="48">
        <f>'8. Input IC huur Gasunie'!H114</f>
        <v>68637.27</v>
      </c>
      <c r="I161" s="43">
        <f>'8. Input IC huur Gasunie'!I114</f>
        <v>2021</v>
      </c>
      <c r="J161" s="48">
        <f>_xlfn.XLOOKUP(F161,'3. Input (des)investeringen '!$B$11:$B$81,'3. Input (des)investeringen '!$D$11:$D$81)</f>
        <v>30</v>
      </c>
      <c r="K161" s="48">
        <f>_xlfn.XLOOKUP(F161,'3. Input (des)investeringen '!$B$11:$B$81,'3. Input (des)investeringen '!$E$11:$E$81)</f>
        <v>0</v>
      </c>
      <c r="L161" s="48">
        <f>'8. Input IC huur Gasunie'!J114</f>
        <v>33068.469795601901</v>
      </c>
      <c r="M161" s="48">
        <f>'8. Input IC huur Gasunie'!K114</f>
        <v>0</v>
      </c>
    </row>
    <row r="162" spans="2:13">
      <c r="B162" s="43" t="str">
        <f>'8. Input IC huur Gasunie'!B115</f>
        <v>Asset 104</v>
      </c>
      <c r="F162" s="43" t="str">
        <f>'8. Input IC huur Gasunie'!F115</f>
        <v>09 Bedrijfsinventaris</v>
      </c>
      <c r="G162" s="43">
        <f>'8. Input IC huur Gasunie'!G115</f>
        <v>2003</v>
      </c>
      <c r="H162" s="48">
        <f>'8. Input IC huur Gasunie'!H115</f>
        <v>108222.26</v>
      </c>
      <c r="I162" s="43">
        <f>'8. Input IC huur Gasunie'!I115</f>
        <v>2021</v>
      </c>
      <c r="J162" s="48">
        <f>_xlfn.XLOOKUP(F162,'3. Input (des)investeringen '!$B$11:$B$81,'3. Input (des)investeringen '!$D$11:$D$81)</f>
        <v>10</v>
      </c>
      <c r="K162" s="48">
        <f>_xlfn.XLOOKUP(F162,'3. Input (des)investeringen '!$B$11:$B$81,'3. Input (des)investeringen '!$E$11:$E$81)</f>
        <v>1</v>
      </c>
      <c r="L162" s="48">
        <f>'8. Input IC huur Gasunie'!J115</f>
        <v>0</v>
      </c>
      <c r="M162" s="48">
        <f>'8. Input IC huur Gasunie'!K115</f>
        <v>0</v>
      </c>
    </row>
    <row r="163" spans="2:13">
      <c r="B163" s="43" t="str">
        <f>'8. Input IC huur Gasunie'!B116</f>
        <v>Asset 105</v>
      </c>
      <c r="F163" s="43" t="str">
        <f>'8. Input IC huur Gasunie'!F116</f>
        <v>11 Werktuigen</v>
      </c>
      <c r="G163" s="43">
        <f>'8. Input IC huur Gasunie'!G116</f>
        <v>2003</v>
      </c>
      <c r="H163" s="48">
        <f>'8. Input IC huur Gasunie'!H116</f>
        <v>135681.9</v>
      </c>
      <c r="I163" s="43">
        <f>'8. Input IC huur Gasunie'!I116</f>
        <v>2021</v>
      </c>
      <c r="J163" s="48">
        <f>_xlfn.XLOOKUP(F163,'3. Input (des)investeringen '!$B$11:$B$81,'3. Input (des)investeringen '!$D$11:$D$81)</f>
        <v>10</v>
      </c>
      <c r="K163" s="48">
        <f>_xlfn.XLOOKUP(F163,'3. Input (des)investeringen '!$B$11:$B$81,'3. Input (des)investeringen '!$E$11:$E$81)</f>
        <v>1</v>
      </c>
      <c r="L163" s="48">
        <f>'8. Input IC huur Gasunie'!J116</f>
        <v>0</v>
      </c>
      <c r="M163" s="48">
        <f>'8. Input IC huur Gasunie'!K116</f>
        <v>0</v>
      </c>
    </row>
    <row r="164" spans="2:13">
      <c r="B164" s="43" t="str">
        <f>'8. Input IC huur Gasunie'!B117</f>
        <v>Asset 106</v>
      </c>
      <c r="F164" s="43" t="str">
        <f>'8. Input IC huur Gasunie'!F117</f>
        <v>37 ICT middelen 1</v>
      </c>
      <c r="G164" s="43">
        <f>'8. Input IC huur Gasunie'!G117</f>
        <v>2003</v>
      </c>
      <c r="H164" s="48">
        <f>'8. Input IC huur Gasunie'!H117</f>
        <v>869353.66999999993</v>
      </c>
      <c r="I164" s="43">
        <f>'8. Input IC huur Gasunie'!I117</f>
        <v>2021</v>
      </c>
      <c r="J164" s="48">
        <f>_xlfn.XLOOKUP(F164,'3. Input (des)investeringen '!$B$11:$B$81,'3. Input (des)investeringen '!$D$11:$D$81)</f>
        <v>5</v>
      </c>
      <c r="K164" s="48">
        <f>_xlfn.XLOOKUP(F164,'3. Input (des)investeringen '!$B$11:$B$81,'3. Input (des)investeringen '!$E$11:$E$81)</f>
        <v>1</v>
      </c>
      <c r="L164" s="48">
        <f>'8. Input IC huur Gasunie'!J117</f>
        <v>0</v>
      </c>
      <c r="M164" s="48">
        <f>'8. Input IC huur Gasunie'!K117</f>
        <v>0</v>
      </c>
    </row>
    <row r="165" spans="2:13">
      <c r="B165" s="43" t="str">
        <f>'8. Input IC huur Gasunie'!B118</f>
        <v>Asset 107</v>
      </c>
      <c r="F165" s="43" t="str">
        <f>'8. Input IC huur Gasunie'!F118</f>
        <v>37 ICT middelen 1 (gaschromatografen en comptabele meting)</v>
      </c>
      <c r="G165" s="43">
        <f>'8. Input IC huur Gasunie'!G118</f>
        <v>2003</v>
      </c>
      <c r="H165" s="48">
        <f>'8. Input IC huur Gasunie'!H118</f>
        <v>1210667.97</v>
      </c>
      <c r="I165" s="43">
        <f>'8. Input IC huur Gasunie'!I118</f>
        <v>2021</v>
      </c>
      <c r="J165" s="48">
        <f>_xlfn.XLOOKUP(F165,'3. Input (des)investeringen '!$B$11:$B$81,'3. Input (des)investeringen '!$D$11:$D$81)</f>
        <v>5</v>
      </c>
      <c r="K165" s="48">
        <f>_xlfn.XLOOKUP(F165,'3. Input (des)investeringen '!$B$11:$B$81,'3. Input (des)investeringen '!$E$11:$E$81)</f>
        <v>0</v>
      </c>
      <c r="L165" s="48">
        <f>'8. Input IC huur Gasunie'!J118</f>
        <v>0</v>
      </c>
      <c r="M165" s="48">
        <f>'8. Input IC huur Gasunie'!K118</f>
        <v>0</v>
      </c>
    </row>
    <row r="166" spans="2:13">
      <c r="B166" s="43" t="str">
        <f>'8. Input IC huur Gasunie'!B119</f>
        <v>Asset 108</v>
      </c>
      <c r="F166" s="43" t="str">
        <f>'8. Input IC huur Gasunie'!F119</f>
        <v>10 Gereedschap</v>
      </c>
      <c r="G166" s="43">
        <f>'8. Input IC huur Gasunie'!G119</f>
        <v>2003</v>
      </c>
      <c r="H166" s="48">
        <f>'8. Input IC huur Gasunie'!H119</f>
        <v>62325</v>
      </c>
      <c r="I166" s="43">
        <f>'8. Input IC huur Gasunie'!I119</f>
        <v>2021</v>
      </c>
      <c r="J166" s="48">
        <f>_xlfn.XLOOKUP(F166,'3. Input (des)investeringen '!$B$11:$B$81,'3. Input (des)investeringen '!$D$11:$D$81)</f>
        <v>10</v>
      </c>
      <c r="K166" s="48">
        <f>_xlfn.XLOOKUP(F166,'3. Input (des)investeringen '!$B$11:$B$81,'3. Input (des)investeringen '!$E$11:$E$81)</f>
        <v>1</v>
      </c>
      <c r="L166" s="48">
        <f>'8. Input IC huur Gasunie'!J119</f>
        <v>0</v>
      </c>
      <c r="M166" s="48">
        <f>'8. Input IC huur Gasunie'!K119</f>
        <v>0</v>
      </c>
    </row>
    <row r="167" spans="2:13">
      <c r="B167" s="43" t="str">
        <f>'8. Input IC huur Gasunie'!B120</f>
        <v>Asset 109</v>
      </c>
      <c r="F167" s="43" t="str">
        <f>'8. Input IC huur Gasunie'!F120</f>
        <v>06 Utiliteitsgebouwen</v>
      </c>
      <c r="G167" s="43">
        <f>'8. Input IC huur Gasunie'!G120</f>
        <v>2003</v>
      </c>
      <c r="H167" s="48">
        <f>'8. Input IC huur Gasunie'!H120</f>
        <v>206366.74</v>
      </c>
      <c r="I167" s="43">
        <f>'8. Input IC huur Gasunie'!I120</f>
        <v>2021</v>
      </c>
      <c r="J167" s="48">
        <f>_xlfn.XLOOKUP(F167,'3. Input (des)investeringen '!$B$11:$B$81,'3. Input (des)investeringen '!$D$11:$D$81)</f>
        <v>30</v>
      </c>
      <c r="K167" s="48">
        <f>_xlfn.XLOOKUP(F167,'3. Input (des)investeringen '!$B$11:$B$81,'3. Input (des)investeringen '!$E$11:$E$81)</f>
        <v>0</v>
      </c>
      <c r="L167" s="48">
        <f>'8. Input IC huur Gasunie'!J120</f>
        <v>105414.90479883776</v>
      </c>
      <c r="M167" s="48">
        <f>'8. Input IC huur Gasunie'!K120</f>
        <v>0</v>
      </c>
    </row>
    <row r="168" spans="2:13">
      <c r="B168" s="43" t="str">
        <f>'8. Input IC huur Gasunie'!B121</f>
        <v>Asset 110</v>
      </c>
      <c r="F168" s="43" t="str">
        <f>'8. Input IC huur Gasunie'!F121</f>
        <v>13 Aanhangwagens</v>
      </c>
      <c r="G168" s="43">
        <f>'8. Input IC huur Gasunie'!G121</f>
        <v>2003</v>
      </c>
      <c r="H168" s="48">
        <f>'8. Input IC huur Gasunie'!H121</f>
        <v>1830.54</v>
      </c>
      <c r="I168" s="43">
        <f>'8. Input IC huur Gasunie'!I121</f>
        <v>2021</v>
      </c>
      <c r="J168" s="48">
        <f>_xlfn.XLOOKUP(F168,'3. Input (des)investeringen '!$B$11:$B$81,'3. Input (des)investeringen '!$D$11:$D$81)</f>
        <v>10</v>
      </c>
      <c r="K168" s="48">
        <f>_xlfn.XLOOKUP(F168,'3. Input (des)investeringen '!$B$11:$B$81,'3. Input (des)investeringen '!$E$11:$E$81)</f>
        <v>1</v>
      </c>
      <c r="L168" s="48">
        <f>'8. Input IC huur Gasunie'!J121</f>
        <v>0</v>
      </c>
      <c r="M168" s="48">
        <f>'8. Input IC huur Gasunie'!K121</f>
        <v>0</v>
      </c>
    </row>
    <row r="169" spans="2:13">
      <c r="B169" s="43" t="str">
        <f>'8. Input IC huur Gasunie'!B122</f>
        <v>Asset 111</v>
      </c>
      <c r="F169" s="43" t="str">
        <f>'8. Input IC huur Gasunie'!F122</f>
        <v>37 ICT middelen 1</v>
      </c>
      <c r="G169" s="43">
        <f>'8. Input IC huur Gasunie'!G122</f>
        <v>2004</v>
      </c>
      <c r="H169" s="48">
        <f>'8. Input IC huur Gasunie'!H122</f>
        <v>2583848.4300000002</v>
      </c>
      <c r="I169" s="43">
        <f>'8. Input IC huur Gasunie'!I122</f>
        <v>2021</v>
      </c>
      <c r="J169" s="48">
        <f>_xlfn.XLOOKUP(F169,'3. Input (des)investeringen '!$B$11:$B$81,'3. Input (des)investeringen '!$D$11:$D$81)</f>
        <v>5</v>
      </c>
      <c r="K169" s="48">
        <f>_xlfn.XLOOKUP(F169,'3. Input (des)investeringen '!$B$11:$B$81,'3. Input (des)investeringen '!$E$11:$E$81)</f>
        <v>1</v>
      </c>
      <c r="L169" s="48">
        <f>'8. Input IC huur Gasunie'!J122</f>
        <v>0</v>
      </c>
      <c r="M169" s="48">
        <f>'8. Input IC huur Gasunie'!K122</f>
        <v>0</v>
      </c>
    </row>
    <row r="170" spans="2:13">
      <c r="B170" s="43" t="str">
        <f>'8. Input IC huur Gasunie'!B123</f>
        <v>Asset 112</v>
      </c>
      <c r="F170" s="43" t="str">
        <f>'8. Input IC huur Gasunie'!F123</f>
        <v>37 ICT middelen 1 (gaschromatografen en comptabele meting)</v>
      </c>
      <c r="G170" s="43">
        <f>'8. Input IC huur Gasunie'!G123</f>
        <v>2004</v>
      </c>
      <c r="H170" s="48">
        <f>'8. Input IC huur Gasunie'!H123</f>
        <v>263122.5</v>
      </c>
      <c r="I170" s="43">
        <f>'8. Input IC huur Gasunie'!I123</f>
        <v>2021</v>
      </c>
      <c r="J170" s="48">
        <f>_xlfn.XLOOKUP(F170,'3. Input (des)investeringen '!$B$11:$B$81,'3. Input (des)investeringen '!$D$11:$D$81)</f>
        <v>5</v>
      </c>
      <c r="K170" s="48">
        <f>_xlfn.XLOOKUP(F170,'3. Input (des)investeringen '!$B$11:$B$81,'3. Input (des)investeringen '!$E$11:$E$81)</f>
        <v>0</v>
      </c>
      <c r="L170" s="48">
        <f>'8. Input IC huur Gasunie'!J123</f>
        <v>0</v>
      </c>
      <c r="M170" s="48">
        <f>'8. Input IC huur Gasunie'!K123</f>
        <v>0</v>
      </c>
    </row>
    <row r="171" spans="2:13">
      <c r="B171" s="43" t="str">
        <f>'8. Input IC huur Gasunie'!B124</f>
        <v>Asset 113</v>
      </c>
      <c r="F171" s="43" t="str">
        <f>'8. Input IC huur Gasunie'!F124</f>
        <v>09 Bedrijfsinventaris</v>
      </c>
      <c r="G171" s="43">
        <f>'8. Input IC huur Gasunie'!G124</f>
        <v>2004</v>
      </c>
      <c r="H171" s="48">
        <f>'8. Input IC huur Gasunie'!H124</f>
        <v>142655</v>
      </c>
      <c r="I171" s="43">
        <f>'8. Input IC huur Gasunie'!I124</f>
        <v>2021</v>
      </c>
      <c r="J171" s="48">
        <f>_xlfn.XLOOKUP(F171,'3. Input (des)investeringen '!$B$11:$B$81,'3. Input (des)investeringen '!$D$11:$D$81)</f>
        <v>10</v>
      </c>
      <c r="K171" s="48">
        <f>_xlfn.XLOOKUP(F171,'3. Input (des)investeringen '!$B$11:$B$81,'3. Input (des)investeringen '!$E$11:$E$81)</f>
        <v>1</v>
      </c>
      <c r="L171" s="48">
        <f>'8. Input IC huur Gasunie'!J124</f>
        <v>0</v>
      </c>
      <c r="M171" s="48">
        <f>'8. Input IC huur Gasunie'!K124</f>
        <v>0</v>
      </c>
    </row>
    <row r="172" spans="2:13">
      <c r="B172" s="43" t="str">
        <f>'8. Input IC huur Gasunie'!B125</f>
        <v>Asset 114</v>
      </c>
      <c r="F172" s="43" t="str">
        <f>'8. Input IC huur Gasunie'!F125</f>
        <v>11 Werktuigen</v>
      </c>
      <c r="G172" s="43">
        <f>'8. Input IC huur Gasunie'!G125</f>
        <v>2004</v>
      </c>
      <c r="H172" s="48">
        <f>'8. Input IC huur Gasunie'!H125</f>
        <v>77020.09</v>
      </c>
      <c r="I172" s="43">
        <f>'8. Input IC huur Gasunie'!I125</f>
        <v>2021</v>
      </c>
      <c r="J172" s="48">
        <f>_xlfn.XLOOKUP(F172,'3. Input (des)investeringen '!$B$11:$B$81,'3. Input (des)investeringen '!$D$11:$D$81)</f>
        <v>10</v>
      </c>
      <c r="K172" s="48">
        <f>_xlfn.XLOOKUP(F172,'3. Input (des)investeringen '!$B$11:$B$81,'3. Input (des)investeringen '!$E$11:$E$81)</f>
        <v>1</v>
      </c>
      <c r="L172" s="48">
        <f>'8. Input IC huur Gasunie'!J125</f>
        <v>0</v>
      </c>
      <c r="M172" s="48">
        <f>'8. Input IC huur Gasunie'!K125</f>
        <v>0</v>
      </c>
    </row>
    <row r="173" spans="2:13">
      <c r="B173" s="43" t="str">
        <f>'8. Input IC huur Gasunie'!B126</f>
        <v>Asset 115</v>
      </c>
      <c r="F173" s="43" t="str">
        <f>'8. Input IC huur Gasunie'!F126</f>
        <v>14 Overig rollend materieel</v>
      </c>
      <c r="G173" s="43">
        <f>'8. Input IC huur Gasunie'!G126</f>
        <v>2004</v>
      </c>
      <c r="H173" s="48">
        <f>'8. Input IC huur Gasunie'!H126</f>
        <v>195332.07</v>
      </c>
      <c r="I173" s="43">
        <f>'8. Input IC huur Gasunie'!I126</f>
        <v>2021</v>
      </c>
      <c r="J173" s="48">
        <f>_xlfn.XLOOKUP(F173,'3. Input (des)investeringen '!$B$11:$B$81,'3. Input (des)investeringen '!$D$11:$D$81)</f>
        <v>10</v>
      </c>
      <c r="K173" s="48">
        <f>_xlfn.XLOOKUP(F173,'3. Input (des)investeringen '!$B$11:$B$81,'3. Input (des)investeringen '!$E$11:$E$81)</f>
        <v>1</v>
      </c>
      <c r="L173" s="48">
        <f>'8. Input IC huur Gasunie'!J126</f>
        <v>0</v>
      </c>
      <c r="M173" s="48">
        <f>'8. Input IC huur Gasunie'!K126</f>
        <v>0</v>
      </c>
    </row>
    <row r="174" spans="2:13">
      <c r="B174" s="43" t="str">
        <f>'8. Input IC huur Gasunie'!B127</f>
        <v>Asset 116</v>
      </c>
      <c r="F174" s="43" t="str">
        <f>'8. Input IC huur Gasunie'!F127</f>
        <v>13 Aanhangwagens</v>
      </c>
      <c r="G174" s="43">
        <f>'8. Input IC huur Gasunie'!G127</f>
        <v>2004</v>
      </c>
      <c r="H174" s="48">
        <f>'8. Input IC huur Gasunie'!H127</f>
        <v>1265</v>
      </c>
      <c r="I174" s="43">
        <f>'8. Input IC huur Gasunie'!I127</f>
        <v>2021</v>
      </c>
      <c r="J174" s="48">
        <f>_xlfn.XLOOKUP(F174,'3. Input (des)investeringen '!$B$11:$B$81,'3. Input (des)investeringen '!$D$11:$D$81)</f>
        <v>10</v>
      </c>
      <c r="K174" s="48">
        <f>_xlfn.XLOOKUP(F174,'3. Input (des)investeringen '!$B$11:$B$81,'3. Input (des)investeringen '!$E$11:$E$81)</f>
        <v>1</v>
      </c>
      <c r="L174" s="48">
        <f>'8. Input IC huur Gasunie'!J127</f>
        <v>0</v>
      </c>
      <c r="M174" s="48">
        <f>'8. Input IC huur Gasunie'!K127</f>
        <v>0</v>
      </c>
    </row>
    <row r="175" spans="2:13">
      <c r="B175" s="43" t="str">
        <f>'8. Input IC huur Gasunie'!B128</f>
        <v>Asset 117</v>
      </c>
      <c r="F175" s="43" t="str">
        <f>'8. Input IC huur Gasunie'!F128</f>
        <v>08 Inrichting gebouwen</v>
      </c>
      <c r="G175" s="43">
        <f>'8. Input IC huur Gasunie'!G128</f>
        <v>2004</v>
      </c>
      <c r="H175" s="48">
        <f>'8. Input IC huur Gasunie'!H128</f>
        <v>62865.23</v>
      </c>
      <c r="I175" s="43">
        <f>'8. Input IC huur Gasunie'!I128</f>
        <v>2021</v>
      </c>
      <c r="J175" s="48">
        <f>_xlfn.XLOOKUP(F175,'3. Input (des)investeringen '!$B$11:$B$81,'3. Input (des)investeringen '!$D$11:$D$81)</f>
        <v>10</v>
      </c>
      <c r="K175" s="48">
        <f>_xlfn.XLOOKUP(F175,'3. Input (des)investeringen '!$B$11:$B$81,'3. Input (des)investeringen '!$E$11:$E$81)</f>
        <v>0</v>
      </c>
      <c r="L175" s="48">
        <f>'8. Input IC huur Gasunie'!J128</f>
        <v>0</v>
      </c>
      <c r="M175" s="48">
        <f>'8. Input IC huur Gasunie'!K128</f>
        <v>0</v>
      </c>
    </row>
    <row r="176" spans="2:13">
      <c r="B176" s="43" t="str">
        <f>'8. Input IC huur Gasunie'!B129</f>
        <v>Asset 118</v>
      </c>
      <c r="F176" s="43" t="str">
        <f>'8. Input IC huur Gasunie'!F129</f>
        <v>12 Motorvoertuigen</v>
      </c>
      <c r="G176" s="43">
        <f>'8. Input IC huur Gasunie'!G129</f>
        <v>2004</v>
      </c>
      <c r="H176" s="48">
        <f>'8. Input IC huur Gasunie'!H129</f>
        <v>47369.03</v>
      </c>
      <c r="I176" s="43">
        <f>'8. Input IC huur Gasunie'!I129</f>
        <v>2021</v>
      </c>
      <c r="J176" s="48">
        <f>_xlfn.XLOOKUP(F176,'3. Input (des)investeringen '!$B$11:$B$81,'3. Input (des)investeringen '!$D$11:$D$81)</f>
        <v>10</v>
      </c>
      <c r="K176" s="48">
        <f>_xlfn.XLOOKUP(F176,'3. Input (des)investeringen '!$B$11:$B$81,'3. Input (des)investeringen '!$E$11:$E$81)</f>
        <v>1</v>
      </c>
      <c r="L176" s="48">
        <f>'8. Input IC huur Gasunie'!J129</f>
        <v>0</v>
      </c>
      <c r="M176" s="48">
        <f>'8. Input IC huur Gasunie'!K129</f>
        <v>0</v>
      </c>
    </row>
    <row r="177" spans="2:13">
      <c r="B177" s="43" t="str">
        <f>'8. Input IC huur Gasunie'!B130</f>
        <v>Asset 119</v>
      </c>
      <c r="F177" s="43" t="str">
        <f>'8. Input IC huur Gasunie'!F130</f>
        <v>06 Utiliteitsgebouwen</v>
      </c>
      <c r="G177" s="43">
        <f>'8. Input IC huur Gasunie'!G130</f>
        <v>2005</v>
      </c>
      <c r="H177" s="48">
        <f>'8. Input IC huur Gasunie'!H130</f>
        <v>13716.41</v>
      </c>
      <c r="I177" s="43">
        <f>'8. Input IC huur Gasunie'!I130</f>
        <v>2021</v>
      </c>
      <c r="J177" s="48">
        <f>_xlfn.XLOOKUP(F177,'3. Input (des)investeringen '!$B$11:$B$81,'3. Input (des)investeringen '!$D$11:$D$81)</f>
        <v>30</v>
      </c>
      <c r="K177" s="48">
        <f>_xlfn.XLOOKUP(F177,'3. Input (des)investeringen '!$B$11:$B$81,'3. Input (des)investeringen '!$E$11:$E$81)</f>
        <v>0</v>
      </c>
      <c r="L177" s="48">
        <f>'8. Input IC huur Gasunie'!J130</f>
        <v>7968.2289834864932</v>
      </c>
      <c r="M177" s="48">
        <f>'8. Input IC huur Gasunie'!K130</f>
        <v>0</v>
      </c>
    </row>
    <row r="178" spans="2:13">
      <c r="B178" s="43" t="str">
        <f>'8. Input IC huur Gasunie'!B131</f>
        <v>Asset 120</v>
      </c>
      <c r="F178" s="43" t="str">
        <f>'8. Input IC huur Gasunie'!F131</f>
        <v>13 Aanhangwagens</v>
      </c>
      <c r="G178" s="43">
        <f>'8. Input IC huur Gasunie'!G131</f>
        <v>2005</v>
      </c>
      <c r="H178" s="48">
        <f>'8. Input IC huur Gasunie'!H131</f>
        <v>5690.5</v>
      </c>
      <c r="I178" s="43">
        <f>'8. Input IC huur Gasunie'!I131</f>
        <v>2021</v>
      </c>
      <c r="J178" s="48">
        <f>_xlfn.XLOOKUP(F178,'3. Input (des)investeringen '!$B$11:$B$81,'3. Input (des)investeringen '!$D$11:$D$81)</f>
        <v>10</v>
      </c>
      <c r="K178" s="48">
        <f>_xlfn.XLOOKUP(F178,'3. Input (des)investeringen '!$B$11:$B$81,'3. Input (des)investeringen '!$E$11:$E$81)</f>
        <v>1</v>
      </c>
      <c r="L178" s="48">
        <f>'8. Input IC huur Gasunie'!J131</f>
        <v>0</v>
      </c>
      <c r="M178" s="48">
        <f>'8. Input IC huur Gasunie'!K131</f>
        <v>0</v>
      </c>
    </row>
    <row r="179" spans="2:13">
      <c r="B179" s="43" t="str">
        <f>'8. Input IC huur Gasunie'!B132</f>
        <v>Asset 121</v>
      </c>
      <c r="F179" s="43" t="str">
        <f>'8. Input IC huur Gasunie'!F132</f>
        <v>08 Inrichting gebouwen</v>
      </c>
      <c r="G179" s="43">
        <f>'8. Input IC huur Gasunie'!G132</f>
        <v>2005</v>
      </c>
      <c r="H179" s="48">
        <f>'8. Input IC huur Gasunie'!H132</f>
        <v>149702.98000000001</v>
      </c>
      <c r="I179" s="43">
        <f>'8. Input IC huur Gasunie'!I132</f>
        <v>2021</v>
      </c>
      <c r="J179" s="48">
        <f>_xlfn.XLOOKUP(F179,'3. Input (des)investeringen '!$B$11:$B$81,'3. Input (des)investeringen '!$D$11:$D$81)</f>
        <v>10</v>
      </c>
      <c r="K179" s="48">
        <f>_xlfn.XLOOKUP(F179,'3. Input (des)investeringen '!$B$11:$B$81,'3. Input (des)investeringen '!$E$11:$E$81)</f>
        <v>0</v>
      </c>
      <c r="L179" s="48">
        <f>'8. Input IC huur Gasunie'!J132</f>
        <v>0</v>
      </c>
      <c r="M179" s="48">
        <f>'8. Input IC huur Gasunie'!K132</f>
        <v>0</v>
      </c>
    </row>
    <row r="180" spans="2:13">
      <c r="B180" s="43" t="str">
        <f>'8. Input IC huur Gasunie'!B133</f>
        <v>Asset 122</v>
      </c>
      <c r="F180" s="43" t="str">
        <f>'8. Input IC huur Gasunie'!F133</f>
        <v>12 Motorvoertuigen</v>
      </c>
      <c r="G180" s="43">
        <f>'8. Input IC huur Gasunie'!G133</f>
        <v>2005</v>
      </c>
      <c r="H180" s="48">
        <f>'8. Input IC huur Gasunie'!H133</f>
        <v>144500</v>
      </c>
      <c r="I180" s="43">
        <f>'8. Input IC huur Gasunie'!I133</f>
        <v>2021</v>
      </c>
      <c r="J180" s="48">
        <f>_xlfn.XLOOKUP(F180,'3. Input (des)investeringen '!$B$11:$B$81,'3. Input (des)investeringen '!$D$11:$D$81)</f>
        <v>10</v>
      </c>
      <c r="K180" s="48">
        <f>_xlfn.XLOOKUP(F180,'3. Input (des)investeringen '!$B$11:$B$81,'3. Input (des)investeringen '!$E$11:$E$81)</f>
        <v>1</v>
      </c>
      <c r="L180" s="48">
        <f>'8. Input IC huur Gasunie'!J133</f>
        <v>0</v>
      </c>
      <c r="M180" s="48">
        <f>'8. Input IC huur Gasunie'!K133</f>
        <v>0</v>
      </c>
    </row>
    <row r="181" spans="2:13">
      <c r="B181" s="43" t="str">
        <f>'8. Input IC huur Gasunie'!B134</f>
        <v>Asset 123</v>
      </c>
      <c r="F181" s="43" t="str">
        <f>'8. Input IC huur Gasunie'!F134</f>
        <v>09 Bedrijfsinventaris</v>
      </c>
      <c r="G181" s="43">
        <f>'8. Input IC huur Gasunie'!G134</f>
        <v>2005</v>
      </c>
      <c r="H181" s="48">
        <f>'8. Input IC huur Gasunie'!H134</f>
        <v>22500</v>
      </c>
      <c r="I181" s="43">
        <f>'8. Input IC huur Gasunie'!I134</f>
        <v>2021</v>
      </c>
      <c r="J181" s="48">
        <f>_xlfn.XLOOKUP(F181,'3. Input (des)investeringen '!$B$11:$B$81,'3. Input (des)investeringen '!$D$11:$D$81)</f>
        <v>10</v>
      </c>
      <c r="K181" s="48">
        <f>_xlfn.XLOOKUP(F181,'3. Input (des)investeringen '!$B$11:$B$81,'3. Input (des)investeringen '!$E$11:$E$81)</f>
        <v>1</v>
      </c>
      <c r="L181" s="48">
        <f>'8. Input IC huur Gasunie'!J134</f>
        <v>0</v>
      </c>
      <c r="M181" s="48">
        <f>'8. Input IC huur Gasunie'!K134</f>
        <v>0</v>
      </c>
    </row>
    <row r="182" spans="2:13">
      <c r="B182" s="43" t="str">
        <f>'8. Input IC huur Gasunie'!B135</f>
        <v>Asset 124</v>
      </c>
      <c r="F182" s="43" t="str">
        <f>'8. Input IC huur Gasunie'!F135</f>
        <v>14 Overig rollend materieel</v>
      </c>
      <c r="G182" s="43">
        <f>'8. Input IC huur Gasunie'!G135</f>
        <v>2006</v>
      </c>
      <c r="H182" s="48">
        <f>'8. Input IC huur Gasunie'!H135</f>
        <v>23374</v>
      </c>
      <c r="I182" s="43">
        <f>'8. Input IC huur Gasunie'!I135</f>
        <v>2021</v>
      </c>
      <c r="J182" s="48">
        <f>_xlfn.XLOOKUP(F182,'3. Input (des)investeringen '!$B$11:$B$81,'3. Input (des)investeringen '!$D$11:$D$81)</f>
        <v>10</v>
      </c>
      <c r="K182" s="48">
        <f>_xlfn.XLOOKUP(F182,'3. Input (des)investeringen '!$B$11:$B$81,'3. Input (des)investeringen '!$E$11:$E$81)</f>
        <v>1</v>
      </c>
      <c r="L182" s="48">
        <f>'8. Input IC huur Gasunie'!J135</f>
        <v>0</v>
      </c>
      <c r="M182" s="48">
        <f>'8. Input IC huur Gasunie'!K135</f>
        <v>0</v>
      </c>
    </row>
    <row r="183" spans="2:13">
      <c r="B183" s="43" t="str">
        <f>'8. Input IC huur Gasunie'!B136</f>
        <v>Asset 125</v>
      </c>
      <c r="F183" s="43" t="str">
        <f>'8. Input IC huur Gasunie'!F136</f>
        <v>06 Utiliteitsgebouwen</v>
      </c>
      <c r="G183" s="43">
        <f>'8. Input IC huur Gasunie'!G136</f>
        <v>2006</v>
      </c>
      <c r="H183" s="48">
        <f>'8. Input IC huur Gasunie'!H136</f>
        <v>216791.4</v>
      </c>
      <c r="I183" s="43">
        <f>'8. Input IC huur Gasunie'!I136</f>
        <v>2021</v>
      </c>
      <c r="J183" s="48">
        <f>_xlfn.XLOOKUP(F183,'3. Input (des)investeringen '!$B$11:$B$81,'3. Input (des)investeringen '!$D$11:$D$81)</f>
        <v>30</v>
      </c>
      <c r="K183" s="48">
        <f>_xlfn.XLOOKUP(F183,'3. Input (des)investeringen '!$B$11:$B$81,'3. Input (des)investeringen '!$E$11:$E$81)</f>
        <v>0</v>
      </c>
      <c r="L183" s="48">
        <f>'8. Input IC huur Gasunie'!J136</f>
        <v>132877.0119526372</v>
      </c>
      <c r="M183" s="48">
        <f>'8. Input IC huur Gasunie'!K136</f>
        <v>0</v>
      </c>
    </row>
    <row r="184" spans="2:13">
      <c r="B184" s="43" t="str">
        <f>'8. Input IC huur Gasunie'!B137</f>
        <v>Asset 126</v>
      </c>
      <c r="F184" s="43" t="str">
        <f>'8. Input IC huur Gasunie'!F137</f>
        <v>11 Werktuigen</v>
      </c>
      <c r="G184" s="43">
        <f>'8. Input IC huur Gasunie'!G137</f>
        <v>2006</v>
      </c>
      <c r="H184" s="48">
        <f>'8. Input IC huur Gasunie'!H137</f>
        <v>39984.959999999999</v>
      </c>
      <c r="I184" s="43">
        <f>'8. Input IC huur Gasunie'!I137</f>
        <v>2021</v>
      </c>
      <c r="J184" s="48">
        <f>_xlfn.XLOOKUP(F184,'3. Input (des)investeringen '!$B$11:$B$81,'3. Input (des)investeringen '!$D$11:$D$81)</f>
        <v>10</v>
      </c>
      <c r="K184" s="48">
        <f>_xlfn.XLOOKUP(F184,'3. Input (des)investeringen '!$B$11:$B$81,'3. Input (des)investeringen '!$E$11:$E$81)</f>
        <v>1</v>
      </c>
      <c r="L184" s="48">
        <f>'8. Input IC huur Gasunie'!J137</f>
        <v>0</v>
      </c>
      <c r="M184" s="48">
        <f>'8. Input IC huur Gasunie'!K137</f>
        <v>0</v>
      </c>
    </row>
    <row r="185" spans="2:13">
      <c r="B185" s="43" t="str">
        <f>'8. Input IC huur Gasunie'!B138</f>
        <v>Asset 127</v>
      </c>
      <c r="F185" s="43" t="str">
        <f>'8. Input IC huur Gasunie'!F138</f>
        <v>06 Utiliteitsgebouwen</v>
      </c>
      <c r="G185" s="43">
        <f>'8. Input IC huur Gasunie'!G138</f>
        <v>2007</v>
      </c>
      <c r="H185" s="48">
        <f>'8. Input IC huur Gasunie'!H138</f>
        <v>25858.771191949236</v>
      </c>
      <c r="I185" s="43">
        <f>'8. Input IC huur Gasunie'!I138</f>
        <v>2021</v>
      </c>
      <c r="J185" s="48">
        <f>_xlfn.XLOOKUP(F185,'3. Input (des)investeringen '!$B$11:$B$81,'3. Input (des)investeringen '!$D$11:$D$81)</f>
        <v>30</v>
      </c>
      <c r="K185" s="48">
        <f>_xlfn.XLOOKUP(F185,'3. Input (des)investeringen '!$B$11:$B$81,'3. Input (des)investeringen '!$E$11:$E$81)</f>
        <v>0</v>
      </c>
      <c r="L185" s="48">
        <f>'8. Input IC huur Gasunie'!J138</f>
        <v>16708.652536273155</v>
      </c>
      <c r="M185" s="48">
        <f>'8. Input IC huur Gasunie'!K138</f>
        <v>0</v>
      </c>
    </row>
    <row r="186" spans="2:13">
      <c r="B186" s="43" t="str">
        <f>'8. Input IC huur Gasunie'!B139</f>
        <v>Asset 128</v>
      </c>
      <c r="F186" s="43" t="str">
        <f>'8. Input IC huur Gasunie'!F139</f>
        <v>11 Werktuigen</v>
      </c>
      <c r="G186" s="43">
        <f>'8. Input IC huur Gasunie'!G139</f>
        <v>2007</v>
      </c>
      <c r="H186" s="48">
        <f>'8. Input IC huur Gasunie'!H139</f>
        <v>1088351.8199999998</v>
      </c>
      <c r="I186" s="43">
        <f>'8. Input IC huur Gasunie'!I139</f>
        <v>2021</v>
      </c>
      <c r="J186" s="48">
        <f>_xlfn.XLOOKUP(F186,'3. Input (des)investeringen '!$B$11:$B$81,'3. Input (des)investeringen '!$D$11:$D$81)</f>
        <v>10</v>
      </c>
      <c r="K186" s="48">
        <f>_xlfn.XLOOKUP(F186,'3. Input (des)investeringen '!$B$11:$B$81,'3. Input (des)investeringen '!$E$11:$E$81)</f>
        <v>1</v>
      </c>
      <c r="L186" s="48">
        <f>'8. Input IC huur Gasunie'!J139</f>
        <v>0</v>
      </c>
      <c r="M186" s="48">
        <f>'8. Input IC huur Gasunie'!K139</f>
        <v>0</v>
      </c>
    </row>
    <row r="187" spans="2:13">
      <c r="B187" s="43" t="str">
        <f>'8. Input IC huur Gasunie'!B140</f>
        <v>Asset 129</v>
      </c>
      <c r="F187" s="43" t="str">
        <f>'8. Input IC huur Gasunie'!F140</f>
        <v>14 Overig rollend materieel</v>
      </c>
      <c r="G187" s="43">
        <f>'8. Input IC huur Gasunie'!G140</f>
        <v>2007</v>
      </c>
      <c r="H187" s="48">
        <f>'8. Input IC huur Gasunie'!H140</f>
        <v>661943.85</v>
      </c>
      <c r="I187" s="43">
        <f>'8. Input IC huur Gasunie'!I140</f>
        <v>2021</v>
      </c>
      <c r="J187" s="48">
        <f>_xlfn.XLOOKUP(F187,'3. Input (des)investeringen '!$B$11:$B$81,'3. Input (des)investeringen '!$D$11:$D$81)</f>
        <v>10</v>
      </c>
      <c r="K187" s="48">
        <f>_xlfn.XLOOKUP(F187,'3. Input (des)investeringen '!$B$11:$B$81,'3. Input (des)investeringen '!$E$11:$E$81)</f>
        <v>1</v>
      </c>
      <c r="L187" s="48">
        <f>'8. Input IC huur Gasunie'!J140</f>
        <v>0</v>
      </c>
      <c r="M187" s="48">
        <f>'8. Input IC huur Gasunie'!K140</f>
        <v>0</v>
      </c>
    </row>
    <row r="188" spans="2:13">
      <c r="B188" s="43" t="str">
        <f>'8. Input IC huur Gasunie'!B141</f>
        <v>Asset 130</v>
      </c>
      <c r="F188" s="43" t="str">
        <f>'8. Input IC huur Gasunie'!F141</f>
        <v>12 Motorvoertuigen</v>
      </c>
      <c r="G188" s="43">
        <f>'8. Input IC huur Gasunie'!G141</f>
        <v>2007</v>
      </c>
      <c r="H188" s="48">
        <f>'8. Input IC huur Gasunie'!H141</f>
        <v>154091.65000000002</v>
      </c>
      <c r="I188" s="43">
        <f>'8. Input IC huur Gasunie'!I141</f>
        <v>2021</v>
      </c>
      <c r="J188" s="48">
        <f>_xlfn.XLOOKUP(F188,'3. Input (des)investeringen '!$B$11:$B$81,'3. Input (des)investeringen '!$D$11:$D$81)</f>
        <v>10</v>
      </c>
      <c r="K188" s="48">
        <f>_xlfn.XLOOKUP(F188,'3. Input (des)investeringen '!$B$11:$B$81,'3. Input (des)investeringen '!$E$11:$E$81)</f>
        <v>1</v>
      </c>
      <c r="L188" s="48">
        <f>'8. Input IC huur Gasunie'!J141</f>
        <v>0</v>
      </c>
      <c r="M188" s="48">
        <f>'8. Input IC huur Gasunie'!K141</f>
        <v>0</v>
      </c>
    </row>
    <row r="189" spans="2:13">
      <c r="B189" s="43" t="str">
        <f>'8. Input IC huur Gasunie'!B142</f>
        <v>Asset 131</v>
      </c>
      <c r="F189" s="43" t="str">
        <f>'8. Input IC huur Gasunie'!F142</f>
        <v>05 Wegen en terreinvoorzieningen</v>
      </c>
      <c r="G189" s="43">
        <f>'8. Input IC huur Gasunie'!G142</f>
        <v>2007</v>
      </c>
      <c r="H189" s="48">
        <f>'8. Input IC huur Gasunie'!H142</f>
        <v>79744.08</v>
      </c>
      <c r="I189" s="43">
        <f>'8. Input IC huur Gasunie'!I142</f>
        <v>2021</v>
      </c>
      <c r="J189" s="48">
        <f>_xlfn.XLOOKUP(F189,'3. Input (des)investeringen '!$B$11:$B$81,'3. Input (des)investeringen '!$D$11:$D$81)</f>
        <v>10</v>
      </c>
      <c r="K189" s="48">
        <f>_xlfn.XLOOKUP(F189,'3. Input (des)investeringen '!$B$11:$B$81,'3. Input (des)investeringen '!$E$11:$E$81)</f>
        <v>0</v>
      </c>
      <c r="L189" s="48">
        <f>'8. Input IC huur Gasunie'!J142</f>
        <v>0</v>
      </c>
      <c r="M189" s="48">
        <f>'8. Input IC huur Gasunie'!K142</f>
        <v>0</v>
      </c>
    </row>
    <row r="190" spans="2:13">
      <c r="B190" s="43" t="str">
        <f>'8. Input IC huur Gasunie'!B143</f>
        <v>Asset 132</v>
      </c>
      <c r="F190" s="43" t="str">
        <f>'8. Input IC huur Gasunie'!F143</f>
        <v>20 Kantoorgebouwen</v>
      </c>
      <c r="G190" s="43">
        <f>'8. Input IC huur Gasunie'!G143</f>
        <v>2008</v>
      </c>
      <c r="H190" s="48">
        <f>'8. Input IC huur Gasunie'!H143</f>
        <v>4978200.5000000009</v>
      </c>
      <c r="I190" s="43">
        <f>'8. Input IC huur Gasunie'!I143</f>
        <v>2021</v>
      </c>
      <c r="J190" s="48">
        <f>_xlfn.XLOOKUP(F190,'3. Input (des)investeringen '!$B$11:$B$81,'3. Input (des)investeringen '!$D$11:$D$81)</f>
        <v>30</v>
      </c>
      <c r="K190" s="48">
        <f>_xlfn.XLOOKUP(F190,'3. Input (des)investeringen '!$B$11:$B$81,'3. Input (des)investeringen '!$E$11:$E$81)</f>
        <v>0</v>
      </c>
      <c r="L190" s="48">
        <f>'8. Input IC huur Gasunie'!J143</f>
        <v>3386936.2239016104</v>
      </c>
      <c r="M190" s="48">
        <f>'8. Input IC huur Gasunie'!K143</f>
        <v>0</v>
      </c>
    </row>
    <row r="191" spans="2:13">
      <c r="B191" s="43" t="str">
        <f>'8. Input IC huur Gasunie'!B144</f>
        <v>Asset 133</v>
      </c>
      <c r="F191" s="43" t="str">
        <f>'8. Input IC huur Gasunie'!F144</f>
        <v>06 Utiliteitsgebouwen</v>
      </c>
      <c r="G191" s="43">
        <f>'8. Input IC huur Gasunie'!G144</f>
        <v>2008</v>
      </c>
      <c r="H191" s="48">
        <f>'8. Input IC huur Gasunie'!H144</f>
        <v>233293.04544821067</v>
      </c>
      <c r="I191" s="43">
        <f>'8. Input IC huur Gasunie'!I144</f>
        <v>2021</v>
      </c>
      <c r="J191" s="48">
        <f>_xlfn.XLOOKUP(F191,'3. Input (des)investeringen '!$B$11:$B$81,'3. Input (des)investeringen '!$D$11:$D$81)</f>
        <v>30</v>
      </c>
      <c r="K191" s="48">
        <f>_xlfn.XLOOKUP(F191,'3. Input (des)investeringen '!$B$11:$B$81,'3. Input (des)investeringen '!$E$11:$E$81)</f>
        <v>0</v>
      </c>
      <c r="L191" s="48">
        <f>'8. Input IC huur Gasunie'!J144</f>
        <v>158721.74421517763</v>
      </c>
      <c r="M191" s="48">
        <f>'8. Input IC huur Gasunie'!K144</f>
        <v>0</v>
      </c>
    </row>
    <row r="192" spans="2:13">
      <c r="B192" s="43" t="str">
        <f>'8. Input IC huur Gasunie'!B145</f>
        <v>Asset 134</v>
      </c>
      <c r="F192" s="43" t="str">
        <f>'8. Input IC huur Gasunie'!F145</f>
        <v>10 Gereedschap</v>
      </c>
      <c r="G192" s="43">
        <f>'8. Input IC huur Gasunie'!G145</f>
        <v>2008</v>
      </c>
      <c r="H192" s="48">
        <f>'8. Input IC huur Gasunie'!H145</f>
        <v>178157.88</v>
      </c>
      <c r="I192" s="43">
        <f>'8. Input IC huur Gasunie'!I145</f>
        <v>2021</v>
      </c>
      <c r="J192" s="48">
        <f>_xlfn.XLOOKUP(F192,'3. Input (des)investeringen '!$B$11:$B$81,'3. Input (des)investeringen '!$D$11:$D$81)</f>
        <v>10</v>
      </c>
      <c r="K192" s="48">
        <f>_xlfn.XLOOKUP(F192,'3. Input (des)investeringen '!$B$11:$B$81,'3. Input (des)investeringen '!$E$11:$E$81)</f>
        <v>1</v>
      </c>
      <c r="L192" s="48">
        <f>'8. Input IC huur Gasunie'!J145</f>
        <v>0</v>
      </c>
      <c r="M192" s="48">
        <f>'8. Input IC huur Gasunie'!K145</f>
        <v>0</v>
      </c>
    </row>
    <row r="193" spans="2:13">
      <c r="B193" s="43" t="str">
        <f>'8. Input IC huur Gasunie'!B146</f>
        <v>Asset 135</v>
      </c>
      <c r="F193" s="43" t="str">
        <f>'8. Input IC huur Gasunie'!F146</f>
        <v>14 Overig rollend materieel</v>
      </c>
      <c r="G193" s="43">
        <f>'8. Input IC huur Gasunie'!G146</f>
        <v>2008</v>
      </c>
      <c r="H193" s="48">
        <f>'8. Input IC huur Gasunie'!H146</f>
        <v>1299449.8500000001</v>
      </c>
      <c r="I193" s="43">
        <f>'8. Input IC huur Gasunie'!I146</f>
        <v>2021</v>
      </c>
      <c r="J193" s="48">
        <f>_xlfn.XLOOKUP(F193,'3. Input (des)investeringen '!$B$11:$B$81,'3. Input (des)investeringen '!$D$11:$D$81)</f>
        <v>10</v>
      </c>
      <c r="K193" s="48">
        <f>_xlfn.XLOOKUP(F193,'3. Input (des)investeringen '!$B$11:$B$81,'3. Input (des)investeringen '!$E$11:$E$81)</f>
        <v>1</v>
      </c>
      <c r="L193" s="48">
        <f>'8. Input IC huur Gasunie'!J146</f>
        <v>0</v>
      </c>
      <c r="M193" s="48">
        <f>'8. Input IC huur Gasunie'!K146</f>
        <v>0</v>
      </c>
    </row>
    <row r="194" spans="2:13">
      <c r="B194" s="43" t="str">
        <f>'8. Input IC huur Gasunie'!B147</f>
        <v>Asset 136</v>
      </c>
      <c r="F194" s="43" t="str">
        <f>'8. Input IC huur Gasunie'!F147</f>
        <v>37 ICT middelen 1 (gaschromatografen en comptabele meting)</v>
      </c>
      <c r="G194" s="43">
        <f>'8. Input IC huur Gasunie'!G147</f>
        <v>2008</v>
      </c>
      <c r="H194" s="48">
        <f>'8. Input IC huur Gasunie'!H147</f>
        <v>8310.1200000000008</v>
      </c>
      <c r="I194" s="43">
        <f>'8. Input IC huur Gasunie'!I147</f>
        <v>2021</v>
      </c>
      <c r="J194" s="48">
        <f>_xlfn.XLOOKUP(F194,'3. Input (des)investeringen '!$B$11:$B$81,'3. Input (des)investeringen '!$D$11:$D$81)</f>
        <v>5</v>
      </c>
      <c r="K194" s="48">
        <f>_xlfn.XLOOKUP(F194,'3. Input (des)investeringen '!$B$11:$B$81,'3. Input (des)investeringen '!$E$11:$E$81)</f>
        <v>0</v>
      </c>
      <c r="L194" s="48">
        <f>'8. Input IC huur Gasunie'!J147</f>
        <v>0</v>
      </c>
      <c r="M194" s="48">
        <f>'8. Input IC huur Gasunie'!K147</f>
        <v>0</v>
      </c>
    </row>
    <row r="195" spans="2:13">
      <c r="B195" s="43" t="str">
        <f>'8. Input IC huur Gasunie'!B148</f>
        <v>Asset 137</v>
      </c>
      <c r="F195" s="43" t="str">
        <f>'8. Input IC huur Gasunie'!F148</f>
        <v>11 Werktuigen</v>
      </c>
      <c r="G195" s="43">
        <f>'8. Input IC huur Gasunie'!G148</f>
        <v>2008</v>
      </c>
      <c r="H195" s="48">
        <f>'8. Input IC huur Gasunie'!H148</f>
        <v>427546.18</v>
      </c>
      <c r="I195" s="43">
        <f>'8. Input IC huur Gasunie'!I148</f>
        <v>2021</v>
      </c>
      <c r="J195" s="48">
        <f>_xlfn.XLOOKUP(F195,'3. Input (des)investeringen '!$B$11:$B$81,'3. Input (des)investeringen '!$D$11:$D$81)</f>
        <v>10</v>
      </c>
      <c r="K195" s="48">
        <f>_xlfn.XLOOKUP(F195,'3. Input (des)investeringen '!$B$11:$B$81,'3. Input (des)investeringen '!$E$11:$E$81)</f>
        <v>1</v>
      </c>
      <c r="L195" s="48">
        <f>'8. Input IC huur Gasunie'!J148</f>
        <v>0</v>
      </c>
      <c r="M195" s="48">
        <f>'8. Input IC huur Gasunie'!K148</f>
        <v>0</v>
      </c>
    </row>
    <row r="196" spans="2:13">
      <c r="B196" s="43" t="str">
        <f>'8. Input IC huur Gasunie'!B149</f>
        <v>Asset 138</v>
      </c>
      <c r="F196" s="43" t="str">
        <f>'8. Input IC huur Gasunie'!F149</f>
        <v>08 Inrichting gebouwen</v>
      </c>
      <c r="G196" s="43">
        <f>'8. Input IC huur Gasunie'!G149</f>
        <v>2008</v>
      </c>
      <c r="H196" s="48">
        <f>'8. Input IC huur Gasunie'!H149</f>
        <v>1194171.3899999999</v>
      </c>
      <c r="I196" s="43">
        <f>'8. Input IC huur Gasunie'!I149</f>
        <v>2021</v>
      </c>
      <c r="J196" s="48">
        <f>_xlfn.XLOOKUP(F196,'3. Input (des)investeringen '!$B$11:$B$81,'3. Input (des)investeringen '!$D$11:$D$81)</f>
        <v>10</v>
      </c>
      <c r="K196" s="48">
        <f>_xlfn.XLOOKUP(F196,'3. Input (des)investeringen '!$B$11:$B$81,'3. Input (des)investeringen '!$E$11:$E$81)</f>
        <v>0</v>
      </c>
      <c r="L196" s="48">
        <f>'8. Input IC huur Gasunie'!J149</f>
        <v>0</v>
      </c>
      <c r="M196" s="48">
        <f>'8. Input IC huur Gasunie'!K149</f>
        <v>0</v>
      </c>
    </row>
    <row r="197" spans="2:13">
      <c r="B197" s="43" t="str">
        <f>'8. Input IC huur Gasunie'!B150</f>
        <v>Asset 139</v>
      </c>
      <c r="F197" s="43" t="str">
        <f>'8. Input IC huur Gasunie'!F150</f>
        <v>08 Inrichting gebouwen</v>
      </c>
      <c r="G197" s="43">
        <f>'8. Input IC huur Gasunie'!G150</f>
        <v>2009</v>
      </c>
      <c r="H197" s="48">
        <f>'8. Input IC huur Gasunie'!H150</f>
        <v>124506.82</v>
      </c>
      <c r="I197" s="43">
        <f>'8. Input IC huur Gasunie'!I150</f>
        <v>2021</v>
      </c>
      <c r="J197" s="48">
        <f>_xlfn.XLOOKUP(F197,'3. Input (des)investeringen '!$B$11:$B$81,'3. Input (des)investeringen '!$D$11:$D$81)</f>
        <v>10</v>
      </c>
      <c r="K197" s="48">
        <f>_xlfn.XLOOKUP(F197,'3. Input (des)investeringen '!$B$11:$B$81,'3. Input (des)investeringen '!$E$11:$E$81)</f>
        <v>0</v>
      </c>
      <c r="L197" s="48">
        <f>'8. Input IC huur Gasunie'!J150</f>
        <v>0</v>
      </c>
      <c r="M197" s="48">
        <f>'8. Input IC huur Gasunie'!K150</f>
        <v>0</v>
      </c>
    </row>
    <row r="198" spans="2:13">
      <c r="B198" s="43" t="str">
        <f>'8. Input IC huur Gasunie'!B151</f>
        <v>Asset 140</v>
      </c>
      <c r="F198" s="43" t="str">
        <f>'8. Input IC huur Gasunie'!F151</f>
        <v>14 Overig rollend materieel</v>
      </c>
      <c r="G198" s="43">
        <f>'8. Input IC huur Gasunie'!G151</f>
        <v>2009</v>
      </c>
      <c r="H198" s="48">
        <f>'8. Input IC huur Gasunie'!H151</f>
        <v>285378.59999999998</v>
      </c>
      <c r="I198" s="43">
        <f>'8. Input IC huur Gasunie'!I151</f>
        <v>2021</v>
      </c>
      <c r="J198" s="48">
        <f>_xlfn.XLOOKUP(F198,'3. Input (des)investeringen '!$B$11:$B$81,'3. Input (des)investeringen '!$D$11:$D$81)</f>
        <v>10</v>
      </c>
      <c r="K198" s="48">
        <f>_xlfn.XLOOKUP(F198,'3. Input (des)investeringen '!$B$11:$B$81,'3. Input (des)investeringen '!$E$11:$E$81)</f>
        <v>1</v>
      </c>
      <c r="L198" s="48">
        <f>'8. Input IC huur Gasunie'!J151</f>
        <v>0</v>
      </c>
      <c r="M198" s="48">
        <f>'8. Input IC huur Gasunie'!K151</f>
        <v>0</v>
      </c>
    </row>
    <row r="199" spans="2:13">
      <c r="B199" s="43" t="str">
        <f>'8. Input IC huur Gasunie'!B152</f>
        <v>Asset 141</v>
      </c>
      <c r="F199" s="43" t="str">
        <f>'8. Input IC huur Gasunie'!F152</f>
        <v>06 Utiliteitsgebouwen</v>
      </c>
      <c r="G199" s="43">
        <f>'8. Input IC huur Gasunie'!G152</f>
        <v>2009</v>
      </c>
      <c r="H199" s="48">
        <f>'8. Input IC huur Gasunie'!H152</f>
        <v>35389.120000000003</v>
      </c>
      <c r="I199" s="43">
        <f>'8. Input IC huur Gasunie'!I152</f>
        <v>2021</v>
      </c>
      <c r="J199" s="48">
        <f>_xlfn.XLOOKUP(F199,'3. Input (des)investeringen '!$B$11:$B$81,'3. Input (des)investeringen '!$D$11:$D$81)</f>
        <v>30</v>
      </c>
      <c r="K199" s="48">
        <f>_xlfn.XLOOKUP(F199,'3. Input (des)investeringen '!$B$11:$B$81,'3. Input (des)investeringen '!$E$11:$E$81)</f>
        <v>0</v>
      </c>
      <c r="L199" s="48">
        <f>'8. Input IC huur Gasunie'!J152</f>
        <v>24744.506996892218</v>
      </c>
      <c r="M199" s="48">
        <f>'8. Input IC huur Gasunie'!K152</f>
        <v>0</v>
      </c>
    </row>
    <row r="200" spans="2:13">
      <c r="B200" s="43" t="str">
        <f>'8. Input IC huur Gasunie'!B153</f>
        <v>Asset 142</v>
      </c>
      <c r="F200" s="43" t="str">
        <f>'8. Input IC huur Gasunie'!F153</f>
        <v>09 Bedrijfsinventaris</v>
      </c>
      <c r="G200" s="43">
        <f>'8. Input IC huur Gasunie'!G153</f>
        <v>2009</v>
      </c>
      <c r="H200" s="48">
        <f>'8. Input IC huur Gasunie'!H153</f>
        <v>537011.27</v>
      </c>
      <c r="I200" s="43">
        <f>'8. Input IC huur Gasunie'!I153</f>
        <v>2021</v>
      </c>
      <c r="J200" s="48">
        <f>_xlfn.XLOOKUP(F200,'3. Input (des)investeringen '!$B$11:$B$81,'3. Input (des)investeringen '!$D$11:$D$81)</f>
        <v>10</v>
      </c>
      <c r="K200" s="48">
        <f>_xlfn.XLOOKUP(F200,'3. Input (des)investeringen '!$B$11:$B$81,'3. Input (des)investeringen '!$E$11:$E$81)</f>
        <v>1</v>
      </c>
      <c r="L200" s="48">
        <f>'8. Input IC huur Gasunie'!J153</f>
        <v>0</v>
      </c>
      <c r="M200" s="48">
        <f>'8. Input IC huur Gasunie'!K153</f>
        <v>0</v>
      </c>
    </row>
    <row r="201" spans="2:13">
      <c r="B201" s="43" t="str">
        <f>'8. Input IC huur Gasunie'!B154</f>
        <v>Asset 143</v>
      </c>
      <c r="F201" s="43" t="str">
        <f>'8. Input IC huur Gasunie'!F154</f>
        <v>20 Kantoorgebouwen</v>
      </c>
      <c r="G201" s="43">
        <f>'8. Input IC huur Gasunie'!G154</f>
        <v>2009</v>
      </c>
      <c r="H201" s="48">
        <f>'8. Input IC huur Gasunie'!H154</f>
        <v>2416053.9300000006</v>
      </c>
      <c r="I201" s="43">
        <f>'8. Input IC huur Gasunie'!I154</f>
        <v>2021</v>
      </c>
      <c r="J201" s="48">
        <f>_xlfn.XLOOKUP(F201,'3. Input (des)investeringen '!$B$11:$B$81,'3. Input (des)investeringen '!$D$11:$D$81)</f>
        <v>30</v>
      </c>
      <c r="K201" s="48">
        <f>_xlfn.XLOOKUP(F201,'3. Input (des)investeringen '!$B$11:$B$81,'3. Input (des)investeringen '!$E$11:$E$81)</f>
        <v>0</v>
      </c>
      <c r="L201" s="48">
        <f>'8. Input IC huur Gasunie'!J154</f>
        <v>1689334.5575067692</v>
      </c>
      <c r="M201" s="48">
        <f>'8. Input IC huur Gasunie'!K154</f>
        <v>0</v>
      </c>
    </row>
    <row r="202" spans="2:13">
      <c r="B202" s="43" t="str">
        <f>'8. Input IC huur Gasunie'!B155</f>
        <v>Asset 144</v>
      </c>
      <c r="F202" s="43" t="str">
        <f>'8. Input IC huur Gasunie'!F155</f>
        <v>05 Wegen en terreinvoorzieningen</v>
      </c>
      <c r="G202" s="43">
        <f>'8. Input IC huur Gasunie'!G155</f>
        <v>2009</v>
      </c>
      <c r="H202" s="48">
        <f>'8. Input IC huur Gasunie'!H155</f>
        <v>97690.9</v>
      </c>
      <c r="I202" s="43">
        <f>'8. Input IC huur Gasunie'!I155</f>
        <v>2021</v>
      </c>
      <c r="J202" s="48">
        <f>_xlfn.XLOOKUP(F202,'3. Input (des)investeringen '!$B$11:$B$81,'3. Input (des)investeringen '!$D$11:$D$81)</f>
        <v>10</v>
      </c>
      <c r="K202" s="48">
        <f>_xlfn.XLOOKUP(F202,'3. Input (des)investeringen '!$B$11:$B$81,'3. Input (des)investeringen '!$E$11:$E$81)</f>
        <v>0</v>
      </c>
      <c r="L202" s="48">
        <f>'8. Input IC huur Gasunie'!J155</f>
        <v>0</v>
      </c>
      <c r="M202" s="48">
        <f>'8. Input IC huur Gasunie'!K155</f>
        <v>0</v>
      </c>
    </row>
    <row r="203" spans="2:13">
      <c r="B203" s="43" t="str">
        <f>'8. Input IC huur Gasunie'!B156</f>
        <v>Asset 145</v>
      </c>
      <c r="F203" s="43" t="str">
        <f>'8. Input IC huur Gasunie'!F156</f>
        <v>13 Aanhangwagens</v>
      </c>
      <c r="G203" s="43">
        <f>'8. Input IC huur Gasunie'!G156</f>
        <v>2009</v>
      </c>
      <c r="H203" s="48">
        <f>'8. Input IC huur Gasunie'!H156</f>
        <v>655669.05999999994</v>
      </c>
      <c r="I203" s="43">
        <f>'8. Input IC huur Gasunie'!I156</f>
        <v>2021</v>
      </c>
      <c r="J203" s="48">
        <f>_xlfn.XLOOKUP(F203,'3. Input (des)investeringen '!$B$11:$B$81,'3. Input (des)investeringen '!$D$11:$D$81)</f>
        <v>10</v>
      </c>
      <c r="K203" s="48">
        <f>_xlfn.XLOOKUP(F203,'3. Input (des)investeringen '!$B$11:$B$81,'3. Input (des)investeringen '!$E$11:$E$81)</f>
        <v>1</v>
      </c>
      <c r="L203" s="48">
        <f>'8. Input IC huur Gasunie'!J156</f>
        <v>0</v>
      </c>
      <c r="M203" s="48">
        <f>'8. Input IC huur Gasunie'!K156</f>
        <v>0</v>
      </c>
    </row>
    <row r="204" spans="2:13">
      <c r="B204" s="43" t="str">
        <f>'8. Input IC huur Gasunie'!B157</f>
        <v>Asset 146</v>
      </c>
      <c r="F204" s="43" t="str">
        <f>'8. Input IC huur Gasunie'!F157</f>
        <v>11 Werktuigen</v>
      </c>
      <c r="G204" s="43">
        <f>'8. Input IC huur Gasunie'!G157</f>
        <v>2010</v>
      </c>
      <c r="H204" s="48">
        <f>'8. Input IC huur Gasunie'!H157</f>
        <v>453194.78213502961</v>
      </c>
      <c r="I204" s="43">
        <f>'8. Input IC huur Gasunie'!I157</f>
        <v>2021</v>
      </c>
      <c r="J204" s="48">
        <f>_xlfn.XLOOKUP(F204,'3. Input (des)investeringen '!$B$11:$B$81,'3. Input (des)investeringen '!$D$11:$D$81)</f>
        <v>10</v>
      </c>
      <c r="K204" s="48">
        <f>_xlfn.XLOOKUP(F204,'3. Input (des)investeringen '!$B$11:$B$81,'3. Input (des)investeringen '!$E$11:$E$81)</f>
        <v>1</v>
      </c>
      <c r="L204" s="48">
        <f>'8. Input IC huur Gasunie'!J157</f>
        <v>0</v>
      </c>
      <c r="M204" s="48">
        <f>'8. Input IC huur Gasunie'!K157</f>
        <v>0</v>
      </c>
    </row>
    <row r="205" spans="2:13">
      <c r="B205" s="43" t="str">
        <f>'8. Input IC huur Gasunie'!B158</f>
        <v>Asset 147</v>
      </c>
      <c r="F205" s="43" t="str">
        <f>'8. Input IC huur Gasunie'!F158</f>
        <v>14 Overig rollend materieel</v>
      </c>
      <c r="G205" s="43">
        <f>'8. Input IC huur Gasunie'!G158</f>
        <v>2010</v>
      </c>
      <c r="H205" s="48">
        <f>'8. Input IC huur Gasunie'!H158</f>
        <v>179634.02000000002</v>
      </c>
      <c r="I205" s="43">
        <f>'8. Input IC huur Gasunie'!I158</f>
        <v>2021</v>
      </c>
      <c r="J205" s="48">
        <f>_xlfn.XLOOKUP(F205,'3. Input (des)investeringen '!$B$11:$B$81,'3. Input (des)investeringen '!$D$11:$D$81)</f>
        <v>10</v>
      </c>
      <c r="K205" s="48">
        <f>_xlfn.XLOOKUP(F205,'3. Input (des)investeringen '!$B$11:$B$81,'3. Input (des)investeringen '!$E$11:$E$81)</f>
        <v>1</v>
      </c>
      <c r="L205" s="48">
        <f>'8. Input IC huur Gasunie'!J158</f>
        <v>0</v>
      </c>
      <c r="M205" s="48">
        <f>'8. Input IC huur Gasunie'!K158</f>
        <v>0</v>
      </c>
    </row>
    <row r="206" spans="2:13">
      <c r="B206" s="43" t="str">
        <f>'8. Input IC huur Gasunie'!B159</f>
        <v>Asset 148</v>
      </c>
      <c r="F206" s="43" t="str">
        <f>'8. Input IC huur Gasunie'!F159</f>
        <v>12 Motorvoertuigen</v>
      </c>
      <c r="G206" s="43">
        <f>'8. Input IC huur Gasunie'!G159</f>
        <v>2011</v>
      </c>
      <c r="H206" s="48">
        <f>'8. Input IC huur Gasunie'!H159</f>
        <v>293470.62269139342</v>
      </c>
      <c r="I206" s="43">
        <f>'8. Input IC huur Gasunie'!I159</f>
        <v>2021</v>
      </c>
      <c r="J206" s="48">
        <f>_xlfn.XLOOKUP(F206,'3. Input (des)investeringen '!$B$11:$B$81,'3. Input (des)investeringen '!$D$11:$D$81)</f>
        <v>10</v>
      </c>
      <c r="K206" s="48">
        <f>_xlfn.XLOOKUP(F206,'3. Input (des)investeringen '!$B$11:$B$81,'3. Input (des)investeringen '!$E$11:$E$81)</f>
        <v>1</v>
      </c>
      <c r="L206" s="48">
        <f>'8. Input IC huur Gasunie'!J159</f>
        <v>0</v>
      </c>
      <c r="M206" s="48">
        <f>'8. Input IC huur Gasunie'!K159</f>
        <v>0</v>
      </c>
    </row>
    <row r="207" spans="2:13">
      <c r="B207" s="43" t="str">
        <f>'8. Input IC huur Gasunie'!B160</f>
        <v>Asset 149</v>
      </c>
      <c r="F207" s="43" t="str">
        <f>'8. Input IC huur Gasunie'!F160</f>
        <v>08 Inrichting gebouwen</v>
      </c>
      <c r="G207" s="43">
        <f>'8. Input IC huur Gasunie'!G160</f>
        <v>2011</v>
      </c>
      <c r="H207" s="48">
        <f>'8. Input IC huur Gasunie'!H160</f>
        <v>309147.61872011481</v>
      </c>
      <c r="I207" s="43">
        <f>'8. Input IC huur Gasunie'!I160</f>
        <v>2021</v>
      </c>
      <c r="J207" s="48">
        <f>_xlfn.XLOOKUP(F207,'3. Input (des)investeringen '!$B$11:$B$81,'3. Input (des)investeringen '!$D$11:$D$81)</f>
        <v>10</v>
      </c>
      <c r="K207" s="48">
        <f>_xlfn.XLOOKUP(F207,'3. Input (des)investeringen '!$B$11:$B$81,'3. Input (des)investeringen '!$E$11:$E$81)</f>
        <v>0</v>
      </c>
      <c r="L207" s="48">
        <f>'8. Input IC huur Gasunie'!J160</f>
        <v>0</v>
      </c>
      <c r="M207" s="48">
        <f>'8. Input IC huur Gasunie'!K160</f>
        <v>0</v>
      </c>
    </row>
    <row r="208" spans="2:13">
      <c r="B208" s="43" t="str">
        <f>'8. Input IC huur Gasunie'!B161</f>
        <v>Asset 150</v>
      </c>
      <c r="F208" s="43" t="str">
        <f>'8. Input IC huur Gasunie'!F161</f>
        <v>38 ICT middelen 2</v>
      </c>
      <c r="G208" s="43">
        <f>'8. Input IC huur Gasunie'!G161</f>
        <v>2011</v>
      </c>
      <c r="H208" s="48">
        <f>'8. Input IC huur Gasunie'!H161</f>
        <v>24343500.983545668</v>
      </c>
      <c r="I208" s="43">
        <f>'8. Input IC huur Gasunie'!I161</f>
        <v>2021</v>
      </c>
      <c r="J208" s="48">
        <f>_xlfn.XLOOKUP(F208,'3. Input (des)investeringen '!$B$11:$B$81,'3. Input (des)investeringen '!$D$11:$D$81)</f>
        <v>10</v>
      </c>
      <c r="K208" s="48">
        <f>_xlfn.XLOOKUP(F208,'3. Input (des)investeringen '!$B$11:$B$81,'3. Input (des)investeringen '!$E$11:$E$81)</f>
        <v>1</v>
      </c>
      <c r="L208" s="48">
        <f>'8. Input IC huur Gasunie'!J161</f>
        <v>0</v>
      </c>
      <c r="M208" s="48">
        <f>'8. Input IC huur Gasunie'!K161</f>
        <v>0</v>
      </c>
    </row>
    <row r="209" spans="2:13">
      <c r="B209" s="43" t="str">
        <f>'8. Input IC huur Gasunie'!B162</f>
        <v>Asset 151</v>
      </c>
      <c r="F209" s="43" t="str">
        <f>'8. Input IC huur Gasunie'!F162</f>
        <v>11 Werktuigen</v>
      </c>
      <c r="G209" s="43">
        <f>'8. Input IC huur Gasunie'!G162</f>
        <v>2011</v>
      </c>
      <c r="H209" s="48">
        <f>'8. Input IC huur Gasunie'!H162</f>
        <v>345005.47060998465</v>
      </c>
      <c r="I209" s="43">
        <f>'8. Input IC huur Gasunie'!I162</f>
        <v>2021</v>
      </c>
      <c r="J209" s="48">
        <f>_xlfn.XLOOKUP(F209,'3. Input (des)investeringen '!$B$11:$B$81,'3. Input (des)investeringen '!$D$11:$D$81)</f>
        <v>10</v>
      </c>
      <c r="K209" s="48">
        <f>_xlfn.XLOOKUP(F209,'3. Input (des)investeringen '!$B$11:$B$81,'3. Input (des)investeringen '!$E$11:$E$81)</f>
        <v>1</v>
      </c>
      <c r="L209" s="48">
        <f>'8. Input IC huur Gasunie'!J162</f>
        <v>0</v>
      </c>
      <c r="M209" s="48">
        <f>'8. Input IC huur Gasunie'!K162</f>
        <v>0</v>
      </c>
    </row>
    <row r="210" spans="2:13">
      <c r="B210" s="43" t="str">
        <f>'8. Input IC huur Gasunie'!B163</f>
        <v>Asset 152</v>
      </c>
      <c r="F210" s="43" t="str">
        <f>'8. Input IC huur Gasunie'!F163</f>
        <v>13 Aanhangwagens</v>
      </c>
      <c r="G210" s="43">
        <f>'8. Input IC huur Gasunie'!G163</f>
        <v>2011</v>
      </c>
      <c r="H210" s="48">
        <f>'8. Input IC huur Gasunie'!H163</f>
        <v>10931.96</v>
      </c>
      <c r="I210" s="43">
        <f>'8. Input IC huur Gasunie'!I163</f>
        <v>2021</v>
      </c>
      <c r="J210" s="48">
        <f>_xlfn.XLOOKUP(F210,'3. Input (des)investeringen '!$B$11:$B$81,'3. Input (des)investeringen '!$D$11:$D$81)</f>
        <v>10</v>
      </c>
      <c r="K210" s="48">
        <f>_xlfn.XLOOKUP(F210,'3. Input (des)investeringen '!$B$11:$B$81,'3. Input (des)investeringen '!$E$11:$E$81)</f>
        <v>1</v>
      </c>
      <c r="L210" s="48">
        <f>'8. Input IC huur Gasunie'!J163</f>
        <v>0</v>
      </c>
      <c r="M210" s="48">
        <f>'8. Input IC huur Gasunie'!K163</f>
        <v>0</v>
      </c>
    </row>
    <row r="211" spans="2:13">
      <c r="B211" s="43" t="str">
        <f>'8. Input IC huur Gasunie'!B164</f>
        <v>Asset 153</v>
      </c>
      <c r="F211" s="43" t="str">
        <f>'8. Input IC huur Gasunie'!F164</f>
        <v>37 ICT middelen 1 (transparency)</v>
      </c>
      <c r="G211" s="43">
        <f>'8. Input IC huur Gasunie'!G164</f>
        <v>2012</v>
      </c>
      <c r="H211" s="48">
        <f>'8. Input IC huur Gasunie'!H164</f>
        <v>817297.73457401327</v>
      </c>
      <c r="I211" s="43">
        <f>'8. Input IC huur Gasunie'!I164</f>
        <v>2021</v>
      </c>
      <c r="J211" s="48">
        <f>_xlfn.XLOOKUP(F211,'3. Input (des)investeringen '!$B$11:$B$81,'3. Input (des)investeringen '!$D$11:$D$81)</f>
        <v>5</v>
      </c>
      <c r="K211" s="48">
        <f>_xlfn.XLOOKUP(F211,'3. Input (des)investeringen '!$B$11:$B$81,'3. Input (des)investeringen '!$E$11:$E$81)</f>
        <v>0</v>
      </c>
      <c r="L211" s="48">
        <f>'8. Input IC huur Gasunie'!J164</f>
        <v>0</v>
      </c>
      <c r="M211" s="48">
        <f>'8. Input IC huur Gasunie'!K164</f>
        <v>0</v>
      </c>
    </row>
    <row r="212" spans="2:13">
      <c r="B212" s="43" t="str">
        <f>'8. Input IC huur Gasunie'!B165</f>
        <v>Asset 154</v>
      </c>
      <c r="F212" s="43" t="str">
        <f>'8. Input IC huur Gasunie'!F165</f>
        <v>11 Werktuigen</v>
      </c>
      <c r="G212" s="43">
        <f>'8. Input IC huur Gasunie'!G165</f>
        <v>2012</v>
      </c>
      <c r="H212" s="48">
        <f>'8. Input IC huur Gasunie'!H165</f>
        <v>237528.30775638262</v>
      </c>
      <c r="I212" s="43">
        <f>'8. Input IC huur Gasunie'!I165</f>
        <v>2021</v>
      </c>
      <c r="J212" s="48">
        <f>_xlfn.XLOOKUP(F212,'3. Input (des)investeringen '!$B$11:$B$81,'3. Input (des)investeringen '!$D$11:$D$81)</f>
        <v>10</v>
      </c>
      <c r="K212" s="48">
        <f>_xlfn.XLOOKUP(F212,'3. Input (des)investeringen '!$B$11:$B$81,'3. Input (des)investeringen '!$E$11:$E$81)</f>
        <v>1</v>
      </c>
      <c r="L212" s="48">
        <f>'8. Input IC huur Gasunie'!J165</f>
        <v>13628.978016883706</v>
      </c>
      <c r="M212" s="48">
        <f>'8. Input IC huur Gasunie'!K165</f>
        <v>0</v>
      </c>
    </row>
    <row r="213" spans="2:13">
      <c r="B213" s="43" t="str">
        <f>'8. Input IC huur Gasunie'!B166</f>
        <v>Asset 155</v>
      </c>
      <c r="F213" s="43" t="str">
        <f>'8. Input IC huur Gasunie'!F166</f>
        <v>13 Aanhangwagens</v>
      </c>
      <c r="G213" s="43">
        <f>'8. Input IC huur Gasunie'!G166</f>
        <v>2012</v>
      </c>
      <c r="H213" s="48">
        <f>'8. Input IC huur Gasunie'!H166</f>
        <v>20000</v>
      </c>
      <c r="I213" s="43">
        <f>'8. Input IC huur Gasunie'!I166</f>
        <v>2021</v>
      </c>
      <c r="J213" s="48">
        <f>_xlfn.XLOOKUP(F213,'3. Input (des)investeringen '!$B$11:$B$81,'3. Input (des)investeringen '!$D$11:$D$81)</f>
        <v>10</v>
      </c>
      <c r="K213" s="48">
        <f>_xlfn.XLOOKUP(F213,'3. Input (des)investeringen '!$B$11:$B$81,'3. Input (des)investeringen '!$E$11:$E$81)</f>
        <v>1</v>
      </c>
      <c r="L213" s="48">
        <f>'8. Input IC huur Gasunie'!J166</f>
        <v>1147.5666328463135</v>
      </c>
      <c r="M213" s="48">
        <f>'8. Input IC huur Gasunie'!K166</f>
        <v>0</v>
      </c>
    </row>
    <row r="214" spans="2:13">
      <c r="B214" s="43" t="str">
        <f>'8. Input IC huur Gasunie'!B167</f>
        <v>Asset 156</v>
      </c>
      <c r="F214" s="43" t="str">
        <f>'8. Input IC huur Gasunie'!F167</f>
        <v>20 Kantoorgebouwen</v>
      </c>
      <c r="G214" s="43">
        <f>'8. Input IC huur Gasunie'!G167</f>
        <v>2012</v>
      </c>
      <c r="H214" s="48">
        <f>'8. Input IC huur Gasunie'!H167</f>
        <v>701380.67501665035</v>
      </c>
      <c r="I214" s="43">
        <f>'8. Input IC huur Gasunie'!I167</f>
        <v>2021</v>
      </c>
      <c r="J214" s="48">
        <f>_xlfn.XLOOKUP(F214,'3. Input (des)investeringen '!$B$11:$B$81,'3. Input (des)investeringen '!$D$11:$D$81)</f>
        <v>30</v>
      </c>
      <c r="K214" s="48">
        <f>_xlfn.XLOOKUP(F214,'3. Input (des)investeringen '!$B$11:$B$81,'3. Input (des)investeringen '!$E$11:$E$81)</f>
        <v>0</v>
      </c>
      <c r="L214" s="48">
        <f>'8. Input IC huur Gasunie'!J167</f>
        <v>550002.05737442558</v>
      </c>
      <c r="M214" s="48">
        <f>'8. Input IC huur Gasunie'!K167</f>
        <v>0</v>
      </c>
    </row>
    <row r="215" spans="2:13">
      <c r="B215" s="43" t="str">
        <f>'8. Input IC huur Gasunie'!B168</f>
        <v>Asset 157</v>
      </c>
      <c r="F215" s="43" t="str">
        <f>'8. Input IC huur Gasunie'!F168</f>
        <v>10 Gereedschap</v>
      </c>
      <c r="G215" s="43">
        <f>'8. Input IC huur Gasunie'!G168</f>
        <v>2012</v>
      </c>
      <c r="H215" s="48">
        <f>'8. Input IC huur Gasunie'!H168</f>
        <v>102288.01000000001</v>
      </c>
      <c r="I215" s="43">
        <f>'8. Input IC huur Gasunie'!I168</f>
        <v>2021</v>
      </c>
      <c r="J215" s="48">
        <f>_xlfn.XLOOKUP(F215,'3. Input (des)investeringen '!$B$11:$B$81,'3. Input (des)investeringen '!$D$11:$D$81)</f>
        <v>10</v>
      </c>
      <c r="K215" s="48">
        <f>_xlfn.XLOOKUP(F215,'3. Input (des)investeringen '!$B$11:$B$81,'3. Input (des)investeringen '!$E$11:$E$81)</f>
        <v>1</v>
      </c>
      <c r="L215" s="48">
        <f>'8. Input IC huur Gasunie'!J168</f>
        <v>5869.1153608124732</v>
      </c>
      <c r="M215" s="48">
        <f>'8. Input IC huur Gasunie'!K168</f>
        <v>0</v>
      </c>
    </row>
    <row r="216" spans="2:13">
      <c r="B216" s="43" t="str">
        <f>'8. Input IC huur Gasunie'!B169</f>
        <v>Asset 158</v>
      </c>
      <c r="F216" s="43" t="str">
        <f>'8. Input IC huur Gasunie'!F169</f>
        <v>09 Bedrijfsinventaris</v>
      </c>
      <c r="G216" s="43">
        <f>'8. Input IC huur Gasunie'!G169</f>
        <v>2012</v>
      </c>
      <c r="H216" s="48">
        <f>'8. Input IC huur Gasunie'!H169</f>
        <v>321753.96830222307</v>
      </c>
      <c r="I216" s="43">
        <f>'8. Input IC huur Gasunie'!I169</f>
        <v>2021</v>
      </c>
      <c r="J216" s="48">
        <f>_xlfn.XLOOKUP(F216,'3. Input (des)investeringen '!$B$11:$B$81,'3. Input (des)investeringen '!$D$11:$D$81)</f>
        <v>10</v>
      </c>
      <c r="K216" s="48">
        <f>_xlfn.XLOOKUP(F216,'3. Input (des)investeringen '!$B$11:$B$81,'3. Input (des)investeringen '!$E$11:$E$81)</f>
        <v>1</v>
      </c>
      <c r="L216" s="48">
        <f>'8. Input IC huur Gasunie'!J169</f>
        <v>18461.705900476001</v>
      </c>
      <c r="M216" s="48">
        <f>'8. Input IC huur Gasunie'!K169</f>
        <v>0</v>
      </c>
    </row>
    <row r="217" spans="2:13">
      <c r="B217" s="43" t="str">
        <f>'8. Input IC huur Gasunie'!B170</f>
        <v>Asset 159</v>
      </c>
      <c r="F217" s="43" t="str">
        <f>'8. Input IC huur Gasunie'!F170</f>
        <v>14 Overig rollend materieel</v>
      </c>
      <c r="G217" s="43">
        <f>'8. Input IC huur Gasunie'!G170</f>
        <v>2012</v>
      </c>
      <c r="H217" s="48">
        <f>'8. Input IC huur Gasunie'!H170</f>
        <v>341738.83030935976</v>
      </c>
      <c r="I217" s="43">
        <f>'8. Input IC huur Gasunie'!I170</f>
        <v>2021</v>
      </c>
      <c r="J217" s="48">
        <f>_xlfn.XLOOKUP(F217,'3. Input (des)investeringen '!$B$11:$B$81,'3. Input (des)investeringen '!$D$11:$D$81)</f>
        <v>10</v>
      </c>
      <c r="K217" s="48">
        <f>_xlfn.XLOOKUP(F217,'3. Input (des)investeringen '!$B$11:$B$81,'3. Input (des)investeringen '!$E$11:$E$81)</f>
        <v>1</v>
      </c>
      <c r="L217" s="48">
        <f>'8. Input IC huur Gasunie'!J170</f>
        <v>19608.403940547396</v>
      </c>
      <c r="M217" s="48">
        <f>'8. Input IC huur Gasunie'!K170</f>
        <v>0</v>
      </c>
    </row>
    <row r="218" spans="2:13">
      <c r="B218" s="43" t="str">
        <f>'8. Input IC huur Gasunie'!B171</f>
        <v>Asset 160</v>
      </c>
      <c r="F218" s="43" t="str">
        <f>'8. Input IC huur Gasunie'!F171</f>
        <v>08 Inrichting gebouwen</v>
      </c>
      <c r="G218" s="43">
        <f>'8. Input IC huur Gasunie'!G171</f>
        <v>2012</v>
      </c>
      <c r="H218" s="48">
        <f>'8. Input IC huur Gasunie'!H171</f>
        <v>737114.28212566266</v>
      </c>
      <c r="I218" s="43">
        <f>'8. Input IC huur Gasunie'!I171</f>
        <v>2021</v>
      </c>
      <c r="J218" s="48">
        <f>_xlfn.XLOOKUP(F218,'3. Input (des)investeringen '!$B$11:$B$81,'3. Input (des)investeringen '!$D$11:$D$81)</f>
        <v>10</v>
      </c>
      <c r="K218" s="48">
        <f>_xlfn.XLOOKUP(F218,'3. Input (des)investeringen '!$B$11:$B$81,'3. Input (des)investeringen '!$E$11:$E$81)</f>
        <v>0</v>
      </c>
      <c r="L218" s="48">
        <f>'8. Input IC huur Gasunie'!J171</f>
        <v>42294.387738093574</v>
      </c>
      <c r="M218" s="48">
        <f>'8. Input IC huur Gasunie'!K171</f>
        <v>0</v>
      </c>
    </row>
    <row r="219" spans="2:13">
      <c r="B219" s="43" t="str">
        <f>'8. Input IC huur Gasunie'!B172</f>
        <v>Asset 161</v>
      </c>
      <c r="F219" s="43" t="str">
        <f>'8. Input IC huur Gasunie'!F172</f>
        <v>11 Werktuigen</v>
      </c>
      <c r="G219" s="43">
        <f>'8. Input IC huur Gasunie'!G172</f>
        <v>2013</v>
      </c>
      <c r="H219" s="48">
        <f>'8. Input IC huur Gasunie'!H172</f>
        <v>5005059.40396435</v>
      </c>
      <c r="I219" s="43">
        <f>'8. Input IC huur Gasunie'!I172</f>
        <v>2021</v>
      </c>
      <c r="J219" s="48">
        <f>_xlfn.XLOOKUP(F219,'3. Input (des)investeringen '!$B$11:$B$81,'3. Input (des)investeringen '!$D$11:$D$81)</f>
        <v>10</v>
      </c>
      <c r="K219" s="48">
        <f>_xlfn.XLOOKUP(F219,'3. Input (des)investeringen '!$B$11:$B$81,'3. Input (des)investeringen '!$E$11:$E$81)</f>
        <v>1</v>
      </c>
      <c r="L219" s="48">
        <f>'8. Input IC huur Gasunie'!J172</f>
        <v>842175.83099752699</v>
      </c>
      <c r="M219" s="48">
        <f>'8. Input IC huur Gasunie'!K172</f>
        <v>0</v>
      </c>
    </row>
    <row r="220" spans="2:13">
      <c r="B220" s="43" t="str">
        <f>'8. Input IC huur Gasunie'!B173</f>
        <v>Asset 162</v>
      </c>
      <c r="F220" s="43" t="str">
        <f>'8. Input IC huur Gasunie'!F173</f>
        <v>20 Kantoorgebouwen</v>
      </c>
      <c r="G220" s="43">
        <f>'8. Input IC huur Gasunie'!G173</f>
        <v>2013</v>
      </c>
      <c r="H220" s="48">
        <f>'8. Input IC huur Gasunie'!H173</f>
        <v>1237826.9064472313</v>
      </c>
      <c r="I220" s="43">
        <f>'8. Input IC huur Gasunie'!I173</f>
        <v>2021</v>
      </c>
      <c r="J220" s="48">
        <f>_xlfn.XLOOKUP(F220,'3. Input (des)investeringen '!$B$11:$B$81,'3. Input (des)investeringen '!$D$11:$D$81)</f>
        <v>30</v>
      </c>
      <c r="K220" s="48">
        <f>_xlfn.XLOOKUP(F220,'3. Input (des)investeringen '!$B$11:$B$81,'3. Input (des)investeringen '!$E$11:$E$81)</f>
        <v>0</v>
      </c>
      <c r="L220" s="48">
        <f>'8. Input IC huur Gasunie'!J173</f>
        <v>995129.04477620148</v>
      </c>
      <c r="M220" s="48">
        <f>'8. Input IC huur Gasunie'!K173</f>
        <v>0</v>
      </c>
    </row>
    <row r="221" spans="2:13">
      <c r="B221" s="43" t="str">
        <f>'8. Input IC huur Gasunie'!B174</f>
        <v>Asset 163</v>
      </c>
      <c r="F221" s="43" t="str">
        <f>'8. Input IC huur Gasunie'!F174</f>
        <v>09 Bedrijfsinventaris</v>
      </c>
      <c r="G221" s="43">
        <f>'8. Input IC huur Gasunie'!G174</f>
        <v>2013</v>
      </c>
      <c r="H221" s="48">
        <f>'8. Input IC huur Gasunie'!H174</f>
        <v>292655.61609467439</v>
      </c>
      <c r="I221" s="43">
        <f>'8. Input IC huur Gasunie'!I174</f>
        <v>2021</v>
      </c>
      <c r="J221" s="48">
        <f>_xlfn.XLOOKUP(F221,'3. Input (des)investeringen '!$B$11:$B$81,'3. Input (des)investeringen '!$D$11:$D$81)</f>
        <v>10</v>
      </c>
      <c r="K221" s="48">
        <f>_xlfn.XLOOKUP(F221,'3. Input (des)investeringen '!$B$11:$B$81,'3. Input (des)investeringen '!$E$11:$E$81)</f>
        <v>1</v>
      </c>
      <c r="L221" s="48">
        <f>'8. Input IC huur Gasunie'!J174</f>
        <v>49243.668613684422</v>
      </c>
      <c r="M221" s="48">
        <f>'8. Input IC huur Gasunie'!K174</f>
        <v>0</v>
      </c>
    </row>
    <row r="222" spans="2:13">
      <c r="B222" s="43" t="str">
        <f>'8. Input IC huur Gasunie'!B175</f>
        <v>Asset 164</v>
      </c>
      <c r="F222" s="43" t="str">
        <f>'8. Input IC huur Gasunie'!F175</f>
        <v>20 Kantoorgebouwen</v>
      </c>
      <c r="G222" s="43">
        <f>'8. Input IC huur Gasunie'!G175</f>
        <v>2014</v>
      </c>
      <c r="H222" s="48">
        <f>'8. Input IC huur Gasunie'!H175</f>
        <v>4973944.9463818558</v>
      </c>
      <c r="I222" s="43">
        <f>'8. Input IC huur Gasunie'!I175</f>
        <v>2021</v>
      </c>
      <c r="J222" s="48">
        <f>_xlfn.XLOOKUP(F222,'3. Input (des)investeringen '!$B$11:$B$81,'3. Input (des)investeringen '!$D$11:$D$81)</f>
        <v>30</v>
      </c>
      <c r="K222" s="48">
        <f>_xlfn.XLOOKUP(F222,'3. Input (des)investeringen '!$B$11:$B$81,'3. Input (des)investeringen '!$E$11:$E$81)</f>
        <v>0</v>
      </c>
      <c r="L222" s="48">
        <f>'8. Input IC huur Gasunie'!J175</f>
        <v>4070721.5945336674</v>
      </c>
      <c r="M222" s="48">
        <f>'8. Input IC huur Gasunie'!K175</f>
        <v>0</v>
      </c>
    </row>
    <row r="223" spans="2:13">
      <c r="B223" s="43" t="str">
        <f>'8. Input IC huur Gasunie'!B176</f>
        <v>Asset 165</v>
      </c>
      <c r="F223" s="43" t="str">
        <f>'8. Input IC huur Gasunie'!F176</f>
        <v>09 Bedrijfsinventaris</v>
      </c>
      <c r="G223" s="43">
        <f>'8. Input IC huur Gasunie'!G176</f>
        <v>2014</v>
      </c>
      <c r="H223" s="48">
        <f>'8. Input IC huur Gasunie'!H176</f>
        <v>332895.6529706032</v>
      </c>
      <c r="I223" s="43">
        <f>'8. Input IC huur Gasunie'!I176</f>
        <v>2021</v>
      </c>
      <c r="J223" s="48">
        <f>_xlfn.XLOOKUP(F223,'3. Input (des)investeringen '!$B$11:$B$81,'3. Input (des)investeringen '!$D$11:$D$81)</f>
        <v>10</v>
      </c>
      <c r="K223" s="48">
        <f>_xlfn.XLOOKUP(F223,'3. Input (des)investeringen '!$B$11:$B$81,'3. Input (des)investeringen '!$E$11:$E$81)</f>
        <v>1</v>
      </c>
      <c r="L223" s="48">
        <f>'8. Input IC huur Gasunie'!J176</f>
        <v>90814.939173486709</v>
      </c>
      <c r="M223" s="48">
        <f>'8. Input IC huur Gasunie'!K176</f>
        <v>0</v>
      </c>
    </row>
    <row r="224" spans="2:13">
      <c r="B224" s="43" t="str">
        <f>'8. Input IC huur Gasunie'!B177</f>
        <v>Asset 166</v>
      </c>
      <c r="F224" s="43" t="str">
        <f>'8. Input IC huur Gasunie'!F177</f>
        <v>10 Gereedschap</v>
      </c>
      <c r="G224" s="43">
        <f>'8. Input IC huur Gasunie'!G177</f>
        <v>2014</v>
      </c>
      <c r="H224" s="48">
        <f>'8. Input IC huur Gasunie'!H177</f>
        <v>294123.8734031191</v>
      </c>
      <c r="I224" s="43">
        <f>'8. Input IC huur Gasunie'!I177</f>
        <v>2021</v>
      </c>
      <c r="J224" s="48">
        <f>_xlfn.XLOOKUP(F224,'3. Input (des)investeringen '!$B$11:$B$81,'3. Input (des)investeringen '!$D$11:$D$81)</f>
        <v>10</v>
      </c>
      <c r="K224" s="48">
        <f>_xlfn.XLOOKUP(F224,'3. Input (des)investeringen '!$B$11:$B$81,'3. Input (des)investeringen '!$E$11:$E$81)</f>
        <v>1</v>
      </c>
      <c r="L224" s="48">
        <f>'8. Input IC huur Gasunie'!J177</f>
        <v>80237.880651848885</v>
      </c>
      <c r="M224" s="48">
        <f>'8. Input IC huur Gasunie'!K177</f>
        <v>0</v>
      </c>
    </row>
    <row r="225" spans="2:13">
      <c r="B225" s="43" t="str">
        <f>'8. Input IC huur Gasunie'!B178</f>
        <v>Asset 167</v>
      </c>
      <c r="F225" s="43" t="str">
        <f>'8. Input IC huur Gasunie'!F178</f>
        <v>13 Aanhangwagens</v>
      </c>
      <c r="G225" s="43">
        <f>'8. Input IC huur Gasunie'!G178</f>
        <v>2014</v>
      </c>
      <c r="H225" s="48">
        <f>'8. Input IC huur Gasunie'!H178</f>
        <v>24919.261718386999</v>
      </c>
      <c r="I225" s="43">
        <f>'8. Input IC huur Gasunie'!I178</f>
        <v>2021</v>
      </c>
      <c r="J225" s="48">
        <f>_xlfn.XLOOKUP(F225,'3. Input (des)investeringen '!$B$11:$B$81,'3. Input (des)investeringen '!$D$11:$D$81)</f>
        <v>10</v>
      </c>
      <c r="K225" s="48">
        <f>_xlfn.XLOOKUP(F225,'3. Input (des)investeringen '!$B$11:$B$81,'3. Input (des)investeringen '!$E$11:$E$81)</f>
        <v>1</v>
      </c>
      <c r="L225" s="48">
        <f>'8. Input IC huur Gasunie'!J178</f>
        <v>6798.0498303573586</v>
      </c>
      <c r="M225" s="48">
        <f>'8. Input IC huur Gasunie'!K178</f>
        <v>0</v>
      </c>
    </row>
    <row r="226" spans="2:13">
      <c r="B226" s="43" t="str">
        <f>'8. Input IC huur Gasunie'!B179</f>
        <v>Asset 168</v>
      </c>
      <c r="F226" s="43" t="str">
        <f>'8. Input IC huur Gasunie'!F179</f>
        <v>11 Werktuigen</v>
      </c>
      <c r="G226" s="43">
        <f>'8. Input IC huur Gasunie'!G179</f>
        <v>2014</v>
      </c>
      <c r="H226" s="48">
        <f>'8. Input IC huur Gasunie'!H179</f>
        <v>264974.99557180319</v>
      </c>
      <c r="I226" s="43">
        <f>'8. Input IC huur Gasunie'!I179</f>
        <v>2021</v>
      </c>
      <c r="J226" s="48">
        <f>_xlfn.XLOOKUP(F226,'3. Input (des)investeringen '!$B$11:$B$81,'3. Input (des)investeringen '!$D$11:$D$81)</f>
        <v>10</v>
      </c>
      <c r="K226" s="48">
        <f>_xlfn.XLOOKUP(F226,'3. Input (des)investeringen '!$B$11:$B$81,'3. Input (des)investeringen '!$E$11:$E$81)</f>
        <v>1</v>
      </c>
      <c r="L226" s="48">
        <f>'8. Input IC huur Gasunie'!J179</f>
        <v>72285.978776277945</v>
      </c>
      <c r="M226" s="48">
        <f>'8. Input IC huur Gasunie'!K179</f>
        <v>0</v>
      </c>
    </row>
    <row r="227" spans="2:13">
      <c r="B227" s="43" t="str">
        <f>'8. Input IC huur Gasunie'!B180</f>
        <v>Asset 169</v>
      </c>
      <c r="F227" s="43" t="str">
        <f>'8. Input IC huur Gasunie'!F180</f>
        <v>08 Inrichting gebouwen</v>
      </c>
      <c r="G227" s="43">
        <f>'8. Input IC huur Gasunie'!G180</f>
        <v>2014</v>
      </c>
      <c r="H227" s="48">
        <f>'8. Input IC huur Gasunie'!H180</f>
        <v>724167.86511950963</v>
      </c>
      <c r="I227" s="43">
        <f>'8. Input IC huur Gasunie'!I180</f>
        <v>2021</v>
      </c>
      <c r="J227" s="48">
        <f>_xlfn.XLOOKUP(F227,'3. Input (des)investeringen '!$B$11:$B$81,'3. Input (des)investeringen '!$D$11:$D$81)</f>
        <v>10</v>
      </c>
      <c r="K227" s="48">
        <f>_xlfn.XLOOKUP(F227,'3. Input (des)investeringen '!$B$11:$B$81,'3. Input (des)investeringen '!$E$11:$E$81)</f>
        <v>0</v>
      </c>
      <c r="L227" s="48">
        <f>'8. Input IC huur Gasunie'!J180</f>
        <v>197555.1799351057</v>
      </c>
      <c r="M227" s="48">
        <f>'8. Input IC huur Gasunie'!K180</f>
        <v>0</v>
      </c>
    </row>
    <row r="228" spans="2:13">
      <c r="B228" s="43" t="str">
        <f>'8. Input IC huur Gasunie'!B181</f>
        <v>Asset 170</v>
      </c>
      <c r="F228" s="43" t="str">
        <f>'8. Input IC huur Gasunie'!F181</f>
        <v>14 Overig rollend materieel (odorisatie)</v>
      </c>
      <c r="G228" s="43">
        <f>'8. Input IC huur Gasunie'!G181</f>
        <v>2014</v>
      </c>
      <c r="H228" s="48">
        <f>'8. Input IC huur Gasunie'!H181</f>
        <v>1415.9999999999968</v>
      </c>
      <c r="I228" s="43">
        <f>'8. Input IC huur Gasunie'!I181</f>
        <v>2021</v>
      </c>
      <c r="J228" s="48">
        <f>_xlfn.XLOOKUP(F228,'3. Input (des)investeringen '!$B$11:$B$81,'3. Input (des)investeringen '!$D$11:$D$81)</f>
        <v>10</v>
      </c>
      <c r="K228" s="48">
        <f>_xlfn.XLOOKUP(F228,'3. Input (des)investeringen '!$B$11:$B$81,'3. Input (des)investeringen '!$E$11:$E$81)</f>
        <v>0</v>
      </c>
      <c r="L228" s="48">
        <f>'8. Input IC huur Gasunie'!J181</f>
        <v>386.28907503641284</v>
      </c>
      <c r="M228" s="48">
        <f>'8. Input IC huur Gasunie'!K181</f>
        <v>0</v>
      </c>
    </row>
    <row r="229" spans="2:13">
      <c r="B229" s="43" t="str">
        <f>'8. Input IC huur Gasunie'!B182</f>
        <v>Asset 171</v>
      </c>
      <c r="F229" s="43" t="str">
        <f>'8. Input IC huur Gasunie'!F182</f>
        <v>14 Overig rollend materieel (odorisatie)</v>
      </c>
      <c r="G229" s="43">
        <f>'8. Input IC huur Gasunie'!G182</f>
        <v>2015</v>
      </c>
      <c r="H229" s="48">
        <f>'8. Input IC huur Gasunie'!H182</f>
        <v>43315.304046858677</v>
      </c>
      <c r="I229" s="43">
        <f>'8. Input IC huur Gasunie'!I182</f>
        <v>2021</v>
      </c>
      <c r="J229" s="48">
        <f>_xlfn.XLOOKUP(F229,'3. Input (des)investeringen '!$B$11:$B$81,'3. Input (des)investeringen '!$D$11:$D$81)</f>
        <v>10</v>
      </c>
      <c r="K229" s="48">
        <f>_xlfn.XLOOKUP(F229,'3. Input (des)investeringen '!$B$11:$B$81,'3. Input (des)investeringen '!$E$11:$E$81)</f>
        <v>0</v>
      </c>
      <c r="L229" s="48">
        <f>'8. Input IC huur Gasunie'!J182</f>
        <v>16379.370300704035</v>
      </c>
      <c r="M229" s="48">
        <f>'8. Input IC huur Gasunie'!K182</f>
        <v>0</v>
      </c>
    </row>
    <row r="230" spans="2:13">
      <c r="B230" s="43" t="str">
        <f>'8. Input IC huur Gasunie'!B183</f>
        <v>Asset 172</v>
      </c>
      <c r="F230" s="43" t="str">
        <f>'8. Input IC huur Gasunie'!F183</f>
        <v>13 Aanhangwagens</v>
      </c>
      <c r="G230" s="43">
        <f>'8. Input IC huur Gasunie'!G183</f>
        <v>2015</v>
      </c>
      <c r="H230" s="48">
        <f>'8. Input IC huur Gasunie'!H183</f>
        <v>78424.550748692549</v>
      </c>
      <c r="I230" s="43">
        <f>'8. Input IC huur Gasunie'!I183</f>
        <v>2021</v>
      </c>
      <c r="J230" s="48">
        <f>_xlfn.XLOOKUP(F230,'3. Input (des)investeringen '!$B$11:$B$81,'3. Input (des)investeringen '!$D$11:$D$81)</f>
        <v>10</v>
      </c>
      <c r="K230" s="48">
        <f>_xlfn.XLOOKUP(F230,'3. Input (des)investeringen '!$B$11:$B$81,'3. Input (des)investeringen '!$E$11:$E$81)</f>
        <v>1</v>
      </c>
      <c r="L230" s="48">
        <f>'8. Input IC huur Gasunie'!J183</f>
        <v>29655.679110310892</v>
      </c>
      <c r="M230" s="48">
        <f>'8. Input IC huur Gasunie'!K183</f>
        <v>0</v>
      </c>
    </row>
    <row r="231" spans="2:13">
      <c r="B231" s="43" t="str">
        <f>'8. Input IC huur Gasunie'!B184</f>
        <v>Asset 173</v>
      </c>
      <c r="F231" s="43" t="str">
        <f>'8. Input IC huur Gasunie'!F184</f>
        <v>11 Werktuigen</v>
      </c>
      <c r="G231" s="43">
        <f>'8. Input IC huur Gasunie'!G184</f>
        <v>2015</v>
      </c>
      <c r="H231" s="48">
        <f>'8. Input IC huur Gasunie'!H184</f>
        <v>481116.61247078225</v>
      </c>
      <c r="I231" s="43">
        <f>'8. Input IC huur Gasunie'!I184</f>
        <v>2021</v>
      </c>
      <c r="J231" s="48">
        <f>_xlfn.XLOOKUP(F231,'3. Input (des)investeringen '!$B$11:$B$81,'3. Input (des)investeringen '!$D$11:$D$81)</f>
        <v>10</v>
      </c>
      <c r="K231" s="48">
        <f>_xlfn.XLOOKUP(F231,'3. Input (des)investeringen '!$B$11:$B$81,'3. Input (des)investeringen '!$E$11:$E$81)</f>
        <v>1</v>
      </c>
      <c r="L231" s="48">
        <f>'8. Input IC huur Gasunie'!J184</f>
        <v>181930.78236168518</v>
      </c>
      <c r="M231" s="48">
        <f>'8. Input IC huur Gasunie'!K184</f>
        <v>0</v>
      </c>
    </row>
    <row r="232" spans="2:13">
      <c r="B232" s="43" t="str">
        <f>'8. Input IC huur Gasunie'!B185</f>
        <v>Asset 174</v>
      </c>
      <c r="F232" s="43" t="str">
        <f>'8. Input IC huur Gasunie'!F185</f>
        <v>39 ICT middelen 3</v>
      </c>
      <c r="G232" s="43">
        <f>'8. Input IC huur Gasunie'!G185</f>
        <v>2015</v>
      </c>
      <c r="H232" s="48">
        <f>'8. Input IC huur Gasunie'!H185</f>
        <v>13785822.782425826</v>
      </c>
      <c r="I232" s="43">
        <f>'8. Input IC huur Gasunie'!I185</f>
        <v>2021</v>
      </c>
      <c r="J232" s="48">
        <f>_xlfn.XLOOKUP(F232,'3. Input (des)investeringen '!$B$11:$B$81,'3. Input (des)investeringen '!$D$11:$D$81)</f>
        <v>15</v>
      </c>
      <c r="K232" s="48">
        <f>_xlfn.XLOOKUP(F232,'3. Input (des)investeringen '!$B$11:$B$81,'3. Input (des)investeringen '!$E$11:$E$81)</f>
        <v>1</v>
      </c>
      <c r="L232" s="48">
        <f>'8. Input IC huur Gasunie'!J185</f>
        <v>8440110.7970265597</v>
      </c>
      <c r="M232" s="48">
        <f>'8. Input IC huur Gasunie'!K185</f>
        <v>0</v>
      </c>
    </row>
    <row r="233" spans="2:13">
      <c r="B233" s="43" t="str">
        <f>'8. Input IC huur Gasunie'!B186</f>
        <v>Asset 175</v>
      </c>
      <c r="F233" s="43" t="str">
        <f>'8. Input IC huur Gasunie'!F186</f>
        <v>12 Motorvoertuigen</v>
      </c>
      <c r="G233" s="43">
        <f>'8. Input IC huur Gasunie'!G186</f>
        <v>2015</v>
      </c>
      <c r="H233" s="48">
        <f>'8. Input IC huur Gasunie'!H186</f>
        <v>43877.173224174046</v>
      </c>
      <c r="I233" s="43">
        <f>'8. Input IC huur Gasunie'!I186</f>
        <v>2021</v>
      </c>
      <c r="J233" s="48">
        <f>_xlfn.XLOOKUP(F233,'3. Input (des)investeringen '!$B$11:$B$81,'3. Input (des)investeringen '!$D$11:$D$81)</f>
        <v>10</v>
      </c>
      <c r="K233" s="48">
        <f>_xlfn.XLOOKUP(F233,'3. Input (des)investeringen '!$B$11:$B$81,'3. Input (des)investeringen '!$E$11:$E$81)</f>
        <v>1</v>
      </c>
      <c r="L233" s="48">
        <f>'8. Input IC huur Gasunie'!J186</f>
        <v>16591.837083941773</v>
      </c>
      <c r="M233" s="48">
        <f>'8. Input IC huur Gasunie'!K186</f>
        <v>0</v>
      </c>
    </row>
    <row r="234" spans="2:13">
      <c r="B234" s="43" t="str">
        <f>'8. Input IC huur Gasunie'!B187</f>
        <v>Asset 176</v>
      </c>
      <c r="F234" s="43" t="str">
        <f>'8. Input IC huur Gasunie'!F187</f>
        <v>09 Bedrijfsinventaris</v>
      </c>
      <c r="G234" s="43">
        <f>'8. Input IC huur Gasunie'!G187</f>
        <v>2015</v>
      </c>
      <c r="H234" s="48">
        <f>'8. Input IC huur Gasunie'!H187</f>
        <v>153470.91831934603</v>
      </c>
      <c r="I234" s="43">
        <f>'8. Input IC huur Gasunie'!I187</f>
        <v>2021</v>
      </c>
      <c r="J234" s="48">
        <f>_xlfn.XLOOKUP(F234,'3. Input (des)investeringen '!$B$11:$B$81,'3. Input (des)investeringen '!$D$11:$D$81)</f>
        <v>10</v>
      </c>
      <c r="K234" s="48">
        <f>_xlfn.XLOOKUP(F234,'3. Input (des)investeringen '!$B$11:$B$81,'3. Input (des)investeringen '!$E$11:$E$81)</f>
        <v>1</v>
      </c>
      <c r="L234" s="48">
        <f>'8. Input IC huur Gasunie'!J187</f>
        <v>58033.922579009974</v>
      </c>
      <c r="M234" s="48">
        <f>'8. Input IC huur Gasunie'!K187</f>
        <v>0</v>
      </c>
    </row>
    <row r="235" spans="2:13">
      <c r="B235" s="43" t="str">
        <f>'8. Input IC huur Gasunie'!B188</f>
        <v>Asset 177</v>
      </c>
      <c r="F235" s="43" t="str">
        <f>'8. Input IC huur Gasunie'!F188</f>
        <v>20 Kantoorgebouwen</v>
      </c>
      <c r="G235" s="43">
        <f>'8. Input IC huur Gasunie'!G188</f>
        <v>2015</v>
      </c>
      <c r="H235" s="48">
        <f>'8. Input IC huur Gasunie'!H188</f>
        <v>2375369.7957282378</v>
      </c>
      <c r="I235" s="43">
        <f>'8. Input IC huur Gasunie'!I188</f>
        <v>2021</v>
      </c>
      <c r="J235" s="48">
        <f>_xlfn.XLOOKUP(F235,'3. Input (des)investeringen '!$B$11:$B$81,'3. Input (des)investeringen '!$D$11:$D$81)</f>
        <v>30</v>
      </c>
      <c r="K235" s="48">
        <f>_xlfn.XLOOKUP(F235,'3. Input (des)investeringen '!$B$11:$B$81,'3. Input (des)investeringen '!$E$11:$E$81)</f>
        <v>0</v>
      </c>
      <c r="L235" s="48">
        <f>'8. Input IC huur Gasunie'!J188</f>
        <v>2010322.0086927759</v>
      </c>
      <c r="M235" s="48">
        <f>'8. Input IC huur Gasunie'!K188</f>
        <v>0</v>
      </c>
    </row>
    <row r="236" spans="2:13">
      <c r="B236" s="43" t="str">
        <f>'8. Input IC huur Gasunie'!B189</f>
        <v>Asset 178</v>
      </c>
      <c r="F236" s="43" t="str">
        <f>'8. Input IC huur Gasunie'!F189</f>
        <v>06 Utiliteitsgebouwen</v>
      </c>
      <c r="G236" s="43">
        <f>'8. Input IC huur Gasunie'!G189</f>
        <v>2015</v>
      </c>
      <c r="H236" s="48">
        <f>'8. Input IC huur Gasunie'!H189</f>
        <v>516544.29057147249</v>
      </c>
      <c r="I236" s="43">
        <f>'8. Input IC huur Gasunie'!I189</f>
        <v>2021</v>
      </c>
      <c r="J236" s="48">
        <f>_xlfn.XLOOKUP(F236,'3. Input (des)investeringen '!$B$11:$B$81,'3. Input (des)investeringen '!$D$11:$D$81)</f>
        <v>30</v>
      </c>
      <c r="K236" s="48">
        <f>_xlfn.XLOOKUP(F236,'3. Input (des)investeringen '!$B$11:$B$81,'3. Input (des)investeringen '!$E$11:$E$81)</f>
        <v>0</v>
      </c>
      <c r="L236" s="48">
        <f>'8. Input IC huur Gasunie'!J189</f>
        <v>437161.55592610373</v>
      </c>
      <c r="M236" s="48">
        <f>'8. Input IC huur Gasunie'!K189</f>
        <v>0</v>
      </c>
    </row>
    <row r="237" spans="2:13">
      <c r="B237" s="43" t="str">
        <f>'8. Input IC huur Gasunie'!B190</f>
        <v>Asset 179</v>
      </c>
      <c r="F237" s="43" t="str">
        <f>'8. Input IC huur Gasunie'!F190</f>
        <v>08 Inrichting gebouwen</v>
      </c>
      <c r="G237" s="43">
        <f>'8. Input IC huur Gasunie'!G190</f>
        <v>2015</v>
      </c>
      <c r="H237" s="48">
        <f>'8. Input IC huur Gasunie'!H190</f>
        <v>406758.82739129546</v>
      </c>
      <c r="I237" s="43">
        <f>'8. Input IC huur Gasunie'!I190</f>
        <v>2021</v>
      </c>
      <c r="J237" s="48">
        <f>_xlfn.XLOOKUP(F237,'3. Input (des)investeringen '!$B$11:$B$81,'3. Input (des)investeringen '!$D$11:$D$81)</f>
        <v>10</v>
      </c>
      <c r="K237" s="48">
        <f>_xlfn.XLOOKUP(F237,'3. Input (des)investeringen '!$B$11:$B$81,'3. Input (des)investeringen '!$E$11:$E$81)</f>
        <v>0</v>
      </c>
      <c r="L237" s="48">
        <f>'8. Input IC huur Gasunie'!J190</f>
        <v>153812.9214033616</v>
      </c>
      <c r="M237" s="48">
        <f>'8. Input IC huur Gasunie'!K190</f>
        <v>0</v>
      </c>
    </row>
    <row r="238" spans="2:13">
      <c r="B238" s="43" t="str">
        <f>'8. Input IC huur Gasunie'!B191</f>
        <v>Asset 180</v>
      </c>
      <c r="F238" s="43" t="str">
        <f>'8. Input IC huur Gasunie'!F191</f>
        <v>20 Kantoorgebouwen</v>
      </c>
      <c r="G238" s="43">
        <f>'8. Input IC huur Gasunie'!G191</f>
        <v>2016</v>
      </c>
      <c r="H238" s="48">
        <f>'8. Input IC huur Gasunie'!H191</f>
        <v>229380.26938547671</v>
      </c>
      <c r="I238" s="43">
        <f>'8. Input IC huur Gasunie'!I191</f>
        <v>2021</v>
      </c>
      <c r="J238" s="48">
        <f>_xlfn.XLOOKUP(F238,'3. Input (des)investeringen '!$B$11:$B$81,'3. Input (des)investeringen '!$D$11:$D$81)</f>
        <v>30</v>
      </c>
      <c r="K238" s="48">
        <f>_xlfn.XLOOKUP(F238,'3. Input (des)investeringen '!$B$11:$B$81,'3. Input (des)investeringen '!$E$11:$E$81)</f>
        <v>0</v>
      </c>
      <c r="L238" s="48">
        <f>'8. Input IC huur Gasunie'!J191</f>
        <v>200783.5579674957</v>
      </c>
      <c r="M238" s="48">
        <f>'8. Input IC huur Gasunie'!K191</f>
        <v>0</v>
      </c>
    </row>
    <row r="239" spans="2:13">
      <c r="B239" s="43" t="str">
        <f>'8. Input IC huur Gasunie'!B192</f>
        <v>Asset 181</v>
      </c>
      <c r="F239" s="43" t="str">
        <f>'8. Input IC huur Gasunie'!F192</f>
        <v>39 ICT middelen 3</v>
      </c>
      <c r="G239" s="43">
        <f>'8. Input IC huur Gasunie'!G192</f>
        <v>2016</v>
      </c>
      <c r="H239" s="48">
        <f>'8. Input IC huur Gasunie'!H192</f>
        <v>529286.5107518764</v>
      </c>
      <c r="I239" s="43">
        <f>'8. Input IC huur Gasunie'!I192</f>
        <v>2021</v>
      </c>
      <c r="J239" s="48">
        <f>_xlfn.XLOOKUP(F239,'3. Input (des)investeringen '!$B$11:$B$81,'3. Input (des)investeringen '!$D$11:$D$81)</f>
        <v>15</v>
      </c>
      <c r="K239" s="48">
        <f>_xlfn.XLOOKUP(F239,'3. Input (des)investeringen '!$B$11:$B$81,'3. Input (des)investeringen '!$E$11:$E$81)</f>
        <v>1</v>
      </c>
      <c r="L239" s="48">
        <f>'8. Input IC huur Gasunie'!J192</f>
        <v>359294.38470756344</v>
      </c>
      <c r="M239" s="48">
        <f>'8. Input IC huur Gasunie'!K192</f>
        <v>0</v>
      </c>
    </row>
    <row r="240" spans="2:13">
      <c r="B240" s="43" t="str">
        <f>'8. Input IC huur Gasunie'!B193</f>
        <v>Asset 182</v>
      </c>
      <c r="F240" s="43" t="str">
        <f>'8. Input IC huur Gasunie'!F193</f>
        <v>12 Motorvoertuigen</v>
      </c>
      <c r="G240" s="43">
        <f>'8. Input IC huur Gasunie'!G193</f>
        <v>2016</v>
      </c>
      <c r="H240" s="48">
        <f>'8. Input IC huur Gasunie'!H193</f>
        <v>28567.827468907908</v>
      </c>
      <c r="I240" s="43">
        <f>'8. Input IC huur Gasunie'!I193</f>
        <v>2021</v>
      </c>
      <c r="J240" s="48">
        <f>_xlfn.XLOOKUP(F240,'3. Input (des)investeringen '!$B$11:$B$81,'3. Input (des)investeringen '!$D$11:$D$81)</f>
        <v>10</v>
      </c>
      <c r="K240" s="48">
        <f>_xlfn.XLOOKUP(F240,'3. Input (des)investeringen '!$B$11:$B$81,'3. Input (des)investeringen '!$E$11:$E$81)</f>
        <v>1</v>
      </c>
      <c r="L240" s="48">
        <f>'8. Input IC huur Gasunie'!J193</f>
        <v>13778.977338155324</v>
      </c>
      <c r="M240" s="48">
        <f>'8. Input IC huur Gasunie'!K193</f>
        <v>0</v>
      </c>
    </row>
    <row r="241" spans="2:13">
      <c r="B241" s="43" t="str">
        <f>'8. Input IC huur Gasunie'!B194</f>
        <v>Asset 183</v>
      </c>
      <c r="F241" s="43" t="str">
        <f>'8. Input IC huur Gasunie'!F194</f>
        <v>06 Utiliteitsgebouwen</v>
      </c>
      <c r="G241" s="43">
        <f>'8. Input IC huur Gasunie'!G194</f>
        <v>2016</v>
      </c>
      <c r="H241" s="48">
        <f>'8. Input IC huur Gasunie'!H194</f>
        <v>69569.550579382194</v>
      </c>
      <c r="I241" s="43">
        <f>'8. Input IC huur Gasunie'!I194</f>
        <v>2021</v>
      </c>
      <c r="J241" s="48">
        <f>_xlfn.XLOOKUP(F241,'3. Input (des)investeringen '!$B$11:$B$81,'3. Input (des)investeringen '!$D$11:$D$81)</f>
        <v>30</v>
      </c>
      <c r="K241" s="48">
        <f>_xlfn.XLOOKUP(F241,'3. Input (des)investeringen '!$B$11:$B$81,'3. Input (des)investeringen '!$E$11:$E$81)</f>
        <v>0</v>
      </c>
      <c r="L241" s="48">
        <f>'8. Input IC huur Gasunie'!J194</f>
        <v>60896.353156050573</v>
      </c>
      <c r="M241" s="48">
        <f>'8. Input IC huur Gasunie'!K194</f>
        <v>0</v>
      </c>
    </row>
    <row r="242" spans="2:13">
      <c r="B242" s="43" t="str">
        <f>'8. Input IC huur Gasunie'!B195</f>
        <v>Asset 184</v>
      </c>
      <c r="F242" s="43" t="str">
        <f>'8. Input IC huur Gasunie'!F195</f>
        <v>09 Bedrijfsinventaris</v>
      </c>
      <c r="G242" s="43">
        <f>'8. Input IC huur Gasunie'!G195</f>
        <v>2016</v>
      </c>
      <c r="H242" s="48">
        <f>'8. Input IC huur Gasunie'!H195</f>
        <v>285684.31746031862</v>
      </c>
      <c r="I242" s="43">
        <f>'8. Input IC huur Gasunie'!I195</f>
        <v>2021</v>
      </c>
      <c r="J242" s="48">
        <f>_xlfn.XLOOKUP(F242,'3. Input (des)investeringen '!$B$11:$B$81,'3. Input (des)investeringen '!$D$11:$D$81)</f>
        <v>10</v>
      </c>
      <c r="K242" s="48">
        <f>_xlfn.XLOOKUP(F242,'3. Input (des)investeringen '!$B$11:$B$81,'3. Input (des)investeringen '!$E$11:$E$81)</f>
        <v>1</v>
      </c>
      <c r="L242" s="48">
        <f>'8. Input IC huur Gasunie'!J195</f>
        <v>137792.68796118168</v>
      </c>
      <c r="M242" s="48">
        <f>'8. Input IC huur Gasunie'!K195</f>
        <v>0</v>
      </c>
    </row>
    <row r="243" spans="2:13">
      <c r="B243" s="43" t="str">
        <f>'8. Input IC huur Gasunie'!B196</f>
        <v>Asset 185</v>
      </c>
      <c r="F243" s="43" t="str">
        <f>'8. Input IC huur Gasunie'!F196</f>
        <v>08 Inrichting gebouwen</v>
      </c>
      <c r="G243" s="43">
        <f>'8. Input IC huur Gasunie'!G196</f>
        <v>2016</v>
      </c>
      <c r="H243" s="48">
        <f>'8. Input IC huur Gasunie'!H196</f>
        <v>23169.006741347624</v>
      </c>
      <c r="I243" s="43">
        <f>'8. Input IC huur Gasunie'!I196</f>
        <v>2021</v>
      </c>
      <c r="J243" s="48">
        <f>_xlfn.XLOOKUP(F243,'3. Input (des)investeringen '!$B$11:$B$81,'3. Input (des)investeringen '!$D$11:$D$81)</f>
        <v>10</v>
      </c>
      <c r="K243" s="48">
        <f>_xlfn.XLOOKUP(F243,'3. Input (des)investeringen '!$B$11:$B$81,'3. Input (des)investeringen '!$E$11:$E$81)</f>
        <v>0</v>
      </c>
      <c r="L243" s="48">
        <f>'8. Input IC huur Gasunie'!J196</f>
        <v>11174.991139387506</v>
      </c>
      <c r="M243" s="48">
        <f>'8. Input IC huur Gasunie'!K196</f>
        <v>0</v>
      </c>
    </row>
    <row r="244" spans="2:13">
      <c r="B244" s="43" t="str">
        <f>'8. Input IC huur Gasunie'!B197</f>
        <v>Asset 186</v>
      </c>
      <c r="F244" s="43" t="str">
        <f>'8. Input IC huur Gasunie'!F197</f>
        <v>11 Werktuigen (KC)</v>
      </c>
      <c r="G244" s="43">
        <f>'8. Input IC huur Gasunie'!G197</f>
        <v>2017</v>
      </c>
      <c r="H244" s="48">
        <f>'8. Input IC huur Gasunie'!H197</f>
        <v>42505.139899436123</v>
      </c>
      <c r="I244" s="43">
        <f>'8. Input IC huur Gasunie'!I197</f>
        <v>2021</v>
      </c>
      <c r="J244" s="48">
        <f>_xlfn.XLOOKUP(F244,'3. Input (des)investeringen '!$B$11:$B$81,'3. Input (des)investeringen '!$D$11:$D$81)</f>
        <v>10</v>
      </c>
      <c r="K244" s="48">
        <f>_xlfn.XLOOKUP(F244,'3. Input (des)investeringen '!$B$11:$B$81,'3. Input (des)investeringen '!$E$11:$E$81)</f>
        <v>0</v>
      </c>
      <c r="L244" s="48">
        <f>'8. Input IC huur Gasunie'!J197</f>
        <v>25007.119857240814</v>
      </c>
      <c r="M244" s="48">
        <f>'8. Input IC huur Gasunie'!K197</f>
        <v>0</v>
      </c>
    </row>
    <row r="245" spans="2:13">
      <c r="B245" s="43" t="str">
        <f>'8. Input IC huur Gasunie'!B198</f>
        <v>Asset 187</v>
      </c>
      <c r="F245" s="43" t="str">
        <f>'8. Input IC huur Gasunie'!F198</f>
        <v>10 Gereedschap</v>
      </c>
      <c r="G245" s="43">
        <f>'8. Input IC huur Gasunie'!G198</f>
        <v>2017</v>
      </c>
      <c r="H245" s="48">
        <f>'8. Input IC huur Gasunie'!H198</f>
        <v>283180.78041617683</v>
      </c>
      <c r="I245" s="43">
        <f>'8. Input IC huur Gasunie'!I198</f>
        <v>2021</v>
      </c>
      <c r="J245" s="48">
        <f>_xlfn.XLOOKUP(F245,'3. Input (des)investeringen '!$B$11:$B$81,'3. Input (des)investeringen '!$D$11:$D$81)</f>
        <v>10</v>
      </c>
      <c r="K245" s="48">
        <f>_xlfn.XLOOKUP(F245,'3. Input (des)investeringen '!$B$11:$B$81,'3. Input (des)investeringen '!$E$11:$E$81)</f>
        <v>1</v>
      </c>
      <c r="L245" s="48">
        <f>'8. Input IC huur Gasunie'!J198</f>
        <v>166604.2208986652</v>
      </c>
      <c r="M245" s="48">
        <f>'8. Input IC huur Gasunie'!K198</f>
        <v>0</v>
      </c>
    </row>
    <row r="246" spans="2:13">
      <c r="B246" s="43" t="str">
        <f>'8. Input IC huur Gasunie'!B199</f>
        <v>Asset 188</v>
      </c>
      <c r="F246" s="43" t="str">
        <f>'8. Input IC huur Gasunie'!F199</f>
        <v>10 Gereedschap</v>
      </c>
      <c r="G246" s="43">
        <f>'8. Input IC huur Gasunie'!G199</f>
        <v>2016</v>
      </c>
      <c r="H246" s="48">
        <f>'8. Input IC huur Gasunie'!H199</f>
        <v>59355.750635093973</v>
      </c>
      <c r="I246" s="43">
        <f>'8. Input IC huur Gasunie'!I199</f>
        <v>2021</v>
      </c>
      <c r="J246" s="48">
        <f>_xlfn.XLOOKUP(F246,'3. Input (des)investeringen '!$B$11:$B$81,'3. Input (des)investeringen '!$D$11:$D$81)</f>
        <v>10</v>
      </c>
      <c r="K246" s="48">
        <f>_xlfn.XLOOKUP(F246,'3. Input (des)investeringen '!$B$11:$B$81,'3. Input (des)investeringen '!$E$11:$E$81)</f>
        <v>1</v>
      </c>
      <c r="L246" s="48">
        <f>'8. Input IC huur Gasunie'!J199</f>
        <v>28628.76232994219</v>
      </c>
      <c r="M246" s="48">
        <f>'8. Input IC huur Gasunie'!K199</f>
        <v>0</v>
      </c>
    </row>
    <row r="247" spans="2:13">
      <c r="B247" s="43" t="str">
        <f>'8. Input IC huur Gasunie'!B200</f>
        <v>Asset 189</v>
      </c>
      <c r="F247" s="43" t="str">
        <f>'8. Input IC huur Gasunie'!F200</f>
        <v>20 Kantoorgebouwen</v>
      </c>
      <c r="G247" s="43">
        <f>'8. Input IC huur Gasunie'!G200</f>
        <v>2017</v>
      </c>
      <c r="H247" s="48">
        <f>'8. Input IC huur Gasunie'!H200</f>
        <v>1235103.6006231268</v>
      </c>
      <c r="I247" s="43">
        <f>'8. Input IC huur Gasunie'!I200</f>
        <v>2021</v>
      </c>
      <c r="J247" s="48">
        <f>_xlfn.XLOOKUP(F247,'3. Input (des)investeringen '!$B$11:$B$81,'3. Input (des)investeringen '!$D$11:$D$81)</f>
        <v>30</v>
      </c>
      <c r="K247" s="48">
        <f>_xlfn.XLOOKUP(F247,'3. Input (des)investeringen '!$B$11:$B$81,'3. Input (des)investeringen '!$E$11:$E$81)</f>
        <v>0</v>
      </c>
      <c r="L247" s="48">
        <f>'8. Input IC huur Gasunie'!J200</f>
        <v>1123005.4133120223</v>
      </c>
      <c r="M247" s="48">
        <f>'8. Input IC huur Gasunie'!K200</f>
        <v>0</v>
      </c>
    </row>
    <row r="248" spans="2:13">
      <c r="B248" s="43" t="str">
        <f>'8. Input IC huur Gasunie'!B201</f>
        <v>Asset 190</v>
      </c>
      <c r="F248" s="43" t="str">
        <f>'8. Input IC huur Gasunie'!F201</f>
        <v>13 Aanhangwagens</v>
      </c>
      <c r="G248" s="43">
        <f>'8. Input IC huur Gasunie'!G201</f>
        <v>2017</v>
      </c>
      <c r="H248" s="48">
        <f>'8. Input IC huur Gasunie'!H201</f>
        <v>251242.94461834809</v>
      </c>
      <c r="I248" s="43">
        <f>'8. Input IC huur Gasunie'!I201</f>
        <v>2021</v>
      </c>
      <c r="J248" s="48">
        <f>_xlfn.XLOOKUP(F248,'3. Input (des)investeringen '!$B$11:$B$81,'3. Input (des)investeringen '!$D$11:$D$81)</f>
        <v>10</v>
      </c>
      <c r="K248" s="48">
        <f>_xlfn.XLOOKUP(F248,'3. Input (des)investeringen '!$B$11:$B$81,'3. Input (des)investeringen '!$E$11:$E$81)</f>
        <v>1</v>
      </c>
      <c r="L248" s="48">
        <f>'8. Input IC huur Gasunie'!J201</f>
        <v>147814.18069019204</v>
      </c>
      <c r="M248" s="48">
        <f>'8. Input IC huur Gasunie'!K201</f>
        <v>0</v>
      </c>
    </row>
    <row r="249" spans="2:13">
      <c r="B249" s="43" t="str">
        <f>'8. Input IC huur Gasunie'!B202</f>
        <v>Asset 191</v>
      </c>
      <c r="F249" s="43" t="str">
        <f>'8. Input IC huur Gasunie'!F202</f>
        <v>12 Motorvoertuigen</v>
      </c>
      <c r="G249" s="43">
        <f>'8. Input IC huur Gasunie'!G202</f>
        <v>2017</v>
      </c>
      <c r="H249" s="48">
        <f>'8. Input IC huur Gasunie'!H202</f>
        <v>342149.84909853589</v>
      </c>
      <c r="I249" s="43">
        <f>'8. Input IC huur Gasunie'!I202</f>
        <v>2021</v>
      </c>
      <c r="J249" s="48">
        <f>_xlfn.XLOOKUP(F249,'3. Input (des)investeringen '!$B$11:$B$81,'3. Input (des)investeringen '!$D$11:$D$81)</f>
        <v>10</v>
      </c>
      <c r="K249" s="48">
        <f>_xlfn.XLOOKUP(F249,'3. Input (des)investeringen '!$B$11:$B$81,'3. Input (des)investeringen '!$E$11:$E$81)</f>
        <v>1</v>
      </c>
      <c r="L249" s="48">
        <f>'8. Input IC huur Gasunie'!J202</f>
        <v>201297.59143922853</v>
      </c>
      <c r="M249" s="48">
        <f>'8. Input IC huur Gasunie'!K202</f>
        <v>0</v>
      </c>
    </row>
    <row r="250" spans="2:13">
      <c r="B250" s="43" t="str">
        <f>'8. Input IC huur Gasunie'!B203</f>
        <v>Asset 192</v>
      </c>
      <c r="F250" s="43" t="str">
        <f>'8. Input IC huur Gasunie'!F203</f>
        <v>10 Gereedschap (gaschromatografen en comptabele meters)</v>
      </c>
      <c r="G250" s="43">
        <f>'8. Input IC huur Gasunie'!G203</f>
        <v>2017</v>
      </c>
      <c r="H250" s="48">
        <f>'8. Input IC huur Gasunie'!H203</f>
        <v>492613.45921199484</v>
      </c>
      <c r="I250" s="43">
        <f>'8. Input IC huur Gasunie'!I203</f>
        <v>2021</v>
      </c>
      <c r="J250" s="48">
        <f>_xlfn.XLOOKUP(F250,'3. Input (des)investeringen '!$B$11:$B$81,'3. Input (des)investeringen '!$D$11:$D$81)</f>
        <v>10</v>
      </c>
      <c r="K250" s="48">
        <f>_xlfn.XLOOKUP(F250,'3. Input (des)investeringen '!$B$11:$B$81,'3. Input (des)investeringen '!$E$11:$E$81)</f>
        <v>0</v>
      </c>
      <c r="L250" s="48">
        <f>'8. Input IC huur Gasunie'!J203</f>
        <v>289820.09815635922</v>
      </c>
      <c r="M250" s="48">
        <f>'8. Input IC huur Gasunie'!K203</f>
        <v>0</v>
      </c>
    </row>
    <row r="251" spans="2:13">
      <c r="B251" s="43" t="str">
        <f>'8. Input IC huur Gasunie'!B204</f>
        <v>Asset 193</v>
      </c>
      <c r="F251" s="43" t="str">
        <f>'8. Input IC huur Gasunie'!F204</f>
        <v>11 Werktuigen</v>
      </c>
      <c r="G251" s="43">
        <f>'8. Input IC huur Gasunie'!G204</f>
        <v>2017</v>
      </c>
      <c r="H251" s="48">
        <f>'8. Input IC huur Gasunie'!H204</f>
        <v>2185364.6124668787</v>
      </c>
      <c r="I251" s="43">
        <f>'8. Input IC huur Gasunie'!I204</f>
        <v>2021</v>
      </c>
      <c r="J251" s="48">
        <f>_xlfn.XLOOKUP(F251,'3. Input (des)investeringen '!$B$11:$B$81,'3. Input (des)investeringen '!$D$11:$D$81)</f>
        <v>10</v>
      </c>
      <c r="K251" s="48">
        <f>_xlfn.XLOOKUP(F251,'3. Input (des)investeringen '!$B$11:$B$81,'3. Input (des)investeringen '!$E$11:$E$81)</f>
        <v>1</v>
      </c>
      <c r="L251" s="48">
        <f>'8. Input IC huur Gasunie'!J204</f>
        <v>1285719.20772473</v>
      </c>
      <c r="M251" s="48">
        <f>'8. Input IC huur Gasunie'!K204</f>
        <v>0</v>
      </c>
    </row>
    <row r="252" spans="2:13">
      <c r="B252" s="43" t="str">
        <f>'8. Input IC huur Gasunie'!B205</f>
        <v>Asset 194</v>
      </c>
      <c r="F252" s="43" t="str">
        <f>'8. Input IC huur Gasunie'!F205</f>
        <v>14 Overig rollend materieel</v>
      </c>
      <c r="G252" s="43">
        <f>'8. Input IC huur Gasunie'!G205</f>
        <v>2017</v>
      </c>
      <c r="H252" s="48">
        <f>'8. Input IC huur Gasunie'!H205</f>
        <v>68624.022512808762</v>
      </c>
      <c r="I252" s="43">
        <f>'8. Input IC huur Gasunie'!I205</f>
        <v>2021</v>
      </c>
      <c r="J252" s="48">
        <f>_xlfn.XLOOKUP(F252,'3. Input (des)investeringen '!$B$11:$B$81,'3. Input (des)investeringen '!$D$11:$D$81)</f>
        <v>10</v>
      </c>
      <c r="K252" s="48">
        <f>_xlfn.XLOOKUP(F252,'3. Input (des)investeringen '!$B$11:$B$81,'3. Input (des)investeringen '!$E$11:$E$81)</f>
        <v>1</v>
      </c>
      <c r="L252" s="48">
        <f>'8. Input IC huur Gasunie'!J205</f>
        <v>40373.685632465487</v>
      </c>
      <c r="M252" s="48">
        <f>'8. Input IC huur Gasunie'!K205</f>
        <v>0</v>
      </c>
    </row>
    <row r="253" spans="2:13">
      <c r="B253" s="43" t="str">
        <f>'8. Input IC huur Gasunie'!B206</f>
        <v>Asset 195</v>
      </c>
      <c r="F253" s="43" t="str">
        <f>'8. Input IC huur Gasunie'!F206</f>
        <v>09 Bedrijfsinventaris</v>
      </c>
      <c r="G253" s="43">
        <f>'8. Input IC huur Gasunie'!G206</f>
        <v>2017</v>
      </c>
      <c r="H253" s="48">
        <f>'8. Input IC huur Gasunie'!H206</f>
        <v>75086.588886849713</v>
      </c>
      <c r="I253" s="43">
        <f>'8. Input IC huur Gasunie'!I206</f>
        <v>2021</v>
      </c>
      <c r="J253" s="48">
        <f>_xlfn.XLOOKUP(F253,'3. Input (des)investeringen '!$B$11:$B$81,'3. Input (des)investeringen '!$D$11:$D$81)</f>
        <v>10</v>
      </c>
      <c r="K253" s="48">
        <f>_xlfn.XLOOKUP(F253,'3. Input (des)investeringen '!$B$11:$B$81,'3. Input (des)investeringen '!$E$11:$E$81)</f>
        <v>1</v>
      </c>
      <c r="L253" s="48">
        <f>'8. Input IC huur Gasunie'!J206</f>
        <v>44175.81808711389</v>
      </c>
      <c r="M253" s="48">
        <f>'8. Input IC huur Gasunie'!K206</f>
        <v>0</v>
      </c>
    </row>
    <row r="254" spans="2:13">
      <c r="B254" s="43" t="str">
        <f>'8. Input IC huur Gasunie'!B207</f>
        <v>Asset 196</v>
      </c>
      <c r="F254" s="43" t="str">
        <f>'8. Input IC huur Gasunie'!F207</f>
        <v>08 Inrichting gebouwen</v>
      </c>
      <c r="G254" s="43">
        <f>'8. Input IC huur Gasunie'!G207</f>
        <v>2017</v>
      </c>
      <c r="H254" s="48">
        <f>'8. Input IC huur Gasunie'!H207</f>
        <v>894081.48176313401</v>
      </c>
      <c r="I254" s="43">
        <f>'8. Input IC huur Gasunie'!I207</f>
        <v>2021</v>
      </c>
      <c r="J254" s="48">
        <f>_xlfn.XLOOKUP(F254,'3. Input (des)investeringen '!$B$11:$B$81,'3. Input (des)investeringen '!$D$11:$D$81)</f>
        <v>10</v>
      </c>
      <c r="K254" s="48">
        <f>_xlfn.XLOOKUP(F254,'3. Input (des)investeringen '!$B$11:$B$81,'3. Input (des)investeringen '!$E$11:$E$81)</f>
        <v>0</v>
      </c>
      <c r="L254" s="48">
        <f>'8. Input IC huur Gasunie'!J207</f>
        <v>526016.44952794898</v>
      </c>
      <c r="M254" s="48">
        <f>'8. Input IC huur Gasunie'!K207</f>
        <v>0</v>
      </c>
    </row>
    <row r="255" spans="2:13">
      <c r="B255" s="43" t="str">
        <f>'8. Input IC huur Gasunie'!B208</f>
        <v>Asset 197</v>
      </c>
      <c r="F255" s="43" t="str">
        <f>'8. Input IC huur Gasunie'!F208</f>
        <v>09 Bedrijfsinventaris</v>
      </c>
      <c r="G255" s="43">
        <f>'8. Input IC huur Gasunie'!G208</f>
        <v>2018</v>
      </c>
      <c r="H255" s="48">
        <f>'8. Input IC huur Gasunie'!H208</f>
        <v>490885.08786120504</v>
      </c>
      <c r="I255" s="43">
        <f>'8. Input IC huur Gasunie'!I208</f>
        <v>2021</v>
      </c>
      <c r="J255" s="48">
        <f>_xlfn.XLOOKUP(F255,'3. Input (des)investeringen '!$B$11:$B$81,'3. Input (des)investeringen '!$D$11:$D$81)</f>
        <v>10</v>
      </c>
      <c r="K255" s="48">
        <f>_xlfn.XLOOKUP(F255,'3. Input (des)investeringen '!$B$11:$B$81,'3. Input (des)investeringen '!$E$11:$E$81)</f>
        <v>1</v>
      </c>
      <c r="L255" s="48">
        <f>'8. Input IC huur Gasunie'!J208</f>
        <v>336600.51580018562</v>
      </c>
      <c r="M255" s="48">
        <f>'8. Input IC huur Gasunie'!K208</f>
        <v>0</v>
      </c>
    </row>
    <row r="256" spans="2:13">
      <c r="B256" s="43" t="str">
        <f>'8. Input IC huur Gasunie'!B209</f>
        <v>Asset 198</v>
      </c>
      <c r="F256" s="43" t="str">
        <f>'8. Input IC huur Gasunie'!F209</f>
        <v>08 Inrichting gebouwen</v>
      </c>
      <c r="G256" s="43">
        <f>'8. Input IC huur Gasunie'!G209</f>
        <v>2018</v>
      </c>
      <c r="H256" s="48">
        <f>'8. Input IC huur Gasunie'!H209</f>
        <v>533703.76265516167</v>
      </c>
      <c r="I256" s="43">
        <f>'8. Input IC huur Gasunie'!I209</f>
        <v>2021</v>
      </c>
      <c r="J256" s="48">
        <f>_xlfn.XLOOKUP(F256,'3. Input (des)investeringen '!$B$11:$B$81,'3. Input (des)investeringen '!$D$11:$D$81)</f>
        <v>10</v>
      </c>
      <c r="K256" s="48">
        <f>_xlfn.XLOOKUP(F256,'3. Input (des)investeringen '!$B$11:$B$81,'3. Input (des)investeringen '!$E$11:$E$81)</f>
        <v>0</v>
      </c>
      <c r="L256" s="48">
        <f>'8. Input IC huur Gasunie'!J209</f>
        <v>365961.33440708811</v>
      </c>
      <c r="M256" s="48">
        <f>'8. Input IC huur Gasunie'!K209</f>
        <v>0</v>
      </c>
    </row>
    <row r="257" spans="2:13">
      <c r="B257" s="43" t="str">
        <f>'8. Input IC huur Gasunie'!B210</f>
        <v>Asset 199</v>
      </c>
      <c r="F257" s="43" t="str">
        <f>'8. Input IC huur Gasunie'!F210</f>
        <v>11 Werktuigen</v>
      </c>
      <c r="G257" s="43">
        <f>'8. Input IC huur Gasunie'!G210</f>
        <v>2018</v>
      </c>
      <c r="H257" s="48">
        <f>'8. Input IC huur Gasunie'!H210</f>
        <v>2619455.826851733</v>
      </c>
      <c r="I257" s="43">
        <f>'8. Input IC huur Gasunie'!I210</f>
        <v>2021</v>
      </c>
      <c r="J257" s="48">
        <f>_xlfn.XLOOKUP(F257,'3. Input (des)investeringen '!$B$11:$B$81,'3. Input (des)investeringen '!$D$11:$D$81)</f>
        <v>10</v>
      </c>
      <c r="K257" s="48">
        <f>_xlfn.XLOOKUP(F257,'3. Input (des)investeringen '!$B$11:$B$81,'3. Input (des)investeringen '!$E$11:$E$81)</f>
        <v>1</v>
      </c>
      <c r="L257" s="48">
        <f>'8. Input IC huur Gasunie'!J210</f>
        <v>1796164.1211708463</v>
      </c>
      <c r="M257" s="48">
        <f>'8. Input IC huur Gasunie'!K210</f>
        <v>0</v>
      </c>
    </row>
    <row r="258" spans="2:13">
      <c r="B258" s="43" t="str">
        <f>'8. Input IC huur Gasunie'!B211</f>
        <v>Asset 200</v>
      </c>
      <c r="F258" s="43" t="str">
        <f>'8. Input IC huur Gasunie'!F211</f>
        <v>10 Gereedschap</v>
      </c>
      <c r="G258" s="43">
        <f>'8. Input IC huur Gasunie'!G211</f>
        <v>2018</v>
      </c>
      <c r="H258" s="48">
        <f>'8. Input IC huur Gasunie'!H211</f>
        <v>252164.79428194632</v>
      </c>
      <c r="I258" s="43">
        <f>'8. Input IC huur Gasunie'!I211</f>
        <v>2021</v>
      </c>
      <c r="J258" s="48">
        <f>_xlfn.XLOOKUP(F258,'3. Input (des)investeringen '!$B$11:$B$81,'3. Input (des)investeringen '!$D$11:$D$81)</f>
        <v>10</v>
      </c>
      <c r="K258" s="48">
        <f>_xlfn.XLOOKUP(F258,'3. Input (des)investeringen '!$B$11:$B$81,'3. Input (des)investeringen '!$E$11:$E$81)</f>
        <v>1</v>
      </c>
      <c r="L258" s="48">
        <f>'8. Input IC huur Gasunie'!J211</f>
        <v>172909.7133338665</v>
      </c>
      <c r="M258" s="48">
        <f>'8. Input IC huur Gasunie'!K211</f>
        <v>0</v>
      </c>
    </row>
    <row r="259" spans="2:13">
      <c r="B259" s="43" t="str">
        <f>'8. Input IC huur Gasunie'!B212</f>
        <v>Asset 201</v>
      </c>
      <c r="F259" s="43" t="str">
        <f>'8. Input IC huur Gasunie'!F212</f>
        <v>11 Werktuigen (KC)</v>
      </c>
      <c r="G259" s="43">
        <f>'8. Input IC huur Gasunie'!G212</f>
        <v>2018</v>
      </c>
      <c r="H259" s="48">
        <f>'8. Input IC huur Gasunie'!H212</f>
        <v>13021546.318391869</v>
      </c>
      <c r="I259" s="43">
        <f>'8. Input IC huur Gasunie'!I212</f>
        <v>2021</v>
      </c>
      <c r="J259" s="48">
        <f>_xlfn.XLOOKUP(F259,'3. Input (des)investeringen '!$B$11:$B$81,'3. Input (des)investeringen '!$D$11:$D$81)</f>
        <v>10</v>
      </c>
      <c r="K259" s="48">
        <f>_xlfn.XLOOKUP(F259,'3. Input (des)investeringen '!$B$11:$B$81,'3. Input (des)investeringen '!$E$11:$E$81)</f>
        <v>0</v>
      </c>
      <c r="L259" s="48">
        <f>'8. Input IC huur Gasunie'!J212</f>
        <v>8928890.519742161</v>
      </c>
      <c r="M259" s="48">
        <f>'8. Input IC huur Gasunie'!K212</f>
        <v>0</v>
      </c>
    </row>
    <row r="260" spans="2:13">
      <c r="B260" s="43" t="str">
        <f>'8. Input IC huur Gasunie'!B213</f>
        <v>Asset 202</v>
      </c>
      <c r="F260" s="43" t="str">
        <f>'8. Input IC huur Gasunie'!F213</f>
        <v>20 Kantoorgebouwen</v>
      </c>
      <c r="G260" s="43">
        <f>'8. Input IC huur Gasunie'!G213</f>
        <v>2018</v>
      </c>
      <c r="H260" s="48">
        <f>'8. Input IC huur Gasunie'!H213</f>
        <v>5158473.573657441</v>
      </c>
      <c r="I260" s="43">
        <f>'8. Input IC huur Gasunie'!I213</f>
        <v>2021</v>
      </c>
      <c r="J260" s="48">
        <f>_xlfn.XLOOKUP(F260,'3. Input (des)investeringen '!$B$11:$B$81,'3. Input (des)investeringen '!$D$11:$D$81)</f>
        <v>30</v>
      </c>
      <c r="K260" s="48">
        <f>_xlfn.XLOOKUP(F260,'3. Input (des)investeringen '!$B$11:$B$81,'3. Input (des)investeringen '!$E$11:$E$81)</f>
        <v>0</v>
      </c>
      <c r="L260" s="48">
        <f>'8. Input IC huur Gasunie'!J213</f>
        <v>4806925.7125234623</v>
      </c>
      <c r="M260" s="48">
        <f>'8. Input IC huur Gasunie'!K213</f>
        <v>0</v>
      </c>
    </row>
    <row r="261" spans="2:13">
      <c r="B261" s="43" t="str">
        <f>'8. Input IC huur Gasunie'!B214</f>
        <v>Asset 203</v>
      </c>
      <c r="F261" s="43" t="str">
        <f>'8. Input IC huur Gasunie'!F214</f>
        <v>39 ICT middelen 3 (KC)</v>
      </c>
      <c r="G261" s="43">
        <f>'8. Input IC huur Gasunie'!G214</f>
        <v>2018</v>
      </c>
      <c r="H261" s="48">
        <f>'8. Input IC huur Gasunie'!H214</f>
        <v>21147142.000000007</v>
      </c>
      <c r="I261" s="43">
        <f>'8. Input IC huur Gasunie'!I214</f>
        <v>2021</v>
      </c>
      <c r="J261" s="48">
        <f>_xlfn.XLOOKUP(F261,'3. Input (des)investeringen '!$B$11:$B$81,'3. Input (des)investeringen '!$D$11:$D$81)</f>
        <v>15</v>
      </c>
      <c r="K261" s="48">
        <f>_xlfn.XLOOKUP(F261,'3. Input (des)investeringen '!$B$11:$B$81,'3. Input (des)investeringen '!$E$11:$E$81)</f>
        <v>0</v>
      </c>
      <c r="L261" s="48">
        <f>'8. Input IC huur Gasunie'!J214</f>
        <v>17103297.263965867</v>
      </c>
      <c r="M261" s="48">
        <f>'8. Input IC huur Gasunie'!K214</f>
        <v>0</v>
      </c>
    </row>
    <row r="262" spans="2:13">
      <c r="B262" s="43" t="str">
        <f>'8. Input IC huur Gasunie'!B215</f>
        <v>Asset 204</v>
      </c>
      <c r="F262" s="43" t="str">
        <f>'8. Input IC huur Gasunie'!F215</f>
        <v>37 ICT middelen 1 (KC)</v>
      </c>
      <c r="G262" s="43">
        <f>'8. Input IC huur Gasunie'!G215</f>
        <v>2018</v>
      </c>
      <c r="H262" s="48">
        <f>'8. Input IC huur Gasunie'!H215</f>
        <v>1669649.9999999995</v>
      </c>
      <c r="I262" s="43">
        <f>'8. Input IC huur Gasunie'!I215</f>
        <v>2021</v>
      </c>
      <c r="J262" s="48">
        <f>_xlfn.XLOOKUP(F262,'3. Input (des)investeringen '!$B$11:$B$81,'3. Input (des)investeringen '!$D$11:$D$81)</f>
        <v>5</v>
      </c>
      <c r="K262" s="48">
        <f>_xlfn.XLOOKUP(F262,'3. Input (des)investeringen '!$B$11:$B$81,'3. Input (des)investeringen '!$E$11:$E$81)</f>
        <v>0</v>
      </c>
      <c r="L262" s="48">
        <f>'8. Input IC huur Gasunie'!J215</f>
        <v>528406.65386783984</v>
      </c>
      <c r="M262" s="48">
        <f>'8. Input IC huur Gasunie'!K215</f>
        <v>0</v>
      </c>
    </row>
    <row r="263" spans="2:13">
      <c r="B263" s="43" t="str">
        <f>'8. Input IC huur Gasunie'!B216</f>
        <v>Asset 205</v>
      </c>
      <c r="F263" s="43" t="str">
        <f>'8. Input IC huur Gasunie'!F216</f>
        <v>05 Wegen en terreinvoorzieningen</v>
      </c>
      <c r="G263" s="43">
        <f>'8. Input IC huur Gasunie'!G216</f>
        <v>2017</v>
      </c>
      <c r="H263" s="48">
        <f>'8. Input IC huur Gasunie'!H216</f>
        <v>41129.587663444909</v>
      </c>
      <c r="I263" s="43">
        <f>'8. Input IC huur Gasunie'!I216</f>
        <v>2021</v>
      </c>
      <c r="J263" s="48">
        <f>_xlfn.XLOOKUP(F263,'3. Input (des)investeringen '!$B$11:$B$81,'3. Input (des)investeringen '!$D$11:$D$81)</f>
        <v>10</v>
      </c>
      <c r="K263" s="48">
        <f>_xlfn.XLOOKUP(F263,'3. Input (des)investeringen '!$B$11:$B$81,'3. Input (des)investeringen '!$E$11:$E$81)</f>
        <v>0</v>
      </c>
      <c r="L263" s="48">
        <f>'8. Input IC huur Gasunie'!J216</f>
        <v>24197.83891576614</v>
      </c>
      <c r="M263" s="48">
        <f>'8. Input IC huur Gasunie'!K216</f>
        <v>0</v>
      </c>
    </row>
    <row r="264" spans="2:13">
      <c r="B264" s="43" t="str">
        <f>'8. Input IC huur Gasunie'!B217</f>
        <v>Asset 206</v>
      </c>
      <c r="F264" s="43" t="str">
        <f>'8. Input IC huur Gasunie'!F217</f>
        <v>06 Utiliteitsgebouwen</v>
      </c>
      <c r="G264" s="43">
        <f>'8. Input IC huur Gasunie'!G217</f>
        <v>2018</v>
      </c>
      <c r="H264" s="48">
        <f>'8. Input IC huur Gasunie'!H217</f>
        <v>1769813.2968497979</v>
      </c>
      <c r="I264" s="43">
        <f>'8. Input IC huur Gasunie'!I217</f>
        <v>2021</v>
      </c>
      <c r="J264" s="48">
        <f>_xlfn.XLOOKUP(F264,'3. Input (des)investeringen '!$B$11:$B$81,'3. Input (des)investeringen '!$D$11:$D$81)</f>
        <v>30</v>
      </c>
      <c r="K264" s="48">
        <f>_xlfn.XLOOKUP(F264,'3. Input (des)investeringen '!$B$11:$B$81,'3. Input (des)investeringen '!$E$11:$E$81)</f>
        <v>0</v>
      </c>
      <c r="L264" s="48">
        <f>'8. Input IC huur Gasunie'!J217</f>
        <v>1649201.2455850111</v>
      </c>
      <c r="M264" s="48">
        <f>'8. Input IC huur Gasunie'!K217</f>
        <v>0</v>
      </c>
    </row>
    <row r="265" spans="2:13">
      <c r="B265" s="43" t="str">
        <f>'8. Input IC huur Gasunie'!B218</f>
        <v>Asset 207</v>
      </c>
      <c r="F265" s="43" t="str">
        <f>'8. Input IC huur Gasunie'!F218</f>
        <v>14 Overig rollend materieel</v>
      </c>
      <c r="G265" s="43">
        <f>'8. Input IC huur Gasunie'!G218</f>
        <v>2018</v>
      </c>
      <c r="H265" s="48">
        <f>'8. Input IC huur Gasunie'!H218</f>
        <v>20291.448993786991</v>
      </c>
      <c r="I265" s="43">
        <f>'8. Input IC huur Gasunie'!I218</f>
        <v>2021</v>
      </c>
      <c r="J265" s="48">
        <f>_xlfn.XLOOKUP(F265,'3. Input (des)investeringen '!$B$11:$B$81,'3. Input (des)investeringen '!$D$11:$D$81)</f>
        <v>10</v>
      </c>
      <c r="K265" s="48">
        <f>_xlfn.XLOOKUP(F265,'3. Input (des)investeringen '!$B$11:$B$81,'3. Input (des)investeringen '!$E$11:$E$81)</f>
        <v>1</v>
      </c>
      <c r="L265" s="48">
        <f>'8. Input IC huur Gasunie'!J218</f>
        <v>13913.871833835448</v>
      </c>
      <c r="M265" s="48">
        <f>'8. Input IC huur Gasunie'!K218</f>
        <v>0</v>
      </c>
    </row>
    <row r="266" spans="2:13">
      <c r="B266" s="43" t="str">
        <f>'8. Input IC huur Gasunie'!B219</f>
        <v>Asset 208</v>
      </c>
      <c r="F266" s="43" t="str">
        <f>'8. Input IC huur Gasunie'!F219</f>
        <v>10 Gereedschap (odorisatie)</v>
      </c>
      <c r="G266" s="43">
        <f>'8. Input IC huur Gasunie'!G219</f>
        <v>2018</v>
      </c>
      <c r="H266" s="48">
        <f>'8. Input IC huur Gasunie'!H219</f>
        <v>59796.38767845487</v>
      </c>
      <c r="I266" s="43">
        <f>'8. Input IC huur Gasunie'!I219</f>
        <v>2021</v>
      </c>
      <c r="J266" s="48">
        <f>_xlfn.XLOOKUP(F266,'3. Input (des)investeringen '!$B$11:$B$81,'3. Input (des)investeringen '!$D$11:$D$81)</f>
        <v>10</v>
      </c>
      <c r="K266" s="48">
        <f>_xlfn.XLOOKUP(F266,'3. Input (des)investeringen '!$B$11:$B$81,'3. Input (des)investeringen '!$E$11:$E$81)</f>
        <v>0</v>
      </c>
      <c r="L266" s="48">
        <f>'8. Input IC huur Gasunie'!J219</f>
        <v>41002.457465659885</v>
      </c>
      <c r="M266" s="48">
        <f>'8. Input IC huur Gasunie'!K219</f>
        <v>0</v>
      </c>
    </row>
    <row r="267" spans="2:13">
      <c r="B267" s="43" t="str">
        <f>'8. Input IC huur Gasunie'!B220</f>
        <v>Asset 209</v>
      </c>
      <c r="F267" s="43" t="str">
        <f>'8. Input IC huur Gasunie'!F220</f>
        <v>05 Wegen en terreinvoorzieningen</v>
      </c>
      <c r="G267" s="43">
        <f>'8. Input IC huur Gasunie'!G220</f>
        <v>2018</v>
      </c>
      <c r="H267" s="48">
        <f>'8. Input IC huur Gasunie'!H220</f>
        <v>70537.619152208252</v>
      </c>
      <c r="I267" s="43">
        <f>'8. Input IC huur Gasunie'!I220</f>
        <v>2021</v>
      </c>
      <c r="J267" s="48">
        <f>_xlfn.XLOOKUP(F267,'3. Input (des)investeringen '!$B$11:$B$81,'3. Input (des)investeringen '!$D$11:$D$81)</f>
        <v>10</v>
      </c>
      <c r="K267" s="48">
        <f>_xlfn.XLOOKUP(F267,'3. Input (des)investeringen '!$B$11:$B$81,'3. Input (des)investeringen '!$E$11:$E$81)</f>
        <v>0</v>
      </c>
      <c r="L267" s="48">
        <f>'8. Input IC huur Gasunie'!J220</f>
        <v>48367.733257897518</v>
      </c>
      <c r="M267" s="48">
        <f>'8. Input IC huur Gasunie'!K220</f>
        <v>0</v>
      </c>
    </row>
    <row r="268" spans="2:13">
      <c r="B268" s="43" t="str">
        <f>'8. Input IC huur Gasunie'!B221</f>
        <v>Asset 210</v>
      </c>
      <c r="F268" s="43" t="str">
        <f>'8. Input IC huur Gasunie'!F221</f>
        <v>37 ICT middelen 1 (balancering)</v>
      </c>
      <c r="G268" s="43">
        <f>'8. Input IC huur Gasunie'!G221</f>
        <v>2018</v>
      </c>
      <c r="H268" s="48">
        <f>'8. Input IC huur Gasunie'!H221</f>
        <v>1033593</v>
      </c>
      <c r="I268" s="43">
        <f>'8. Input IC huur Gasunie'!I221</f>
        <v>2021</v>
      </c>
      <c r="J268" s="48">
        <f>_xlfn.XLOOKUP(F268,'3. Input (des)investeringen '!$B$11:$B$81,'3. Input (des)investeringen '!$D$11:$D$81)</f>
        <v>5</v>
      </c>
      <c r="K268" s="48">
        <f>_xlfn.XLOOKUP(F268,'3. Input (des)investeringen '!$B$11:$B$81,'3. Input (des)investeringen '!$E$11:$E$81)</f>
        <v>0</v>
      </c>
      <c r="L268" s="48">
        <f>'8. Input IC huur Gasunie'!J221</f>
        <v>327108.92617687664</v>
      </c>
      <c r="M268" s="48">
        <f>'8. Input IC huur Gasunie'!K221</f>
        <v>0</v>
      </c>
    </row>
    <row r="269" spans="2:13">
      <c r="B269" s="43" t="str">
        <f>'8. Input IC huur Gasunie'!B222</f>
        <v>Asset 211</v>
      </c>
      <c r="F269" s="43" t="str">
        <f>'8. Input IC huur Gasunie'!F222</f>
        <v>37 ICT middelen 1</v>
      </c>
      <c r="G269" s="43">
        <f>'8. Input IC huur Gasunie'!G222</f>
        <v>2019</v>
      </c>
      <c r="H269" s="48">
        <f>'8. Input IC huur Gasunie'!H222</f>
        <v>7023542.7917365544</v>
      </c>
      <c r="I269" s="43">
        <f>'8. Input IC huur Gasunie'!I222</f>
        <v>2021</v>
      </c>
      <c r="J269" s="48">
        <f>_xlfn.XLOOKUP(F269,'3. Input (des)investeringen '!$B$11:$B$81,'3. Input (des)investeringen '!$D$11:$D$81)</f>
        <v>5</v>
      </c>
      <c r="K269" s="48">
        <f>_xlfn.XLOOKUP(F269,'3. Input (des)investeringen '!$B$11:$B$81,'3. Input (des)investeringen '!$E$11:$E$81)</f>
        <v>1</v>
      </c>
      <c r="L269" s="48">
        <f>'8. Input IC huur Gasunie'!J222</f>
        <v>3660726.6913954271</v>
      </c>
      <c r="M269" s="48">
        <f>'8. Input IC huur Gasunie'!K222</f>
        <v>0</v>
      </c>
    </row>
    <row r="270" spans="2:13">
      <c r="B270" s="43" t="str">
        <f>'8. Input IC huur Gasunie'!B223</f>
        <v>Asset 212</v>
      </c>
      <c r="F270" s="43" t="str">
        <f>'8. Input IC huur Gasunie'!F223</f>
        <v>14 Overig rollend materieel</v>
      </c>
      <c r="G270" s="43">
        <f>'8. Input IC huur Gasunie'!G223</f>
        <v>2019</v>
      </c>
      <c r="H270" s="48">
        <f>'8. Input IC huur Gasunie'!H223</f>
        <v>857388.09237261105</v>
      </c>
      <c r="I270" s="43">
        <f>'8. Input IC huur Gasunie'!I223</f>
        <v>2021</v>
      </c>
      <c r="J270" s="48">
        <f>_xlfn.XLOOKUP(F270,'3. Input (des)investeringen '!$B$11:$B$81,'3. Input (des)investeringen '!$D$11:$D$81)</f>
        <v>10</v>
      </c>
      <c r="K270" s="48">
        <f>_xlfn.XLOOKUP(F270,'3. Input (des)investeringen '!$B$11:$B$81,'3. Input (des)investeringen '!$E$11:$E$81)</f>
        <v>1</v>
      </c>
      <c r="L270" s="48">
        <f>'8. Input IC huur Gasunie'!J223</f>
        <v>670316.29927401594</v>
      </c>
      <c r="M270" s="48">
        <f>'8. Input IC huur Gasunie'!K223</f>
        <v>0</v>
      </c>
    </row>
    <row r="271" spans="2:13">
      <c r="B271" s="43" t="str">
        <f>'8. Input IC huur Gasunie'!B224</f>
        <v>Asset 213</v>
      </c>
      <c r="F271" s="43" t="str">
        <f>'8. Input IC huur Gasunie'!F224</f>
        <v>08 Inrichting gebouwen</v>
      </c>
      <c r="G271" s="43">
        <f>'8. Input IC huur Gasunie'!G224</f>
        <v>2019</v>
      </c>
      <c r="H271" s="48">
        <f>'8. Input IC huur Gasunie'!H224</f>
        <v>460067.29247706069</v>
      </c>
      <c r="I271" s="43">
        <f>'8. Input IC huur Gasunie'!I224</f>
        <v>2021</v>
      </c>
      <c r="J271" s="48">
        <f>_xlfn.XLOOKUP(F271,'3. Input (des)investeringen '!$B$11:$B$81,'3. Input (des)investeringen '!$D$11:$D$81)</f>
        <v>10</v>
      </c>
      <c r="K271" s="48">
        <f>_xlfn.XLOOKUP(F271,'3. Input (des)investeringen '!$B$11:$B$81,'3. Input (des)investeringen '!$E$11:$E$81)</f>
        <v>0</v>
      </c>
      <c r="L271" s="48">
        <f>'8. Input IC huur Gasunie'!J224</f>
        <v>359686.13006607577</v>
      </c>
      <c r="M271" s="48">
        <f>'8. Input IC huur Gasunie'!K224</f>
        <v>0</v>
      </c>
    </row>
    <row r="272" spans="2:13">
      <c r="B272" s="43" t="str">
        <f>'8. Input IC huur Gasunie'!B225</f>
        <v>Asset 214</v>
      </c>
      <c r="F272" s="43" t="str">
        <f>'8. Input IC huur Gasunie'!F225</f>
        <v>37 ICT middelen 1 (KC)</v>
      </c>
      <c r="G272" s="43">
        <f>'8. Input IC huur Gasunie'!G225</f>
        <v>2019</v>
      </c>
      <c r="H272" s="48">
        <f>'8. Input IC huur Gasunie'!H225</f>
        <v>119060</v>
      </c>
      <c r="I272" s="43">
        <f>'8. Input IC huur Gasunie'!I225</f>
        <v>2021</v>
      </c>
      <c r="J272" s="48">
        <f>_xlfn.XLOOKUP(F272,'3. Input (des)investeringen '!$B$11:$B$81,'3. Input (des)investeringen '!$D$11:$D$81)</f>
        <v>5</v>
      </c>
      <c r="K272" s="48">
        <f>_xlfn.XLOOKUP(F272,'3. Input (des)investeringen '!$B$11:$B$81,'3. Input (des)investeringen '!$E$11:$E$81)</f>
        <v>0</v>
      </c>
      <c r="L272" s="48">
        <f>'8. Input IC huur Gasunie'!J225</f>
        <v>62055.024479999985</v>
      </c>
      <c r="M272" s="48">
        <f>'8. Input IC huur Gasunie'!K225</f>
        <v>0</v>
      </c>
    </row>
    <row r="273" spans="2:13">
      <c r="B273" s="43" t="str">
        <f>'8. Input IC huur Gasunie'!B226</f>
        <v>Asset 215</v>
      </c>
      <c r="F273" s="43" t="str">
        <f>'8. Input IC huur Gasunie'!F226</f>
        <v>11 Werktuigen</v>
      </c>
      <c r="G273" s="43">
        <f>'8. Input IC huur Gasunie'!G226</f>
        <v>2019</v>
      </c>
      <c r="H273" s="48">
        <f>'8. Input IC huur Gasunie'!H226</f>
        <v>288666.6970011855</v>
      </c>
      <c r="I273" s="43">
        <f>'8. Input IC huur Gasunie'!I226</f>
        <v>2021</v>
      </c>
      <c r="J273" s="48">
        <f>_xlfn.XLOOKUP(F273,'3. Input (des)investeringen '!$B$11:$B$81,'3. Input (des)investeringen '!$D$11:$D$81)</f>
        <v>10</v>
      </c>
      <c r="K273" s="48">
        <f>_xlfn.XLOOKUP(F273,'3. Input (des)investeringen '!$B$11:$B$81,'3. Input (des)investeringen '!$E$11:$E$81)</f>
        <v>1</v>
      </c>
      <c r="L273" s="48">
        <f>'8. Input IC huur Gasunie'!J226</f>
        <v>225683.08771589081</v>
      </c>
      <c r="M273" s="48">
        <f>'8. Input IC huur Gasunie'!K226</f>
        <v>0</v>
      </c>
    </row>
    <row r="274" spans="2:13">
      <c r="B274" s="43" t="str">
        <f>'8. Input IC huur Gasunie'!B227</f>
        <v>Asset 216</v>
      </c>
      <c r="F274" s="43" t="str">
        <f>'8. Input IC huur Gasunie'!F227</f>
        <v>20 Kantoorgebouwen</v>
      </c>
      <c r="G274" s="43">
        <f>'8. Input IC huur Gasunie'!G227</f>
        <v>2019</v>
      </c>
      <c r="H274" s="48">
        <f>'8. Input IC huur Gasunie'!H227</f>
        <v>1170372.8470650064</v>
      </c>
      <c r="I274" s="43">
        <f>'8. Input IC huur Gasunie'!I227</f>
        <v>2021</v>
      </c>
      <c r="J274" s="48">
        <f>_xlfn.XLOOKUP(F274,'3. Input (des)investeringen '!$B$11:$B$81,'3. Input (des)investeringen '!$D$11:$D$81)</f>
        <v>30</v>
      </c>
      <c r="K274" s="48">
        <f>_xlfn.XLOOKUP(F274,'3. Input (des)investeringen '!$B$11:$B$81,'3. Input (des)investeringen '!$E$11:$E$81)</f>
        <v>0</v>
      </c>
      <c r="L274" s="48">
        <f>'8. Input IC huur Gasunie'!J227</f>
        <v>1118347.433267273</v>
      </c>
      <c r="M274" s="48">
        <f>'8. Input IC huur Gasunie'!K227</f>
        <v>0</v>
      </c>
    </row>
    <row r="275" spans="2:13">
      <c r="B275" s="43" t="str">
        <f>'8. Input IC huur Gasunie'!B228</f>
        <v>Asset 217</v>
      </c>
      <c r="F275" s="43" t="str">
        <f>'8. Input IC huur Gasunie'!F228</f>
        <v>37 ICT middelen 1 (balancering)</v>
      </c>
      <c r="G275" s="43">
        <f>'8. Input IC huur Gasunie'!G228</f>
        <v>2019</v>
      </c>
      <c r="H275" s="48">
        <f>'8. Input IC huur Gasunie'!H228</f>
        <v>73704</v>
      </c>
      <c r="I275" s="43">
        <f>'8. Input IC huur Gasunie'!I228</f>
        <v>2021</v>
      </c>
      <c r="J275" s="48">
        <f>_xlfn.XLOOKUP(F275,'3. Input (des)investeringen '!$B$11:$B$81,'3. Input (des)investeringen '!$D$11:$D$81)</f>
        <v>5</v>
      </c>
      <c r="K275" s="48">
        <f>_xlfn.XLOOKUP(F275,'3. Input (des)investeringen '!$B$11:$B$81,'3. Input (des)investeringen '!$E$11:$E$81)</f>
        <v>0</v>
      </c>
      <c r="L275" s="48">
        <f>'8. Input IC huur Gasunie'!J228</f>
        <v>38415.114431999995</v>
      </c>
      <c r="M275" s="48">
        <f>'8. Input IC huur Gasunie'!K228</f>
        <v>0</v>
      </c>
    </row>
    <row r="276" spans="2:13">
      <c r="B276" s="43" t="str">
        <f>'8. Input IC huur Gasunie'!B229</f>
        <v>Asset 218</v>
      </c>
      <c r="F276" s="43" t="str">
        <f>'8. Input IC huur Gasunie'!F229</f>
        <v>37 ICT middelen 1 (gaschromatografen en comptabele meting)</v>
      </c>
      <c r="G276" s="43">
        <f>'8. Input IC huur Gasunie'!G229</f>
        <v>2019</v>
      </c>
      <c r="H276" s="48">
        <f>'8. Input IC huur Gasunie'!H229</f>
        <v>138775.45971332947</v>
      </c>
      <c r="I276" s="43">
        <f>'8. Input IC huur Gasunie'!I229</f>
        <v>2021</v>
      </c>
      <c r="J276" s="48">
        <f>_xlfn.XLOOKUP(F276,'3. Input (des)investeringen '!$B$11:$B$81,'3. Input (des)investeringen '!$D$11:$D$81)</f>
        <v>5</v>
      </c>
      <c r="K276" s="48">
        <f>_xlfn.XLOOKUP(F276,'3. Input (des)investeringen '!$B$11:$B$81,'3. Input (des)investeringen '!$E$11:$E$81)</f>
        <v>0</v>
      </c>
      <c r="L276" s="48">
        <f>'8. Input IC huur Gasunie'!J229</f>
        <v>72330.879806265031</v>
      </c>
      <c r="M276" s="48">
        <f>'8. Input IC huur Gasunie'!K229</f>
        <v>0</v>
      </c>
    </row>
    <row r="277" spans="2:13">
      <c r="B277" s="43" t="str">
        <f>'8. Input IC huur Gasunie'!B230</f>
        <v>Asset 219</v>
      </c>
      <c r="F277" s="43" t="str">
        <f>'8. Input IC huur Gasunie'!F230</f>
        <v>10 Gereedschap</v>
      </c>
      <c r="G277" s="43">
        <f>'8. Input IC huur Gasunie'!G230</f>
        <v>2019</v>
      </c>
      <c r="H277" s="48">
        <f>'8. Input IC huur Gasunie'!H230</f>
        <v>142771.1801450084</v>
      </c>
      <c r="I277" s="43">
        <f>'8. Input IC huur Gasunie'!I230</f>
        <v>2021</v>
      </c>
      <c r="J277" s="48">
        <f>_xlfn.XLOOKUP(F277,'3. Input (des)investeringen '!$B$11:$B$81,'3. Input (des)investeringen '!$D$11:$D$81)</f>
        <v>10</v>
      </c>
      <c r="K277" s="48">
        <f>_xlfn.XLOOKUP(F277,'3. Input (des)investeringen '!$B$11:$B$81,'3. Input (des)investeringen '!$E$11:$E$81)</f>
        <v>1</v>
      </c>
      <c r="L277" s="48">
        <f>'8. Input IC huur Gasunie'!J230</f>
        <v>111620.22189152931</v>
      </c>
      <c r="M277" s="48">
        <f>'8. Input IC huur Gasunie'!K230</f>
        <v>0</v>
      </c>
    </row>
    <row r="278" spans="2:13">
      <c r="B278" s="43" t="str">
        <f>'8. Input IC huur Gasunie'!B231</f>
        <v>Asset 220</v>
      </c>
      <c r="F278" s="43" t="str">
        <f>'8. Input IC huur Gasunie'!F231</f>
        <v>39 ICT middelen 3</v>
      </c>
      <c r="G278" s="43">
        <f>'8. Input IC huur Gasunie'!G231</f>
        <v>2018</v>
      </c>
      <c r="H278" s="48">
        <f>'8. Input IC huur Gasunie'!H231</f>
        <v>66462443.599999994</v>
      </c>
      <c r="I278" s="43">
        <f>'8. Input IC huur Gasunie'!I231</f>
        <v>2021</v>
      </c>
      <c r="J278" s="48">
        <f>_xlfn.XLOOKUP(F278,'3. Input (des)investeringen '!$B$11:$B$81,'3. Input (des)investeringen '!$D$11:$D$81)</f>
        <v>15</v>
      </c>
      <c r="K278" s="48">
        <f>_xlfn.XLOOKUP(F278,'3. Input (des)investeringen '!$B$11:$B$81,'3. Input (des)investeringen '!$E$11:$E$81)</f>
        <v>1</v>
      </c>
      <c r="L278" s="48">
        <f>'8. Input IC huur Gasunie'!J231</f>
        <v>53753217.800323352</v>
      </c>
      <c r="M278" s="48">
        <f>'8. Input IC huur Gasunie'!K231</f>
        <v>0</v>
      </c>
    </row>
    <row r="279" spans="2:13">
      <c r="B279" s="43" t="str">
        <f>'8. Input IC huur Gasunie'!B232</f>
        <v>Asset 221</v>
      </c>
      <c r="F279" s="43" t="str">
        <f>'8. Input IC huur Gasunie'!F232</f>
        <v>39 ICT middelen 3 (balancering)</v>
      </c>
      <c r="G279" s="43">
        <f>'8. Input IC huur Gasunie'!G232</f>
        <v>2018</v>
      </c>
      <c r="H279" s="48">
        <f>'8. Input IC huur Gasunie'!H232</f>
        <v>13091088</v>
      </c>
      <c r="I279" s="43">
        <f>'8. Input IC huur Gasunie'!I232</f>
        <v>2021</v>
      </c>
      <c r="J279" s="48">
        <f>_xlfn.XLOOKUP(F279,'3. Input (des)investeringen '!$B$11:$B$81,'3. Input (des)investeringen '!$D$11:$D$81)</f>
        <v>15</v>
      </c>
      <c r="K279" s="48">
        <f>_xlfn.XLOOKUP(F279,'3. Input (des)investeringen '!$B$11:$B$81,'3. Input (des)investeringen '!$E$11:$E$81)</f>
        <v>0</v>
      </c>
      <c r="L279" s="48">
        <f>'8. Input IC huur Gasunie'!J232</f>
        <v>10587755.526147995</v>
      </c>
      <c r="M279" s="48">
        <f>'8. Input IC huur Gasunie'!K232</f>
        <v>0</v>
      </c>
    </row>
    <row r="280" spans="2:13">
      <c r="B280" s="43" t="str">
        <f>'8. Input IC huur Gasunie'!B233</f>
        <v>Asset 222</v>
      </c>
      <c r="F280" s="43" t="str">
        <f>'8. Input IC huur Gasunie'!F233</f>
        <v>39 ICT middelen 3 (KC)</v>
      </c>
      <c r="G280" s="43">
        <f>'8. Input IC huur Gasunie'!G233</f>
        <v>2019</v>
      </c>
      <c r="H280" s="48">
        <f>'8. Input IC huur Gasunie'!H233</f>
        <v>510273.00000000006</v>
      </c>
      <c r="I280" s="43">
        <f>'8. Input IC huur Gasunie'!I233</f>
        <v>2021</v>
      </c>
      <c r="J280" s="48">
        <f>_xlfn.XLOOKUP(F280,'3. Input (des)investeringen '!$B$11:$B$81,'3. Input (des)investeringen '!$D$11:$D$81)</f>
        <v>15</v>
      </c>
      <c r="K280" s="48">
        <f>_xlfn.XLOOKUP(F280,'3. Input (des)investeringen '!$B$11:$B$81,'3. Input (des)investeringen '!$E$11:$E$81)</f>
        <v>0</v>
      </c>
      <c r="L280" s="48">
        <f>'8. Input IC huur Gasunie'!J233</f>
        <v>443263.94964000006</v>
      </c>
      <c r="M280" s="48">
        <f>'8. Input IC huur Gasunie'!K233</f>
        <v>0</v>
      </c>
    </row>
    <row r="281" spans="2:13">
      <c r="B281" s="43" t="str">
        <f>'8. Input IC huur Gasunie'!B234</f>
        <v>Asset 223</v>
      </c>
      <c r="F281" s="43" t="str">
        <f>'8. Input IC huur Gasunie'!F234</f>
        <v>37 ICT middelen 1</v>
      </c>
      <c r="G281" s="43">
        <f>'8. Input IC huur Gasunie'!G234</f>
        <v>2020</v>
      </c>
      <c r="H281" s="48">
        <f>'8. Input IC huur Gasunie'!H234</f>
        <v>4054436.8604233577</v>
      </c>
      <c r="I281" s="43">
        <f>'8. Input IC huur Gasunie'!I234</f>
        <v>2021</v>
      </c>
      <c r="J281" s="48">
        <f>_xlfn.XLOOKUP(F281,'3. Input (des)investeringen '!$B$11:$B$81,'3. Input (des)investeringen '!$D$11:$D$81)</f>
        <v>5</v>
      </c>
      <c r="K281" s="48">
        <f>_xlfn.XLOOKUP(F281,'3. Input (des)investeringen '!$B$11:$B$81,'3. Input (des)investeringen '!$E$11:$E$81)</f>
        <v>1</v>
      </c>
      <c r="L281" s="48">
        <f>'8. Input IC huur Gasunie'!J234</f>
        <v>2883515.4951330922</v>
      </c>
      <c r="M281" s="48">
        <f>'8. Input IC huur Gasunie'!K234</f>
        <v>0</v>
      </c>
    </row>
    <row r="282" spans="2:13">
      <c r="B282" s="43" t="str">
        <f>'8. Input IC huur Gasunie'!B235</f>
        <v>Asset 224</v>
      </c>
      <c r="F282" s="43" t="str">
        <f>'8. Input IC huur Gasunie'!F235</f>
        <v>11 Werktuigen</v>
      </c>
      <c r="G282" s="43">
        <f>'8. Input IC huur Gasunie'!G235</f>
        <v>2021</v>
      </c>
      <c r="H282" s="48">
        <f>'8. Input IC huur Gasunie'!H235</f>
        <v>2667062.5363170211</v>
      </c>
      <c r="I282" s="43">
        <f>'8. Input IC huur Gasunie'!I235</f>
        <v>2021</v>
      </c>
      <c r="J282" s="48">
        <f>_xlfn.XLOOKUP(F282,'3. Input (des)investeringen '!$B$11:$B$81,'3. Input (des)investeringen '!$D$11:$D$81)</f>
        <v>10</v>
      </c>
      <c r="K282" s="48">
        <f>_xlfn.XLOOKUP(F282,'3. Input (des)investeringen '!$B$11:$B$81,'3. Input (des)investeringen '!$E$11:$E$81)</f>
        <v>1</v>
      </c>
      <c r="L282" s="48">
        <f>'8. Input IC huur Gasunie'!J235</f>
        <v>2533709.4095011703</v>
      </c>
      <c r="M282" s="48">
        <f>'8. Input IC huur Gasunie'!K235</f>
        <v>0</v>
      </c>
    </row>
    <row r="283" spans="2:13">
      <c r="B283" s="43" t="str">
        <f>'8. Input IC huur Gasunie'!B236</f>
        <v>Asset 225</v>
      </c>
      <c r="F283" s="43" t="str">
        <f>'8. Input IC huur Gasunie'!F236</f>
        <v>10 Gereedschap</v>
      </c>
      <c r="G283" s="43">
        <f>'8. Input IC huur Gasunie'!G236</f>
        <v>2021</v>
      </c>
      <c r="H283" s="48">
        <f>'8. Input IC huur Gasunie'!H236</f>
        <v>467492.45719026914</v>
      </c>
      <c r="I283" s="43">
        <f>'8. Input IC huur Gasunie'!I236</f>
        <v>2021</v>
      </c>
      <c r="J283" s="48">
        <f>_xlfn.XLOOKUP(F283,'3. Input (des)investeringen '!$B$11:$B$81,'3. Input (des)investeringen '!$D$11:$D$81)</f>
        <v>10</v>
      </c>
      <c r="K283" s="48">
        <f>_xlfn.XLOOKUP(F283,'3. Input (des)investeringen '!$B$11:$B$81,'3. Input (des)investeringen '!$E$11:$E$81)</f>
        <v>1</v>
      </c>
      <c r="L283" s="48">
        <f>'8. Input IC huur Gasunie'!J236</f>
        <v>444117.83433075569</v>
      </c>
      <c r="M283" s="48">
        <f>'8. Input IC huur Gasunie'!K236</f>
        <v>0</v>
      </c>
    </row>
    <row r="284" spans="2:13">
      <c r="B284" s="43" t="str">
        <f>'8. Input IC huur Gasunie'!B237</f>
        <v>Asset 226</v>
      </c>
      <c r="F284" s="43" t="str">
        <f>'8. Input IC huur Gasunie'!F237</f>
        <v>38 ICT middelen 2</v>
      </c>
      <c r="G284" s="43">
        <f>'8. Input IC huur Gasunie'!G237</f>
        <v>2021</v>
      </c>
      <c r="H284" s="48">
        <f>'8. Input IC huur Gasunie'!H237</f>
        <v>3432262.7310020467</v>
      </c>
      <c r="I284" s="43">
        <f>'8. Input IC huur Gasunie'!I237</f>
        <v>2021</v>
      </c>
      <c r="J284" s="48">
        <f>_xlfn.XLOOKUP(F284,'3. Input (des)investeringen '!$B$11:$B$81,'3. Input (des)investeringen '!$D$11:$D$81)</f>
        <v>10</v>
      </c>
      <c r="K284" s="48">
        <f>_xlfn.XLOOKUP(F284,'3. Input (des)investeringen '!$B$11:$B$81,'3. Input (des)investeringen '!$E$11:$E$81)</f>
        <v>1</v>
      </c>
      <c r="L284" s="48">
        <f>'8. Input IC huur Gasunie'!J237</f>
        <v>3260649.5944519443</v>
      </c>
      <c r="M284" s="48">
        <f>'8. Input IC huur Gasunie'!K237</f>
        <v>0</v>
      </c>
    </row>
    <row r="285" spans="2:13">
      <c r="B285" s="43" t="str">
        <f>'8. Input IC huur Gasunie'!B238</f>
        <v>Asset 227</v>
      </c>
      <c r="F285" s="43" t="str">
        <f>'8. Input IC huur Gasunie'!F238</f>
        <v>37 ICT middelen 1</v>
      </c>
      <c r="G285" s="43">
        <f>'8. Input IC huur Gasunie'!G238</f>
        <v>2021</v>
      </c>
      <c r="H285" s="48">
        <f>'8. Input IC huur Gasunie'!H238</f>
        <v>8176022.700880779</v>
      </c>
      <c r="I285" s="43">
        <f>'8. Input IC huur Gasunie'!I238</f>
        <v>2021</v>
      </c>
      <c r="J285" s="48">
        <f>_xlfn.XLOOKUP(F285,'3. Input (des)investeringen '!$B$11:$B$81,'3. Input (des)investeringen '!$D$11:$D$81)</f>
        <v>5</v>
      </c>
      <c r="K285" s="48">
        <f>_xlfn.XLOOKUP(F285,'3. Input (des)investeringen '!$B$11:$B$81,'3. Input (des)investeringen '!$E$11:$E$81)</f>
        <v>1</v>
      </c>
      <c r="L285" s="48">
        <f>'8. Input IC huur Gasunie'!J238</f>
        <v>7358420.4307927005</v>
      </c>
      <c r="M285" s="48">
        <f>'8. Input IC huur Gasunie'!K238</f>
        <v>0</v>
      </c>
    </row>
    <row r="286" spans="2:13">
      <c r="B286" s="43" t="str">
        <f>'8. Input IC huur Gasunie'!B239</f>
        <v>Asset 228</v>
      </c>
      <c r="F286" s="43" t="str">
        <f>'8. Input IC huur Gasunie'!F239</f>
        <v>39 ICT middelen 3</v>
      </c>
      <c r="G286" s="43">
        <f>'8. Input IC huur Gasunie'!G239</f>
        <v>2019</v>
      </c>
      <c r="H286" s="48">
        <f>'8. Input IC huur Gasunie'!H239</f>
        <v>1603714.1720507673</v>
      </c>
      <c r="I286" s="43">
        <f>'8. Input IC huur Gasunie'!I239</f>
        <v>2021</v>
      </c>
      <c r="J286" s="48">
        <f>_xlfn.XLOOKUP(F286,'3. Input (des)investeringen '!$B$11:$B$81,'3. Input (des)investeringen '!$D$11:$D$81)</f>
        <v>15</v>
      </c>
      <c r="K286" s="48">
        <f>_xlfn.XLOOKUP(F286,'3. Input (des)investeringen '!$B$11:$B$81,'3. Input (des)investeringen '!$E$11:$E$81)</f>
        <v>1</v>
      </c>
      <c r="L286" s="48">
        <f>'8. Input IC huur Gasunie'!J239</f>
        <v>1393114.426977061</v>
      </c>
      <c r="M286" s="48">
        <f>'8. Input IC huur Gasunie'!K239</f>
        <v>0</v>
      </c>
    </row>
    <row r="287" spans="2:13">
      <c r="B287" s="43" t="str">
        <f>'8. Input IC huur Gasunie'!B240</f>
        <v>Asset 229</v>
      </c>
      <c r="F287" s="43" t="str">
        <f>'8. Input IC huur Gasunie'!F240</f>
        <v>39 ICT middelen 3 (balancering)</v>
      </c>
      <c r="G287" s="43">
        <f>'8. Input IC huur Gasunie'!G240</f>
        <v>2019</v>
      </c>
      <c r="H287" s="48">
        <f>'8. Input IC huur Gasunie'!H240</f>
        <v>315883</v>
      </c>
      <c r="I287" s="43">
        <f>'8. Input IC huur Gasunie'!I240</f>
        <v>2021</v>
      </c>
      <c r="J287" s="48">
        <f>_xlfn.XLOOKUP(F287,'3. Input (des)investeringen '!$B$11:$B$81,'3. Input (des)investeringen '!$D$11:$D$81)</f>
        <v>15</v>
      </c>
      <c r="K287" s="48">
        <f>_xlfn.XLOOKUP(F287,'3. Input (des)investeringen '!$B$11:$B$81,'3. Input (des)investeringen '!$E$11:$E$81)</f>
        <v>0</v>
      </c>
      <c r="L287" s="48">
        <f>'8. Input IC huur Gasunie'!J240</f>
        <v>274401.24443999998</v>
      </c>
      <c r="M287" s="48">
        <f>'8. Input IC huur Gasunie'!K240</f>
        <v>0</v>
      </c>
    </row>
    <row r="288" spans="2:13">
      <c r="B288" s="43" t="str">
        <f>'8. Input IC huur Gasunie'!B241</f>
        <v>Asset 230</v>
      </c>
      <c r="F288" s="43" t="str">
        <f>'8. Input IC huur Gasunie'!F241</f>
        <v>39 ICT middelen 3</v>
      </c>
      <c r="G288" s="43">
        <f>'8. Input IC huur Gasunie'!G241</f>
        <v>2020</v>
      </c>
      <c r="H288" s="48">
        <f>'8. Input IC huur Gasunie'!H241</f>
        <v>437.7361508808076</v>
      </c>
      <c r="I288" s="43">
        <f>'8. Input IC huur Gasunie'!I241</f>
        <v>2021</v>
      </c>
      <c r="J288" s="48">
        <f>_xlfn.XLOOKUP(F288,'3. Input (des)investeringen '!$B$11:$B$81,'3. Input (des)investeringen '!$D$11:$D$81)</f>
        <v>15</v>
      </c>
      <c r="K288" s="48">
        <f>_xlfn.XLOOKUP(F288,'3. Input (des)investeringen '!$B$11:$B$81,'3. Input (des)investeringen '!$E$11:$E$81)</f>
        <v>1</v>
      </c>
      <c r="L288" s="48">
        <f>'8. Input IC huur Gasunie'!J241</f>
        <v>400.26593636541048</v>
      </c>
      <c r="M288" s="48">
        <f>'8. Input IC huur Gasunie'!K241</f>
        <v>0</v>
      </c>
    </row>
    <row r="289" spans="2:36">
      <c r="B289" s="43" t="str">
        <f>'8. Input IC huur Gasunie'!B242</f>
        <v>Asset 231</v>
      </c>
      <c r="F289" s="43" t="str">
        <f>'8. Input IC huur Gasunie'!F242</f>
        <v>05 Wegen en terreinvoorzieningen</v>
      </c>
      <c r="G289" s="43">
        <f>'8. Input IC huur Gasunie'!G242</f>
        <v>2020</v>
      </c>
      <c r="H289" s="48">
        <f>'8. Input IC huur Gasunie'!H242</f>
        <v>274981.09053004743</v>
      </c>
      <c r="I289" s="43">
        <f>'8. Input IC huur Gasunie'!I242</f>
        <v>2021</v>
      </c>
      <c r="J289" s="48">
        <f>_xlfn.XLOOKUP(F289,'3. Input (des)investeringen '!$B$11:$B$81,'3. Input (des)investeringen '!$D$11:$D$81)</f>
        <v>10</v>
      </c>
      <c r="K289" s="48">
        <f>_xlfn.XLOOKUP(F289,'3. Input (des)investeringen '!$B$11:$B$81,'3. Input (des)investeringen '!$E$11:$E$81)</f>
        <v>0</v>
      </c>
      <c r="L289" s="48">
        <f>'8. Input IC huur Gasunie'!J242</f>
        <v>237473.66978174893</v>
      </c>
      <c r="M289" s="48">
        <f>'8. Input IC huur Gasunie'!K242</f>
        <v>0</v>
      </c>
    </row>
    <row r="290" spans="2:36">
      <c r="B290" s="43" t="str">
        <f>'8. Input IC huur Gasunie'!B243</f>
        <v>Asset 232</v>
      </c>
      <c r="F290" s="43" t="str">
        <f>'8. Input IC huur Gasunie'!F243</f>
        <v>04 Terreinen</v>
      </c>
      <c r="G290" s="43">
        <f>'8. Input IC huur Gasunie'!G243</f>
        <v>2020</v>
      </c>
      <c r="H290" s="48">
        <f>'8. Input IC huur Gasunie'!H243</f>
        <v>1155506.2616599156</v>
      </c>
      <c r="I290" s="43">
        <f>'8. Input IC huur Gasunie'!I243</f>
        <v>2021</v>
      </c>
      <c r="J290" s="48">
        <f>_xlfn.XLOOKUP(F290,'3. Input (des)investeringen '!$B$11:$B$81,'3. Input (des)investeringen '!$D$11:$D$81)</f>
        <v>0</v>
      </c>
      <c r="K290" s="48">
        <f>_xlfn.XLOOKUP(F290,'3. Input (des)investeringen '!$B$11:$B$81,'3. Input (des)investeringen '!$E$11:$E$81)</f>
        <v>0</v>
      </c>
      <c r="L290" s="48">
        <f>'8. Input IC huur Gasunie'!J243</f>
        <v>1173994.3618464742</v>
      </c>
      <c r="M290" s="48">
        <f>'8. Input IC huur Gasunie'!K243</f>
        <v>0</v>
      </c>
    </row>
    <row r="291" spans="2:36">
      <c r="B291" s="43" t="str">
        <f>'8. Input IC huur Gasunie'!B244</f>
        <v>Asset 233</v>
      </c>
      <c r="F291" s="43" t="str">
        <f>'8. Input IC huur Gasunie'!F244</f>
        <v>08 Inrichting gebouwen</v>
      </c>
      <c r="G291" s="43">
        <f>'8. Input IC huur Gasunie'!G244</f>
        <v>2020</v>
      </c>
      <c r="H291" s="48">
        <f>'8. Input IC huur Gasunie'!H244</f>
        <v>227204.18889764068</v>
      </c>
      <c r="I291" s="43">
        <f>'8. Input IC huur Gasunie'!I244</f>
        <v>2021</v>
      </c>
      <c r="J291" s="48">
        <f>_xlfn.XLOOKUP(F291,'3. Input (des)investeringen '!$B$11:$B$81,'3. Input (des)investeringen '!$D$11:$D$81)</f>
        <v>10</v>
      </c>
      <c r="K291" s="48">
        <f>_xlfn.XLOOKUP(F291,'3. Input (des)investeringen '!$B$11:$B$81,'3. Input (des)investeringen '!$E$11:$E$81)</f>
        <v>0</v>
      </c>
      <c r="L291" s="48">
        <f>'8. Input IC huur Gasunie'!J244</f>
        <v>196213.53753200249</v>
      </c>
      <c r="M291" s="48">
        <f>'8. Input IC huur Gasunie'!K244</f>
        <v>0</v>
      </c>
    </row>
    <row r="292" spans="2:36">
      <c r="B292" s="43" t="str">
        <f>'8. Input IC huur Gasunie'!B245</f>
        <v>Asset 234</v>
      </c>
      <c r="F292" s="43" t="str">
        <f>'8. Input IC huur Gasunie'!F245</f>
        <v>11 Werktuigen</v>
      </c>
      <c r="G292" s="43">
        <f>'8. Input IC huur Gasunie'!G245</f>
        <v>2020</v>
      </c>
      <c r="H292" s="48">
        <f>'8. Input IC huur Gasunie'!H245</f>
        <v>880855.41897943604</v>
      </c>
      <c r="I292" s="43">
        <f>'8. Input IC huur Gasunie'!I245</f>
        <v>2021</v>
      </c>
      <c r="J292" s="48">
        <f>_xlfn.XLOOKUP(F292,'3. Input (des)investeringen '!$B$11:$B$81,'3. Input (des)investeringen '!$D$11:$D$81)</f>
        <v>10</v>
      </c>
      <c r="K292" s="48">
        <f>_xlfn.XLOOKUP(F292,'3. Input (des)investeringen '!$B$11:$B$81,'3. Input (des)investeringen '!$E$11:$E$81)</f>
        <v>1</v>
      </c>
      <c r="L292" s="48">
        <f>'8. Input IC huur Gasunie'!J245</f>
        <v>760706.73983064084</v>
      </c>
      <c r="M292" s="48">
        <f>'8. Input IC huur Gasunie'!K245</f>
        <v>0</v>
      </c>
    </row>
    <row r="293" spans="2:36">
      <c r="B293" s="43" t="str">
        <f>'8. Input IC huur Gasunie'!B246</f>
        <v>Asset 235</v>
      </c>
      <c r="F293" s="43" t="str">
        <f>'8. Input IC huur Gasunie'!F246</f>
        <v>14 Overig rollend materieel</v>
      </c>
      <c r="G293" s="43">
        <f>'8. Input IC huur Gasunie'!G246</f>
        <v>2020</v>
      </c>
      <c r="H293" s="48">
        <f>'8. Input IC huur Gasunie'!H246</f>
        <v>111163.8757407683</v>
      </c>
      <c r="I293" s="43">
        <f>'8. Input IC huur Gasunie'!I246</f>
        <v>2021</v>
      </c>
      <c r="J293" s="48">
        <f>_xlfn.XLOOKUP(F293,'3. Input (des)investeringen '!$B$11:$B$81,'3. Input (des)investeringen '!$D$11:$D$81)</f>
        <v>10</v>
      </c>
      <c r="K293" s="48">
        <f>_xlfn.XLOOKUP(F293,'3. Input (des)investeringen '!$B$11:$B$81,'3. Input (des)investeringen '!$E$11:$E$81)</f>
        <v>1</v>
      </c>
      <c r="L293" s="48">
        <f>'8. Input IC huur Gasunie'!J246</f>
        <v>96001.123089727509</v>
      </c>
      <c r="M293" s="48">
        <f>'8. Input IC huur Gasunie'!K246</f>
        <v>0</v>
      </c>
    </row>
    <row r="294" spans="2:36">
      <c r="B294" s="43" t="str">
        <f>'8. Input IC huur Gasunie'!B247</f>
        <v>Asset 236</v>
      </c>
      <c r="F294" s="43" t="str">
        <f>'8. Input IC huur Gasunie'!F247</f>
        <v>38 ICT middelen 2</v>
      </c>
      <c r="G294" s="43">
        <f>'8. Input IC huur Gasunie'!G247</f>
        <v>2020</v>
      </c>
      <c r="H294" s="48">
        <f>'8. Input IC huur Gasunie'!H247</f>
        <v>2253829.6322485749</v>
      </c>
      <c r="I294" s="43">
        <f>'8. Input IC huur Gasunie'!I247</f>
        <v>2021</v>
      </c>
      <c r="J294" s="48">
        <f>_xlfn.XLOOKUP(F294,'3. Input (des)investeringen '!$B$11:$B$81,'3. Input (des)investeringen '!$D$11:$D$81)</f>
        <v>10</v>
      </c>
      <c r="K294" s="48">
        <f>_xlfn.XLOOKUP(F294,'3. Input (des)investeringen '!$B$11:$B$81,'3. Input (des)investeringen '!$E$11:$E$81)</f>
        <v>1</v>
      </c>
      <c r="L294" s="48">
        <f>'8. Input IC huur Gasunie'!J247</f>
        <v>1946407.2704098693</v>
      </c>
      <c r="M294" s="48">
        <f>'8. Input IC huur Gasunie'!K247</f>
        <v>0</v>
      </c>
    </row>
    <row r="295" spans="2:36">
      <c r="B295" s="43" t="str">
        <f>'8. Input IC huur Gasunie'!B248</f>
        <v>Asset 237</v>
      </c>
      <c r="F295" s="43" t="str">
        <f>'8. Input IC huur Gasunie'!F248</f>
        <v>20 Kantoorgebouwen</v>
      </c>
      <c r="G295" s="43">
        <f>'8. Input IC huur Gasunie'!G248</f>
        <v>2020</v>
      </c>
      <c r="H295" s="48">
        <f>'8. Input IC huur Gasunie'!H248</f>
        <v>715175.01653112471</v>
      </c>
      <c r="I295" s="43">
        <f>'8. Input IC huur Gasunie'!I248</f>
        <v>2021</v>
      </c>
      <c r="J295" s="48">
        <f>_xlfn.XLOOKUP(F295,'3. Input (des)investeringen '!$B$11:$B$81,'3. Input (des)investeringen '!$D$11:$D$81)</f>
        <v>30</v>
      </c>
      <c r="K295" s="48">
        <f>_xlfn.XLOOKUP(F295,'3. Input (des)investeringen '!$B$11:$B$81,'3. Input (des)investeringen '!$E$11:$E$81)</f>
        <v>0</v>
      </c>
      <c r="L295" s="48">
        <f>'8. Input IC huur Gasunie'!J248</f>
        <v>690286.92595584155</v>
      </c>
      <c r="M295" s="48">
        <f>'8. Input IC huur Gasunie'!K248</f>
        <v>0</v>
      </c>
    </row>
    <row r="296" spans="2:36">
      <c r="B296" s="43" t="str">
        <f>'8. Input IC huur Gasunie'!B249</f>
        <v>Asset 238</v>
      </c>
      <c r="F296" s="43" t="str">
        <f>'8. Input IC huur Gasunie'!F249</f>
        <v>06 Utiliteitsgebouwen</v>
      </c>
      <c r="G296" s="43">
        <f>'8. Input IC huur Gasunie'!G249</f>
        <v>2020</v>
      </c>
      <c r="H296" s="48">
        <f>'8. Input IC huur Gasunie'!H249</f>
        <v>611310.12783119339</v>
      </c>
      <c r="I296" s="43">
        <f>'8. Input IC huur Gasunie'!I249</f>
        <v>2021</v>
      </c>
      <c r="J296" s="48">
        <f>_xlfn.XLOOKUP(F296,'3. Input (des)investeringen '!$B$11:$B$81,'3. Input (des)investeringen '!$D$11:$D$81)</f>
        <v>30</v>
      </c>
      <c r="K296" s="48">
        <f>_xlfn.XLOOKUP(F296,'3. Input (des)investeringen '!$B$11:$B$81,'3. Input (des)investeringen '!$E$11:$E$81)</f>
        <v>0</v>
      </c>
      <c r="L296" s="48">
        <f>'8. Input IC huur Gasunie'!J249</f>
        <v>590036.53538266791</v>
      </c>
      <c r="M296" s="48">
        <f>'8. Input IC huur Gasunie'!K249</f>
        <v>0</v>
      </c>
    </row>
    <row r="297" spans="2:36">
      <c r="B297" s="43" t="str">
        <f>'8. Input IC huur Gasunie'!B250</f>
        <v>Asset 239</v>
      </c>
      <c r="F297" s="43" t="str">
        <f>'8. Input IC huur Gasunie'!F250</f>
        <v>08 Inrichting gebouwen</v>
      </c>
      <c r="G297" s="43">
        <f>'8. Input IC huur Gasunie'!G250</f>
        <v>2021</v>
      </c>
      <c r="H297" s="48">
        <f>'8. Input IC huur Gasunie'!H250</f>
        <v>384242.51972392667</v>
      </c>
      <c r="I297" s="43">
        <f>'8. Input IC huur Gasunie'!I250</f>
        <v>2021</v>
      </c>
      <c r="J297" s="48">
        <f>_xlfn.XLOOKUP(F297,'3. Input (des)investeringen '!$B$11:$B$81,'3. Input (des)investeringen '!$D$11:$D$81)</f>
        <v>10</v>
      </c>
      <c r="K297" s="48">
        <f>_xlfn.XLOOKUP(F297,'3. Input (des)investeringen '!$B$11:$B$81,'3. Input (des)investeringen '!$E$11:$E$81)</f>
        <v>0</v>
      </c>
      <c r="L297" s="48">
        <f>'8. Input IC huur Gasunie'!J250</f>
        <v>365030.39373773034</v>
      </c>
      <c r="M297" s="48">
        <f>'8. Input IC huur Gasunie'!K250</f>
        <v>0</v>
      </c>
    </row>
    <row r="298" spans="2:36">
      <c r="B298" s="43" t="str">
        <f>'8. Input IC huur Gasunie'!B251</f>
        <v>Asset 240</v>
      </c>
      <c r="F298" s="43" t="str">
        <f>'8. Input IC huur Gasunie'!F251</f>
        <v>20 Kantoorgebouwen</v>
      </c>
      <c r="G298" s="43">
        <f>'8. Input IC huur Gasunie'!G251</f>
        <v>2021</v>
      </c>
      <c r="H298" s="48">
        <f>'8. Input IC huur Gasunie'!H251</f>
        <v>1098657.1778898467</v>
      </c>
      <c r="I298" s="43">
        <f>'8. Input IC huur Gasunie'!I251</f>
        <v>2021</v>
      </c>
      <c r="J298" s="48">
        <f>_xlfn.XLOOKUP(F298,'3. Input (des)investeringen '!$B$11:$B$81,'3. Input (des)investeringen '!$D$11:$D$81)</f>
        <v>30</v>
      </c>
      <c r="K298" s="48">
        <f>_xlfn.XLOOKUP(F298,'3. Input (des)investeringen '!$B$11:$B$81,'3. Input (des)investeringen '!$E$11:$E$81)</f>
        <v>0</v>
      </c>
      <c r="L298" s="48">
        <f>'8. Input IC huur Gasunie'!J251</f>
        <v>1080346.2249250161</v>
      </c>
      <c r="M298" s="48">
        <f>'8. Input IC huur Gasunie'!K251</f>
        <v>0</v>
      </c>
    </row>
    <row r="299" spans="2:36">
      <c r="B299" s="43" t="str">
        <f>'8. Input IC huur Gasunie'!B252</f>
        <v>Asset 241</v>
      </c>
      <c r="F299" s="43" t="str">
        <f>'8. Input IC huur Gasunie'!F252</f>
        <v>03 Verremeting</v>
      </c>
      <c r="G299" s="43">
        <f>'8. Input IC huur Gasunie'!G252</f>
        <v>1993</v>
      </c>
      <c r="H299" s="48">
        <f>'8. Input IC huur Gasunie'!H252</f>
        <v>27208128.690000001</v>
      </c>
      <c r="I299" s="43">
        <f>'8. Input IC huur Gasunie'!I252</f>
        <v>2021</v>
      </c>
      <c r="J299" s="48">
        <f>_xlfn.XLOOKUP(F299,'3. Input (des)investeringen '!$B$11:$B$81,'3. Input (des)investeringen '!$D$11:$D$81)</f>
        <v>5</v>
      </c>
      <c r="K299" s="48">
        <f>_xlfn.XLOOKUP(F299,'3. Input (des)investeringen '!$B$11:$B$81,'3. Input (des)investeringen '!$E$11:$E$81)</f>
        <v>1</v>
      </c>
      <c r="L299" s="48">
        <f>'8. Input IC huur Gasunie'!J252</f>
        <v>0</v>
      </c>
      <c r="M299" s="48">
        <f>'8. Input IC huur Gasunie'!K252</f>
        <v>0</v>
      </c>
    </row>
    <row r="300" spans="2:36">
      <c r="B300" s="43" t="str">
        <f>'8. Input IC huur Gasunie'!B253</f>
        <v>Asset 242</v>
      </c>
      <c r="F300" s="43" t="str">
        <f>'8. Input IC huur Gasunie'!F253</f>
        <v>06 Utiliteitsgebouwen</v>
      </c>
      <c r="G300" s="43">
        <f>'8. Input IC huur Gasunie'!G253</f>
        <v>2021</v>
      </c>
      <c r="H300" s="48">
        <f>'8. Input IC huur Gasunie'!H253</f>
        <v>114485.52709029273</v>
      </c>
      <c r="I300" s="43">
        <f>'8. Input IC huur Gasunie'!I253</f>
        <v>2021</v>
      </c>
      <c r="J300" s="48">
        <f>_xlfn.XLOOKUP(F300,'3. Input (des)investeringen '!$B$11:$B$81,'3. Input (des)investeringen '!$D$11:$D$81)</f>
        <v>30</v>
      </c>
      <c r="K300" s="48">
        <f>_xlfn.XLOOKUP(F300,'3. Input (des)investeringen '!$B$11:$B$81,'3. Input (des)investeringen '!$E$11:$E$81)</f>
        <v>0</v>
      </c>
      <c r="L300" s="48">
        <f>'8. Input IC huur Gasunie'!J253</f>
        <v>112577.43497212119</v>
      </c>
      <c r="M300" s="48">
        <f>'8. Input IC huur Gasunie'!K253</f>
        <v>0</v>
      </c>
    </row>
    <row r="301" spans="2:36">
      <c r="B301" s="43" t="str">
        <f>'8. Input IC huur Gasunie'!B254</f>
        <v>Asset 243</v>
      </c>
      <c r="F301" s="43" t="str">
        <f>'8. Input IC huur Gasunie'!F254</f>
        <v>38 ICT middelen 2</v>
      </c>
      <c r="G301" s="43">
        <f>'8. Input IC huur Gasunie'!G254</f>
        <v>2019</v>
      </c>
      <c r="H301" s="48">
        <f>'8. Input IC huur Gasunie'!H254</f>
        <v>5155994.869123158</v>
      </c>
      <c r="I301" s="43">
        <f>'8. Input IC huur Gasunie'!I254</f>
        <v>2021</v>
      </c>
      <c r="J301" s="48">
        <f>_xlfn.XLOOKUP(F301,'3. Input (des)investeringen '!$B$11:$B$81,'3. Input (des)investeringen '!$D$11:$D$81)</f>
        <v>10</v>
      </c>
      <c r="K301" s="48">
        <f>_xlfn.XLOOKUP(F301,'3. Input (des)investeringen '!$B$11:$B$81,'3. Input (des)investeringen '!$E$11:$E$81)</f>
        <v>1</v>
      </c>
      <c r="L301" s="48">
        <f>'8. Input IC huur Gasunie'!J254</f>
        <v>4031018.6606189152</v>
      </c>
      <c r="M301" s="48">
        <f>'8. Input IC huur Gasunie'!K254</f>
        <v>0</v>
      </c>
    </row>
    <row r="302" spans="2:36">
      <c r="L302" s="97"/>
    </row>
    <row r="303" spans="2:36" s="39" customFormat="1">
      <c r="B303" s="39" t="s">
        <v>1022</v>
      </c>
    </row>
    <row r="304" spans="2:36" s="42" customFormat="1">
      <c r="R304" s="42" t="s">
        <v>862</v>
      </c>
      <c r="X304" s="42" t="s">
        <v>863</v>
      </c>
      <c r="AD304" s="42" t="s">
        <v>865</v>
      </c>
      <c r="AJ304" s="42" t="s">
        <v>866</v>
      </c>
    </row>
    <row r="305" spans="2:40" s="45" customFormat="1">
      <c r="B305" s="45" t="s">
        <v>1023</v>
      </c>
      <c r="F305" s="45" t="s">
        <v>871</v>
      </c>
      <c r="G305" s="45" t="s">
        <v>533</v>
      </c>
      <c r="H305" s="45" t="s">
        <v>1024</v>
      </c>
      <c r="I305" s="45" t="s">
        <v>1025</v>
      </c>
      <c r="J305" s="45" t="s">
        <v>282</v>
      </c>
      <c r="K305" s="45" t="s">
        <v>1020</v>
      </c>
      <c r="L305" s="45" t="s">
        <v>536</v>
      </c>
      <c r="N305" s="45" t="s">
        <v>1026</v>
      </c>
      <c r="P305" s="45" t="s">
        <v>907</v>
      </c>
      <c r="R305" s="51">
        <v>2022</v>
      </c>
      <c r="S305" s="51">
        <v>2023</v>
      </c>
      <c r="T305" s="51">
        <v>2024</v>
      </c>
      <c r="U305" s="51">
        <v>2025</v>
      </c>
      <c r="V305" s="51">
        <v>2026</v>
      </c>
      <c r="X305" s="51">
        <v>2022</v>
      </c>
      <c r="Y305" s="51">
        <v>2023</v>
      </c>
      <c r="Z305" s="51">
        <v>2024</v>
      </c>
      <c r="AA305" s="51">
        <v>2025</v>
      </c>
      <c r="AB305" s="51">
        <v>2026</v>
      </c>
      <c r="AD305" s="51">
        <v>2022</v>
      </c>
      <c r="AE305" s="51">
        <v>2023</v>
      </c>
      <c r="AF305" s="51">
        <v>2024</v>
      </c>
      <c r="AG305" s="51">
        <v>2025</v>
      </c>
      <c r="AH305" s="51">
        <v>2026</v>
      </c>
      <c r="AJ305" s="51">
        <v>2022</v>
      </c>
      <c r="AK305" s="51">
        <v>2023</v>
      </c>
      <c r="AL305" s="51">
        <v>2024</v>
      </c>
      <c r="AM305" s="51">
        <v>2025</v>
      </c>
      <c r="AN305" s="51">
        <v>2026</v>
      </c>
    </row>
    <row r="307" spans="2:40">
      <c r="B307" s="43" t="str">
        <f>B59</f>
        <v>Asset 1</v>
      </c>
      <c r="F307" s="43" t="str">
        <f t="shared" ref="F307:L308" si="0">F59</f>
        <v>05 Wegen en terreinvoorzieningen</v>
      </c>
      <c r="G307" s="43">
        <f t="shared" si="0"/>
        <v>1971</v>
      </c>
      <c r="H307" s="58">
        <f t="shared" si="0"/>
        <v>47083.78</v>
      </c>
      <c r="I307" s="43">
        <f t="shared" si="0"/>
        <v>2021</v>
      </c>
      <c r="J307" s="58">
        <f t="shared" si="0"/>
        <v>10</v>
      </c>
      <c r="K307" s="187">
        <f t="shared" si="0"/>
        <v>0</v>
      </c>
      <c r="L307" s="58">
        <f t="shared" si="0"/>
        <v>0</v>
      </c>
      <c r="N307" s="49">
        <f>L307*IF(K307=1,$F$19,1)</f>
        <v>0</v>
      </c>
      <c r="P307" s="44">
        <f>MAX(0,IF(G307&lt;=2021, J307-2021+G307-0.5,J307))</f>
        <v>0</v>
      </c>
      <c r="R307" s="49">
        <f t="shared" ref="R307:V316" si="1">IF(R$305&lt;=$G307+$J307,VDB($L307*(1-$F$25),0,$P307,R$305-2022,MIN(R$305-2021,$P307),$F$22),0)</f>
        <v>0</v>
      </c>
      <c r="S307" s="49">
        <f t="shared" si="1"/>
        <v>0</v>
      </c>
      <c r="T307" s="49">
        <f t="shared" si="1"/>
        <v>0</v>
      </c>
      <c r="U307" s="49">
        <f t="shared" si="1"/>
        <v>0</v>
      </c>
      <c r="V307" s="49">
        <f t="shared" si="1"/>
        <v>0</v>
      </c>
      <c r="X307" s="49">
        <f t="shared" ref="X307:AB316" si="2">IF(X$305&lt;=$G307+$J307,VDB($L307*$F$25,0,$P307,X$305-2022,MIN(X$305-2021,$P307),1),0)</f>
        <v>0</v>
      </c>
      <c r="Y307" s="49">
        <f t="shared" si="2"/>
        <v>0</v>
      </c>
      <c r="Z307" s="49">
        <f t="shared" si="2"/>
        <v>0</v>
      </c>
      <c r="AA307" s="49">
        <f t="shared" si="2"/>
        <v>0</v>
      </c>
      <c r="AB307" s="49">
        <f t="shared" si="2"/>
        <v>0</v>
      </c>
      <c r="AD307" s="49">
        <f>IF(OR(AD$305&lt;=$G307+$J307,$J307=0),IF(AC307=0,$L307,AC307)-R307-X307,0)</f>
        <v>0</v>
      </c>
      <c r="AE307" s="49">
        <f t="shared" ref="AE307:AH307" si="3">IF(OR(AE$305&lt;=$G307+$J307,$J307=0),IF(AD307=0,$L307,AD307)-S307-Y307,0)</f>
        <v>0</v>
      </c>
      <c r="AF307" s="49">
        <f t="shared" si="3"/>
        <v>0</v>
      </c>
      <c r="AG307" s="49">
        <f t="shared" si="3"/>
        <v>0</v>
      </c>
      <c r="AH307" s="49">
        <f t="shared" si="3"/>
        <v>0</v>
      </c>
      <c r="AJ307" s="49">
        <f>(R307+X307+AD307*I$16)*IF($K307=1,$F$19,1)</f>
        <v>0</v>
      </c>
      <c r="AK307" s="49">
        <f t="shared" ref="AK307:AN307" si="4">(S307+Y307+AE307*J$16)*IF($K307=1,$F$19,1)</f>
        <v>0</v>
      </c>
      <c r="AL307" s="49">
        <f t="shared" si="4"/>
        <v>0</v>
      </c>
      <c r="AM307" s="49">
        <f t="shared" si="4"/>
        <v>0</v>
      </c>
      <c r="AN307" s="49">
        <f t="shared" si="4"/>
        <v>0</v>
      </c>
    </row>
    <row r="308" spans="2:40">
      <c r="B308" s="43" t="str">
        <f t="shared" ref="B308:B371" si="5">B60</f>
        <v>Asset 2</v>
      </c>
      <c r="F308" s="43" t="str">
        <f t="shared" si="0"/>
        <v>06 Utiliteitsgebouwen</v>
      </c>
      <c r="G308" s="43">
        <f t="shared" si="0"/>
        <v>1961</v>
      </c>
      <c r="H308" s="58">
        <f t="shared" si="0"/>
        <v>50334.43</v>
      </c>
      <c r="I308" s="43">
        <f t="shared" si="0"/>
        <v>2021</v>
      </c>
      <c r="J308" s="58">
        <f t="shared" si="0"/>
        <v>30</v>
      </c>
      <c r="K308" s="187">
        <f t="shared" si="0"/>
        <v>0</v>
      </c>
      <c r="L308" s="58">
        <f t="shared" si="0"/>
        <v>0</v>
      </c>
      <c r="N308" s="49">
        <f t="shared" ref="N308:N310" si="6">L308*IF(K308=1,$F$19,1)</f>
        <v>0</v>
      </c>
      <c r="P308" s="44">
        <f t="shared" ref="P308:P371" si="7">MAX(0,IF(G308&lt;=2021, J308-2021+G308-0.5,J308))</f>
        <v>0</v>
      </c>
      <c r="R308" s="49">
        <f t="shared" si="1"/>
        <v>0</v>
      </c>
      <c r="S308" s="49">
        <f t="shared" si="1"/>
        <v>0</v>
      </c>
      <c r="T308" s="49">
        <f t="shared" si="1"/>
        <v>0</v>
      </c>
      <c r="U308" s="49">
        <f t="shared" si="1"/>
        <v>0</v>
      </c>
      <c r="V308" s="49">
        <f t="shared" si="1"/>
        <v>0</v>
      </c>
      <c r="X308" s="49">
        <f t="shared" si="2"/>
        <v>0</v>
      </c>
      <c r="Y308" s="49">
        <f t="shared" si="2"/>
        <v>0</v>
      </c>
      <c r="Z308" s="49">
        <f t="shared" si="2"/>
        <v>0</v>
      </c>
      <c r="AA308" s="49">
        <f t="shared" si="2"/>
        <v>0</v>
      </c>
      <c r="AB308" s="49">
        <f t="shared" si="2"/>
        <v>0</v>
      </c>
      <c r="AD308" s="49">
        <f t="shared" ref="AD308:AD310" si="8">IF(OR(AD$305&lt;=$G308+$J308,$J308=0),IF(AC308=0,$L308,AC308)-R308-X308,0)</f>
        <v>0</v>
      </c>
      <c r="AE308" s="49">
        <f t="shared" ref="AE308:AE310" si="9">IF(OR(AE$305&lt;=$G308+$J308,$J308=0),IF(AD308=0,$L308,AD308)-S308-Y308,0)</f>
        <v>0</v>
      </c>
      <c r="AF308" s="49">
        <f t="shared" ref="AF308:AF310" si="10">IF(OR(AF$305&lt;=$G308+$J308,$J308=0),IF(AE308=0,$L308,AE308)-T308-Z308,0)</f>
        <v>0</v>
      </c>
      <c r="AG308" s="49">
        <f t="shared" ref="AG308:AG310" si="11">IF(OR(AG$305&lt;=$G308+$J308,$J308=0),IF(AF308=0,$L308,AF308)-U308-AA308,0)</f>
        <v>0</v>
      </c>
      <c r="AH308" s="49">
        <f t="shared" ref="AH308:AH310" si="12">IF(OR(AH$305&lt;=$G308+$J308,$J308=0),IF(AG308=0,$L308,AG308)-V308-AB308,0)</f>
        <v>0</v>
      </c>
      <c r="AJ308" s="49">
        <f t="shared" ref="AJ308:AJ371" si="13">(R308+X308+AD308*I$16)*IF($K308=1,$F$19,1)</f>
        <v>0</v>
      </c>
      <c r="AK308" s="49">
        <f t="shared" ref="AK308:AK371" si="14">(S308+Y308+AE308*J$16)*IF($K308=1,$F$19,1)</f>
        <v>0</v>
      </c>
      <c r="AL308" s="49">
        <f t="shared" ref="AL308:AL371" si="15">(T308+Z308+AF308*K$16)*IF($K308=1,$F$19,1)</f>
        <v>0</v>
      </c>
      <c r="AM308" s="49">
        <f t="shared" ref="AM308:AM371" si="16">(U308+AA308+AG308*L$16)*IF($K308=1,$F$19,1)</f>
        <v>0</v>
      </c>
      <c r="AN308" s="49">
        <f t="shared" ref="AN308:AN371" si="17">(V308+AB308+AH308*M$16)*IF($K308=1,$F$19,1)</f>
        <v>0</v>
      </c>
    </row>
    <row r="309" spans="2:40">
      <c r="B309" s="43" t="str">
        <f t="shared" si="5"/>
        <v>Asset 3</v>
      </c>
      <c r="F309" s="43" t="str">
        <f t="shared" ref="F309:L309" si="18">F61</f>
        <v>06 Utiliteitsgebouwen</v>
      </c>
      <c r="G309" s="43">
        <f t="shared" si="18"/>
        <v>1972</v>
      </c>
      <c r="H309" s="58">
        <f t="shared" si="18"/>
        <v>2621.49</v>
      </c>
      <c r="I309" s="43">
        <f t="shared" si="18"/>
        <v>2021</v>
      </c>
      <c r="J309" s="58">
        <f t="shared" si="18"/>
        <v>30</v>
      </c>
      <c r="K309" s="187">
        <f t="shared" si="18"/>
        <v>0</v>
      </c>
      <c r="L309" s="58">
        <f t="shared" si="18"/>
        <v>0</v>
      </c>
      <c r="N309" s="49">
        <f t="shared" si="6"/>
        <v>0</v>
      </c>
      <c r="P309" s="44">
        <f t="shared" si="7"/>
        <v>0</v>
      </c>
      <c r="R309" s="49">
        <f t="shared" si="1"/>
        <v>0</v>
      </c>
      <c r="S309" s="49">
        <f t="shared" si="1"/>
        <v>0</v>
      </c>
      <c r="T309" s="49">
        <f t="shared" si="1"/>
        <v>0</v>
      </c>
      <c r="U309" s="49">
        <f t="shared" si="1"/>
        <v>0</v>
      </c>
      <c r="V309" s="49">
        <f t="shared" si="1"/>
        <v>0</v>
      </c>
      <c r="X309" s="49">
        <f t="shared" si="2"/>
        <v>0</v>
      </c>
      <c r="Y309" s="49">
        <f t="shared" si="2"/>
        <v>0</v>
      </c>
      <c r="Z309" s="49">
        <f t="shared" si="2"/>
        <v>0</v>
      </c>
      <c r="AA309" s="49">
        <f t="shared" si="2"/>
        <v>0</v>
      </c>
      <c r="AB309" s="49">
        <f t="shared" si="2"/>
        <v>0</v>
      </c>
      <c r="AD309" s="49">
        <f t="shared" si="8"/>
        <v>0</v>
      </c>
      <c r="AE309" s="49">
        <f t="shared" si="9"/>
        <v>0</v>
      </c>
      <c r="AF309" s="49">
        <f t="shared" si="10"/>
        <v>0</v>
      </c>
      <c r="AG309" s="49">
        <f t="shared" si="11"/>
        <v>0</v>
      </c>
      <c r="AH309" s="49">
        <f t="shared" si="12"/>
        <v>0</v>
      </c>
      <c r="AJ309" s="49">
        <f t="shared" si="13"/>
        <v>0</v>
      </c>
      <c r="AK309" s="49">
        <f t="shared" si="14"/>
        <v>0</v>
      </c>
      <c r="AL309" s="49">
        <f t="shared" si="15"/>
        <v>0</v>
      </c>
      <c r="AM309" s="49">
        <f t="shared" si="16"/>
        <v>0</v>
      </c>
      <c r="AN309" s="49">
        <f t="shared" si="17"/>
        <v>0</v>
      </c>
    </row>
    <row r="310" spans="2:40">
      <c r="B310" s="43" t="str">
        <f t="shared" si="5"/>
        <v>Asset 4</v>
      </c>
      <c r="F310" s="43" t="str">
        <f t="shared" ref="F310:L310" si="19">F62</f>
        <v>08 Inrichting gebouwen</v>
      </c>
      <c r="G310" s="43">
        <f t="shared" si="19"/>
        <v>1997</v>
      </c>
      <c r="H310" s="58">
        <f t="shared" si="19"/>
        <v>151227.48000000004</v>
      </c>
      <c r="I310" s="43">
        <f t="shared" si="19"/>
        <v>2021</v>
      </c>
      <c r="J310" s="58">
        <f t="shared" si="19"/>
        <v>10</v>
      </c>
      <c r="K310" s="187">
        <f t="shared" si="19"/>
        <v>0</v>
      </c>
      <c r="L310" s="58">
        <f t="shared" si="19"/>
        <v>0</v>
      </c>
      <c r="N310" s="49">
        <f t="shared" si="6"/>
        <v>0</v>
      </c>
      <c r="P310" s="44">
        <f t="shared" si="7"/>
        <v>0</v>
      </c>
      <c r="R310" s="49">
        <f t="shared" si="1"/>
        <v>0</v>
      </c>
      <c r="S310" s="49">
        <f t="shared" si="1"/>
        <v>0</v>
      </c>
      <c r="T310" s="49">
        <f t="shared" si="1"/>
        <v>0</v>
      </c>
      <c r="U310" s="49">
        <f t="shared" si="1"/>
        <v>0</v>
      </c>
      <c r="V310" s="49">
        <f t="shared" si="1"/>
        <v>0</v>
      </c>
      <c r="X310" s="49">
        <f t="shared" si="2"/>
        <v>0</v>
      </c>
      <c r="Y310" s="49">
        <f t="shared" si="2"/>
        <v>0</v>
      </c>
      <c r="Z310" s="49">
        <f t="shared" si="2"/>
        <v>0</v>
      </c>
      <c r="AA310" s="49">
        <f t="shared" si="2"/>
        <v>0</v>
      </c>
      <c r="AB310" s="49">
        <f t="shared" si="2"/>
        <v>0</v>
      </c>
      <c r="AD310" s="49">
        <f t="shared" si="8"/>
        <v>0</v>
      </c>
      <c r="AE310" s="49">
        <f t="shared" si="9"/>
        <v>0</v>
      </c>
      <c r="AF310" s="49">
        <f t="shared" si="10"/>
        <v>0</v>
      </c>
      <c r="AG310" s="49">
        <f t="shared" si="11"/>
        <v>0</v>
      </c>
      <c r="AH310" s="49">
        <f t="shared" si="12"/>
        <v>0</v>
      </c>
      <c r="AJ310" s="49">
        <f t="shared" si="13"/>
        <v>0</v>
      </c>
      <c r="AK310" s="49">
        <f t="shared" si="14"/>
        <v>0</v>
      </c>
      <c r="AL310" s="49">
        <f t="shared" si="15"/>
        <v>0</v>
      </c>
      <c r="AM310" s="49">
        <f t="shared" si="16"/>
        <v>0</v>
      </c>
      <c r="AN310" s="49">
        <f t="shared" si="17"/>
        <v>0</v>
      </c>
    </row>
    <row r="311" spans="2:40">
      <c r="B311" s="43" t="str">
        <f t="shared" si="5"/>
        <v>Asset 5</v>
      </c>
      <c r="F311" s="43" t="str">
        <f t="shared" ref="F311:L311" si="20">F63</f>
        <v>11 Werktuigen</v>
      </c>
      <c r="G311" s="43">
        <f t="shared" si="20"/>
        <v>2009</v>
      </c>
      <c r="H311" s="58">
        <f t="shared" si="20"/>
        <v>1313895.18</v>
      </c>
      <c r="I311" s="43">
        <f t="shared" si="20"/>
        <v>2021</v>
      </c>
      <c r="J311" s="58">
        <f t="shared" si="20"/>
        <v>10</v>
      </c>
      <c r="K311" s="187">
        <f t="shared" si="20"/>
        <v>1</v>
      </c>
      <c r="L311" s="58">
        <f t="shared" si="20"/>
        <v>0</v>
      </c>
      <c r="N311" s="49">
        <f t="shared" ref="N311:N374" si="21">L311*IF(K311=1,$F$19,1)</f>
        <v>0</v>
      </c>
      <c r="P311" s="44">
        <f t="shared" si="7"/>
        <v>0</v>
      </c>
      <c r="R311" s="49">
        <f t="shared" si="1"/>
        <v>0</v>
      </c>
      <c r="S311" s="49">
        <f t="shared" si="1"/>
        <v>0</v>
      </c>
      <c r="T311" s="49">
        <f t="shared" si="1"/>
        <v>0</v>
      </c>
      <c r="U311" s="49">
        <f t="shared" si="1"/>
        <v>0</v>
      </c>
      <c r="V311" s="49">
        <f t="shared" si="1"/>
        <v>0</v>
      </c>
      <c r="X311" s="49">
        <f t="shared" si="2"/>
        <v>0</v>
      </c>
      <c r="Y311" s="49">
        <f t="shared" si="2"/>
        <v>0</v>
      </c>
      <c r="Z311" s="49">
        <f t="shared" si="2"/>
        <v>0</v>
      </c>
      <c r="AA311" s="49">
        <f t="shared" si="2"/>
        <v>0</v>
      </c>
      <c r="AB311" s="49">
        <f t="shared" si="2"/>
        <v>0</v>
      </c>
      <c r="AD311" s="49">
        <f t="shared" ref="AD311:AD374" si="22">IF(OR(AD$305&lt;=$G311+$J311,$J311=0),IF(AC311=0,$L311,AC311)-R311-X311,0)</f>
        <v>0</v>
      </c>
      <c r="AE311" s="49">
        <f t="shared" ref="AE311:AE374" si="23">IF(OR(AE$305&lt;=$G311+$J311,$J311=0),IF(AD311=0,$L311,AD311)-S311-Y311,0)</f>
        <v>0</v>
      </c>
      <c r="AF311" s="49">
        <f t="shared" ref="AF311:AF374" si="24">IF(OR(AF$305&lt;=$G311+$J311,$J311=0),IF(AE311=0,$L311,AE311)-T311-Z311,0)</f>
        <v>0</v>
      </c>
      <c r="AG311" s="49">
        <f t="shared" ref="AG311:AG374" si="25">IF(OR(AG$305&lt;=$G311+$J311,$J311=0),IF(AF311=0,$L311,AF311)-U311-AA311,0)</f>
        <v>0</v>
      </c>
      <c r="AH311" s="49">
        <f t="shared" ref="AH311:AH374" si="26">IF(OR(AH$305&lt;=$G311+$J311,$J311=0),IF(AG311=0,$L311,AG311)-V311-AB311,0)</f>
        <v>0</v>
      </c>
      <c r="AJ311" s="49">
        <f t="shared" si="13"/>
        <v>0</v>
      </c>
      <c r="AK311" s="49">
        <f t="shared" si="14"/>
        <v>0</v>
      </c>
      <c r="AL311" s="49">
        <f t="shared" si="15"/>
        <v>0</v>
      </c>
      <c r="AM311" s="49">
        <f t="shared" si="16"/>
        <v>0</v>
      </c>
      <c r="AN311" s="49">
        <f t="shared" si="17"/>
        <v>0</v>
      </c>
    </row>
    <row r="312" spans="2:40">
      <c r="B312" s="43" t="str">
        <f t="shared" si="5"/>
        <v>Asset 6</v>
      </c>
      <c r="F312" s="43" t="str">
        <f t="shared" ref="F312:L312" si="27">F64</f>
        <v>37 ICT middelen 1</v>
      </c>
      <c r="G312" s="43">
        <f t="shared" si="27"/>
        <v>2009</v>
      </c>
      <c r="H312" s="58">
        <f t="shared" si="27"/>
        <v>3658553.4539964925</v>
      </c>
      <c r="I312" s="43">
        <f t="shared" si="27"/>
        <v>2021</v>
      </c>
      <c r="J312" s="58">
        <f t="shared" si="27"/>
        <v>5</v>
      </c>
      <c r="K312" s="187">
        <f t="shared" si="27"/>
        <v>1</v>
      </c>
      <c r="L312" s="58">
        <f t="shared" si="27"/>
        <v>0</v>
      </c>
      <c r="N312" s="49">
        <f t="shared" si="21"/>
        <v>0</v>
      </c>
      <c r="P312" s="44">
        <f t="shared" si="7"/>
        <v>0</v>
      </c>
      <c r="R312" s="49">
        <f t="shared" si="1"/>
        <v>0</v>
      </c>
      <c r="S312" s="49">
        <f t="shared" si="1"/>
        <v>0</v>
      </c>
      <c r="T312" s="49">
        <f t="shared" si="1"/>
        <v>0</v>
      </c>
      <c r="U312" s="49">
        <f t="shared" si="1"/>
        <v>0</v>
      </c>
      <c r="V312" s="49">
        <f t="shared" si="1"/>
        <v>0</v>
      </c>
      <c r="X312" s="49">
        <f t="shared" si="2"/>
        <v>0</v>
      </c>
      <c r="Y312" s="49">
        <f t="shared" si="2"/>
        <v>0</v>
      </c>
      <c r="Z312" s="49">
        <f t="shared" si="2"/>
        <v>0</v>
      </c>
      <c r="AA312" s="49">
        <f t="shared" si="2"/>
        <v>0</v>
      </c>
      <c r="AB312" s="49">
        <f t="shared" si="2"/>
        <v>0</v>
      </c>
      <c r="AD312" s="49">
        <f t="shared" si="22"/>
        <v>0</v>
      </c>
      <c r="AE312" s="49">
        <f t="shared" si="23"/>
        <v>0</v>
      </c>
      <c r="AF312" s="49">
        <f t="shared" si="24"/>
        <v>0</v>
      </c>
      <c r="AG312" s="49">
        <f t="shared" si="25"/>
        <v>0</v>
      </c>
      <c r="AH312" s="49">
        <f t="shared" si="26"/>
        <v>0</v>
      </c>
      <c r="AJ312" s="49">
        <f t="shared" si="13"/>
        <v>0</v>
      </c>
      <c r="AK312" s="49">
        <f t="shared" si="14"/>
        <v>0</v>
      </c>
      <c r="AL312" s="49">
        <f t="shared" si="15"/>
        <v>0</v>
      </c>
      <c r="AM312" s="49">
        <f t="shared" si="16"/>
        <v>0</v>
      </c>
      <c r="AN312" s="49">
        <f t="shared" si="17"/>
        <v>0</v>
      </c>
    </row>
    <row r="313" spans="2:40">
      <c r="B313" s="43" t="str">
        <f t="shared" si="5"/>
        <v>Asset 7</v>
      </c>
      <c r="F313" s="43" t="str">
        <f t="shared" ref="F313:L313" si="28">F65</f>
        <v>37 ICT middelen 1</v>
      </c>
      <c r="G313" s="43">
        <f t="shared" si="28"/>
        <v>2010</v>
      </c>
      <c r="H313" s="58">
        <f t="shared" si="28"/>
        <v>17379179.522018339</v>
      </c>
      <c r="I313" s="43">
        <f t="shared" si="28"/>
        <v>2021</v>
      </c>
      <c r="J313" s="58">
        <f t="shared" si="28"/>
        <v>5</v>
      </c>
      <c r="K313" s="187">
        <f t="shared" si="28"/>
        <v>1</v>
      </c>
      <c r="L313" s="58">
        <f t="shared" si="28"/>
        <v>0</v>
      </c>
      <c r="N313" s="49">
        <f t="shared" si="21"/>
        <v>0</v>
      </c>
      <c r="P313" s="44">
        <f t="shared" si="7"/>
        <v>0</v>
      </c>
      <c r="R313" s="49">
        <f t="shared" si="1"/>
        <v>0</v>
      </c>
      <c r="S313" s="49">
        <f t="shared" si="1"/>
        <v>0</v>
      </c>
      <c r="T313" s="49">
        <f t="shared" si="1"/>
        <v>0</v>
      </c>
      <c r="U313" s="49">
        <f t="shared" si="1"/>
        <v>0</v>
      </c>
      <c r="V313" s="49">
        <f t="shared" si="1"/>
        <v>0</v>
      </c>
      <c r="X313" s="49">
        <f t="shared" si="2"/>
        <v>0</v>
      </c>
      <c r="Y313" s="49">
        <f t="shared" si="2"/>
        <v>0</v>
      </c>
      <c r="Z313" s="49">
        <f t="shared" si="2"/>
        <v>0</v>
      </c>
      <c r="AA313" s="49">
        <f t="shared" si="2"/>
        <v>0</v>
      </c>
      <c r="AB313" s="49">
        <f t="shared" si="2"/>
        <v>0</v>
      </c>
      <c r="AD313" s="49">
        <f t="shared" si="22"/>
        <v>0</v>
      </c>
      <c r="AE313" s="49">
        <f t="shared" si="23"/>
        <v>0</v>
      </c>
      <c r="AF313" s="49">
        <f t="shared" si="24"/>
        <v>0</v>
      </c>
      <c r="AG313" s="49">
        <f t="shared" si="25"/>
        <v>0</v>
      </c>
      <c r="AH313" s="49">
        <f t="shared" si="26"/>
        <v>0</v>
      </c>
      <c r="AJ313" s="49">
        <f t="shared" si="13"/>
        <v>0</v>
      </c>
      <c r="AK313" s="49">
        <f t="shared" si="14"/>
        <v>0</v>
      </c>
      <c r="AL313" s="49">
        <f t="shared" si="15"/>
        <v>0</v>
      </c>
      <c r="AM313" s="49">
        <f t="shared" si="16"/>
        <v>0</v>
      </c>
      <c r="AN313" s="49">
        <f t="shared" si="17"/>
        <v>0</v>
      </c>
    </row>
    <row r="314" spans="2:40">
      <c r="B314" s="43" t="str">
        <f t="shared" si="5"/>
        <v>Asset 8</v>
      </c>
      <c r="F314" s="43" t="str">
        <f t="shared" ref="F314:L314" si="29">F66</f>
        <v>10 Gereedschap</v>
      </c>
      <c r="G314" s="43">
        <f t="shared" si="29"/>
        <v>2010</v>
      </c>
      <c r="H314" s="58">
        <f t="shared" si="29"/>
        <v>2369604.1752097155</v>
      </c>
      <c r="I314" s="43">
        <f t="shared" si="29"/>
        <v>2021</v>
      </c>
      <c r="J314" s="58">
        <f t="shared" si="29"/>
        <v>10</v>
      </c>
      <c r="K314" s="187">
        <f t="shared" si="29"/>
        <v>1</v>
      </c>
      <c r="L314" s="58">
        <f t="shared" si="29"/>
        <v>0</v>
      </c>
      <c r="N314" s="49">
        <f t="shared" si="21"/>
        <v>0</v>
      </c>
      <c r="P314" s="44">
        <f t="shared" si="7"/>
        <v>0</v>
      </c>
      <c r="R314" s="49">
        <f t="shared" si="1"/>
        <v>0</v>
      </c>
      <c r="S314" s="49">
        <f t="shared" si="1"/>
        <v>0</v>
      </c>
      <c r="T314" s="49">
        <f t="shared" si="1"/>
        <v>0</v>
      </c>
      <c r="U314" s="49">
        <f t="shared" si="1"/>
        <v>0</v>
      </c>
      <c r="V314" s="49">
        <f t="shared" si="1"/>
        <v>0</v>
      </c>
      <c r="X314" s="49">
        <f t="shared" si="2"/>
        <v>0</v>
      </c>
      <c r="Y314" s="49">
        <f t="shared" si="2"/>
        <v>0</v>
      </c>
      <c r="Z314" s="49">
        <f t="shared" si="2"/>
        <v>0</v>
      </c>
      <c r="AA314" s="49">
        <f t="shared" si="2"/>
        <v>0</v>
      </c>
      <c r="AB314" s="49">
        <f t="shared" si="2"/>
        <v>0</v>
      </c>
      <c r="AD314" s="49">
        <f t="shared" si="22"/>
        <v>0</v>
      </c>
      <c r="AE314" s="49">
        <f t="shared" si="23"/>
        <v>0</v>
      </c>
      <c r="AF314" s="49">
        <f t="shared" si="24"/>
        <v>0</v>
      </c>
      <c r="AG314" s="49">
        <f t="shared" si="25"/>
        <v>0</v>
      </c>
      <c r="AH314" s="49">
        <f t="shared" si="26"/>
        <v>0</v>
      </c>
      <c r="AJ314" s="49">
        <f t="shared" si="13"/>
        <v>0</v>
      </c>
      <c r="AK314" s="49">
        <f t="shared" si="14"/>
        <v>0</v>
      </c>
      <c r="AL314" s="49">
        <f t="shared" si="15"/>
        <v>0</v>
      </c>
      <c r="AM314" s="49">
        <f t="shared" si="16"/>
        <v>0</v>
      </c>
      <c r="AN314" s="49">
        <f t="shared" si="17"/>
        <v>0</v>
      </c>
    </row>
    <row r="315" spans="2:40">
      <c r="B315" s="43" t="str">
        <f t="shared" si="5"/>
        <v>Asset 9</v>
      </c>
      <c r="F315" s="43" t="str">
        <f t="shared" ref="F315:L315" si="30">F67</f>
        <v>37 ICT middelen 1 (transparency)</v>
      </c>
      <c r="G315" s="43">
        <f t="shared" si="30"/>
        <v>2010</v>
      </c>
      <c r="H315" s="58">
        <f t="shared" si="30"/>
        <v>137063.35897796138</v>
      </c>
      <c r="I315" s="43">
        <f t="shared" si="30"/>
        <v>2021</v>
      </c>
      <c r="J315" s="58">
        <f t="shared" si="30"/>
        <v>5</v>
      </c>
      <c r="K315" s="187">
        <f t="shared" si="30"/>
        <v>0</v>
      </c>
      <c r="L315" s="58">
        <f t="shared" si="30"/>
        <v>0</v>
      </c>
      <c r="N315" s="49">
        <f t="shared" si="21"/>
        <v>0</v>
      </c>
      <c r="P315" s="44">
        <f t="shared" si="7"/>
        <v>0</v>
      </c>
      <c r="R315" s="49">
        <f t="shared" si="1"/>
        <v>0</v>
      </c>
      <c r="S315" s="49">
        <f t="shared" si="1"/>
        <v>0</v>
      </c>
      <c r="T315" s="49">
        <f t="shared" si="1"/>
        <v>0</v>
      </c>
      <c r="U315" s="49">
        <f t="shared" si="1"/>
        <v>0</v>
      </c>
      <c r="V315" s="49">
        <f t="shared" si="1"/>
        <v>0</v>
      </c>
      <c r="X315" s="49">
        <f t="shared" si="2"/>
        <v>0</v>
      </c>
      <c r="Y315" s="49">
        <f t="shared" si="2"/>
        <v>0</v>
      </c>
      <c r="Z315" s="49">
        <f t="shared" si="2"/>
        <v>0</v>
      </c>
      <c r="AA315" s="49">
        <f t="shared" si="2"/>
        <v>0</v>
      </c>
      <c r="AB315" s="49">
        <f t="shared" si="2"/>
        <v>0</v>
      </c>
      <c r="AD315" s="49">
        <f t="shared" si="22"/>
        <v>0</v>
      </c>
      <c r="AE315" s="49">
        <f t="shared" si="23"/>
        <v>0</v>
      </c>
      <c r="AF315" s="49">
        <f t="shared" si="24"/>
        <v>0</v>
      </c>
      <c r="AG315" s="49">
        <f t="shared" si="25"/>
        <v>0</v>
      </c>
      <c r="AH315" s="49">
        <f t="shared" si="26"/>
        <v>0</v>
      </c>
      <c r="AJ315" s="49">
        <f t="shared" si="13"/>
        <v>0</v>
      </c>
      <c r="AK315" s="49">
        <f t="shared" si="14"/>
        <v>0</v>
      </c>
      <c r="AL315" s="49">
        <f t="shared" si="15"/>
        <v>0</v>
      </c>
      <c r="AM315" s="49">
        <f t="shared" si="16"/>
        <v>0</v>
      </c>
      <c r="AN315" s="49">
        <f t="shared" si="17"/>
        <v>0</v>
      </c>
    </row>
    <row r="316" spans="2:40">
      <c r="B316" s="43" t="str">
        <f t="shared" si="5"/>
        <v>Asset 10</v>
      </c>
      <c r="F316" s="43" t="str">
        <f t="shared" ref="F316:L316" si="31">F68</f>
        <v>11 Werktuigen (gaschromatografen en comptabele meters)</v>
      </c>
      <c r="G316" s="43">
        <f t="shared" si="31"/>
        <v>2011</v>
      </c>
      <c r="H316" s="58">
        <f t="shared" si="31"/>
        <v>852201.48356837523</v>
      </c>
      <c r="I316" s="43">
        <f t="shared" si="31"/>
        <v>2021</v>
      </c>
      <c r="J316" s="58">
        <f t="shared" si="31"/>
        <v>10</v>
      </c>
      <c r="K316" s="187">
        <f t="shared" si="31"/>
        <v>0</v>
      </c>
      <c r="L316" s="58">
        <f t="shared" si="31"/>
        <v>0</v>
      </c>
      <c r="N316" s="49">
        <f t="shared" si="21"/>
        <v>0</v>
      </c>
      <c r="P316" s="44">
        <f t="shared" si="7"/>
        <v>0</v>
      </c>
      <c r="R316" s="49">
        <f t="shared" si="1"/>
        <v>0</v>
      </c>
      <c r="S316" s="49">
        <f t="shared" si="1"/>
        <v>0</v>
      </c>
      <c r="T316" s="49">
        <f t="shared" si="1"/>
        <v>0</v>
      </c>
      <c r="U316" s="49">
        <f t="shared" si="1"/>
        <v>0</v>
      </c>
      <c r="V316" s="49">
        <f t="shared" si="1"/>
        <v>0</v>
      </c>
      <c r="X316" s="49">
        <f t="shared" si="2"/>
        <v>0</v>
      </c>
      <c r="Y316" s="49">
        <f t="shared" si="2"/>
        <v>0</v>
      </c>
      <c r="Z316" s="49">
        <f t="shared" si="2"/>
        <v>0</v>
      </c>
      <c r="AA316" s="49">
        <f t="shared" si="2"/>
        <v>0</v>
      </c>
      <c r="AB316" s="49">
        <f t="shared" si="2"/>
        <v>0</v>
      </c>
      <c r="AD316" s="49">
        <f t="shared" si="22"/>
        <v>0</v>
      </c>
      <c r="AE316" s="49">
        <f t="shared" si="23"/>
        <v>0</v>
      </c>
      <c r="AF316" s="49">
        <f t="shared" si="24"/>
        <v>0</v>
      </c>
      <c r="AG316" s="49">
        <f t="shared" si="25"/>
        <v>0</v>
      </c>
      <c r="AH316" s="49">
        <f t="shared" si="26"/>
        <v>0</v>
      </c>
      <c r="AJ316" s="49">
        <f t="shared" si="13"/>
        <v>0</v>
      </c>
      <c r="AK316" s="49">
        <f t="shared" si="14"/>
        <v>0</v>
      </c>
      <c r="AL316" s="49">
        <f t="shared" si="15"/>
        <v>0</v>
      </c>
      <c r="AM316" s="49">
        <f t="shared" si="16"/>
        <v>0</v>
      </c>
      <c r="AN316" s="49">
        <f t="shared" si="17"/>
        <v>0</v>
      </c>
    </row>
    <row r="317" spans="2:40">
      <c r="B317" s="43" t="str">
        <f t="shared" si="5"/>
        <v>Asset 11</v>
      </c>
      <c r="F317" s="43" t="str">
        <f t="shared" ref="F317:L317" si="32">F69</f>
        <v>20 Kantoorgebouwen</v>
      </c>
      <c r="G317" s="43">
        <f t="shared" si="32"/>
        <v>2011</v>
      </c>
      <c r="H317" s="58">
        <f t="shared" si="32"/>
        <v>3100554.2541983742</v>
      </c>
      <c r="I317" s="43">
        <f t="shared" si="32"/>
        <v>2021</v>
      </c>
      <c r="J317" s="58">
        <f t="shared" si="32"/>
        <v>30</v>
      </c>
      <c r="K317" s="187">
        <f t="shared" si="32"/>
        <v>0</v>
      </c>
      <c r="L317" s="58">
        <f t="shared" si="32"/>
        <v>2372891.9585730941</v>
      </c>
      <c r="N317" s="49">
        <f t="shared" si="21"/>
        <v>2372891.9585730941</v>
      </c>
      <c r="P317" s="44">
        <f t="shared" si="7"/>
        <v>19.5</v>
      </c>
      <c r="R317" s="49">
        <f t="shared" ref="R317:V326" si="33">IF(R$305&lt;=$G317+$J317,VDB($L317*(1-$F$25),0,$P317,R$305-2022,MIN(R$305-2021,$P317),$F$22),0)</f>
        <v>142373.51751438566</v>
      </c>
      <c r="S317" s="49">
        <f t="shared" si="33"/>
        <v>132881.94968009327</v>
      </c>
      <c r="T317" s="49">
        <f t="shared" si="33"/>
        <v>124023.15303475372</v>
      </c>
      <c r="U317" s="49">
        <f t="shared" si="33"/>
        <v>115754.94283243682</v>
      </c>
      <c r="V317" s="49">
        <f t="shared" si="33"/>
        <v>108037.94664360769</v>
      </c>
      <c r="X317" s="49">
        <f t="shared" ref="X317:AB326" si="34">IF(X$305&lt;=$G317+$J317,VDB($L317*$F$25,0,$P317,X$305-2022,MIN(X$305-2021,$P317),1),0)</f>
        <v>12168.676710631253</v>
      </c>
      <c r="Y317" s="49">
        <f t="shared" si="34"/>
        <v>12168.676710631253</v>
      </c>
      <c r="Z317" s="49">
        <f t="shared" si="34"/>
        <v>12168.676710631253</v>
      </c>
      <c r="AA317" s="49">
        <f t="shared" si="34"/>
        <v>12168.676710631253</v>
      </c>
      <c r="AB317" s="49">
        <f t="shared" si="34"/>
        <v>12168.676710631253</v>
      </c>
      <c r="AD317" s="49">
        <f t="shared" si="22"/>
        <v>2218349.7643480771</v>
      </c>
      <c r="AE317" s="49">
        <f t="shared" si="23"/>
        <v>2073299.1379573527</v>
      </c>
      <c r="AF317" s="49">
        <f t="shared" si="24"/>
        <v>1937107.3082119678</v>
      </c>
      <c r="AG317" s="49">
        <f t="shared" si="25"/>
        <v>1809183.6886688997</v>
      </c>
      <c r="AH317" s="49">
        <f t="shared" si="26"/>
        <v>1688977.0653146608</v>
      </c>
      <c r="AJ317" s="49">
        <f>(R317+X317+AD317*I$16)*IF($K317=1,$F$19,1)</f>
        <v>229966.08621285154</v>
      </c>
      <c r="AK317" s="49">
        <f t="shared" si="14"/>
        <v>213469.49794331717</v>
      </c>
      <c r="AL317" s="49">
        <f t="shared" si="15"/>
        <v>209801.90745743975</v>
      </c>
      <c r="AM317" s="49">
        <f t="shared" si="16"/>
        <v>196672.59971248626</v>
      </c>
      <c r="AN317" s="49">
        <f t="shared" si="17"/>
        <v>184387.75183619605</v>
      </c>
    </row>
    <row r="318" spans="2:40">
      <c r="B318" s="43" t="str">
        <f t="shared" si="5"/>
        <v>Asset 12</v>
      </c>
      <c r="F318" s="43" t="str">
        <f t="shared" ref="F318:L318" si="35">F70</f>
        <v>37 ICT middelen 1</v>
      </c>
      <c r="G318" s="43">
        <f t="shared" si="35"/>
        <v>2011</v>
      </c>
      <c r="H318" s="58">
        <f t="shared" si="35"/>
        <v>30115806.268534236</v>
      </c>
      <c r="I318" s="43">
        <f t="shared" si="35"/>
        <v>2021</v>
      </c>
      <c r="J318" s="58">
        <f t="shared" si="35"/>
        <v>5</v>
      </c>
      <c r="K318" s="187">
        <f t="shared" si="35"/>
        <v>1</v>
      </c>
      <c r="L318" s="58">
        <f t="shared" si="35"/>
        <v>0</v>
      </c>
      <c r="N318" s="49">
        <f t="shared" si="21"/>
        <v>0</v>
      </c>
      <c r="P318" s="44">
        <f t="shared" si="7"/>
        <v>0</v>
      </c>
      <c r="R318" s="49">
        <f t="shared" si="33"/>
        <v>0</v>
      </c>
      <c r="S318" s="49">
        <f t="shared" si="33"/>
        <v>0</v>
      </c>
      <c r="T318" s="49">
        <f t="shared" si="33"/>
        <v>0</v>
      </c>
      <c r="U318" s="49">
        <f t="shared" si="33"/>
        <v>0</v>
      </c>
      <c r="V318" s="49">
        <f t="shared" si="33"/>
        <v>0</v>
      </c>
      <c r="X318" s="49">
        <f t="shared" si="34"/>
        <v>0</v>
      </c>
      <c r="Y318" s="49">
        <f t="shared" si="34"/>
        <v>0</v>
      </c>
      <c r="Z318" s="49">
        <f t="shared" si="34"/>
        <v>0</v>
      </c>
      <c r="AA318" s="49">
        <f t="shared" si="34"/>
        <v>0</v>
      </c>
      <c r="AB318" s="49">
        <f t="shared" si="34"/>
        <v>0</v>
      </c>
      <c r="AD318" s="49">
        <f t="shared" si="22"/>
        <v>0</v>
      </c>
      <c r="AE318" s="49">
        <f t="shared" si="23"/>
        <v>0</v>
      </c>
      <c r="AF318" s="49">
        <f t="shared" si="24"/>
        <v>0</v>
      </c>
      <c r="AG318" s="49">
        <f t="shared" si="25"/>
        <v>0</v>
      </c>
      <c r="AH318" s="49">
        <f t="shared" si="26"/>
        <v>0</v>
      </c>
      <c r="AJ318" s="49">
        <f t="shared" si="13"/>
        <v>0</v>
      </c>
      <c r="AK318" s="49">
        <f t="shared" si="14"/>
        <v>0</v>
      </c>
      <c r="AL318" s="49">
        <f t="shared" si="15"/>
        <v>0</v>
      </c>
      <c r="AM318" s="49">
        <f t="shared" si="16"/>
        <v>0</v>
      </c>
      <c r="AN318" s="49">
        <f t="shared" si="17"/>
        <v>0</v>
      </c>
    </row>
    <row r="319" spans="2:40">
      <c r="B319" s="43" t="str">
        <f t="shared" si="5"/>
        <v>Asset 13</v>
      </c>
      <c r="F319" s="43" t="str">
        <f t="shared" ref="F319:L319" si="36">F71</f>
        <v>06 Utiliteitsgebouwen</v>
      </c>
      <c r="G319" s="43">
        <f t="shared" si="36"/>
        <v>2011</v>
      </c>
      <c r="H319" s="58">
        <f t="shared" si="36"/>
        <v>2437521.6070272112</v>
      </c>
      <c r="I319" s="43">
        <f t="shared" si="36"/>
        <v>2021</v>
      </c>
      <c r="J319" s="58">
        <f t="shared" si="36"/>
        <v>30</v>
      </c>
      <c r="K319" s="187">
        <f t="shared" si="36"/>
        <v>0</v>
      </c>
      <c r="L319" s="58">
        <f t="shared" si="36"/>
        <v>1865464.9930189459</v>
      </c>
      <c r="N319" s="49">
        <f t="shared" si="21"/>
        <v>1865464.9930189459</v>
      </c>
      <c r="P319" s="44">
        <f t="shared" si="7"/>
        <v>19.5</v>
      </c>
      <c r="R319" s="49">
        <f t="shared" si="33"/>
        <v>111927.89958113675</v>
      </c>
      <c r="S319" s="49">
        <f t="shared" si="33"/>
        <v>104466.03960906097</v>
      </c>
      <c r="T319" s="49">
        <f t="shared" si="33"/>
        <v>97501.636968456922</v>
      </c>
      <c r="U319" s="49">
        <f t="shared" si="33"/>
        <v>91001.527837226458</v>
      </c>
      <c r="V319" s="49">
        <f t="shared" si="33"/>
        <v>84934.759314744704</v>
      </c>
      <c r="X319" s="49">
        <f t="shared" si="34"/>
        <v>9566.4871436869016</v>
      </c>
      <c r="Y319" s="49">
        <f t="shared" si="34"/>
        <v>9566.4871436869016</v>
      </c>
      <c r="Z319" s="49">
        <f t="shared" si="34"/>
        <v>9566.4871436869016</v>
      </c>
      <c r="AA319" s="49">
        <f t="shared" si="34"/>
        <v>9566.4871436869016</v>
      </c>
      <c r="AB319" s="49">
        <f t="shared" si="34"/>
        <v>9566.4871436869016</v>
      </c>
      <c r="AD319" s="49">
        <f t="shared" si="22"/>
        <v>1743970.6062941223</v>
      </c>
      <c r="AE319" s="49">
        <f t="shared" si="23"/>
        <v>1629938.0795413745</v>
      </c>
      <c r="AF319" s="49">
        <f t="shared" si="24"/>
        <v>1522869.9554292306</v>
      </c>
      <c r="AG319" s="49">
        <f t="shared" si="25"/>
        <v>1422301.9404483172</v>
      </c>
      <c r="AH319" s="49">
        <f t="shared" si="26"/>
        <v>1327800.6939898855</v>
      </c>
      <c r="AJ319" s="49">
        <f t="shared" si="13"/>
        <v>180789.38733882381</v>
      </c>
      <c r="AK319" s="49">
        <f t="shared" si="14"/>
        <v>167820.48337761324</v>
      </c>
      <c r="AL319" s="49">
        <f t="shared" si="15"/>
        <v>164937.18241845458</v>
      </c>
      <c r="AM319" s="49">
        <f t="shared" si="16"/>
        <v>154615.48871794943</v>
      </c>
      <c r="AN319" s="49">
        <f t="shared" si="17"/>
        <v>144957.67283004726</v>
      </c>
    </row>
    <row r="320" spans="2:40">
      <c r="B320" s="43" t="str">
        <f t="shared" si="5"/>
        <v>Asset 14</v>
      </c>
      <c r="F320" s="43" t="str">
        <f t="shared" ref="F320:L320" si="37">F72</f>
        <v>10 Gereedschap</v>
      </c>
      <c r="G320" s="43">
        <f t="shared" si="37"/>
        <v>2011</v>
      </c>
      <c r="H320" s="58">
        <f t="shared" si="37"/>
        <v>322323.48030063207</v>
      </c>
      <c r="I320" s="43">
        <f t="shared" si="37"/>
        <v>2021</v>
      </c>
      <c r="J320" s="58">
        <f t="shared" si="37"/>
        <v>10</v>
      </c>
      <c r="K320" s="187">
        <f t="shared" si="37"/>
        <v>1</v>
      </c>
      <c r="L320" s="58">
        <f t="shared" si="37"/>
        <v>0</v>
      </c>
      <c r="N320" s="49">
        <f t="shared" si="21"/>
        <v>0</v>
      </c>
      <c r="P320" s="44">
        <f t="shared" si="7"/>
        <v>0</v>
      </c>
      <c r="R320" s="49">
        <f t="shared" si="33"/>
        <v>0</v>
      </c>
      <c r="S320" s="49">
        <f t="shared" si="33"/>
        <v>0</v>
      </c>
      <c r="T320" s="49">
        <f t="shared" si="33"/>
        <v>0</v>
      </c>
      <c r="U320" s="49">
        <f t="shared" si="33"/>
        <v>0</v>
      </c>
      <c r="V320" s="49">
        <f t="shared" si="33"/>
        <v>0</v>
      </c>
      <c r="X320" s="49">
        <f t="shared" si="34"/>
        <v>0</v>
      </c>
      <c r="Y320" s="49">
        <f t="shared" si="34"/>
        <v>0</v>
      </c>
      <c r="Z320" s="49">
        <f t="shared" si="34"/>
        <v>0</v>
      </c>
      <c r="AA320" s="49">
        <f t="shared" si="34"/>
        <v>0</v>
      </c>
      <c r="AB320" s="49">
        <f t="shared" si="34"/>
        <v>0</v>
      </c>
      <c r="AD320" s="49">
        <f t="shared" si="22"/>
        <v>0</v>
      </c>
      <c r="AE320" s="49">
        <f t="shared" si="23"/>
        <v>0</v>
      </c>
      <c r="AF320" s="49">
        <f t="shared" si="24"/>
        <v>0</v>
      </c>
      <c r="AG320" s="49">
        <f t="shared" si="25"/>
        <v>0</v>
      </c>
      <c r="AH320" s="49">
        <f t="shared" si="26"/>
        <v>0</v>
      </c>
      <c r="AJ320" s="49">
        <f t="shared" si="13"/>
        <v>0</v>
      </c>
      <c r="AK320" s="49">
        <f t="shared" si="14"/>
        <v>0</v>
      </c>
      <c r="AL320" s="49">
        <f t="shared" si="15"/>
        <v>0</v>
      </c>
      <c r="AM320" s="49">
        <f t="shared" si="16"/>
        <v>0</v>
      </c>
      <c r="AN320" s="49">
        <f t="shared" si="17"/>
        <v>0</v>
      </c>
    </row>
    <row r="321" spans="2:40">
      <c r="B321" s="43" t="str">
        <f t="shared" si="5"/>
        <v>Asset 15</v>
      </c>
      <c r="F321" s="43" t="str">
        <f t="shared" ref="F321:L321" si="38">F73</f>
        <v>14 Overig rollend materieel</v>
      </c>
      <c r="G321" s="43">
        <f t="shared" si="38"/>
        <v>2011</v>
      </c>
      <c r="H321" s="58">
        <f t="shared" si="38"/>
        <v>4126005.7948834877</v>
      </c>
      <c r="I321" s="43">
        <f t="shared" si="38"/>
        <v>2021</v>
      </c>
      <c r="J321" s="58">
        <f t="shared" si="38"/>
        <v>10</v>
      </c>
      <c r="K321" s="187">
        <f t="shared" si="38"/>
        <v>1</v>
      </c>
      <c r="L321" s="58">
        <f t="shared" si="38"/>
        <v>0</v>
      </c>
      <c r="N321" s="49">
        <f t="shared" si="21"/>
        <v>0</v>
      </c>
      <c r="P321" s="44">
        <f t="shared" si="7"/>
        <v>0</v>
      </c>
      <c r="R321" s="49">
        <f t="shared" si="33"/>
        <v>0</v>
      </c>
      <c r="S321" s="49">
        <f t="shared" si="33"/>
        <v>0</v>
      </c>
      <c r="T321" s="49">
        <f t="shared" si="33"/>
        <v>0</v>
      </c>
      <c r="U321" s="49">
        <f t="shared" si="33"/>
        <v>0</v>
      </c>
      <c r="V321" s="49">
        <f t="shared" si="33"/>
        <v>0</v>
      </c>
      <c r="X321" s="49">
        <f t="shared" si="34"/>
        <v>0</v>
      </c>
      <c r="Y321" s="49">
        <f t="shared" si="34"/>
        <v>0</v>
      </c>
      <c r="Z321" s="49">
        <f t="shared" si="34"/>
        <v>0</v>
      </c>
      <c r="AA321" s="49">
        <f t="shared" si="34"/>
        <v>0</v>
      </c>
      <c r="AB321" s="49">
        <f t="shared" si="34"/>
        <v>0</v>
      </c>
      <c r="AD321" s="49">
        <f t="shared" si="22"/>
        <v>0</v>
      </c>
      <c r="AE321" s="49">
        <f t="shared" si="23"/>
        <v>0</v>
      </c>
      <c r="AF321" s="49">
        <f t="shared" si="24"/>
        <v>0</v>
      </c>
      <c r="AG321" s="49">
        <f t="shared" si="25"/>
        <v>0</v>
      </c>
      <c r="AH321" s="49">
        <f t="shared" si="26"/>
        <v>0</v>
      </c>
      <c r="AJ321" s="49">
        <f t="shared" si="13"/>
        <v>0</v>
      </c>
      <c r="AK321" s="49">
        <f t="shared" si="14"/>
        <v>0</v>
      </c>
      <c r="AL321" s="49">
        <f t="shared" si="15"/>
        <v>0</v>
      </c>
      <c r="AM321" s="49">
        <f t="shared" si="16"/>
        <v>0</v>
      </c>
      <c r="AN321" s="49">
        <f t="shared" si="17"/>
        <v>0</v>
      </c>
    </row>
    <row r="322" spans="2:40">
      <c r="B322" s="43" t="str">
        <f t="shared" si="5"/>
        <v>Asset 16</v>
      </c>
      <c r="F322" s="43" t="str">
        <f t="shared" ref="F322:L322" si="39">F74</f>
        <v>37 ICT middelen 1</v>
      </c>
      <c r="G322" s="43">
        <f t="shared" si="39"/>
        <v>2012</v>
      </c>
      <c r="H322" s="58">
        <f t="shared" si="39"/>
        <v>22695798.709637098</v>
      </c>
      <c r="I322" s="43">
        <f t="shared" si="39"/>
        <v>2021</v>
      </c>
      <c r="J322" s="58">
        <f t="shared" si="39"/>
        <v>5</v>
      </c>
      <c r="K322" s="187">
        <f t="shared" si="39"/>
        <v>1</v>
      </c>
      <c r="L322" s="58">
        <f t="shared" si="39"/>
        <v>0</v>
      </c>
      <c r="N322" s="49">
        <f t="shared" si="21"/>
        <v>0</v>
      </c>
      <c r="P322" s="44">
        <f t="shared" si="7"/>
        <v>0</v>
      </c>
      <c r="R322" s="49">
        <f t="shared" si="33"/>
        <v>0</v>
      </c>
      <c r="S322" s="49">
        <f t="shared" si="33"/>
        <v>0</v>
      </c>
      <c r="T322" s="49">
        <f t="shared" si="33"/>
        <v>0</v>
      </c>
      <c r="U322" s="49">
        <f t="shared" si="33"/>
        <v>0</v>
      </c>
      <c r="V322" s="49">
        <f t="shared" si="33"/>
        <v>0</v>
      </c>
      <c r="X322" s="49">
        <f t="shared" si="34"/>
        <v>0</v>
      </c>
      <c r="Y322" s="49">
        <f t="shared" si="34"/>
        <v>0</v>
      </c>
      <c r="Z322" s="49">
        <f t="shared" si="34"/>
        <v>0</v>
      </c>
      <c r="AA322" s="49">
        <f t="shared" si="34"/>
        <v>0</v>
      </c>
      <c r="AB322" s="49">
        <f t="shared" si="34"/>
        <v>0</v>
      </c>
      <c r="AD322" s="49">
        <f t="shared" si="22"/>
        <v>0</v>
      </c>
      <c r="AE322" s="49">
        <f t="shared" si="23"/>
        <v>0</v>
      </c>
      <c r="AF322" s="49">
        <f t="shared" si="24"/>
        <v>0</v>
      </c>
      <c r="AG322" s="49">
        <f t="shared" si="25"/>
        <v>0</v>
      </c>
      <c r="AH322" s="49">
        <f t="shared" si="26"/>
        <v>0</v>
      </c>
      <c r="AJ322" s="49">
        <f t="shared" si="13"/>
        <v>0</v>
      </c>
      <c r="AK322" s="49">
        <f t="shared" si="14"/>
        <v>0</v>
      </c>
      <c r="AL322" s="49">
        <f t="shared" si="15"/>
        <v>0</v>
      </c>
      <c r="AM322" s="49">
        <f t="shared" si="16"/>
        <v>0</v>
      </c>
      <c r="AN322" s="49">
        <f t="shared" si="17"/>
        <v>0</v>
      </c>
    </row>
    <row r="323" spans="2:40">
      <c r="B323" s="43" t="str">
        <f t="shared" si="5"/>
        <v>Asset 17</v>
      </c>
      <c r="F323" s="43" t="str">
        <f t="shared" ref="F323:L323" si="40">F75</f>
        <v>37 ICT middelen 1</v>
      </c>
      <c r="G323" s="43">
        <f t="shared" si="40"/>
        <v>2013</v>
      </c>
      <c r="H323" s="58">
        <f t="shared" si="40"/>
        <v>18719949.80436749</v>
      </c>
      <c r="I323" s="43">
        <f t="shared" si="40"/>
        <v>2021</v>
      </c>
      <c r="J323" s="58">
        <f t="shared" si="40"/>
        <v>5</v>
      </c>
      <c r="K323" s="187">
        <f t="shared" si="40"/>
        <v>1</v>
      </c>
      <c r="L323" s="58">
        <f t="shared" si="40"/>
        <v>0</v>
      </c>
      <c r="N323" s="49">
        <f t="shared" si="21"/>
        <v>0</v>
      </c>
      <c r="P323" s="44">
        <f t="shared" si="7"/>
        <v>0</v>
      </c>
      <c r="R323" s="49">
        <f t="shared" si="33"/>
        <v>0</v>
      </c>
      <c r="S323" s="49">
        <f t="shared" si="33"/>
        <v>0</v>
      </c>
      <c r="T323" s="49">
        <f t="shared" si="33"/>
        <v>0</v>
      </c>
      <c r="U323" s="49">
        <f t="shared" si="33"/>
        <v>0</v>
      </c>
      <c r="V323" s="49">
        <f t="shared" si="33"/>
        <v>0</v>
      </c>
      <c r="X323" s="49">
        <f t="shared" si="34"/>
        <v>0</v>
      </c>
      <c r="Y323" s="49">
        <f t="shared" si="34"/>
        <v>0</v>
      </c>
      <c r="Z323" s="49">
        <f t="shared" si="34"/>
        <v>0</v>
      </c>
      <c r="AA323" s="49">
        <f t="shared" si="34"/>
        <v>0</v>
      </c>
      <c r="AB323" s="49">
        <f t="shared" si="34"/>
        <v>0</v>
      </c>
      <c r="AD323" s="49">
        <f t="shared" si="22"/>
        <v>0</v>
      </c>
      <c r="AE323" s="49">
        <f t="shared" si="23"/>
        <v>0</v>
      </c>
      <c r="AF323" s="49">
        <f t="shared" si="24"/>
        <v>0</v>
      </c>
      <c r="AG323" s="49">
        <f t="shared" si="25"/>
        <v>0</v>
      </c>
      <c r="AH323" s="49">
        <f t="shared" si="26"/>
        <v>0</v>
      </c>
      <c r="AJ323" s="49">
        <f t="shared" si="13"/>
        <v>0</v>
      </c>
      <c r="AK323" s="49">
        <f t="shared" si="14"/>
        <v>0</v>
      </c>
      <c r="AL323" s="49">
        <f t="shared" si="15"/>
        <v>0</v>
      </c>
      <c r="AM323" s="49">
        <f t="shared" si="16"/>
        <v>0</v>
      </c>
      <c r="AN323" s="49">
        <f t="shared" si="17"/>
        <v>0</v>
      </c>
    </row>
    <row r="324" spans="2:40">
      <c r="B324" s="43" t="str">
        <f t="shared" si="5"/>
        <v>Asset 18</v>
      </c>
      <c r="F324" s="43" t="str">
        <f t="shared" ref="F324:L324" si="41">F76</f>
        <v>14 Overig rollend materieel</v>
      </c>
      <c r="G324" s="43">
        <f t="shared" si="41"/>
        <v>2013</v>
      </c>
      <c r="H324" s="58">
        <f t="shared" si="41"/>
        <v>14233.766853302437</v>
      </c>
      <c r="I324" s="43">
        <f t="shared" si="41"/>
        <v>2021</v>
      </c>
      <c r="J324" s="58">
        <f t="shared" si="41"/>
        <v>10</v>
      </c>
      <c r="K324" s="187">
        <f t="shared" si="41"/>
        <v>1</v>
      </c>
      <c r="L324" s="58">
        <f t="shared" si="41"/>
        <v>2395.0433871794298</v>
      </c>
      <c r="N324" s="49">
        <f t="shared" si="21"/>
        <v>2395.0433871794298</v>
      </c>
      <c r="P324" s="44">
        <f t="shared" si="7"/>
        <v>1.5</v>
      </c>
      <c r="R324" s="49">
        <f t="shared" si="33"/>
        <v>1868.1338419999554</v>
      </c>
      <c r="S324" s="49">
        <f t="shared" si="33"/>
        <v>287.40520646153141</v>
      </c>
      <c r="T324" s="49">
        <f t="shared" si="33"/>
        <v>0</v>
      </c>
      <c r="U324" s="49">
        <f t="shared" si="33"/>
        <v>0</v>
      </c>
      <c r="V324" s="49">
        <f t="shared" si="33"/>
        <v>0</v>
      </c>
      <c r="X324" s="49">
        <f t="shared" si="34"/>
        <v>159.66955914529532</v>
      </c>
      <c r="Y324" s="49">
        <f t="shared" si="34"/>
        <v>79.834779572647676</v>
      </c>
      <c r="Z324" s="49">
        <f t="shared" si="34"/>
        <v>0</v>
      </c>
      <c r="AA324" s="49">
        <f t="shared" si="34"/>
        <v>0</v>
      </c>
      <c r="AB324" s="49">
        <f t="shared" si="34"/>
        <v>0</v>
      </c>
      <c r="AD324" s="49">
        <f t="shared" si="22"/>
        <v>367.23998603417908</v>
      </c>
      <c r="AE324" s="49">
        <f t="shared" si="23"/>
        <v>0</v>
      </c>
      <c r="AF324" s="49">
        <f t="shared" si="24"/>
        <v>0</v>
      </c>
      <c r="AG324" s="49">
        <f t="shared" si="25"/>
        <v>0</v>
      </c>
      <c r="AH324" s="49">
        <f t="shared" si="26"/>
        <v>0</v>
      </c>
      <c r="AJ324" s="49">
        <f t="shared" si="13"/>
        <v>2040.2895606704128</v>
      </c>
      <c r="AK324" s="49">
        <f t="shared" si="14"/>
        <v>367.23998603417908</v>
      </c>
      <c r="AL324" s="49">
        <f t="shared" si="15"/>
        <v>0</v>
      </c>
      <c r="AM324" s="49">
        <f t="shared" si="16"/>
        <v>0</v>
      </c>
      <c r="AN324" s="49">
        <f t="shared" si="17"/>
        <v>0</v>
      </c>
    </row>
    <row r="325" spans="2:40">
      <c r="B325" s="43" t="str">
        <f t="shared" si="5"/>
        <v>Asset 19</v>
      </c>
      <c r="F325" s="43" t="str">
        <f t="shared" ref="F325:L325" si="42">F77</f>
        <v>10 Gereedschap</v>
      </c>
      <c r="G325" s="43">
        <f t="shared" si="42"/>
        <v>2013</v>
      </c>
      <c r="H325" s="58">
        <f t="shared" si="42"/>
        <v>717715.3058753697</v>
      </c>
      <c r="I325" s="43">
        <f t="shared" si="42"/>
        <v>2021</v>
      </c>
      <c r="J325" s="58">
        <f t="shared" si="42"/>
        <v>10</v>
      </c>
      <c r="K325" s="187">
        <f t="shared" si="42"/>
        <v>1</v>
      </c>
      <c r="L325" s="58">
        <f t="shared" si="42"/>
        <v>120766.29573396736</v>
      </c>
      <c r="N325" s="49">
        <f t="shared" si="21"/>
        <v>120766.29573396736</v>
      </c>
      <c r="P325" s="44">
        <f t="shared" si="7"/>
        <v>1.5</v>
      </c>
      <c r="R325" s="49">
        <f t="shared" si="33"/>
        <v>94197.710672494548</v>
      </c>
      <c r="S325" s="49">
        <f t="shared" si="33"/>
        <v>14491.955488076084</v>
      </c>
      <c r="T325" s="49">
        <f t="shared" si="33"/>
        <v>0</v>
      </c>
      <c r="U325" s="49">
        <f t="shared" si="33"/>
        <v>0</v>
      </c>
      <c r="V325" s="49">
        <f t="shared" si="33"/>
        <v>0</v>
      </c>
      <c r="X325" s="49">
        <f t="shared" si="34"/>
        <v>8051.0863822644906</v>
      </c>
      <c r="Y325" s="49">
        <f t="shared" si="34"/>
        <v>4025.5431911322457</v>
      </c>
      <c r="Z325" s="49">
        <f t="shared" si="34"/>
        <v>0</v>
      </c>
      <c r="AA325" s="49">
        <f t="shared" si="34"/>
        <v>0</v>
      </c>
      <c r="AB325" s="49">
        <f t="shared" si="34"/>
        <v>0</v>
      </c>
      <c r="AD325" s="49">
        <f t="shared" si="22"/>
        <v>18517.498679208322</v>
      </c>
      <c r="AE325" s="49">
        <f t="shared" si="23"/>
        <v>-8.1854523159563541E-12</v>
      </c>
      <c r="AF325" s="49">
        <f t="shared" si="24"/>
        <v>0</v>
      </c>
      <c r="AG325" s="49">
        <f t="shared" si="25"/>
        <v>0</v>
      </c>
      <c r="AH325" s="49">
        <f t="shared" si="26"/>
        <v>0</v>
      </c>
      <c r="AJ325" s="49">
        <f t="shared" si="13"/>
        <v>102878.39200985212</v>
      </c>
      <c r="AK325" s="49">
        <f t="shared" si="14"/>
        <v>18517.498679208329</v>
      </c>
      <c r="AL325" s="49">
        <f t="shared" si="15"/>
        <v>0</v>
      </c>
      <c r="AM325" s="49">
        <f t="shared" si="16"/>
        <v>0</v>
      </c>
      <c r="AN325" s="49">
        <f t="shared" si="17"/>
        <v>0</v>
      </c>
    </row>
    <row r="326" spans="2:40">
      <c r="B326" s="43" t="str">
        <f t="shared" si="5"/>
        <v>Asset 20</v>
      </c>
      <c r="F326" s="43" t="str">
        <f t="shared" ref="F326:L326" si="43">F78</f>
        <v>37 ICT middelen 1</v>
      </c>
      <c r="G326" s="43">
        <f t="shared" si="43"/>
        <v>2014</v>
      </c>
      <c r="H326" s="58">
        <f t="shared" si="43"/>
        <v>29278944.009914741</v>
      </c>
      <c r="I326" s="43">
        <f t="shared" si="43"/>
        <v>2021</v>
      </c>
      <c r="J326" s="58">
        <f t="shared" si="43"/>
        <v>5</v>
      </c>
      <c r="K326" s="187">
        <f t="shared" si="43"/>
        <v>1</v>
      </c>
      <c r="L326" s="58">
        <f t="shared" si="43"/>
        <v>0</v>
      </c>
      <c r="N326" s="49">
        <f t="shared" si="21"/>
        <v>0</v>
      </c>
      <c r="P326" s="44">
        <f t="shared" si="7"/>
        <v>0</v>
      </c>
      <c r="R326" s="49">
        <f t="shared" si="33"/>
        <v>0</v>
      </c>
      <c r="S326" s="49">
        <f t="shared" si="33"/>
        <v>0</v>
      </c>
      <c r="T326" s="49">
        <f t="shared" si="33"/>
        <v>0</v>
      </c>
      <c r="U326" s="49">
        <f t="shared" si="33"/>
        <v>0</v>
      </c>
      <c r="V326" s="49">
        <f t="shared" si="33"/>
        <v>0</v>
      </c>
      <c r="X326" s="49">
        <f t="shared" si="34"/>
        <v>0</v>
      </c>
      <c r="Y326" s="49">
        <f t="shared" si="34"/>
        <v>0</v>
      </c>
      <c r="Z326" s="49">
        <f t="shared" si="34"/>
        <v>0</v>
      </c>
      <c r="AA326" s="49">
        <f t="shared" si="34"/>
        <v>0</v>
      </c>
      <c r="AB326" s="49">
        <f t="shared" si="34"/>
        <v>0</v>
      </c>
      <c r="AD326" s="49">
        <f t="shared" si="22"/>
        <v>0</v>
      </c>
      <c r="AE326" s="49">
        <f t="shared" si="23"/>
        <v>0</v>
      </c>
      <c r="AF326" s="49">
        <f t="shared" si="24"/>
        <v>0</v>
      </c>
      <c r="AG326" s="49">
        <f t="shared" si="25"/>
        <v>0</v>
      </c>
      <c r="AH326" s="49">
        <f t="shared" si="26"/>
        <v>0</v>
      </c>
      <c r="AJ326" s="49">
        <f t="shared" si="13"/>
        <v>0</v>
      </c>
      <c r="AK326" s="49">
        <f t="shared" si="14"/>
        <v>0</v>
      </c>
      <c r="AL326" s="49">
        <f t="shared" si="15"/>
        <v>0</v>
      </c>
      <c r="AM326" s="49">
        <f t="shared" si="16"/>
        <v>0</v>
      </c>
      <c r="AN326" s="49">
        <f t="shared" si="17"/>
        <v>0</v>
      </c>
    </row>
    <row r="327" spans="2:40">
      <c r="B327" s="43" t="str">
        <f t="shared" si="5"/>
        <v>Asset 21</v>
      </c>
      <c r="F327" s="43" t="str">
        <f t="shared" ref="F327:L327" si="44">F79</f>
        <v>38 ICT middelen 2</v>
      </c>
      <c r="G327" s="43">
        <f t="shared" si="44"/>
        <v>2014</v>
      </c>
      <c r="H327" s="58">
        <f t="shared" si="44"/>
        <v>149619.99545874962</v>
      </c>
      <c r="I327" s="43">
        <f t="shared" si="44"/>
        <v>2021</v>
      </c>
      <c r="J327" s="58">
        <f t="shared" si="44"/>
        <v>10</v>
      </c>
      <c r="K327" s="187">
        <f t="shared" si="44"/>
        <v>1</v>
      </c>
      <c r="L327" s="58">
        <f t="shared" si="44"/>
        <v>40816.786477904512</v>
      </c>
      <c r="N327" s="49">
        <f t="shared" si="21"/>
        <v>40816.786477904512</v>
      </c>
      <c r="P327" s="44">
        <f t="shared" si="7"/>
        <v>2.5</v>
      </c>
      <c r="R327" s="49">
        <f t="shared" ref="R327:V336" si="45">IF(R$305&lt;=$G327+$J327,VDB($L327*(1-$F$25),0,$P327,R$305-2022,MIN(R$305-2021,$P327),$F$22),0)</f>
        <v>19102.256071659311</v>
      </c>
      <c r="S327" s="49">
        <f t="shared" si="45"/>
        <v>11755.234505636499</v>
      </c>
      <c r="T327" s="49">
        <f t="shared" si="45"/>
        <v>5877.6172528182497</v>
      </c>
      <c r="U327" s="49">
        <f t="shared" si="45"/>
        <v>0</v>
      </c>
      <c r="V327" s="49">
        <f t="shared" si="45"/>
        <v>0</v>
      </c>
      <c r="X327" s="49">
        <f t="shared" ref="X327:AB336" si="46">IF(X$305&lt;=$G327+$J327,VDB($L327*$F$25,0,$P327,X$305-2022,MIN(X$305-2021,$P327),1),0)</f>
        <v>1632.6714591161808</v>
      </c>
      <c r="Y327" s="49">
        <f t="shared" si="46"/>
        <v>1632.6714591161806</v>
      </c>
      <c r="Z327" s="49">
        <f t="shared" si="46"/>
        <v>816.33572955809029</v>
      </c>
      <c r="AA327" s="49">
        <f t="shared" si="46"/>
        <v>0</v>
      </c>
      <c r="AB327" s="49">
        <f t="shared" si="46"/>
        <v>0</v>
      </c>
      <c r="AD327" s="49">
        <f t="shared" si="22"/>
        <v>20081.858947129022</v>
      </c>
      <c r="AE327" s="49">
        <f t="shared" si="23"/>
        <v>6693.9529823763414</v>
      </c>
      <c r="AF327" s="49">
        <f t="shared" si="24"/>
        <v>1.4779288903810084E-12</v>
      </c>
      <c r="AG327" s="49">
        <f t="shared" si="25"/>
        <v>0</v>
      </c>
      <c r="AH327" s="49">
        <f t="shared" si="26"/>
        <v>0</v>
      </c>
      <c r="AJ327" s="49">
        <f t="shared" si="13"/>
        <v>21417.710734977878</v>
      </c>
      <c r="AK327" s="49">
        <f t="shared" si="14"/>
        <v>13608.806413171098</v>
      </c>
      <c r="AL327" s="49">
        <f t="shared" si="15"/>
        <v>6693.9529823763396</v>
      </c>
      <c r="AM327" s="49">
        <f t="shared" si="16"/>
        <v>0</v>
      </c>
      <c r="AN327" s="49">
        <f t="shared" si="17"/>
        <v>0</v>
      </c>
    </row>
    <row r="328" spans="2:40">
      <c r="B328" s="43" t="str">
        <f t="shared" si="5"/>
        <v>Asset 22</v>
      </c>
      <c r="F328" s="43" t="str">
        <f t="shared" ref="F328:L328" si="47">F80</f>
        <v>37 ICT middelen 1 (transparency)</v>
      </c>
      <c r="G328" s="43">
        <f t="shared" si="47"/>
        <v>2014</v>
      </c>
      <c r="H328" s="58">
        <f t="shared" si="47"/>
        <v>180341</v>
      </c>
      <c r="I328" s="43">
        <f t="shared" si="47"/>
        <v>2021</v>
      </c>
      <c r="J328" s="58">
        <f t="shared" si="47"/>
        <v>5</v>
      </c>
      <c r="K328" s="187">
        <f t="shared" si="47"/>
        <v>0</v>
      </c>
      <c r="L328" s="58">
        <f t="shared" si="47"/>
        <v>0</v>
      </c>
      <c r="N328" s="49">
        <f t="shared" si="21"/>
        <v>0</v>
      </c>
      <c r="P328" s="44">
        <f t="shared" si="7"/>
        <v>0</v>
      </c>
      <c r="R328" s="49">
        <f t="shared" si="45"/>
        <v>0</v>
      </c>
      <c r="S328" s="49">
        <f t="shared" si="45"/>
        <v>0</v>
      </c>
      <c r="T328" s="49">
        <f t="shared" si="45"/>
        <v>0</v>
      </c>
      <c r="U328" s="49">
        <f t="shared" si="45"/>
        <v>0</v>
      </c>
      <c r="V328" s="49">
        <f t="shared" si="45"/>
        <v>0</v>
      </c>
      <c r="X328" s="49">
        <f t="shared" si="46"/>
        <v>0</v>
      </c>
      <c r="Y328" s="49">
        <f t="shared" si="46"/>
        <v>0</v>
      </c>
      <c r="Z328" s="49">
        <f t="shared" si="46"/>
        <v>0</v>
      </c>
      <c r="AA328" s="49">
        <f t="shared" si="46"/>
        <v>0</v>
      </c>
      <c r="AB328" s="49">
        <f t="shared" si="46"/>
        <v>0</v>
      </c>
      <c r="AD328" s="49">
        <f t="shared" si="22"/>
        <v>0</v>
      </c>
      <c r="AE328" s="49">
        <f t="shared" si="23"/>
        <v>0</v>
      </c>
      <c r="AF328" s="49">
        <f t="shared" si="24"/>
        <v>0</v>
      </c>
      <c r="AG328" s="49">
        <f t="shared" si="25"/>
        <v>0</v>
      </c>
      <c r="AH328" s="49">
        <f t="shared" si="26"/>
        <v>0</v>
      </c>
      <c r="AJ328" s="49">
        <f t="shared" si="13"/>
        <v>0</v>
      </c>
      <c r="AK328" s="49">
        <f t="shared" si="14"/>
        <v>0</v>
      </c>
      <c r="AL328" s="49">
        <f t="shared" si="15"/>
        <v>0</v>
      </c>
      <c r="AM328" s="49">
        <f t="shared" si="16"/>
        <v>0</v>
      </c>
      <c r="AN328" s="49">
        <f t="shared" si="17"/>
        <v>0</v>
      </c>
    </row>
    <row r="329" spans="2:40">
      <c r="B329" s="43" t="str">
        <f t="shared" si="5"/>
        <v>Asset 23</v>
      </c>
      <c r="F329" s="43" t="str">
        <f t="shared" ref="F329:L329" si="48">F81</f>
        <v>37 ICT middelen 1</v>
      </c>
      <c r="G329" s="43">
        <f t="shared" si="48"/>
        <v>2015</v>
      </c>
      <c r="H329" s="58">
        <f t="shared" si="48"/>
        <v>16219637.049707994</v>
      </c>
      <c r="I329" s="43">
        <f t="shared" si="48"/>
        <v>2021</v>
      </c>
      <c r="J329" s="58">
        <f t="shared" si="48"/>
        <v>5</v>
      </c>
      <c r="K329" s="187">
        <f t="shared" si="48"/>
        <v>1</v>
      </c>
      <c r="L329" s="58">
        <f t="shared" si="48"/>
        <v>0</v>
      </c>
      <c r="N329" s="49">
        <f t="shared" si="21"/>
        <v>0</v>
      </c>
      <c r="P329" s="44">
        <f t="shared" si="7"/>
        <v>0</v>
      </c>
      <c r="R329" s="49">
        <f t="shared" si="45"/>
        <v>0</v>
      </c>
      <c r="S329" s="49">
        <f t="shared" si="45"/>
        <v>0</v>
      </c>
      <c r="T329" s="49">
        <f t="shared" si="45"/>
        <v>0</v>
      </c>
      <c r="U329" s="49">
        <f t="shared" si="45"/>
        <v>0</v>
      </c>
      <c r="V329" s="49">
        <f t="shared" si="45"/>
        <v>0</v>
      </c>
      <c r="X329" s="49">
        <f t="shared" si="46"/>
        <v>0</v>
      </c>
      <c r="Y329" s="49">
        <f t="shared" si="46"/>
        <v>0</v>
      </c>
      <c r="Z329" s="49">
        <f t="shared" si="46"/>
        <v>0</v>
      </c>
      <c r="AA329" s="49">
        <f t="shared" si="46"/>
        <v>0</v>
      </c>
      <c r="AB329" s="49">
        <f t="shared" si="46"/>
        <v>0</v>
      </c>
      <c r="AD329" s="49">
        <f t="shared" si="22"/>
        <v>0</v>
      </c>
      <c r="AE329" s="49">
        <f t="shared" si="23"/>
        <v>0</v>
      </c>
      <c r="AF329" s="49">
        <f t="shared" si="24"/>
        <v>0</v>
      </c>
      <c r="AG329" s="49">
        <f t="shared" si="25"/>
        <v>0</v>
      </c>
      <c r="AH329" s="49">
        <f t="shared" si="26"/>
        <v>0</v>
      </c>
      <c r="AJ329" s="49">
        <f t="shared" si="13"/>
        <v>0</v>
      </c>
      <c r="AK329" s="49">
        <f t="shared" si="14"/>
        <v>0</v>
      </c>
      <c r="AL329" s="49">
        <f t="shared" si="15"/>
        <v>0</v>
      </c>
      <c r="AM329" s="49">
        <f t="shared" si="16"/>
        <v>0</v>
      </c>
      <c r="AN329" s="49">
        <f t="shared" si="17"/>
        <v>0</v>
      </c>
    </row>
    <row r="330" spans="2:40">
      <c r="B330" s="43" t="str">
        <f t="shared" si="5"/>
        <v>Asset 24</v>
      </c>
      <c r="F330" s="43" t="str">
        <f t="shared" ref="F330:L330" si="49">F82</f>
        <v>14 Overig rollend materieel</v>
      </c>
      <c r="G330" s="43">
        <f t="shared" si="49"/>
        <v>2015</v>
      </c>
      <c r="H330" s="58">
        <f t="shared" si="49"/>
        <v>9111235.8707030155</v>
      </c>
      <c r="I330" s="43">
        <f t="shared" si="49"/>
        <v>2021</v>
      </c>
      <c r="J330" s="58">
        <f t="shared" si="49"/>
        <v>10</v>
      </c>
      <c r="K330" s="187">
        <f t="shared" si="49"/>
        <v>1</v>
      </c>
      <c r="L330" s="58">
        <f t="shared" si="49"/>
        <v>3445348.23215965</v>
      </c>
      <c r="N330" s="49">
        <f t="shared" si="21"/>
        <v>3445348.23215965</v>
      </c>
      <c r="P330" s="44">
        <f t="shared" si="7"/>
        <v>3.5</v>
      </c>
      <c r="R330" s="49">
        <f t="shared" si="45"/>
        <v>1151730.6947505118</v>
      </c>
      <c r="S330" s="49">
        <f t="shared" si="45"/>
        <v>779633.08567726938</v>
      </c>
      <c r="T330" s="49">
        <f t="shared" si="45"/>
        <v>779633.08567726938</v>
      </c>
      <c r="U330" s="49">
        <f t="shared" si="45"/>
        <v>389816.54283863469</v>
      </c>
      <c r="V330" s="49">
        <f t="shared" si="45"/>
        <v>0</v>
      </c>
      <c r="X330" s="49">
        <f t="shared" si="46"/>
        <v>98438.520918847149</v>
      </c>
      <c r="Y330" s="49">
        <f t="shared" si="46"/>
        <v>98438.520918847149</v>
      </c>
      <c r="Z330" s="49">
        <f t="shared" si="46"/>
        <v>98438.520918847149</v>
      </c>
      <c r="AA330" s="49">
        <f t="shared" si="46"/>
        <v>49219.260459423575</v>
      </c>
      <c r="AB330" s="49">
        <f t="shared" si="46"/>
        <v>0</v>
      </c>
      <c r="AD330" s="49">
        <f t="shared" si="22"/>
        <v>2195179.0164902909</v>
      </c>
      <c r="AE330" s="49">
        <f t="shared" si="23"/>
        <v>1317107.4098941744</v>
      </c>
      <c r="AF330" s="49">
        <f t="shared" si="24"/>
        <v>439035.80329805787</v>
      </c>
      <c r="AG330" s="49">
        <f t="shared" si="25"/>
        <v>-3.92901711165905E-10</v>
      </c>
      <c r="AH330" s="49">
        <f t="shared" si="26"/>
        <v>0</v>
      </c>
      <c r="AJ330" s="49">
        <f t="shared" si="13"/>
        <v>1324805.3022300287</v>
      </c>
      <c r="AK330" s="49">
        <f t="shared" si="14"/>
        <v>921536.15112262429</v>
      </c>
      <c r="AL330" s="49">
        <f t="shared" si="15"/>
        <v>894754.96712144278</v>
      </c>
      <c r="AM330" s="49">
        <f t="shared" si="16"/>
        <v>439035.80329805828</v>
      </c>
      <c r="AN330" s="49">
        <f t="shared" si="17"/>
        <v>0</v>
      </c>
    </row>
    <row r="331" spans="2:40">
      <c r="B331" s="43" t="str">
        <f t="shared" si="5"/>
        <v>Asset 25</v>
      </c>
      <c r="F331" s="43" t="str">
        <f t="shared" ref="F331:L331" si="50">F83</f>
        <v>10 Gereedschap</v>
      </c>
      <c r="G331" s="43">
        <f t="shared" si="50"/>
        <v>2015</v>
      </c>
      <c r="H331" s="58">
        <f t="shared" si="50"/>
        <v>1215996.3265953835</v>
      </c>
      <c r="I331" s="43">
        <f t="shared" si="50"/>
        <v>2021</v>
      </c>
      <c r="J331" s="58">
        <f t="shared" si="50"/>
        <v>10</v>
      </c>
      <c r="K331" s="187">
        <f t="shared" si="50"/>
        <v>1</v>
      </c>
      <c r="L331" s="58">
        <f t="shared" si="50"/>
        <v>459820.25420057232</v>
      </c>
      <c r="N331" s="49">
        <f t="shared" si="21"/>
        <v>459820.25420057232</v>
      </c>
      <c r="P331" s="44">
        <f t="shared" si="7"/>
        <v>3.5</v>
      </c>
      <c r="R331" s="49">
        <f t="shared" si="45"/>
        <v>153711.34211847704</v>
      </c>
      <c r="S331" s="49">
        <f t="shared" si="45"/>
        <v>104050.75466481522</v>
      </c>
      <c r="T331" s="49">
        <f t="shared" si="45"/>
        <v>104050.75466481522</v>
      </c>
      <c r="U331" s="49">
        <f t="shared" si="45"/>
        <v>52025.37733240761</v>
      </c>
      <c r="V331" s="49">
        <f t="shared" si="45"/>
        <v>0</v>
      </c>
      <c r="X331" s="49">
        <f t="shared" si="46"/>
        <v>13137.721548587782</v>
      </c>
      <c r="Y331" s="49">
        <f t="shared" si="46"/>
        <v>13137.721548587782</v>
      </c>
      <c r="Z331" s="49">
        <f t="shared" si="46"/>
        <v>13137.721548587782</v>
      </c>
      <c r="AA331" s="49">
        <f t="shared" si="46"/>
        <v>6568.8607742938912</v>
      </c>
      <c r="AB331" s="49">
        <f t="shared" si="46"/>
        <v>0</v>
      </c>
      <c r="AD331" s="49">
        <f t="shared" si="22"/>
        <v>292971.1905335075</v>
      </c>
      <c r="AE331" s="49">
        <f t="shared" si="23"/>
        <v>175782.71432010451</v>
      </c>
      <c r="AF331" s="49">
        <f t="shared" si="24"/>
        <v>58594.238106701509</v>
      </c>
      <c r="AG331" s="49">
        <f t="shared" si="25"/>
        <v>7.2759576141834259E-12</v>
      </c>
      <c r="AH331" s="49">
        <f t="shared" si="26"/>
        <v>0</v>
      </c>
      <c r="AJ331" s="49">
        <f t="shared" si="13"/>
        <v>176810.08414520408</v>
      </c>
      <c r="AK331" s="49">
        <f t="shared" si="14"/>
        <v>122989.30578596646</v>
      </c>
      <c r="AL331" s="49">
        <f t="shared" si="15"/>
        <v>119415.05726145767</v>
      </c>
      <c r="AM331" s="49">
        <f t="shared" si="16"/>
        <v>58594.238106701501</v>
      </c>
      <c r="AN331" s="49">
        <f t="shared" si="17"/>
        <v>0</v>
      </c>
    </row>
    <row r="332" spans="2:40">
      <c r="B332" s="43" t="str">
        <f t="shared" si="5"/>
        <v>Asset 26</v>
      </c>
      <c r="F332" s="43" t="str">
        <f t="shared" ref="F332:L332" si="51">F84</f>
        <v>13 Aanhangwagens (gaschromatografen en comptabele meters)</v>
      </c>
      <c r="G332" s="43">
        <f t="shared" si="51"/>
        <v>2015</v>
      </c>
      <c r="H332" s="58">
        <f t="shared" si="51"/>
        <v>7968.6502792695001</v>
      </c>
      <c r="I332" s="43">
        <f t="shared" si="51"/>
        <v>2021</v>
      </c>
      <c r="J332" s="58">
        <f t="shared" si="51"/>
        <v>10</v>
      </c>
      <c r="K332" s="187">
        <f t="shared" si="51"/>
        <v>0</v>
      </c>
      <c r="L332" s="58">
        <f t="shared" si="51"/>
        <v>3013.2877188110033</v>
      </c>
      <c r="N332" s="49">
        <f t="shared" si="21"/>
        <v>3013.2877188110033</v>
      </c>
      <c r="P332" s="44">
        <f t="shared" si="7"/>
        <v>3.5</v>
      </c>
      <c r="R332" s="49">
        <f t="shared" si="45"/>
        <v>1007.2990374311069</v>
      </c>
      <c r="S332" s="49">
        <f t="shared" si="45"/>
        <v>681.8639637995185</v>
      </c>
      <c r="T332" s="49">
        <f t="shared" si="45"/>
        <v>681.8639637995185</v>
      </c>
      <c r="U332" s="49">
        <f t="shared" si="45"/>
        <v>340.93198189975925</v>
      </c>
      <c r="V332" s="49">
        <f t="shared" si="45"/>
        <v>0</v>
      </c>
      <c r="X332" s="49">
        <f t="shared" si="46"/>
        <v>86.093934823171523</v>
      </c>
      <c r="Y332" s="49">
        <f t="shared" si="46"/>
        <v>86.093934823171523</v>
      </c>
      <c r="Z332" s="49">
        <f t="shared" si="46"/>
        <v>86.093934823171523</v>
      </c>
      <c r="AA332" s="49">
        <f t="shared" si="46"/>
        <v>43.046967411585761</v>
      </c>
      <c r="AB332" s="49">
        <f t="shared" si="46"/>
        <v>0</v>
      </c>
      <c r="AD332" s="49">
        <f t="shared" si="22"/>
        <v>1919.8947465567248</v>
      </c>
      <c r="AE332" s="49">
        <f t="shared" si="23"/>
        <v>1151.9368479340349</v>
      </c>
      <c r="AF332" s="49">
        <f t="shared" si="24"/>
        <v>383.97894931134482</v>
      </c>
      <c r="AG332" s="49">
        <f t="shared" si="25"/>
        <v>-1.9184653865522705E-13</v>
      </c>
      <c r="AH332" s="49">
        <f t="shared" si="26"/>
        <v>0</v>
      </c>
      <c r="AJ332" s="49">
        <f t="shared" si="13"/>
        <v>1158.6693936372071</v>
      </c>
      <c r="AK332" s="49">
        <f t="shared" si="14"/>
        <v>805.97181460451316</v>
      </c>
      <c r="AL332" s="49">
        <f t="shared" si="15"/>
        <v>782.54909869652113</v>
      </c>
      <c r="AM332" s="49">
        <f t="shared" si="16"/>
        <v>383.97894931134499</v>
      </c>
      <c r="AN332" s="49">
        <f t="shared" si="17"/>
        <v>0</v>
      </c>
    </row>
    <row r="333" spans="2:40">
      <c r="B333" s="43" t="str">
        <f t="shared" si="5"/>
        <v>Asset 27</v>
      </c>
      <c r="F333" s="43" t="str">
        <f t="shared" ref="F333:L333" si="52">F85</f>
        <v>37 ICT middelen 1</v>
      </c>
      <c r="G333" s="43">
        <f t="shared" si="52"/>
        <v>2016</v>
      </c>
      <c r="H333" s="58">
        <f t="shared" si="52"/>
        <v>15289349.60564645</v>
      </c>
      <c r="I333" s="43">
        <f t="shared" si="52"/>
        <v>2021</v>
      </c>
      <c r="J333" s="58">
        <f t="shared" si="52"/>
        <v>5</v>
      </c>
      <c r="K333" s="187">
        <f t="shared" si="52"/>
        <v>1</v>
      </c>
      <c r="L333" s="58">
        <f t="shared" si="52"/>
        <v>0</v>
      </c>
      <c r="N333" s="49">
        <f t="shared" si="21"/>
        <v>0</v>
      </c>
      <c r="P333" s="44">
        <f t="shared" si="7"/>
        <v>0</v>
      </c>
      <c r="R333" s="49">
        <f t="shared" si="45"/>
        <v>0</v>
      </c>
      <c r="S333" s="49">
        <f t="shared" si="45"/>
        <v>0</v>
      </c>
      <c r="T333" s="49">
        <f t="shared" si="45"/>
        <v>0</v>
      </c>
      <c r="U333" s="49">
        <f t="shared" si="45"/>
        <v>0</v>
      </c>
      <c r="V333" s="49">
        <f t="shared" si="45"/>
        <v>0</v>
      </c>
      <c r="X333" s="49">
        <f t="shared" si="46"/>
        <v>0</v>
      </c>
      <c r="Y333" s="49">
        <f t="shared" si="46"/>
        <v>0</v>
      </c>
      <c r="Z333" s="49">
        <f t="shared" si="46"/>
        <v>0</v>
      </c>
      <c r="AA333" s="49">
        <f t="shared" si="46"/>
        <v>0</v>
      </c>
      <c r="AB333" s="49">
        <f t="shared" si="46"/>
        <v>0</v>
      </c>
      <c r="AD333" s="49">
        <f t="shared" si="22"/>
        <v>0</v>
      </c>
      <c r="AE333" s="49">
        <f t="shared" si="23"/>
        <v>0</v>
      </c>
      <c r="AF333" s="49">
        <f t="shared" si="24"/>
        <v>0</v>
      </c>
      <c r="AG333" s="49">
        <f t="shared" si="25"/>
        <v>0</v>
      </c>
      <c r="AH333" s="49">
        <f t="shared" si="26"/>
        <v>0</v>
      </c>
      <c r="AJ333" s="49">
        <f t="shared" si="13"/>
        <v>0</v>
      </c>
      <c r="AK333" s="49">
        <f t="shared" si="14"/>
        <v>0</v>
      </c>
      <c r="AL333" s="49">
        <f t="shared" si="15"/>
        <v>0</v>
      </c>
      <c r="AM333" s="49">
        <f t="shared" si="16"/>
        <v>0</v>
      </c>
      <c r="AN333" s="49">
        <f t="shared" si="17"/>
        <v>0</v>
      </c>
    </row>
    <row r="334" spans="2:40">
      <c r="B334" s="43" t="str">
        <f t="shared" si="5"/>
        <v>Asset 28</v>
      </c>
      <c r="F334" s="43" t="str">
        <f t="shared" ref="F334:L334" si="53">F86</f>
        <v>11 Werktuigen</v>
      </c>
      <c r="G334" s="43">
        <f t="shared" si="53"/>
        <v>2016</v>
      </c>
      <c r="H334" s="58">
        <f t="shared" si="53"/>
        <v>1481397.6896878041</v>
      </c>
      <c r="I334" s="43">
        <f t="shared" si="53"/>
        <v>2021</v>
      </c>
      <c r="J334" s="58">
        <f t="shared" si="53"/>
        <v>10</v>
      </c>
      <c r="K334" s="187">
        <f t="shared" si="53"/>
        <v>1</v>
      </c>
      <c r="L334" s="58">
        <f t="shared" si="53"/>
        <v>714515.13830443297</v>
      </c>
      <c r="N334" s="49">
        <f t="shared" si="21"/>
        <v>714515.13830443297</v>
      </c>
      <c r="P334" s="44">
        <f t="shared" si="7"/>
        <v>4.5</v>
      </c>
      <c r="R334" s="49">
        <f t="shared" si="45"/>
        <v>185773.93595915259</v>
      </c>
      <c r="S334" s="49">
        <f t="shared" si="45"/>
        <v>132105.91001539741</v>
      </c>
      <c r="T334" s="49">
        <f t="shared" si="45"/>
        <v>130073.51139977589</v>
      </c>
      <c r="U334" s="49">
        <f t="shared" si="45"/>
        <v>130073.51139977589</v>
      </c>
      <c r="V334" s="49">
        <f t="shared" si="45"/>
        <v>65036.755699887945</v>
      </c>
      <c r="X334" s="49">
        <f t="shared" si="46"/>
        <v>15878.114184542957</v>
      </c>
      <c r="Y334" s="49">
        <f t="shared" si="46"/>
        <v>15878.114184542957</v>
      </c>
      <c r="Z334" s="49">
        <f t="shared" si="46"/>
        <v>15878.114184542957</v>
      </c>
      <c r="AA334" s="49">
        <f t="shared" si="46"/>
        <v>15878.114184542957</v>
      </c>
      <c r="AB334" s="49">
        <f t="shared" si="46"/>
        <v>7939.0570922714787</v>
      </c>
      <c r="AD334" s="49">
        <f t="shared" si="22"/>
        <v>512863.08816073748</v>
      </c>
      <c r="AE334" s="49">
        <f t="shared" si="23"/>
        <v>364879.0639607971</v>
      </c>
      <c r="AF334" s="49">
        <f t="shared" si="24"/>
        <v>218927.43837647824</v>
      </c>
      <c r="AG334" s="49">
        <f t="shared" si="25"/>
        <v>72975.812792159399</v>
      </c>
      <c r="AH334" s="49">
        <f t="shared" si="26"/>
        <v>-2.4556356947869062E-11</v>
      </c>
      <c r="AJ334" s="49">
        <f t="shared" si="13"/>
        <v>219089.39514116064</v>
      </c>
      <c r="AK334" s="49">
        <f t="shared" si="14"/>
        <v>160025.03331064669</v>
      </c>
      <c r="AL334" s="49">
        <f t="shared" si="15"/>
        <v>154270.86824262503</v>
      </c>
      <c r="AM334" s="49">
        <f t="shared" si="16"/>
        <v>148724.7064704209</v>
      </c>
      <c r="AN334" s="49">
        <f t="shared" si="17"/>
        <v>72975.812792159428</v>
      </c>
    </row>
    <row r="335" spans="2:40">
      <c r="B335" s="43" t="str">
        <f t="shared" si="5"/>
        <v>Asset 29</v>
      </c>
      <c r="F335" s="43" t="str">
        <f t="shared" ref="F335:L335" si="54">F87</f>
        <v>14 Overig rollend materieel</v>
      </c>
      <c r="G335" s="43">
        <f t="shared" si="54"/>
        <v>2016</v>
      </c>
      <c r="H335" s="58">
        <f t="shared" si="54"/>
        <v>5338260.5379699524</v>
      </c>
      <c r="I335" s="43">
        <f t="shared" si="54"/>
        <v>2021</v>
      </c>
      <c r="J335" s="58">
        <f t="shared" si="54"/>
        <v>10</v>
      </c>
      <c r="K335" s="187">
        <f t="shared" si="54"/>
        <v>1</v>
      </c>
      <c r="L335" s="58">
        <f t="shared" si="54"/>
        <v>2574776.5054207225</v>
      </c>
      <c r="N335" s="49">
        <f t="shared" si="21"/>
        <v>2574776.5054207225</v>
      </c>
      <c r="P335" s="44">
        <f t="shared" si="7"/>
        <v>4.5</v>
      </c>
      <c r="R335" s="49">
        <f t="shared" si="45"/>
        <v>669441.89140938804</v>
      </c>
      <c r="S335" s="49">
        <f t="shared" si="45"/>
        <v>476047.56722445367</v>
      </c>
      <c r="T335" s="49">
        <f t="shared" si="45"/>
        <v>468723.7584979235</v>
      </c>
      <c r="U335" s="49">
        <f t="shared" si="45"/>
        <v>468723.7584979235</v>
      </c>
      <c r="V335" s="49">
        <f t="shared" si="45"/>
        <v>234361.87924896175</v>
      </c>
      <c r="X335" s="49">
        <f t="shared" si="46"/>
        <v>57217.255676016059</v>
      </c>
      <c r="Y335" s="49">
        <f t="shared" si="46"/>
        <v>57217.255676016059</v>
      </c>
      <c r="Z335" s="49">
        <f t="shared" si="46"/>
        <v>57217.255676016059</v>
      </c>
      <c r="AA335" s="49">
        <f t="shared" si="46"/>
        <v>57217.255676016059</v>
      </c>
      <c r="AB335" s="49">
        <f t="shared" si="46"/>
        <v>28608.627838008029</v>
      </c>
      <c r="AD335" s="49">
        <f t="shared" si="22"/>
        <v>1848117.3583353185</v>
      </c>
      <c r="AE335" s="49">
        <f t="shared" si="23"/>
        <v>1314852.5354348489</v>
      </c>
      <c r="AF335" s="49">
        <f t="shared" si="24"/>
        <v>788911.52126090927</v>
      </c>
      <c r="AG335" s="49">
        <f t="shared" si="25"/>
        <v>262970.50708696974</v>
      </c>
      <c r="AH335" s="49">
        <f t="shared" si="26"/>
        <v>-4.0017766878008842E-11</v>
      </c>
      <c r="AJ335" s="49">
        <f t="shared" si="13"/>
        <v>789495.13726880495</v>
      </c>
      <c r="AK335" s="49">
        <f t="shared" si="14"/>
        <v>576654.95656981983</v>
      </c>
      <c r="AL335" s="49">
        <f t="shared" si="15"/>
        <v>555919.65198185411</v>
      </c>
      <c r="AM335" s="49">
        <f t="shared" si="16"/>
        <v>535933.89344324439</v>
      </c>
      <c r="AN335" s="49">
        <f t="shared" si="17"/>
        <v>262970.5070869698</v>
      </c>
    </row>
    <row r="336" spans="2:40">
      <c r="B336" s="43" t="str">
        <f t="shared" si="5"/>
        <v>Asset 30</v>
      </c>
      <c r="F336" s="43" t="str">
        <f t="shared" ref="F336:L336" si="55">F88</f>
        <v>37 ICT middelen 1</v>
      </c>
      <c r="G336" s="43">
        <f t="shared" si="55"/>
        <v>2017</v>
      </c>
      <c r="H336" s="58">
        <f t="shared" si="55"/>
        <v>17348227.126304951</v>
      </c>
      <c r="I336" s="43">
        <f t="shared" si="55"/>
        <v>2021</v>
      </c>
      <c r="J336" s="58">
        <f t="shared" si="55"/>
        <v>5</v>
      </c>
      <c r="K336" s="187">
        <f t="shared" si="55"/>
        <v>1</v>
      </c>
      <c r="L336" s="58">
        <f t="shared" si="55"/>
        <v>1855729.3459505453</v>
      </c>
      <c r="N336" s="49">
        <f t="shared" si="21"/>
        <v>1855729.3459505453</v>
      </c>
      <c r="P336" s="44">
        <f t="shared" si="7"/>
        <v>0.5</v>
      </c>
      <c r="R336" s="49">
        <f t="shared" si="45"/>
        <v>1670156.4113554908</v>
      </c>
      <c r="S336" s="49">
        <f t="shared" si="45"/>
        <v>0</v>
      </c>
      <c r="T336" s="49">
        <f t="shared" si="45"/>
        <v>0</v>
      </c>
      <c r="U336" s="49">
        <f t="shared" si="45"/>
        <v>0</v>
      </c>
      <c r="V336" s="49">
        <f t="shared" si="45"/>
        <v>0</v>
      </c>
      <c r="X336" s="49">
        <f t="shared" si="46"/>
        <v>185572.93459505454</v>
      </c>
      <c r="Y336" s="49">
        <f t="shared" si="46"/>
        <v>0</v>
      </c>
      <c r="Z336" s="49">
        <f t="shared" si="46"/>
        <v>0</v>
      </c>
      <c r="AA336" s="49">
        <f t="shared" si="46"/>
        <v>0</v>
      </c>
      <c r="AB336" s="49">
        <f t="shared" si="46"/>
        <v>0</v>
      </c>
      <c r="AD336" s="49">
        <f t="shared" si="22"/>
        <v>-5.8207660913467407E-11</v>
      </c>
      <c r="AE336" s="49">
        <f t="shared" si="23"/>
        <v>0</v>
      </c>
      <c r="AF336" s="49">
        <f t="shared" si="24"/>
        <v>0</v>
      </c>
      <c r="AG336" s="49">
        <f t="shared" si="25"/>
        <v>0</v>
      </c>
      <c r="AH336" s="49">
        <f t="shared" si="26"/>
        <v>0</v>
      </c>
      <c r="AJ336" s="49">
        <f t="shared" si="13"/>
        <v>1855729.3459505453</v>
      </c>
      <c r="AK336" s="49">
        <f t="shared" si="14"/>
        <v>0</v>
      </c>
      <c r="AL336" s="49">
        <f t="shared" si="15"/>
        <v>0</v>
      </c>
      <c r="AM336" s="49">
        <f t="shared" si="16"/>
        <v>0</v>
      </c>
      <c r="AN336" s="49">
        <f t="shared" si="17"/>
        <v>0</v>
      </c>
    </row>
    <row r="337" spans="2:40">
      <c r="B337" s="43" t="str">
        <f t="shared" si="5"/>
        <v>Asset 31</v>
      </c>
      <c r="F337" s="43" t="str">
        <f t="shared" ref="F337:L337" si="56">F89</f>
        <v>05 Wegen en terreinvoorzieningen</v>
      </c>
      <c r="G337" s="43">
        <f t="shared" si="56"/>
        <v>2012</v>
      </c>
      <c r="H337" s="58">
        <f t="shared" si="56"/>
        <v>56189.23</v>
      </c>
      <c r="I337" s="43">
        <f t="shared" si="56"/>
        <v>2021</v>
      </c>
      <c r="J337" s="58">
        <f t="shared" si="56"/>
        <v>10</v>
      </c>
      <c r="K337" s="187">
        <f t="shared" si="56"/>
        <v>0</v>
      </c>
      <c r="L337" s="58">
        <f t="shared" si="56"/>
        <v>3224.0442736663617</v>
      </c>
      <c r="N337" s="49">
        <f t="shared" si="21"/>
        <v>3224.0442736663617</v>
      </c>
      <c r="P337" s="44">
        <f t="shared" si="7"/>
        <v>0.5</v>
      </c>
      <c r="R337" s="49">
        <f t="shared" ref="R337:V346" si="57">IF(R$305&lt;=$G337+$J337,VDB($L337*(1-$F$25),0,$P337,R$305-2022,MIN(R$305-2021,$P337),$F$22),0)</f>
        <v>2901.6398462997258</v>
      </c>
      <c r="S337" s="49">
        <f t="shared" si="57"/>
        <v>0</v>
      </c>
      <c r="T337" s="49">
        <f t="shared" si="57"/>
        <v>0</v>
      </c>
      <c r="U337" s="49">
        <f t="shared" si="57"/>
        <v>0</v>
      </c>
      <c r="V337" s="49">
        <f t="shared" si="57"/>
        <v>0</v>
      </c>
      <c r="X337" s="49">
        <f t="shared" ref="X337:AB346" si="58">IF(X$305&lt;=$G337+$J337,VDB($L337*$F$25,0,$P337,X$305-2022,MIN(X$305-2021,$P337),1),0)</f>
        <v>322.40442736663618</v>
      </c>
      <c r="Y337" s="49">
        <f t="shared" si="58"/>
        <v>0</v>
      </c>
      <c r="Z337" s="49">
        <f t="shared" si="58"/>
        <v>0</v>
      </c>
      <c r="AA337" s="49">
        <f t="shared" si="58"/>
        <v>0</v>
      </c>
      <c r="AB337" s="49">
        <f t="shared" si="58"/>
        <v>0</v>
      </c>
      <c r="AD337" s="49">
        <f t="shared" si="22"/>
        <v>-2.8421709430404007E-13</v>
      </c>
      <c r="AE337" s="49">
        <f t="shared" si="23"/>
        <v>0</v>
      </c>
      <c r="AF337" s="49">
        <f t="shared" si="24"/>
        <v>0</v>
      </c>
      <c r="AG337" s="49">
        <f t="shared" si="25"/>
        <v>0</v>
      </c>
      <c r="AH337" s="49">
        <f t="shared" si="26"/>
        <v>0</v>
      </c>
      <c r="AJ337" s="49">
        <f t="shared" si="13"/>
        <v>3224.0442736663622</v>
      </c>
      <c r="AK337" s="49">
        <f t="shared" si="14"/>
        <v>0</v>
      </c>
      <c r="AL337" s="49">
        <f t="shared" si="15"/>
        <v>0</v>
      </c>
      <c r="AM337" s="49">
        <f t="shared" si="16"/>
        <v>0</v>
      </c>
      <c r="AN337" s="49">
        <f t="shared" si="17"/>
        <v>0</v>
      </c>
    </row>
    <row r="338" spans="2:40">
      <c r="B338" s="43" t="str">
        <f t="shared" si="5"/>
        <v>Asset 32</v>
      </c>
      <c r="F338" s="43" t="str">
        <f t="shared" ref="F338:L338" si="59">F90</f>
        <v>37 ICT middelen 1</v>
      </c>
      <c r="G338" s="43">
        <f t="shared" si="59"/>
        <v>2018</v>
      </c>
      <c r="H338" s="58">
        <f t="shared" si="59"/>
        <v>20811887.293785572</v>
      </c>
      <c r="I338" s="43">
        <f t="shared" si="59"/>
        <v>2021</v>
      </c>
      <c r="J338" s="58">
        <f t="shared" si="59"/>
        <v>5</v>
      </c>
      <c r="K338" s="187">
        <f t="shared" si="59"/>
        <v>1</v>
      </c>
      <c r="L338" s="58">
        <f t="shared" si="59"/>
        <v>6586494.0110704908</v>
      </c>
      <c r="N338" s="49">
        <f t="shared" si="21"/>
        <v>6586494.0110704908</v>
      </c>
      <c r="P338" s="44">
        <f t="shared" si="7"/>
        <v>1.5</v>
      </c>
      <c r="R338" s="49">
        <f t="shared" si="57"/>
        <v>5137465.3286349839</v>
      </c>
      <c r="S338" s="49">
        <f t="shared" si="57"/>
        <v>790379.28132845834</v>
      </c>
      <c r="T338" s="49">
        <f t="shared" si="57"/>
        <v>0</v>
      </c>
      <c r="U338" s="49">
        <f t="shared" si="57"/>
        <v>0</v>
      </c>
      <c r="V338" s="49">
        <f t="shared" si="57"/>
        <v>0</v>
      </c>
      <c r="X338" s="49">
        <f t="shared" si="58"/>
        <v>439099.60073803272</v>
      </c>
      <c r="Y338" s="49">
        <f t="shared" si="58"/>
        <v>219549.80036901636</v>
      </c>
      <c r="Z338" s="49">
        <f t="shared" si="58"/>
        <v>0</v>
      </c>
      <c r="AA338" s="49">
        <f t="shared" si="58"/>
        <v>0</v>
      </c>
      <c r="AB338" s="49">
        <f t="shared" si="58"/>
        <v>0</v>
      </c>
      <c r="AD338" s="49">
        <f t="shared" si="22"/>
        <v>1009929.0816974742</v>
      </c>
      <c r="AE338" s="49">
        <f t="shared" si="23"/>
        <v>-4.6566128730773926E-10</v>
      </c>
      <c r="AF338" s="49">
        <f t="shared" si="24"/>
        <v>0</v>
      </c>
      <c r="AG338" s="49">
        <f t="shared" si="25"/>
        <v>0</v>
      </c>
      <c r="AH338" s="49">
        <f t="shared" si="26"/>
        <v>0</v>
      </c>
      <c r="AJ338" s="49">
        <f t="shared" si="13"/>
        <v>5610902.518150731</v>
      </c>
      <c r="AK338" s="49">
        <f t="shared" si="14"/>
        <v>1009929.0816974747</v>
      </c>
      <c r="AL338" s="49">
        <f t="shared" si="15"/>
        <v>0</v>
      </c>
      <c r="AM338" s="49">
        <f t="shared" si="16"/>
        <v>0</v>
      </c>
      <c r="AN338" s="49">
        <f t="shared" si="17"/>
        <v>0</v>
      </c>
    </row>
    <row r="339" spans="2:40">
      <c r="B339" s="43" t="str">
        <f t="shared" si="5"/>
        <v>Asset 33</v>
      </c>
      <c r="F339" s="43" t="str">
        <f t="shared" ref="F339:L339" si="60">F91</f>
        <v>37 ICT middelen 1</v>
      </c>
      <c r="G339" s="43">
        <f t="shared" si="60"/>
        <v>2005</v>
      </c>
      <c r="H339" s="58">
        <f t="shared" si="60"/>
        <v>3284081.86</v>
      </c>
      <c r="I339" s="43">
        <f t="shared" si="60"/>
        <v>2021</v>
      </c>
      <c r="J339" s="58">
        <f t="shared" si="60"/>
        <v>5</v>
      </c>
      <c r="K339" s="187">
        <f t="shared" si="60"/>
        <v>1</v>
      </c>
      <c r="L339" s="58">
        <f t="shared" si="60"/>
        <v>0</v>
      </c>
      <c r="N339" s="49">
        <f t="shared" si="21"/>
        <v>0</v>
      </c>
      <c r="P339" s="44">
        <f t="shared" si="7"/>
        <v>0</v>
      </c>
      <c r="R339" s="49">
        <f t="shared" si="57"/>
        <v>0</v>
      </c>
      <c r="S339" s="49">
        <f t="shared" si="57"/>
        <v>0</v>
      </c>
      <c r="T339" s="49">
        <f t="shared" si="57"/>
        <v>0</v>
      </c>
      <c r="U339" s="49">
        <f t="shared" si="57"/>
        <v>0</v>
      </c>
      <c r="V339" s="49">
        <f t="shared" si="57"/>
        <v>0</v>
      </c>
      <c r="X339" s="49">
        <f t="shared" si="58"/>
        <v>0</v>
      </c>
      <c r="Y339" s="49">
        <f t="shared" si="58"/>
        <v>0</v>
      </c>
      <c r="Z339" s="49">
        <f t="shared" si="58"/>
        <v>0</v>
      </c>
      <c r="AA339" s="49">
        <f t="shared" si="58"/>
        <v>0</v>
      </c>
      <c r="AB339" s="49">
        <f t="shared" si="58"/>
        <v>0</v>
      </c>
      <c r="AD339" s="49">
        <f t="shared" si="22"/>
        <v>0</v>
      </c>
      <c r="AE339" s="49">
        <f t="shared" si="23"/>
        <v>0</v>
      </c>
      <c r="AF339" s="49">
        <f t="shared" si="24"/>
        <v>0</v>
      </c>
      <c r="AG339" s="49">
        <f t="shared" si="25"/>
        <v>0</v>
      </c>
      <c r="AH339" s="49">
        <f t="shared" si="26"/>
        <v>0</v>
      </c>
      <c r="AJ339" s="49">
        <f t="shared" si="13"/>
        <v>0</v>
      </c>
      <c r="AK339" s="49">
        <f t="shared" si="14"/>
        <v>0</v>
      </c>
      <c r="AL339" s="49">
        <f t="shared" si="15"/>
        <v>0</v>
      </c>
      <c r="AM339" s="49">
        <f t="shared" si="16"/>
        <v>0</v>
      </c>
      <c r="AN339" s="49">
        <f t="shared" si="17"/>
        <v>0</v>
      </c>
    </row>
    <row r="340" spans="2:40">
      <c r="B340" s="43" t="str">
        <f t="shared" si="5"/>
        <v>Asset 34</v>
      </c>
      <c r="F340" s="43" t="str">
        <f t="shared" ref="F340:L340" si="61">F92</f>
        <v>14 Overig rollend materieel</v>
      </c>
      <c r="G340" s="43">
        <f t="shared" si="61"/>
        <v>2005</v>
      </c>
      <c r="H340" s="58">
        <f t="shared" si="61"/>
        <v>1438517.3199999998</v>
      </c>
      <c r="I340" s="43">
        <f t="shared" si="61"/>
        <v>2021</v>
      </c>
      <c r="J340" s="58">
        <f t="shared" si="61"/>
        <v>10</v>
      </c>
      <c r="K340" s="187">
        <f t="shared" si="61"/>
        <v>1</v>
      </c>
      <c r="L340" s="58">
        <f t="shared" si="61"/>
        <v>0</v>
      </c>
      <c r="N340" s="49">
        <f t="shared" si="21"/>
        <v>0</v>
      </c>
      <c r="P340" s="44">
        <f t="shared" si="7"/>
        <v>0</v>
      </c>
      <c r="R340" s="49">
        <f t="shared" si="57"/>
        <v>0</v>
      </c>
      <c r="S340" s="49">
        <f t="shared" si="57"/>
        <v>0</v>
      </c>
      <c r="T340" s="49">
        <f t="shared" si="57"/>
        <v>0</v>
      </c>
      <c r="U340" s="49">
        <f t="shared" si="57"/>
        <v>0</v>
      </c>
      <c r="V340" s="49">
        <f t="shared" si="57"/>
        <v>0</v>
      </c>
      <c r="X340" s="49">
        <f t="shared" si="58"/>
        <v>0</v>
      </c>
      <c r="Y340" s="49">
        <f t="shared" si="58"/>
        <v>0</v>
      </c>
      <c r="Z340" s="49">
        <f t="shared" si="58"/>
        <v>0</v>
      </c>
      <c r="AA340" s="49">
        <f t="shared" si="58"/>
        <v>0</v>
      </c>
      <c r="AB340" s="49">
        <f t="shared" si="58"/>
        <v>0</v>
      </c>
      <c r="AD340" s="49">
        <f t="shared" si="22"/>
        <v>0</v>
      </c>
      <c r="AE340" s="49">
        <f t="shared" si="23"/>
        <v>0</v>
      </c>
      <c r="AF340" s="49">
        <f t="shared" si="24"/>
        <v>0</v>
      </c>
      <c r="AG340" s="49">
        <f t="shared" si="25"/>
        <v>0</v>
      </c>
      <c r="AH340" s="49">
        <f t="shared" si="26"/>
        <v>0</v>
      </c>
      <c r="AJ340" s="49">
        <f t="shared" si="13"/>
        <v>0</v>
      </c>
      <c r="AK340" s="49">
        <f t="shared" si="14"/>
        <v>0</v>
      </c>
      <c r="AL340" s="49">
        <f t="shared" si="15"/>
        <v>0</v>
      </c>
      <c r="AM340" s="49">
        <f t="shared" si="16"/>
        <v>0</v>
      </c>
      <c r="AN340" s="49">
        <f t="shared" si="17"/>
        <v>0</v>
      </c>
    </row>
    <row r="341" spans="2:40">
      <c r="B341" s="43" t="str">
        <f t="shared" si="5"/>
        <v>Asset 35</v>
      </c>
      <c r="F341" s="43" t="str">
        <f t="shared" ref="F341:L341" si="62">F93</f>
        <v>11 Werktuigen</v>
      </c>
      <c r="G341" s="43">
        <f t="shared" si="62"/>
        <v>2005</v>
      </c>
      <c r="H341" s="58">
        <f t="shared" si="62"/>
        <v>499809.02999999997</v>
      </c>
      <c r="I341" s="43">
        <f t="shared" si="62"/>
        <v>2021</v>
      </c>
      <c r="J341" s="58">
        <f t="shared" si="62"/>
        <v>10</v>
      </c>
      <c r="K341" s="187">
        <f t="shared" si="62"/>
        <v>1</v>
      </c>
      <c r="L341" s="58">
        <f t="shared" si="62"/>
        <v>0</v>
      </c>
      <c r="N341" s="49">
        <f t="shared" si="21"/>
        <v>0</v>
      </c>
      <c r="P341" s="44">
        <f t="shared" si="7"/>
        <v>0</v>
      </c>
      <c r="R341" s="49">
        <f t="shared" si="57"/>
        <v>0</v>
      </c>
      <c r="S341" s="49">
        <f t="shared" si="57"/>
        <v>0</v>
      </c>
      <c r="T341" s="49">
        <f t="shared" si="57"/>
        <v>0</v>
      </c>
      <c r="U341" s="49">
        <f t="shared" si="57"/>
        <v>0</v>
      </c>
      <c r="V341" s="49">
        <f t="shared" si="57"/>
        <v>0</v>
      </c>
      <c r="X341" s="49">
        <f t="shared" si="58"/>
        <v>0</v>
      </c>
      <c r="Y341" s="49">
        <f t="shared" si="58"/>
        <v>0</v>
      </c>
      <c r="Z341" s="49">
        <f t="shared" si="58"/>
        <v>0</v>
      </c>
      <c r="AA341" s="49">
        <f t="shared" si="58"/>
        <v>0</v>
      </c>
      <c r="AB341" s="49">
        <f t="shared" si="58"/>
        <v>0</v>
      </c>
      <c r="AD341" s="49">
        <f t="shared" si="22"/>
        <v>0</v>
      </c>
      <c r="AE341" s="49">
        <f t="shared" si="23"/>
        <v>0</v>
      </c>
      <c r="AF341" s="49">
        <f t="shared" si="24"/>
        <v>0</v>
      </c>
      <c r="AG341" s="49">
        <f t="shared" si="25"/>
        <v>0</v>
      </c>
      <c r="AH341" s="49">
        <f t="shared" si="26"/>
        <v>0</v>
      </c>
      <c r="AJ341" s="49">
        <f t="shared" si="13"/>
        <v>0</v>
      </c>
      <c r="AK341" s="49">
        <f t="shared" si="14"/>
        <v>0</v>
      </c>
      <c r="AL341" s="49">
        <f t="shared" si="15"/>
        <v>0</v>
      </c>
      <c r="AM341" s="49">
        <f t="shared" si="16"/>
        <v>0</v>
      </c>
      <c r="AN341" s="49">
        <f t="shared" si="17"/>
        <v>0</v>
      </c>
    </row>
    <row r="342" spans="2:40">
      <c r="B342" s="43" t="str">
        <f t="shared" si="5"/>
        <v>Asset 36</v>
      </c>
      <c r="F342" s="43" t="str">
        <f t="shared" ref="F342:L342" si="63">F94</f>
        <v>14 Overig rollend materieel (odorisatie)</v>
      </c>
      <c r="G342" s="43">
        <f t="shared" si="63"/>
        <v>2005</v>
      </c>
      <c r="H342" s="58">
        <f t="shared" si="63"/>
        <v>245809.3</v>
      </c>
      <c r="I342" s="43">
        <f t="shared" si="63"/>
        <v>2021</v>
      </c>
      <c r="J342" s="58">
        <f t="shared" si="63"/>
        <v>10</v>
      </c>
      <c r="K342" s="187">
        <f t="shared" si="63"/>
        <v>0</v>
      </c>
      <c r="L342" s="58">
        <f t="shared" si="63"/>
        <v>0</v>
      </c>
      <c r="N342" s="49">
        <f t="shared" si="21"/>
        <v>0</v>
      </c>
      <c r="P342" s="44">
        <f t="shared" si="7"/>
        <v>0</v>
      </c>
      <c r="R342" s="49">
        <f t="shared" si="57"/>
        <v>0</v>
      </c>
      <c r="S342" s="49">
        <f t="shared" si="57"/>
        <v>0</v>
      </c>
      <c r="T342" s="49">
        <f t="shared" si="57"/>
        <v>0</v>
      </c>
      <c r="U342" s="49">
        <f t="shared" si="57"/>
        <v>0</v>
      </c>
      <c r="V342" s="49">
        <f t="shared" si="57"/>
        <v>0</v>
      </c>
      <c r="X342" s="49">
        <f t="shared" si="58"/>
        <v>0</v>
      </c>
      <c r="Y342" s="49">
        <f t="shared" si="58"/>
        <v>0</v>
      </c>
      <c r="Z342" s="49">
        <f t="shared" si="58"/>
        <v>0</v>
      </c>
      <c r="AA342" s="49">
        <f t="shared" si="58"/>
        <v>0</v>
      </c>
      <c r="AB342" s="49">
        <f t="shared" si="58"/>
        <v>0</v>
      </c>
      <c r="AD342" s="49">
        <f t="shared" si="22"/>
        <v>0</v>
      </c>
      <c r="AE342" s="49">
        <f t="shared" si="23"/>
        <v>0</v>
      </c>
      <c r="AF342" s="49">
        <f t="shared" si="24"/>
        <v>0</v>
      </c>
      <c r="AG342" s="49">
        <f t="shared" si="25"/>
        <v>0</v>
      </c>
      <c r="AH342" s="49">
        <f t="shared" si="26"/>
        <v>0</v>
      </c>
      <c r="AJ342" s="49">
        <f t="shared" si="13"/>
        <v>0</v>
      </c>
      <c r="AK342" s="49">
        <f t="shared" si="14"/>
        <v>0</v>
      </c>
      <c r="AL342" s="49">
        <f t="shared" si="15"/>
        <v>0</v>
      </c>
      <c r="AM342" s="49">
        <f t="shared" si="16"/>
        <v>0</v>
      </c>
      <c r="AN342" s="49">
        <f t="shared" si="17"/>
        <v>0</v>
      </c>
    </row>
    <row r="343" spans="2:40">
      <c r="B343" s="43" t="str">
        <f t="shared" si="5"/>
        <v>Asset 37</v>
      </c>
      <c r="F343" s="43" t="str">
        <f t="shared" ref="F343:L343" si="64">F95</f>
        <v>10 Gereedschap</v>
      </c>
      <c r="G343" s="43">
        <f t="shared" si="64"/>
        <v>2005</v>
      </c>
      <c r="H343" s="58">
        <f t="shared" si="64"/>
        <v>58217.59</v>
      </c>
      <c r="I343" s="43">
        <f t="shared" si="64"/>
        <v>2021</v>
      </c>
      <c r="J343" s="58">
        <f t="shared" si="64"/>
        <v>10</v>
      </c>
      <c r="K343" s="187">
        <f t="shared" si="64"/>
        <v>1</v>
      </c>
      <c r="L343" s="58">
        <f t="shared" si="64"/>
        <v>0</v>
      </c>
      <c r="N343" s="49">
        <f t="shared" si="21"/>
        <v>0</v>
      </c>
      <c r="P343" s="44">
        <f t="shared" si="7"/>
        <v>0</v>
      </c>
      <c r="R343" s="49">
        <f t="shared" si="57"/>
        <v>0</v>
      </c>
      <c r="S343" s="49">
        <f t="shared" si="57"/>
        <v>0</v>
      </c>
      <c r="T343" s="49">
        <f t="shared" si="57"/>
        <v>0</v>
      </c>
      <c r="U343" s="49">
        <f t="shared" si="57"/>
        <v>0</v>
      </c>
      <c r="V343" s="49">
        <f t="shared" si="57"/>
        <v>0</v>
      </c>
      <c r="X343" s="49">
        <f t="shared" si="58"/>
        <v>0</v>
      </c>
      <c r="Y343" s="49">
        <f t="shared" si="58"/>
        <v>0</v>
      </c>
      <c r="Z343" s="49">
        <f t="shared" si="58"/>
        <v>0</v>
      </c>
      <c r="AA343" s="49">
        <f t="shared" si="58"/>
        <v>0</v>
      </c>
      <c r="AB343" s="49">
        <f t="shared" si="58"/>
        <v>0</v>
      </c>
      <c r="AD343" s="49">
        <f t="shared" si="22"/>
        <v>0</v>
      </c>
      <c r="AE343" s="49">
        <f t="shared" si="23"/>
        <v>0</v>
      </c>
      <c r="AF343" s="49">
        <f t="shared" si="24"/>
        <v>0</v>
      </c>
      <c r="AG343" s="49">
        <f t="shared" si="25"/>
        <v>0</v>
      </c>
      <c r="AH343" s="49">
        <f t="shared" si="26"/>
        <v>0</v>
      </c>
      <c r="AJ343" s="49">
        <f t="shared" si="13"/>
        <v>0</v>
      </c>
      <c r="AK343" s="49">
        <f t="shared" si="14"/>
        <v>0</v>
      </c>
      <c r="AL343" s="49">
        <f t="shared" si="15"/>
        <v>0</v>
      </c>
      <c r="AM343" s="49">
        <f t="shared" si="16"/>
        <v>0</v>
      </c>
      <c r="AN343" s="49">
        <f t="shared" si="17"/>
        <v>0</v>
      </c>
    </row>
    <row r="344" spans="2:40">
      <c r="B344" s="43" t="str">
        <f t="shared" si="5"/>
        <v>Asset 38</v>
      </c>
      <c r="F344" s="43" t="str">
        <f t="shared" ref="F344:L344" si="65">F96</f>
        <v>37 ICT middelen 1</v>
      </c>
      <c r="G344" s="43">
        <f t="shared" si="65"/>
        <v>2006</v>
      </c>
      <c r="H344" s="58">
        <f t="shared" si="65"/>
        <v>4639319.7116944697</v>
      </c>
      <c r="I344" s="43">
        <f t="shared" si="65"/>
        <v>2021</v>
      </c>
      <c r="J344" s="58">
        <f t="shared" si="65"/>
        <v>5</v>
      </c>
      <c r="K344" s="187">
        <f t="shared" si="65"/>
        <v>1</v>
      </c>
      <c r="L344" s="58">
        <f t="shared" si="65"/>
        <v>0</v>
      </c>
      <c r="N344" s="49">
        <f t="shared" si="21"/>
        <v>0</v>
      </c>
      <c r="P344" s="44">
        <f t="shared" si="7"/>
        <v>0</v>
      </c>
      <c r="R344" s="49">
        <f t="shared" si="57"/>
        <v>0</v>
      </c>
      <c r="S344" s="49">
        <f t="shared" si="57"/>
        <v>0</v>
      </c>
      <c r="T344" s="49">
        <f t="shared" si="57"/>
        <v>0</v>
      </c>
      <c r="U344" s="49">
        <f t="shared" si="57"/>
        <v>0</v>
      </c>
      <c r="V344" s="49">
        <f t="shared" si="57"/>
        <v>0</v>
      </c>
      <c r="X344" s="49">
        <f t="shared" si="58"/>
        <v>0</v>
      </c>
      <c r="Y344" s="49">
        <f t="shared" si="58"/>
        <v>0</v>
      </c>
      <c r="Z344" s="49">
        <f t="shared" si="58"/>
        <v>0</v>
      </c>
      <c r="AA344" s="49">
        <f t="shared" si="58"/>
        <v>0</v>
      </c>
      <c r="AB344" s="49">
        <f t="shared" si="58"/>
        <v>0</v>
      </c>
      <c r="AD344" s="49">
        <f t="shared" si="22"/>
        <v>0</v>
      </c>
      <c r="AE344" s="49">
        <f t="shared" si="23"/>
        <v>0</v>
      </c>
      <c r="AF344" s="49">
        <f t="shared" si="24"/>
        <v>0</v>
      </c>
      <c r="AG344" s="49">
        <f t="shared" si="25"/>
        <v>0</v>
      </c>
      <c r="AH344" s="49">
        <f t="shared" si="26"/>
        <v>0</v>
      </c>
      <c r="AJ344" s="49">
        <f t="shared" si="13"/>
        <v>0</v>
      </c>
      <c r="AK344" s="49">
        <f t="shared" si="14"/>
        <v>0</v>
      </c>
      <c r="AL344" s="49">
        <f t="shared" si="15"/>
        <v>0</v>
      </c>
      <c r="AM344" s="49">
        <f t="shared" si="16"/>
        <v>0</v>
      </c>
      <c r="AN344" s="49">
        <f t="shared" si="17"/>
        <v>0</v>
      </c>
    </row>
    <row r="345" spans="2:40">
      <c r="B345" s="43" t="str">
        <f t="shared" si="5"/>
        <v>Asset 39</v>
      </c>
      <c r="F345" s="43" t="str">
        <f t="shared" ref="F345:L345" si="66">F97</f>
        <v>08 Inrichting gebouwen</v>
      </c>
      <c r="G345" s="43">
        <f t="shared" si="66"/>
        <v>2006</v>
      </c>
      <c r="H345" s="58">
        <f t="shared" si="66"/>
        <v>68586.959999999992</v>
      </c>
      <c r="I345" s="43">
        <f t="shared" si="66"/>
        <v>2021</v>
      </c>
      <c r="J345" s="58">
        <f t="shared" si="66"/>
        <v>10</v>
      </c>
      <c r="K345" s="187">
        <f t="shared" si="66"/>
        <v>0</v>
      </c>
      <c r="L345" s="58">
        <f t="shared" si="66"/>
        <v>0</v>
      </c>
      <c r="N345" s="49">
        <f t="shared" si="21"/>
        <v>0</v>
      </c>
      <c r="P345" s="44">
        <f t="shared" si="7"/>
        <v>0</v>
      </c>
      <c r="R345" s="49">
        <f t="shared" si="57"/>
        <v>0</v>
      </c>
      <c r="S345" s="49">
        <f t="shared" si="57"/>
        <v>0</v>
      </c>
      <c r="T345" s="49">
        <f t="shared" si="57"/>
        <v>0</v>
      </c>
      <c r="U345" s="49">
        <f t="shared" si="57"/>
        <v>0</v>
      </c>
      <c r="V345" s="49">
        <f t="shared" si="57"/>
        <v>0</v>
      </c>
      <c r="X345" s="49">
        <f t="shared" si="58"/>
        <v>0</v>
      </c>
      <c r="Y345" s="49">
        <f t="shared" si="58"/>
        <v>0</v>
      </c>
      <c r="Z345" s="49">
        <f t="shared" si="58"/>
        <v>0</v>
      </c>
      <c r="AA345" s="49">
        <f t="shared" si="58"/>
        <v>0</v>
      </c>
      <c r="AB345" s="49">
        <f t="shared" si="58"/>
        <v>0</v>
      </c>
      <c r="AD345" s="49">
        <f t="shared" si="22"/>
        <v>0</v>
      </c>
      <c r="AE345" s="49">
        <f t="shared" si="23"/>
        <v>0</v>
      </c>
      <c r="AF345" s="49">
        <f t="shared" si="24"/>
        <v>0</v>
      </c>
      <c r="AG345" s="49">
        <f t="shared" si="25"/>
        <v>0</v>
      </c>
      <c r="AH345" s="49">
        <f t="shared" si="26"/>
        <v>0</v>
      </c>
      <c r="AJ345" s="49">
        <f t="shared" si="13"/>
        <v>0</v>
      </c>
      <c r="AK345" s="49">
        <f t="shared" si="14"/>
        <v>0</v>
      </c>
      <c r="AL345" s="49">
        <f t="shared" si="15"/>
        <v>0</v>
      </c>
      <c r="AM345" s="49">
        <f t="shared" si="16"/>
        <v>0</v>
      </c>
      <c r="AN345" s="49">
        <f t="shared" si="17"/>
        <v>0</v>
      </c>
    </row>
    <row r="346" spans="2:40">
      <c r="B346" s="43" t="str">
        <f t="shared" si="5"/>
        <v>Asset 40</v>
      </c>
      <c r="F346" s="43" t="str">
        <f t="shared" ref="F346:L346" si="67">F98</f>
        <v>20 Kantoorgebouwen</v>
      </c>
      <c r="G346" s="43">
        <f t="shared" si="67"/>
        <v>2006</v>
      </c>
      <c r="H346" s="58">
        <f t="shared" si="67"/>
        <v>104600</v>
      </c>
      <c r="I346" s="43">
        <f t="shared" si="67"/>
        <v>2021</v>
      </c>
      <c r="J346" s="58">
        <f t="shared" si="67"/>
        <v>30</v>
      </c>
      <c r="K346" s="187">
        <f t="shared" si="67"/>
        <v>0</v>
      </c>
      <c r="L346" s="58">
        <f t="shared" si="67"/>
        <v>64112.024048213396</v>
      </c>
      <c r="N346" s="49">
        <f t="shared" si="21"/>
        <v>64112.024048213396</v>
      </c>
      <c r="P346" s="44">
        <f t="shared" si="7"/>
        <v>14.5</v>
      </c>
      <c r="R346" s="49">
        <f t="shared" si="57"/>
        <v>5173.1771128558403</v>
      </c>
      <c r="S346" s="49">
        <f t="shared" si="57"/>
        <v>4709.3750268756612</v>
      </c>
      <c r="T346" s="49">
        <f t="shared" si="57"/>
        <v>4287.1551968799122</v>
      </c>
      <c r="U346" s="49">
        <f t="shared" si="57"/>
        <v>3902.7895585389547</v>
      </c>
      <c r="V346" s="49">
        <f t="shared" si="57"/>
        <v>3774.1261664992089</v>
      </c>
      <c r="X346" s="49">
        <f t="shared" si="58"/>
        <v>442.1518899876786</v>
      </c>
      <c r="Y346" s="49">
        <f t="shared" si="58"/>
        <v>442.15188998767866</v>
      </c>
      <c r="Z346" s="49">
        <f t="shared" si="58"/>
        <v>442.15188998767866</v>
      </c>
      <c r="AA346" s="49">
        <f t="shared" si="58"/>
        <v>442.15188998767866</v>
      </c>
      <c r="AB346" s="49">
        <f t="shared" si="58"/>
        <v>442.15188998767866</v>
      </c>
      <c r="AD346" s="49">
        <f t="shared" si="22"/>
        <v>58496.695045369881</v>
      </c>
      <c r="AE346" s="49">
        <f t="shared" si="23"/>
        <v>53345.168128506542</v>
      </c>
      <c r="AF346" s="49">
        <f t="shared" si="24"/>
        <v>48615.861041638957</v>
      </c>
      <c r="AG346" s="49">
        <f t="shared" si="25"/>
        <v>44270.919593112325</v>
      </c>
      <c r="AH346" s="49">
        <f t="shared" si="26"/>
        <v>40054.641536625444</v>
      </c>
      <c r="AJ346" s="49">
        <f t="shared" si="13"/>
        <v>7604.2166343860945</v>
      </c>
      <c r="AK346" s="49">
        <f t="shared" si="14"/>
        <v>6911.9174651040557</v>
      </c>
      <c r="AL346" s="49">
        <f t="shared" si="15"/>
        <v>6576.7098064498705</v>
      </c>
      <c r="AM346" s="49">
        <f t="shared" si="16"/>
        <v>6027.2363930649017</v>
      </c>
      <c r="AN346" s="49">
        <f t="shared" si="17"/>
        <v>5738.3544348786545</v>
      </c>
    </row>
    <row r="347" spans="2:40">
      <c r="B347" s="43" t="str">
        <f t="shared" si="5"/>
        <v>Asset 41</v>
      </c>
      <c r="F347" s="43" t="str">
        <f t="shared" ref="F347:L347" si="68">F99</f>
        <v>09 Bedrijfsinventaris</v>
      </c>
      <c r="G347" s="43">
        <f t="shared" si="68"/>
        <v>2006</v>
      </c>
      <c r="H347" s="58">
        <f t="shared" si="68"/>
        <v>243251.93</v>
      </c>
      <c r="I347" s="43">
        <f t="shared" si="68"/>
        <v>2021</v>
      </c>
      <c r="J347" s="58">
        <f t="shared" si="68"/>
        <v>10</v>
      </c>
      <c r="K347" s="187">
        <f t="shared" si="68"/>
        <v>1</v>
      </c>
      <c r="L347" s="58">
        <f t="shared" si="68"/>
        <v>0</v>
      </c>
      <c r="N347" s="49">
        <f t="shared" si="21"/>
        <v>0</v>
      </c>
      <c r="P347" s="44">
        <f t="shared" si="7"/>
        <v>0</v>
      </c>
      <c r="R347" s="49">
        <f t="shared" ref="R347:V356" si="69">IF(R$305&lt;=$G347+$J347,VDB($L347*(1-$F$25),0,$P347,R$305-2022,MIN(R$305-2021,$P347),$F$22),0)</f>
        <v>0</v>
      </c>
      <c r="S347" s="49">
        <f t="shared" si="69"/>
        <v>0</v>
      </c>
      <c r="T347" s="49">
        <f t="shared" si="69"/>
        <v>0</v>
      </c>
      <c r="U347" s="49">
        <f t="shared" si="69"/>
        <v>0</v>
      </c>
      <c r="V347" s="49">
        <f t="shared" si="69"/>
        <v>0</v>
      </c>
      <c r="X347" s="49">
        <f t="shared" ref="X347:AB356" si="70">IF(X$305&lt;=$G347+$J347,VDB($L347*$F$25,0,$P347,X$305-2022,MIN(X$305-2021,$P347),1),0)</f>
        <v>0</v>
      </c>
      <c r="Y347" s="49">
        <f t="shared" si="70"/>
        <v>0</v>
      </c>
      <c r="Z347" s="49">
        <f t="shared" si="70"/>
        <v>0</v>
      </c>
      <c r="AA347" s="49">
        <f t="shared" si="70"/>
        <v>0</v>
      </c>
      <c r="AB347" s="49">
        <f t="shared" si="70"/>
        <v>0</v>
      </c>
      <c r="AD347" s="49">
        <f t="shared" si="22"/>
        <v>0</v>
      </c>
      <c r="AE347" s="49">
        <f t="shared" si="23"/>
        <v>0</v>
      </c>
      <c r="AF347" s="49">
        <f t="shared" si="24"/>
        <v>0</v>
      </c>
      <c r="AG347" s="49">
        <f t="shared" si="25"/>
        <v>0</v>
      </c>
      <c r="AH347" s="49">
        <f t="shared" si="26"/>
        <v>0</v>
      </c>
      <c r="AJ347" s="49">
        <f t="shared" si="13"/>
        <v>0</v>
      </c>
      <c r="AK347" s="49">
        <f t="shared" si="14"/>
        <v>0</v>
      </c>
      <c r="AL347" s="49">
        <f t="shared" si="15"/>
        <v>0</v>
      </c>
      <c r="AM347" s="49">
        <f t="shared" si="16"/>
        <v>0</v>
      </c>
      <c r="AN347" s="49">
        <f t="shared" si="17"/>
        <v>0</v>
      </c>
    </row>
    <row r="348" spans="2:40">
      <c r="B348" s="43" t="str">
        <f t="shared" si="5"/>
        <v>Asset 42</v>
      </c>
      <c r="F348" s="43" t="str">
        <f t="shared" ref="F348:L348" si="71">F100</f>
        <v>10 Gereedschap</v>
      </c>
      <c r="G348" s="43">
        <f t="shared" si="71"/>
        <v>2006</v>
      </c>
      <c r="H348" s="58">
        <f t="shared" si="71"/>
        <v>585474.13</v>
      </c>
      <c r="I348" s="43">
        <f t="shared" si="71"/>
        <v>2021</v>
      </c>
      <c r="J348" s="58">
        <f t="shared" si="71"/>
        <v>10</v>
      </c>
      <c r="K348" s="187">
        <f t="shared" si="71"/>
        <v>1</v>
      </c>
      <c r="L348" s="58">
        <f t="shared" si="71"/>
        <v>0</v>
      </c>
      <c r="N348" s="49">
        <f t="shared" si="21"/>
        <v>0</v>
      </c>
      <c r="P348" s="44">
        <f t="shared" si="7"/>
        <v>0</v>
      </c>
      <c r="R348" s="49">
        <f t="shared" si="69"/>
        <v>0</v>
      </c>
      <c r="S348" s="49">
        <f t="shared" si="69"/>
        <v>0</v>
      </c>
      <c r="T348" s="49">
        <f t="shared" si="69"/>
        <v>0</v>
      </c>
      <c r="U348" s="49">
        <f t="shared" si="69"/>
        <v>0</v>
      </c>
      <c r="V348" s="49">
        <f t="shared" si="69"/>
        <v>0</v>
      </c>
      <c r="X348" s="49">
        <f t="shared" si="70"/>
        <v>0</v>
      </c>
      <c r="Y348" s="49">
        <f t="shared" si="70"/>
        <v>0</v>
      </c>
      <c r="Z348" s="49">
        <f t="shared" si="70"/>
        <v>0</v>
      </c>
      <c r="AA348" s="49">
        <f t="shared" si="70"/>
        <v>0</v>
      </c>
      <c r="AB348" s="49">
        <f t="shared" si="70"/>
        <v>0</v>
      </c>
      <c r="AD348" s="49">
        <f t="shared" si="22"/>
        <v>0</v>
      </c>
      <c r="AE348" s="49">
        <f t="shared" si="23"/>
        <v>0</v>
      </c>
      <c r="AF348" s="49">
        <f t="shared" si="24"/>
        <v>0</v>
      </c>
      <c r="AG348" s="49">
        <f t="shared" si="25"/>
        <v>0</v>
      </c>
      <c r="AH348" s="49">
        <f t="shared" si="26"/>
        <v>0</v>
      </c>
      <c r="AJ348" s="49">
        <f t="shared" si="13"/>
        <v>0</v>
      </c>
      <c r="AK348" s="49">
        <f t="shared" si="14"/>
        <v>0</v>
      </c>
      <c r="AL348" s="49">
        <f t="shared" si="15"/>
        <v>0</v>
      </c>
      <c r="AM348" s="49">
        <f t="shared" si="16"/>
        <v>0</v>
      </c>
      <c r="AN348" s="49">
        <f t="shared" si="17"/>
        <v>0</v>
      </c>
    </row>
    <row r="349" spans="2:40">
      <c r="B349" s="43" t="str">
        <f t="shared" si="5"/>
        <v>Asset 43</v>
      </c>
      <c r="F349" s="43" t="str">
        <f t="shared" ref="F349:L349" si="72">F101</f>
        <v>08 Inrichting gebouwen</v>
      </c>
      <c r="G349" s="43">
        <f t="shared" si="72"/>
        <v>2007</v>
      </c>
      <c r="H349" s="58">
        <f t="shared" si="72"/>
        <v>332079.90999999997</v>
      </c>
      <c r="I349" s="43">
        <f t="shared" si="72"/>
        <v>2021</v>
      </c>
      <c r="J349" s="58">
        <f t="shared" si="72"/>
        <v>10</v>
      </c>
      <c r="K349" s="187">
        <f t="shared" si="72"/>
        <v>0</v>
      </c>
      <c r="L349" s="58">
        <f t="shared" si="72"/>
        <v>0</v>
      </c>
      <c r="N349" s="49">
        <f t="shared" si="21"/>
        <v>0</v>
      </c>
      <c r="P349" s="44">
        <f t="shared" si="7"/>
        <v>0</v>
      </c>
      <c r="R349" s="49">
        <f t="shared" si="69"/>
        <v>0</v>
      </c>
      <c r="S349" s="49">
        <f t="shared" si="69"/>
        <v>0</v>
      </c>
      <c r="T349" s="49">
        <f t="shared" si="69"/>
        <v>0</v>
      </c>
      <c r="U349" s="49">
        <f t="shared" si="69"/>
        <v>0</v>
      </c>
      <c r="V349" s="49">
        <f t="shared" si="69"/>
        <v>0</v>
      </c>
      <c r="X349" s="49">
        <f t="shared" si="70"/>
        <v>0</v>
      </c>
      <c r="Y349" s="49">
        <f t="shared" si="70"/>
        <v>0</v>
      </c>
      <c r="Z349" s="49">
        <f t="shared" si="70"/>
        <v>0</v>
      </c>
      <c r="AA349" s="49">
        <f t="shared" si="70"/>
        <v>0</v>
      </c>
      <c r="AB349" s="49">
        <f t="shared" si="70"/>
        <v>0</v>
      </c>
      <c r="AD349" s="49">
        <f t="shared" si="22"/>
        <v>0</v>
      </c>
      <c r="AE349" s="49">
        <f t="shared" si="23"/>
        <v>0</v>
      </c>
      <c r="AF349" s="49">
        <f t="shared" si="24"/>
        <v>0</v>
      </c>
      <c r="AG349" s="49">
        <f t="shared" si="25"/>
        <v>0</v>
      </c>
      <c r="AH349" s="49">
        <f t="shared" si="26"/>
        <v>0</v>
      </c>
      <c r="AJ349" s="49">
        <f t="shared" si="13"/>
        <v>0</v>
      </c>
      <c r="AK349" s="49">
        <f t="shared" si="14"/>
        <v>0</v>
      </c>
      <c r="AL349" s="49">
        <f t="shared" si="15"/>
        <v>0</v>
      </c>
      <c r="AM349" s="49">
        <f t="shared" si="16"/>
        <v>0</v>
      </c>
      <c r="AN349" s="49">
        <f t="shared" si="17"/>
        <v>0</v>
      </c>
    </row>
    <row r="350" spans="2:40">
      <c r="B350" s="43" t="str">
        <f t="shared" si="5"/>
        <v>Asset 44</v>
      </c>
      <c r="F350" s="43" t="str">
        <f t="shared" ref="F350:L350" si="73">F102</f>
        <v>20 Kantoorgebouwen</v>
      </c>
      <c r="G350" s="43">
        <f t="shared" si="73"/>
        <v>2007</v>
      </c>
      <c r="H350" s="58">
        <f t="shared" si="73"/>
        <v>163550.16999999998</v>
      </c>
      <c r="I350" s="43">
        <f t="shared" si="73"/>
        <v>2021</v>
      </c>
      <c r="J350" s="58">
        <f t="shared" si="73"/>
        <v>30</v>
      </c>
      <c r="K350" s="187">
        <f t="shared" si="73"/>
        <v>0</v>
      </c>
      <c r="L350" s="58">
        <f t="shared" si="73"/>
        <v>105677.9899746046</v>
      </c>
      <c r="N350" s="49">
        <f t="shared" si="21"/>
        <v>105677.9899746046</v>
      </c>
      <c r="P350" s="44">
        <f t="shared" si="7"/>
        <v>15.5</v>
      </c>
      <c r="R350" s="49">
        <f t="shared" si="69"/>
        <v>7976.9837593733801</v>
      </c>
      <c r="S350" s="49">
        <f t="shared" si="69"/>
        <v>7307.9464118130318</v>
      </c>
      <c r="T350" s="49">
        <f t="shared" si="69"/>
        <v>6695.0218740480686</v>
      </c>
      <c r="U350" s="49">
        <f t="shared" si="69"/>
        <v>6133.5039104182306</v>
      </c>
      <c r="V350" s="49">
        <f t="shared" si="69"/>
        <v>5825.803045347081</v>
      </c>
      <c r="X350" s="49">
        <f t="shared" si="70"/>
        <v>681.79348370712648</v>
      </c>
      <c r="Y350" s="49">
        <f t="shared" si="70"/>
        <v>681.79348370712648</v>
      </c>
      <c r="Z350" s="49">
        <f t="shared" si="70"/>
        <v>681.79348370712648</v>
      </c>
      <c r="AA350" s="49">
        <f t="shared" si="70"/>
        <v>681.79348370712648</v>
      </c>
      <c r="AB350" s="49">
        <f t="shared" si="70"/>
        <v>681.79348370712648</v>
      </c>
      <c r="AD350" s="49">
        <f t="shared" si="22"/>
        <v>97019.212731524094</v>
      </c>
      <c r="AE350" s="49">
        <f t="shared" si="23"/>
        <v>89029.472836003944</v>
      </c>
      <c r="AF350" s="49">
        <f t="shared" si="24"/>
        <v>81652.657478248759</v>
      </c>
      <c r="AG350" s="49">
        <f t="shared" si="25"/>
        <v>74837.3600841234</v>
      </c>
      <c r="AH350" s="49">
        <f t="shared" si="26"/>
        <v>68329.763555069192</v>
      </c>
      <c r="AJ350" s="49">
        <f t="shared" si="13"/>
        <v>11957.430475952326</v>
      </c>
      <c r="AK350" s="49">
        <f t="shared" si="14"/>
        <v>10927.712499108289</v>
      </c>
      <c r="AL350" s="49">
        <f t="shared" si="15"/>
        <v>10479.616341928648</v>
      </c>
      <c r="AM350" s="49">
        <f t="shared" si="16"/>
        <v>9659.1170773220456</v>
      </c>
      <c r="AN350" s="49">
        <f t="shared" si="17"/>
        <v>9104.127544146837</v>
      </c>
    </row>
    <row r="351" spans="2:40">
      <c r="B351" s="43" t="str">
        <f t="shared" si="5"/>
        <v>Asset 45</v>
      </c>
      <c r="F351" s="43" t="str">
        <f t="shared" ref="F351:L351" si="74">F103</f>
        <v>37 ICT middelen 1</v>
      </c>
      <c r="G351" s="43">
        <f t="shared" si="74"/>
        <v>2007</v>
      </c>
      <c r="H351" s="58">
        <f t="shared" si="74"/>
        <v>21517730.71653875</v>
      </c>
      <c r="I351" s="43">
        <f t="shared" si="74"/>
        <v>2021</v>
      </c>
      <c r="J351" s="58">
        <f t="shared" si="74"/>
        <v>5</v>
      </c>
      <c r="K351" s="187">
        <f t="shared" si="74"/>
        <v>1</v>
      </c>
      <c r="L351" s="58">
        <f t="shared" si="74"/>
        <v>0</v>
      </c>
      <c r="N351" s="49">
        <f t="shared" si="21"/>
        <v>0</v>
      </c>
      <c r="P351" s="44">
        <f t="shared" si="7"/>
        <v>0</v>
      </c>
      <c r="R351" s="49">
        <f t="shared" si="69"/>
        <v>0</v>
      </c>
      <c r="S351" s="49">
        <f t="shared" si="69"/>
        <v>0</v>
      </c>
      <c r="T351" s="49">
        <f t="shared" si="69"/>
        <v>0</v>
      </c>
      <c r="U351" s="49">
        <f t="shared" si="69"/>
        <v>0</v>
      </c>
      <c r="V351" s="49">
        <f t="shared" si="69"/>
        <v>0</v>
      </c>
      <c r="X351" s="49">
        <f t="shared" si="70"/>
        <v>0</v>
      </c>
      <c r="Y351" s="49">
        <f t="shared" si="70"/>
        <v>0</v>
      </c>
      <c r="Z351" s="49">
        <f t="shared" si="70"/>
        <v>0</v>
      </c>
      <c r="AA351" s="49">
        <f t="shared" si="70"/>
        <v>0</v>
      </c>
      <c r="AB351" s="49">
        <f t="shared" si="70"/>
        <v>0</v>
      </c>
      <c r="AD351" s="49">
        <f t="shared" si="22"/>
        <v>0</v>
      </c>
      <c r="AE351" s="49">
        <f t="shared" si="23"/>
        <v>0</v>
      </c>
      <c r="AF351" s="49">
        <f t="shared" si="24"/>
        <v>0</v>
      </c>
      <c r="AG351" s="49">
        <f t="shared" si="25"/>
        <v>0</v>
      </c>
      <c r="AH351" s="49">
        <f t="shared" si="26"/>
        <v>0</v>
      </c>
      <c r="AJ351" s="49">
        <f t="shared" si="13"/>
        <v>0</v>
      </c>
      <c r="AK351" s="49">
        <f t="shared" si="14"/>
        <v>0</v>
      </c>
      <c r="AL351" s="49">
        <f t="shared" si="15"/>
        <v>0</v>
      </c>
      <c r="AM351" s="49">
        <f t="shared" si="16"/>
        <v>0</v>
      </c>
      <c r="AN351" s="49">
        <f t="shared" si="17"/>
        <v>0</v>
      </c>
    </row>
    <row r="352" spans="2:40">
      <c r="B352" s="43" t="str">
        <f t="shared" si="5"/>
        <v>Asset 46</v>
      </c>
      <c r="F352" s="43" t="str">
        <f t="shared" ref="F352:L352" si="75">F104</f>
        <v>10 Gereedschap</v>
      </c>
      <c r="G352" s="43">
        <f t="shared" si="75"/>
        <v>2007</v>
      </c>
      <c r="H352" s="58">
        <f t="shared" si="75"/>
        <v>611283.49</v>
      </c>
      <c r="I352" s="43">
        <f t="shared" si="75"/>
        <v>2021</v>
      </c>
      <c r="J352" s="58">
        <f t="shared" si="75"/>
        <v>10</v>
      </c>
      <c r="K352" s="187">
        <f t="shared" si="75"/>
        <v>1</v>
      </c>
      <c r="L352" s="58">
        <f t="shared" si="75"/>
        <v>0</v>
      </c>
      <c r="N352" s="49">
        <f t="shared" si="21"/>
        <v>0</v>
      </c>
      <c r="P352" s="44">
        <f t="shared" si="7"/>
        <v>0</v>
      </c>
      <c r="R352" s="49">
        <f t="shared" si="69"/>
        <v>0</v>
      </c>
      <c r="S352" s="49">
        <f t="shared" si="69"/>
        <v>0</v>
      </c>
      <c r="T352" s="49">
        <f t="shared" si="69"/>
        <v>0</v>
      </c>
      <c r="U352" s="49">
        <f t="shared" si="69"/>
        <v>0</v>
      </c>
      <c r="V352" s="49">
        <f t="shared" si="69"/>
        <v>0</v>
      </c>
      <c r="X352" s="49">
        <f t="shared" si="70"/>
        <v>0</v>
      </c>
      <c r="Y352" s="49">
        <f t="shared" si="70"/>
        <v>0</v>
      </c>
      <c r="Z352" s="49">
        <f t="shared" si="70"/>
        <v>0</v>
      </c>
      <c r="AA352" s="49">
        <f t="shared" si="70"/>
        <v>0</v>
      </c>
      <c r="AB352" s="49">
        <f t="shared" si="70"/>
        <v>0</v>
      </c>
      <c r="AD352" s="49">
        <f t="shared" si="22"/>
        <v>0</v>
      </c>
      <c r="AE352" s="49">
        <f t="shared" si="23"/>
        <v>0</v>
      </c>
      <c r="AF352" s="49">
        <f t="shared" si="24"/>
        <v>0</v>
      </c>
      <c r="AG352" s="49">
        <f t="shared" si="25"/>
        <v>0</v>
      </c>
      <c r="AH352" s="49">
        <f t="shared" si="26"/>
        <v>0</v>
      </c>
      <c r="AJ352" s="49">
        <f t="shared" si="13"/>
        <v>0</v>
      </c>
      <c r="AK352" s="49">
        <f t="shared" si="14"/>
        <v>0</v>
      </c>
      <c r="AL352" s="49">
        <f t="shared" si="15"/>
        <v>0</v>
      </c>
      <c r="AM352" s="49">
        <f t="shared" si="16"/>
        <v>0</v>
      </c>
      <c r="AN352" s="49">
        <f t="shared" si="17"/>
        <v>0</v>
      </c>
    </row>
    <row r="353" spans="2:40">
      <c r="B353" s="43" t="str">
        <f t="shared" si="5"/>
        <v>Asset 47</v>
      </c>
      <c r="F353" s="43" t="str">
        <f t="shared" ref="F353:L353" si="76">F105</f>
        <v>09 Bedrijfsinventaris</v>
      </c>
      <c r="G353" s="43">
        <f t="shared" si="76"/>
        <v>2007</v>
      </c>
      <c r="H353" s="58">
        <f t="shared" si="76"/>
        <v>87193.72</v>
      </c>
      <c r="I353" s="43">
        <f t="shared" si="76"/>
        <v>2021</v>
      </c>
      <c r="J353" s="58">
        <f t="shared" si="76"/>
        <v>10</v>
      </c>
      <c r="K353" s="187">
        <f t="shared" si="76"/>
        <v>1</v>
      </c>
      <c r="L353" s="58">
        <f t="shared" si="76"/>
        <v>0</v>
      </c>
      <c r="N353" s="49">
        <f t="shared" si="21"/>
        <v>0</v>
      </c>
      <c r="P353" s="44">
        <f t="shared" si="7"/>
        <v>0</v>
      </c>
      <c r="R353" s="49">
        <f t="shared" si="69"/>
        <v>0</v>
      </c>
      <c r="S353" s="49">
        <f t="shared" si="69"/>
        <v>0</v>
      </c>
      <c r="T353" s="49">
        <f t="shared" si="69"/>
        <v>0</v>
      </c>
      <c r="U353" s="49">
        <f t="shared" si="69"/>
        <v>0</v>
      </c>
      <c r="V353" s="49">
        <f t="shared" si="69"/>
        <v>0</v>
      </c>
      <c r="X353" s="49">
        <f t="shared" si="70"/>
        <v>0</v>
      </c>
      <c r="Y353" s="49">
        <f t="shared" si="70"/>
        <v>0</v>
      </c>
      <c r="Z353" s="49">
        <f t="shared" si="70"/>
        <v>0</v>
      </c>
      <c r="AA353" s="49">
        <f t="shared" si="70"/>
        <v>0</v>
      </c>
      <c r="AB353" s="49">
        <f t="shared" si="70"/>
        <v>0</v>
      </c>
      <c r="AD353" s="49">
        <f t="shared" si="22"/>
        <v>0</v>
      </c>
      <c r="AE353" s="49">
        <f t="shared" si="23"/>
        <v>0</v>
      </c>
      <c r="AF353" s="49">
        <f t="shared" si="24"/>
        <v>0</v>
      </c>
      <c r="AG353" s="49">
        <f t="shared" si="25"/>
        <v>0</v>
      </c>
      <c r="AH353" s="49">
        <f t="shared" si="26"/>
        <v>0</v>
      </c>
      <c r="AJ353" s="49">
        <f t="shared" si="13"/>
        <v>0</v>
      </c>
      <c r="AK353" s="49">
        <f t="shared" si="14"/>
        <v>0</v>
      </c>
      <c r="AL353" s="49">
        <f t="shared" si="15"/>
        <v>0</v>
      </c>
      <c r="AM353" s="49">
        <f t="shared" si="16"/>
        <v>0</v>
      </c>
      <c r="AN353" s="49">
        <f t="shared" si="17"/>
        <v>0</v>
      </c>
    </row>
    <row r="354" spans="2:40">
      <c r="B354" s="43" t="str">
        <f t="shared" si="5"/>
        <v>Asset 48</v>
      </c>
      <c r="F354" s="43" t="str">
        <f t="shared" ref="F354:L354" si="77">F106</f>
        <v>13 Aanhangwagens</v>
      </c>
      <c r="G354" s="43">
        <f t="shared" si="77"/>
        <v>2007</v>
      </c>
      <c r="H354" s="58">
        <f t="shared" si="77"/>
        <v>25760.58</v>
      </c>
      <c r="I354" s="43">
        <f t="shared" si="77"/>
        <v>2021</v>
      </c>
      <c r="J354" s="58">
        <f t="shared" si="77"/>
        <v>10</v>
      </c>
      <c r="K354" s="187">
        <f t="shared" si="77"/>
        <v>1</v>
      </c>
      <c r="L354" s="58">
        <f t="shared" si="77"/>
        <v>0</v>
      </c>
      <c r="N354" s="49">
        <f t="shared" si="21"/>
        <v>0</v>
      </c>
      <c r="P354" s="44">
        <f t="shared" si="7"/>
        <v>0</v>
      </c>
      <c r="R354" s="49">
        <f t="shared" si="69"/>
        <v>0</v>
      </c>
      <c r="S354" s="49">
        <f t="shared" si="69"/>
        <v>0</v>
      </c>
      <c r="T354" s="49">
        <f t="shared" si="69"/>
        <v>0</v>
      </c>
      <c r="U354" s="49">
        <f t="shared" si="69"/>
        <v>0</v>
      </c>
      <c r="V354" s="49">
        <f t="shared" si="69"/>
        <v>0</v>
      </c>
      <c r="X354" s="49">
        <f t="shared" si="70"/>
        <v>0</v>
      </c>
      <c r="Y354" s="49">
        <f t="shared" si="70"/>
        <v>0</v>
      </c>
      <c r="Z354" s="49">
        <f t="shared" si="70"/>
        <v>0</v>
      </c>
      <c r="AA354" s="49">
        <f t="shared" si="70"/>
        <v>0</v>
      </c>
      <c r="AB354" s="49">
        <f t="shared" si="70"/>
        <v>0</v>
      </c>
      <c r="AD354" s="49">
        <f t="shared" si="22"/>
        <v>0</v>
      </c>
      <c r="AE354" s="49">
        <f t="shared" si="23"/>
        <v>0</v>
      </c>
      <c r="AF354" s="49">
        <f t="shared" si="24"/>
        <v>0</v>
      </c>
      <c r="AG354" s="49">
        <f t="shared" si="25"/>
        <v>0</v>
      </c>
      <c r="AH354" s="49">
        <f t="shared" si="26"/>
        <v>0</v>
      </c>
      <c r="AJ354" s="49">
        <f t="shared" si="13"/>
        <v>0</v>
      </c>
      <c r="AK354" s="49">
        <f t="shared" si="14"/>
        <v>0</v>
      </c>
      <c r="AL354" s="49">
        <f t="shared" si="15"/>
        <v>0</v>
      </c>
      <c r="AM354" s="49">
        <f t="shared" si="16"/>
        <v>0</v>
      </c>
      <c r="AN354" s="49">
        <f t="shared" si="17"/>
        <v>0</v>
      </c>
    </row>
    <row r="355" spans="2:40">
      <c r="B355" s="43" t="str">
        <f t="shared" si="5"/>
        <v>Asset 49</v>
      </c>
      <c r="F355" s="43" t="str">
        <f t="shared" ref="F355:L355" si="78">F107</f>
        <v>37 ICT middelen 1 (gaschromatografen en comptabele meting)</v>
      </c>
      <c r="G355" s="43">
        <f t="shared" si="78"/>
        <v>2007</v>
      </c>
      <c r="H355" s="58">
        <f t="shared" si="78"/>
        <v>140047.50693888956</v>
      </c>
      <c r="I355" s="43">
        <f t="shared" si="78"/>
        <v>2021</v>
      </c>
      <c r="J355" s="58">
        <f t="shared" si="78"/>
        <v>5</v>
      </c>
      <c r="K355" s="187">
        <f t="shared" si="78"/>
        <v>0</v>
      </c>
      <c r="L355" s="58">
        <f t="shared" si="78"/>
        <v>0</v>
      </c>
      <c r="N355" s="49">
        <f t="shared" si="21"/>
        <v>0</v>
      </c>
      <c r="P355" s="44">
        <f t="shared" si="7"/>
        <v>0</v>
      </c>
      <c r="R355" s="49">
        <f t="shared" si="69"/>
        <v>0</v>
      </c>
      <c r="S355" s="49">
        <f t="shared" si="69"/>
        <v>0</v>
      </c>
      <c r="T355" s="49">
        <f t="shared" si="69"/>
        <v>0</v>
      </c>
      <c r="U355" s="49">
        <f t="shared" si="69"/>
        <v>0</v>
      </c>
      <c r="V355" s="49">
        <f t="shared" si="69"/>
        <v>0</v>
      </c>
      <c r="X355" s="49">
        <f t="shared" si="70"/>
        <v>0</v>
      </c>
      <c r="Y355" s="49">
        <f t="shared" si="70"/>
        <v>0</v>
      </c>
      <c r="Z355" s="49">
        <f t="shared" si="70"/>
        <v>0</v>
      </c>
      <c r="AA355" s="49">
        <f t="shared" si="70"/>
        <v>0</v>
      </c>
      <c r="AB355" s="49">
        <f t="shared" si="70"/>
        <v>0</v>
      </c>
      <c r="AD355" s="49">
        <f t="shared" si="22"/>
        <v>0</v>
      </c>
      <c r="AE355" s="49">
        <f t="shared" si="23"/>
        <v>0</v>
      </c>
      <c r="AF355" s="49">
        <f t="shared" si="24"/>
        <v>0</v>
      </c>
      <c r="AG355" s="49">
        <f t="shared" si="25"/>
        <v>0</v>
      </c>
      <c r="AH355" s="49">
        <f t="shared" si="26"/>
        <v>0</v>
      </c>
      <c r="AJ355" s="49">
        <f t="shared" si="13"/>
        <v>0</v>
      </c>
      <c r="AK355" s="49">
        <f t="shared" si="14"/>
        <v>0</v>
      </c>
      <c r="AL355" s="49">
        <f t="shared" si="15"/>
        <v>0</v>
      </c>
      <c r="AM355" s="49">
        <f t="shared" si="16"/>
        <v>0</v>
      </c>
      <c r="AN355" s="49">
        <f t="shared" si="17"/>
        <v>0</v>
      </c>
    </row>
    <row r="356" spans="2:40">
      <c r="B356" s="43" t="str">
        <f t="shared" si="5"/>
        <v>Asset 50</v>
      </c>
      <c r="F356" s="43" t="str">
        <f t="shared" ref="F356:L356" si="79">F108</f>
        <v>37 ICT middelen 1</v>
      </c>
      <c r="G356" s="43">
        <f t="shared" si="79"/>
        <v>2008</v>
      </c>
      <c r="H356" s="58">
        <f t="shared" si="79"/>
        <v>1405801.5634173665</v>
      </c>
      <c r="I356" s="43">
        <f t="shared" si="79"/>
        <v>2021</v>
      </c>
      <c r="J356" s="58">
        <f t="shared" si="79"/>
        <v>5</v>
      </c>
      <c r="K356" s="187">
        <f t="shared" si="79"/>
        <v>1</v>
      </c>
      <c r="L356" s="58">
        <f t="shared" si="79"/>
        <v>0</v>
      </c>
      <c r="N356" s="49">
        <f t="shared" si="21"/>
        <v>0</v>
      </c>
      <c r="P356" s="44">
        <f t="shared" si="7"/>
        <v>0</v>
      </c>
      <c r="R356" s="49">
        <f t="shared" si="69"/>
        <v>0</v>
      </c>
      <c r="S356" s="49">
        <f t="shared" si="69"/>
        <v>0</v>
      </c>
      <c r="T356" s="49">
        <f t="shared" si="69"/>
        <v>0</v>
      </c>
      <c r="U356" s="49">
        <f t="shared" si="69"/>
        <v>0</v>
      </c>
      <c r="V356" s="49">
        <f t="shared" si="69"/>
        <v>0</v>
      </c>
      <c r="X356" s="49">
        <f t="shared" si="70"/>
        <v>0</v>
      </c>
      <c r="Y356" s="49">
        <f t="shared" si="70"/>
        <v>0</v>
      </c>
      <c r="Z356" s="49">
        <f t="shared" si="70"/>
        <v>0</v>
      </c>
      <c r="AA356" s="49">
        <f t="shared" si="70"/>
        <v>0</v>
      </c>
      <c r="AB356" s="49">
        <f t="shared" si="70"/>
        <v>0</v>
      </c>
      <c r="AD356" s="49">
        <f t="shared" si="22"/>
        <v>0</v>
      </c>
      <c r="AE356" s="49">
        <f t="shared" si="23"/>
        <v>0</v>
      </c>
      <c r="AF356" s="49">
        <f t="shared" si="24"/>
        <v>0</v>
      </c>
      <c r="AG356" s="49">
        <f t="shared" si="25"/>
        <v>0</v>
      </c>
      <c r="AH356" s="49">
        <f t="shared" si="26"/>
        <v>0</v>
      </c>
      <c r="AJ356" s="49">
        <f t="shared" si="13"/>
        <v>0</v>
      </c>
      <c r="AK356" s="49">
        <f t="shared" si="14"/>
        <v>0</v>
      </c>
      <c r="AL356" s="49">
        <f t="shared" si="15"/>
        <v>0</v>
      </c>
      <c r="AM356" s="49">
        <f t="shared" si="16"/>
        <v>0</v>
      </c>
      <c r="AN356" s="49">
        <f t="shared" si="17"/>
        <v>0</v>
      </c>
    </row>
    <row r="357" spans="2:40">
      <c r="B357" s="43" t="str">
        <f t="shared" si="5"/>
        <v>Asset 51</v>
      </c>
      <c r="F357" s="43" t="str">
        <f t="shared" ref="F357:L357" si="80">F109</f>
        <v>13 Aanhangwagens</v>
      </c>
      <c r="G357" s="43">
        <f t="shared" si="80"/>
        <v>2008</v>
      </c>
      <c r="H357" s="58">
        <f t="shared" si="80"/>
        <v>6485.6</v>
      </c>
      <c r="I357" s="43">
        <f t="shared" si="80"/>
        <v>2021</v>
      </c>
      <c r="J357" s="58">
        <f t="shared" si="80"/>
        <v>10</v>
      </c>
      <c r="K357" s="187">
        <f t="shared" si="80"/>
        <v>1</v>
      </c>
      <c r="L357" s="58">
        <f t="shared" si="80"/>
        <v>0</v>
      </c>
      <c r="N357" s="49">
        <f t="shared" si="21"/>
        <v>0</v>
      </c>
      <c r="P357" s="44">
        <f t="shared" si="7"/>
        <v>0</v>
      </c>
      <c r="R357" s="49">
        <f t="shared" ref="R357:V366" si="81">IF(R$305&lt;=$G357+$J357,VDB($L357*(1-$F$25),0,$P357,R$305-2022,MIN(R$305-2021,$P357),$F$22),0)</f>
        <v>0</v>
      </c>
      <c r="S357" s="49">
        <f t="shared" si="81"/>
        <v>0</v>
      </c>
      <c r="T357" s="49">
        <f t="shared" si="81"/>
        <v>0</v>
      </c>
      <c r="U357" s="49">
        <f t="shared" si="81"/>
        <v>0</v>
      </c>
      <c r="V357" s="49">
        <f t="shared" si="81"/>
        <v>0</v>
      </c>
      <c r="X357" s="49">
        <f t="shared" ref="X357:AB366" si="82">IF(X$305&lt;=$G357+$J357,VDB($L357*$F$25,0,$P357,X$305-2022,MIN(X$305-2021,$P357),1),0)</f>
        <v>0</v>
      </c>
      <c r="Y357" s="49">
        <f t="shared" si="82"/>
        <v>0</v>
      </c>
      <c r="Z357" s="49">
        <f t="shared" si="82"/>
        <v>0</v>
      </c>
      <c r="AA357" s="49">
        <f t="shared" si="82"/>
        <v>0</v>
      </c>
      <c r="AB357" s="49">
        <f t="shared" si="82"/>
        <v>0</v>
      </c>
      <c r="AD357" s="49">
        <f t="shared" si="22"/>
        <v>0</v>
      </c>
      <c r="AE357" s="49">
        <f t="shared" si="23"/>
        <v>0</v>
      </c>
      <c r="AF357" s="49">
        <f t="shared" si="24"/>
        <v>0</v>
      </c>
      <c r="AG357" s="49">
        <f t="shared" si="25"/>
        <v>0</v>
      </c>
      <c r="AH357" s="49">
        <f t="shared" si="26"/>
        <v>0</v>
      </c>
      <c r="AJ357" s="49">
        <f t="shared" si="13"/>
        <v>0</v>
      </c>
      <c r="AK357" s="49">
        <f t="shared" si="14"/>
        <v>0</v>
      </c>
      <c r="AL357" s="49">
        <f t="shared" si="15"/>
        <v>0</v>
      </c>
      <c r="AM357" s="49">
        <f t="shared" si="16"/>
        <v>0</v>
      </c>
      <c r="AN357" s="49">
        <f t="shared" si="17"/>
        <v>0</v>
      </c>
    </row>
    <row r="358" spans="2:40">
      <c r="B358" s="43" t="str">
        <f t="shared" si="5"/>
        <v>Asset 52</v>
      </c>
      <c r="F358" s="43" t="str">
        <f t="shared" ref="F358:L358" si="83">F110</f>
        <v>04 Terreinen</v>
      </c>
      <c r="G358" s="43">
        <f t="shared" si="83"/>
        <v>1956</v>
      </c>
      <c r="H358" s="58">
        <f t="shared" si="83"/>
        <v>32433.599999999999</v>
      </c>
      <c r="I358" s="43">
        <f t="shared" si="83"/>
        <v>2021</v>
      </c>
      <c r="J358" s="58">
        <f t="shared" si="83"/>
        <v>0</v>
      </c>
      <c r="K358" s="187">
        <f t="shared" si="83"/>
        <v>0</v>
      </c>
      <c r="L358" s="58">
        <f t="shared" si="83"/>
        <v>275057.7098199001</v>
      </c>
      <c r="N358" s="49">
        <f t="shared" si="21"/>
        <v>275057.7098199001</v>
      </c>
      <c r="P358" s="44">
        <f t="shared" si="7"/>
        <v>0</v>
      </c>
      <c r="R358" s="49">
        <f t="shared" si="81"/>
        <v>0</v>
      </c>
      <c r="S358" s="49">
        <f t="shared" si="81"/>
        <v>0</v>
      </c>
      <c r="T358" s="49">
        <f t="shared" si="81"/>
        <v>0</v>
      </c>
      <c r="U358" s="49">
        <f t="shared" si="81"/>
        <v>0</v>
      </c>
      <c r="V358" s="49">
        <f t="shared" si="81"/>
        <v>0</v>
      </c>
      <c r="X358" s="49">
        <f t="shared" si="82"/>
        <v>0</v>
      </c>
      <c r="Y358" s="49">
        <f t="shared" si="82"/>
        <v>0</v>
      </c>
      <c r="Z358" s="49">
        <f t="shared" si="82"/>
        <v>0</v>
      </c>
      <c r="AA358" s="49">
        <f t="shared" si="82"/>
        <v>0</v>
      </c>
      <c r="AB358" s="49">
        <f t="shared" si="82"/>
        <v>0</v>
      </c>
      <c r="AD358" s="49">
        <f t="shared" si="22"/>
        <v>275057.7098199001</v>
      </c>
      <c r="AE358" s="49">
        <f t="shared" si="23"/>
        <v>275057.7098199001</v>
      </c>
      <c r="AF358" s="49">
        <f t="shared" si="24"/>
        <v>275057.7098199001</v>
      </c>
      <c r="AG358" s="49">
        <f t="shared" si="25"/>
        <v>275057.7098199001</v>
      </c>
      <c r="AH358" s="49">
        <f t="shared" si="26"/>
        <v>275057.7098199001</v>
      </c>
      <c r="AJ358" s="49">
        <f t="shared" si="13"/>
        <v>9351.9621338766046</v>
      </c>
      <c r="AK358" s="49">
        <f t="shared" si="14"/>
        <v>9076.9044240567036</v>
      </c>
      <c r="AL358" s="49">
        <f t="shared" si="15"/>
        <v>10452.192973156203</v>
      </c>
      <c r="AM358" s="49">
        <f t="shared" si="16"/>
        <v>10452.192973156203</v>
      </c>
      <c r="AN358" s="49">
        <f t="shared" si="17"/>
        <v>10452.192973156203</v>
      </c>
    </row>
    <row r="359" spans="2:40">
      <c r="B359" s="43" t="str">
        <f t="shared" si="5"/>
        <v>Asset 53</v>
      </c>
      <c r="F359" s="43" t="str">
        <f t="shared" ref="F359:L359" si="84">F111</f>
        <v>04 Terreinen</v>
      </c>
      <c r="G359" s="43">
        <f t="shared" si="84"/>
        <v>1968</v>
      </c>
      <c r="H359" s="58">
        <f t="shared" si="84"/>
        <v>219516.18</v>
      </c>
      <c r="I359" s="43">
        <f t="shared" si="84"/>
        <v>2021</v>
      </c>
      <c r="J359" s="58">
        <f t="shared" si="84"/>
        <v>0</v>
      </c>
      <c r="K359" s="187">
        <f t="shared" si="84"/>
        <v>0</v>
      </c>
      <c r="L359" s="58">
        <f t="shared" si="84"/>
        <v>1219692.8562955547</v>
      </c>
      <c r="N359" s="49">
        <f t="shared" si="21"/>
        <v>1219692.8562955547</v>
      </c>
      <c r="P359" s="44">
        <f t="shared" si="7"/>
        <v>0</v>
      </c>
      <c r="R359" s="49">
        <f t="shared" si="81"/>
        <v>0</v>
      </c>
      <c r="S359" s="49">
        <f t="shared" si="81"/>
        <v>0</v>
      </c>
      <c r="T359" s="49">
        <f t="shared" si="81"/>
        <v>0</v>
      </c>
      <c r="U359" s="49">
        <f t="shared" si="81"/>
        <v>0</v>
      </c>
      <c r="V359" s="49">
        <f t="shared" si="81"/>
        <v>0</v>
      </c>
      <c r="X359" s="49">
        <f t="shared" si="82"/>
        <v>0</v>
      </c>
      <c r="Y359" s="49">
        <f t="shared" si="82"/>
        <v>0</v>
      </c>
      <c r="Z359" s="49">
        <f t="shared" si="82"/>
        <v>0</v>
      </c>
      <c r="AA359" s="49">
        <f t="shared" si="82"/>
        <v>0</v>
      </c>
      <c r="AB359" s="49">
        <f t="shared" si="82"/>
        <v>0</v>
      </c>
      <c r="AD359" s="49">
        <f t="shared" si="22"/>
        <v>1219692.8562955547</v>
      </c>
      <c r="AE359" s="49">
        <f t="shared" si="23"/>
        <v>1219692.8562955547</v>
      </c>
      <c r="AF359" s="49">
        <f t="shared" si="24"/>
        <v>1219692.8562955547</v>
      </c>
      <c r="AG359" s="49">
        <f t="shared" si="25"/>
        <v>1219692.8562955547</v>
      </c>
      <c r="AH359" s="49">
        <f t="shared" si="26"/>
        <v>1219692.8562955547</v>
      </c>
      <c r="AJ359" s="49">
        <f t="shared" si="13"/>
        <v>41469.557114048861</v>
      </c>
      <c r="AK359" s="49">
        <f t="shared" si="14"/>
        <v>40249.864257753303</v>
      </c>
      <c r="AL359" s="49">
        <f t="shared" si="15"/>
        <v>46348.328539231079</v>
      </c>
      <c r="AM359" s="49">
        <f t="shared" si="16"/>
        <v>46348.328539231079</v>
      </c>
      <c r="AN359" s="49">
        <f t="shared" si="17"/>
        <v>46348.328539231079</v>
      </c>
    </row>
    <row r="360" spans="2:40">
      <c r="B360" s="43" t="str">
        <f t="shared" si="5"/>
        <v>Asset 54</v>
      </c>
      <c r="F360" s="43" t="str">
        <f t="shared" ref="F360:L360" si="85">F112</f>
        <v>04 Terreinen</v>
      </c>
      <c r="G360" s="43">
        <f t="shared" si="85"/>
        <v>1972</v>
      </c>
      <c r="H360" s="58">
        <f t="shared" si="85"/>
        <v>411128.51</v>
      </c>
      <c r="I360" s="43">
        <f t="shared" si="85"/>
        <v>2021</v>
      </c>
      <c r="J360" s="58">
        <f t="shared" si="85"/>
        <v>0</v>
      </c>
      <c r="K360" s="187">
        <f t="shared" si="85"/>
        <v>0</v>
      </c>
      <c r="L360" s="58">
        <f t="shared" si="85"/>
        <v>1824024.3386379536</v>
      </c>
      <c r="N360" s="49">
        <f t="shared" si="21"/>
        <v>1824024.3386379536</v>
      </c>
      <c r="P360" s="44">
        <f t="shared" si="7"/>
        <v>0</v>
      </c>
      <c r="R360" s="49">
        <f t="shared" si="81"/>
        <v>0</v>
      </c>
      <c r="S360" s="49">
        <f t="shared" si="81"/>
        <v>0</v>
      </c>
      <c r="T360" s="49">
        <f t="shared" si="81"/>
        <v>0</v>
      </c>
      <c r="U360" s="49">
        <f t="shared" si="81"/>
        <v>0</v>
      </c>
      <c r="V360" s="49">
        <f t="shared" si="81"/>
        <v>0</v>
      </c>
      <c r="X360" s="49">
        <f t="shared" si="82"/>
        <v>0</v>
      </c>
      <c r="Y360" s="49">
        <f t="shared" si="82"/>
        <v>0</v>
      </c>
      <c r="Z360" s="49">
        <f t="shared" si="82"/>
        <v>0</v>
      </c>
      <c r="AA360" s="49">
        <f t="shared" si="82"/>
        <v>0</v>
      </c>
      <c r="AB360" s="49">
        <f t="shared" si="82"/>
        <v>0</v>
      </c>
      <c r="AD360" s="49">
        <f t="shared" si="22"/>
        <v>1824024.3386379536</v>
      </c>
      <c r="AE360" s="49">
        <f t="shared" si="23"/>
        <v>1824024.3386379536</v>
      </c>
      <c r="AF360" s="49">
        <f t="shared" si="24"/>
        <v>1824024.3386379536</v>
      </c>
      <c r="AG360" s="49">
        <f t="shared" si="25"/>
        <v>1824024.3386379536</v>
      </c>
      <c r="AH360" s="49">
        <f t="shared" si="26"/>
        <v>1824024.3386379536</v>
      </c>
      <c r="AJ360" s="49">
        <f t="shared" si="13"/>
        <v>62016.827513690427</v>
      </c>
      <c r="AK360" s="49">
        <f t="shared" si="14"/>
        <v>60192.803175052475</v>
      </c>
      <c r="AL360" s="49">
        <f t="shared" si="15"/>
        <v>69312.924868242233</v>
      </c>
      <c r="AM360" s="49">
        <f t="shared" si="16"/>
        <v>69312.924868242233</v>
      </c>
      <c r="AN360" s="49">
        <f t="shared" si="17"/>
        <v>69312.924868242233</v>
      </c>
    </row>
    <row r="361" spans="2:40">
      <c r="B361" s="43" t="str">
        <f t="shared" si="5"/>
        <v>Asset 55</v>
      </c>
      <c r="F361" s="43" t="str">
        <f t="shared" ref="F361:L361" si="86">F113</f>
        <v>05 Wegen en terreinvoorzieningen</v>
      </c>
      <c r="G361" s="43">
        <f t="shared" si="86"/>
        <v>1970</v>
      </c>
      <c r="H361" s="58">
        <f t="shared" si="86"/>
        <v>65342.54</v>
      </c>
      <c r="I361" s="43">
        <f t="shared" si="86"/>
        <v>2021</v>
      </c>
      <c r="J361" s="58">
        <f t="shared" si="86"/>
        <v>10</v>
      </c>
      <c r="K361" s="187">
        <f t="shared" si="86"/>
        <v>0</v>
      </c>
      <c r="L361" s="58">
        <f t="shared" si="86"/>
        <v>0</v>
      </c>
      <c r="N361" s="49">
        <f t="shared" si="21"/>
        <v>0</v>
      </c>
      <c r="P361" s="44">
        <f t="shared" si="7"/>
        <v>0</v>
      </c>
      <c r="R361" s="49">
        <f t="shared" si="81"/>
        <v>0</v>
      </c>
      <c r="S361" s="49">
        <f t="shared" si="81"/>
        <v>0</v>
      </c>
      <c r="T361" s="49">
        <f t="shared" si="81"/>
        <v>0</v>
      </c>
      <c r="U361" s="49">
        <f t="shared" si="81"/>
        <v>0</v>
      </c>
      <c r="V361" s="49">
        <f t="shared" si="81"/>
        <v>0</v>
      </c>
      <c r="X361" s="49">
        <f t="shared" si="82"/>
        <v>0</v>
      </c>
      <c r="Y361" s="49">
        <f t="shared" si="82"/>
        <v>0</v>
      </c>
      <c r="Z361" s="49">
        <f t="shared" si="82"/>
        <v>0</v>
      </c>
      <c r="AA361" s="49">
        <f t="shared" si="82"/>
        <v>0</v>
      </c>
      <c r="AB361" s="49">
        <f t="shared" si="82"/>
        <v>0</v>
      </c>
      <c r="AD361" s="49">
        <f t="shared" si="22"/>
        <v>0</v>
      </c>
      <c r="AE361" s="49">
        <f t="shared" si="23"/>
        <v>0</v>
      </c>
      <c r="AF361" s="49">
        <f t="shared" si="24"/>
        <v>0</v>
      </c>
      <c r="AG361" s="49">
        <f t="shared" si="25"/>
        <v>0</v>
      </c>
      <c r="AH361" s="49">
        <f t="shared" si="26"/>
        <v>0</v>
      </c>
      <c r="AJ361" s="49">
        <f t="shared" si="13"/>
        <v>0</v>
      </c>
      <c r="AK361" s="49">
        <f t="shared" si="14"/>
        <v>0</v>
      </c>
      <c r="AL361" s="49">
        <f t="shared" si="15"/>
        <v>0</v>
      </c>
      <c r="AM361" s="49">
        <f t="shared" si="16"/>
        <v>0</v>
      </c>
      <c r="AN361" s="49">
        <f t="shared" si="17"/>
        <v>0</v>
      </c>
    </row>
    <row r="362" spans="2:40">
      <c r="B362" s="43" t="str">
        <f t="shared" si="5"/>
        <v>Asset 56</v>
      </c>
      <c r="F362" s="43" t="str">
        <f t="shared" ref="F362:L362" si="87">F114</f>
        <v>06 Utiliteitsgebouwen</v>
      </c>
      <c r="G362" s="43">
        <f t="shared" si="87"/>
        <v>1980</v>
      </c>
      <c r="H362" s="58">
        <f t="shared" si="87"/>
        <v>1188787.02</v>
      </c>
      <c r="I362" s="43">
        <f t="shared" si="87"/>
        <v>2021</v>
      </c>
      <c r="J362" s="58">
        <f t="shared" si="87"/>
        <v>30</v>
      </c>
      <c r="K362" s="187">
        <f t="shared" si="87"/>
        <v>0</v>
      </c>
      <c r="L362" s="58">
        <f t="shared" si="87"/>
        <v>0</v>
      </c>
      <c r="N362" s="49">
        <f t="shared" si="21"/>
        <v>0</v>
      </c>
      <c r="P362" s="44">
        <f t="shared" si="7"/>
        <v>0</v>
      </c>
      <c r="R362" s="49">
        <f t="shared" si="81"/>
        <v>0</v>
      </c>
      <c r="S362" s="49">
        <f t="shared" si="81"/>
        <v>0</v>
      </c>
      <c r="T362" s="49">
        <f t="shared" si="81"/>
        <v>0</v>
      </c>
      <c r="U362" s="49">
        <f t="shared" si="81"/>
        <v>0</v>
      </c>
      <c r="V362" s="49">
        <f t="shared" si="81"/>
        <v>0</v>
      </c>
      <c r="X362" s="49">
        <f t="shared" si="82"/>
        <v>0</v>
      </c>
      <c r="Y362" s="49">
        <f t="shared" si="82"/>
        <v>0</v>
      </c>
      <c r="Z362" s="49">
        <f t="shared" si="82"/>
        <v>0</v>
      </c>
      <c r="AA362" s="49">
        <f t="shared" si="82"/>
        <v>0</v>
      </c>
      <c r="AB362" s="49">
        <f t="shared" si="82"/>
        <v>0</v>
      </c>
      <c r="AD362" s="49">
        <f t="shared" si="22"/>
        <v>0</v>
      </c>
      <c r="AE362" s="49">
        <f t="shared" si="23"/>
        <v>0</v>
      </c>
      <c r="AF362" s="49">
        <f t="shared" si="24"/>
        <v>0</v>
      </c>
      <c r="AG362" s="49">
        <f t="shared" si="25"/>
        <v>0</v>
      </c>
      <c r="AH362" s="49">
        <f t="shared" si="26"/>
        <v>0</v>
      </c>
      <c r="AJ362" s="49">
        <f t="shared" si="13"/>
        <v>0</v>
      </c>
      <c r="AK362" s="49">
        <f t="shared" si="14"/>
        <v>0</v>
      </c>
      <c r="AL362" s="49">
        <f t="shared" si="15"/>
        <v>0</v>
      </c>
      <c r="AM362" s="49">
        <f t="shared" si="16"/>
        <v>0</v>
      </c>
      <c r="AN362" s="49">
        <f t="shared" si="17"/>
        <v>0</v>
      </c>
    </row>
    <row r="363" spans="2:40">
      <c r="B363" s="43" t="str">
        <f t="shared" si="5"/>
        <v>Asset 57</v>
      </c>
      <c r="F363" s="43" t="str">
        <f t="shared" ref="F363:L363" si="88">F115</f>
        <v>06 Utiliteitsgebouwen</v>
      </c>
      <c r="G363" s="43">
        <f t="shared" si="88"/>
        <v>1971</v>
      </c>
      <c r="H363" s="58">
        <f t="shared" si="88"/>
        <v>1287617.6299999999</v>
      </c>
      <c r="I363" s="43">
        <f t="shared" si="88"/>
        <v>2021</v>
      </c>
      <c r="J363" s="58">
        <f t="shared" si="88"/>
        <v>30</v>
      </c>
      <c r="K363" s="187">
        <f t="shared" si="88"/>
        <v>0</v>
      </c>
      <c r="L363" s="58">
        <f t="shared" si="88"/>
        <v>0</v>
      </c>
      <c r="N363" s="49">
        <f t="shared" si="21"/>
        <v>0</v>
      </c>
      <c r="P363" s="44">
        <f t="shared" si="7"/>
        <v>0</v>
      </c>
      <c r="R363" s="49">
        <f t="shared" si="81"/>
        <v>0</v>
      </c>
      <c r="S363" s="49">
        <f t="shared" si="81"/>
        <v>0</v>
      </c>
      <c r="T363" s="49">
        <f t="shared" si="81"/>
        <v>0</v>
      </c>
      <c r="U363" s="49">
        <f t="shared" si="81"/>
        <v>0</v>
      </c>
      <c r="V363" s="49">
        <f t="shared" si="81"/>
        <v>0</v>
      </c>
      <c r="X363" s="49">
        <f t="shared" si="82"/>
        <v>0</v>
      </c>
      <c r="Y363" s="49">
        <f t="shared" si="82"/>
        <v>0</v>
      </c>
      <c r="Z363" s="49">
        <f t="shared" si="82"/>
        <v>0</v>
      </c>
      <c r="AA363" s="49">
        <f t="shared" si="82"/>
        <v>0</v>
      </c>
      <c r="AB363" s="49">
        <f t="shared" si="82"/>
        <v>0</v>
      </c>
      <c r="AD363" s="49">
        <f t="shared" si="22"/>
        <v>0</v>
      </c>
      <c r="AE363" s="49">
        <f t="shared" si="23"/>
        <v>0</v>
      </c>
      <c r="AF363" s="49">
        <f t="shared" si="24"/>
        <v>0</v>
      </c>
      <c r="AG363" s="49">
        <f t="shared" si="25"/>
        <v>0</v>
      </c>
      <c r="AH363" s="49">
        <f t="shared" si="26"/>
        <v>0</v>
      </c>
      <c r="AJ363" s="49">
        <f t="shared" si="13"/>
        <v>0</v>
      </c>
      <c r="AK363" s="49">
        <f t="shared" si="14"/>
        <v>0</v>
      </c>
      <c r="AL363" s="49">
        <f t="shared" si="15"/>
        <v>0</v>
      </c>
      <c r="AM363" s="49">
        <f t="shared" si="16"/>
        <v>0</v>
      </c>
      <c r="AN363" s="49">
        <f t="shared" si="17"/>
        <v>0</v>
      </c>
    </row>
    <row r="364" spans="2:40">
      <c r="B364" s="43" t="str">
        <f t="shared" si="5"/>
        <v>Asset 58</v>
      </c>
      <c r="F364" s="43" t="str">
        <f t="shared" ref="F364:L364" si="89">F116</f>
        <v>06 Utiliteitsgebouwen</v>
      </c>
      <c r="G364" s="43">
        <f t="shared" si="89"/>
        <v>1986</v>
      </c>
      <c r="H364" s="58">
        <f t="shared" si="89"/>
        <v>986052.31</v>
      </c>
      <c r="I364" s="43">
        <f t="shared" si="89"/>
        <v>2021</v>
      </c>
      <c r="J364" s="58">
        <f t="shared" si="89"/>
        <v>30</v>
      </c>
      <c r="K364" s="187">
        <f t="shared" si="89"/>
        <v>0</v>
      </c>
      <c r="L364" s="58">
        <f t="shared" si="89"/>
        <v>0</v>
      </c>
      <c r="N364" s="49">
        <f t="shared" si="21"/>
        <v>0</v>
      </c>
      <c r="P364" s="44">
        <f t="shared" si="7"/>
        <v>0</v>
      </c>
      <c r="R364" s="49">
        <f t="shared" si="81"/>
        <v>0</v>
      </c>
      <c r="S364" s="49">
        <f t="shared" si="81"/>
        <v>0</v>
      </c>
      <c r="T364" s="49">
        <f t="shared" si="81"/>
        <v>0</v>
      </c>
      <c r="U364" s="49">
        <f t="shared" si="81"/>
        <v>0</v>
      </c>
      <c r="V364" s="49">
        <f t="shared" si="81"/>
        <v>0</v>
      </c>
      <c r="X364" s="49">
        <f t="shared" si="82"/>
        <v>0</v>
      </c>
      <c r="Y364" s="49">
        <f t="shared" si="82"/>
        <v>0</v>
      </c>
      <c r="Z364" s="49">
        <f t="shared" si="82"/>
        <v>0</v>
      </c>
      <c r="AA364" s="49">
        <f t="shared" si="82"/>
        <v>0</v>
      </c>
      <c r="AB364" s="49">
        <f t="shared" si="82"/>
        <v>0</v>
      </c>
      <c r="AD364" s="49">
        <f t="shared" si="22"/>
        <v>0</v>
      </c>
      <c r="AE364" s="49">
        <f t="shared" si="23"/>
        <v>0</v>
      </c>
      <c r="AF364" s="49">
        <f t="shared" si="24"/>
        <v>0</v>
      </c>
      <c r="AG364" s="49">
        <f t="shared" si="25"/>
        <v>0</v>
      </c>
      <c r="AH364" s="49">
        <f t="shared" si="26"/>
        <v>0</v>
      </c>
      <c r="AJ364" s="49">
        <f t="shared" si="13"/>
        <v>0</v>
      </c>
      <c r="AK364" s="49">
        <f t="shared" si="14"/>
        <v>0</v>
      </c>
      <c r="AL364" s="49">
        <f t="shared" si="15"/>
        <v>0</v>
      </c>
      <c r="AM364" s="49">
        <f t="shared" si="16"/>
        <v>0</v>
      </c>
      <c r="AN364" s="49">
        <f t="shared" si="17"/>
        <v>0</v>
      </c>
    </row>
    <row r="365" spans="2:40">
      <c r="B365" s="43" t="str">
        <f t="shared" si="5"/>
        <v>Asset 59</v>
      </c>
      <c r="F365" s="43" t="str">
        <f t="shared" ref="F365:L365" si="90">F117</f>
        <v>06 Utiliteitsgebouwen</v>
      </c>
      <c r="G365" s="43">
        <f t="shared" si="90"/>
        <v>1988</v>
      </c>
      <c r="H365" s="58">
        <f t="shared" si="90"/>
        <v>45049.48</v>
      </c>
      <c r="I365" s="43">
        <f t="shared" si="90"/>
        <v>2021</v>
      </c>
      <c r="J365" s="58">
        <f t="shared" si="90"/>
        <v>30</v>
      </c>
      <c r="K365" s="187">
        <f t="shared" si="90"/>
        <v>0</v>
      </c>
      <c r="L365" s="58">
        <f t="shared" si="90"/>
        <v>0</v>
      </c>
      <c r="N365" s="49">
        <f t="shared" si="21"/>
        <v>0</v>
      </c>
      <c r="P365" s="44">
        <f t="shared" si="7"/>
        <v>0</v>
      </c>
      <c r="R365" s="49">
        <f t="shared" si="81"/>
        <v>0</v>
      </c>
      <c r="S365" s="49">
        <f t="shared" si="81"/>
        <v>0</v>
      </c>
      <c r="T365" s="49">
        <f t="shared" si="81"/>
        <v>0</v>
      </c>
      <c r="U365" s="49">
        <f t="shared" si="81"/>
        <v>0</v>
      </c>
      <c r="V365" s="49">
        <f t="shared" si="81"/>
        <v>0</v>
      </c>
      <c r="X365" s="49">
        <f t="shared" si="82"/>
        <v>0</v>
      </c>
      <c r="Y365" s="49">
        <f t="shared" si="82"/>
        <v>0</v>
      </c>
      <c r="Z365" s="49">
        <f t="shared" si="82"/>
        <v>0</v>
      </c>
      <c r="AA365" s="49">
        <f t="shared" si="82"/>
        <v>0</v>
      </c>
      <c r="AB365" s="49">
        <f t="shared" si="82"/>
        <v>0</v>
      </c>
      <c r="AD365" s="49">
        <f t="shared" si="22"/>
        <v>0</v>
      </c>
      <c r="AE365" s="49">
        <f t="shared" si="23"/>
        <v>0</v>
      </c>
      <c r="AF365" s="49">
        <f t="shared" si="24"/>
        <v>0</v>
      </c>
      <c r="AG365" s="49">
        <f t="shared" si="25"/>
        <v>0</v>
      </c>
      <c r="AH365" s="49">
        <f t="shared" si="26"/>
        <v>0</v>
      </c>
      <c r="AJ365" s="49">
        <f t="shared" si="13"/>
        <v>0</v>
      </c>
      <c r="AK365" s="49">
        <f t="shared" si="14"/>
        <v>0</v>
      </c>
      <c r="AL365" s="49">
        <f t="shared" si="15"/>
        <v>0</v>
      </c>
      <c r="AM365" s="49">
        <f t="shared" si="16"/>
        <v>0</v>
      </c>
      <c r="AN365" s="49">
        <f t="shared" si="17"/>
        <v>0</v>
      </c>
    </row>
    <row r="366" spans="2:40">
      <c r="B366" s="43" t="str">
        <f t="shared" si="5"/>
        <v>Asset 60</v>
      </c>
      <c r="F366" s="43" t="str">
        <f t="shared" ref="F366:L366" si="91">F118</f>
        <v>04 Terreinen</v>
      </c>
      <c r="G366" s="43">
        <f t="shared" si="91"/>
        <v>1969</v>
      </c>
      <c r="H366" s="58">
        <f t="shared" si="91"/>
        <v>35732.019999999997</v>
      </c>
      <c r="I366" s="43">
        <f t="shared" si="91"/>
        <v>2021</v>
      </c>
      <c r="J366" s="58">
        <f t="shared" si="91"/>
        <v>0</v>
      </c>
      <c r="K366" s="187">
        <f t="shared" si="91"/>
        <v>0</v>
      </c>
      <c r="L366" s="58">
        <f t="shared" si="91"/>
        <v>192194.60406110552</v>
      </c>
      <c r="N366" s="49">
        <f t="shared" si="21"/>
        <v>192194.60406110552</v>
      </c>
      <c r="P366" s="44">
        <f t="shared" si="7"/>
        <v>0</v>
      </c>
      <c r="R366" s="49">
        <f t="shared" si="81"/>
        <v>0</v>
      </c>
      <c r="S366" s="49">
        <f t="shared" si="81"/>
        <v>0</v>
      </c>
      <c r="T366" s="49">
        <f t="shared" si="81"/>
        <v>0</v>
      </c>
      <c r="U366" s="49">
        <f t="shared" si="81"/>
        <v>0</v>
      </c>
      <c r="V366" s="49">
        <f t="shared" si="81"/>
        <v>0</v>
      </c>
      <c r="X366" s="49">
        <f t="shared" si="82"/>
        <v>0</v>
      </c>
      <c r="Y366" s="49">
        <f t="shared" si="82"/>
        <v>0</v>
      </c>
      <c r="Z366" s="49">
        <f t="shared" si="82"/>
        <v>0</v>
      </c>
      <c r="AA366" s="49">
        <f t="shared" si="82"/>
        <v>0</v>
      </c>
      <c r="AB366" s="49">
        <f t="shared" si="82"/>
        <v>0</v>
      </c>
      <c r="AD366" s="49">
        <f t="shared" si="22"/>
        <v>192194.60406110552</v>
      </c>
      <c r="AE366" s="49">
        <f t="shared" si="23"/>
        <v>192194.60406110552</v>
      </c>
      <c r="AF366" s="49">
        <f t="shared" si="24"/>
        <v>192194.60406110552</v>
      </c>
      <c r="AG366" s="49">
        <f t="shared" si="25"/>
        <v>192194.60406110552</v>
      </c>
      <c r="AH366" s="49">
        <f t="shared" si="26"/>
        <v>192194.60406110552</v>
      </c>
      <c r="AJ366" s="49">
        <f t="shared" si="13"/>
        <v>6534.6165380775883</v>
      </c>
      <c r="AK366" s="49">
        <f t="shared" si="14"/>
        <v>6342.4219340164827</v>
      </c>
      <c r="AL366" s="49">
        <f t="shared" si="15"/>
        <v>7303.3949543220097</v>
      </c>
      <c r="AM366" s="49">
        <f t="shared" si="16"/>
        <v>7303.3949543220097</v>
      </c>
      <c r="AN366" s="49">
        <f t="shared" si="17"/>
        <v>7303.3949543220097</v>
      </c>
    </row>
    <row r="367" spans="2:40">
      <c r="B367" s="43" t="str">
        <f t="shared" si="5"/>
        <v>Asset 61</v>
      </c>
      <c r="F367" s="43" t="str">
        <f t="shared" ref="F367:L367" si="92">F119</f>
        <v>06 Utiliteitsgebouwen</v>
      </c>
      <c r="G367" s="43">
        <f t="shared" si="92"/>
        <v>1993</v>
      </c>
      <c r="H367" s="58">
        <f t="shared" si="92"/>
        <v>4915025</v>
      </c>
      <c r="I367" s="43">
        <f t="shared" si="92"/>
        <v>2021</v>
      </c>
      <c r="J367" s="58">
        <f t="shared" si="92"/>
        <v>30</v>
      </c>
      <c r="K367" s="187">
        <f t="shared" si="92"/>
        <v>0</v>
      </c>
      <c r="L367" s="58">
        <f t="shared" si="92"/>
        <v>420683.7813984917</v>
      </c>
      <c r="N367" s="49">
        <f t="shared" si="21"/>
        <v>420683.7813984917</v>
      </c>
      <c r="P367" s="44">
        <f t="shared" si="7"/>
        <v>1.5</v>
      </c>
      <c r="R367" s="49">
        <f t="shared" ref="R367:V376" si="93">IF(R$305&lt;=$G367+$J367,VDB($L367*(1-$F$25),0,$P367,R$305-2022,MIN(R$305-2021,$P367),$F$22),0)</f>
        <v>328133.34949082352</v>
      </c>
      <c r="S367" s="49">
        <f t="shared" si="93"/>
        <v>50482.053767819016</v>
      </c>
      <c r="T367" s="49">
        <f t="shared" si="93"/>
        <v>0</v>
      </c>
      <c r="U367" s="49">
        <f t="shared" si="93"/>
        <v>0</v>
      </c>
      <c r="V367" s="49">
        <f t="shared" si="93"/>
        <v>0</v>
      </c>
      <c r="X367" s="49">
        <f t="shared" ref="X367:AB376" si="94">IF(X$305&lt;=$G367+$J367,VDB($L367*$F$25,0,$P367,X$305-2022,MIN(X$305-2021,$P367),1),0)</f>
        <v>28045.585426566115</v>
      </c>
      <c r="Y367" s="49">
        <f t="shared" si="94"/>
        <v>14022.792713283057</v>
      </c>
      <c r="Z367" s="49">
        <f t="shared" si="94"/>
        <v>0</v>
      </c>
      <c r="AA367" s="49">
        <f t="shared" si="94"/>
        <v>0</v>
      </c>
      <c r="AB367" s="49">
        <f t="shared" si="94"/>
        <v>0</v>
      </c>
      <c r="AD367" s="49">
        <f t="shared" si="22"/>
        <v>64504.846481102068</v>
      </c>
      <c r="AE367" s="49">
        <f t="shared" si="23"/>
        <v>-5.4569682106375694E-12</v>
      </c>
      <c r="AF367" s="49">
        <f t="shared" si="24"/>
        <v>0</v>
      </c>
      <c r="AG367" s="49">
        <f t="shared" si="25"/>
        <v>0</v>
      </c>
      <c r="AH367" s="49">
        <f t="shared" si="26"/>
        <v>0</v>
      </c>
      <c r="AJ367" s="49">
        <f t="shared" si="13"/>
        <v>358372.09969774709</v>
      </c>
      <c r="AK367" s="49">
        <f t="shared" si="14"/>
        <v>64504.846481102075</v>
      </c>
      <c r="AL367" s="49">
        <f t="shared" si="15"/>
        <v>0</v>
      </c>
      <c r="AM367" s="49">
        <f t="shared" si="16"/>
        <v>0</v>
      </c>
      <c r="AN367" s="49">
        <f t="shared" si="17"/>
        <v>0</v>
      </c>
    </row>
    <row r="368" spans="2:40">
      <c r="B368" s="43" t="str">
        <f t="shared" si="5"/>
        <v>Asset 62</v>
      </c>
      <c r="F368" s="43" t="str">
        <f t="shared" ref="F368:L368" si="95">F120</f>
        <v>04 Terreinen</v>
      </c>
      <c r="G368" s="43">
        <f t="shared" si="95"/>
        <v>1990</v>
      </c>
      <c r="H368" s="58">
        <f t="shared" si="95"/>
        <v>4936129.59</v>
      </c>
      <c r="I368" s="43">
        <f t="shared" si="95"/>
        <v>2021</v>
      </c>
      <c r="J368" s="58">
        <f t="shared" si="95"/>
        <v>0</v>
      </c>
      <c r="K368" s="187">
        <f t="shared" si="95"/>
        <v>0</v>
      </c>
      <c r="L368" s="58">
        <f t="shared" si="95"/>
        <v>9367389.4688880406</v>
      </c>
      <c r="N368" s="49">
        <f t="shared" si="21"/>
        <v>9367389.4688880406</v>
      </c>
      <c r="P368" s="44">
        <f t="shared" si="7"/>
        <v>0</v>
      </c>
      <c r="R368" s="49">
        <f t="shared" si="93"/>
        <v>0</v>
      </c>
      <c r="S368" s="49">
        <f t="shared" si="93"/>
        <v>0</v>
      </c>
      <c r="T368" s="49">
        <f t="shared" si="93"/>
        <v>0</v>
      </c>
      <c r="U368" s="49">
        <f t="shared" si="93"/>
        <v>0</v>
      </c>
      <c r="V368" s="49">
        <f t="shared" si="93"/>
        <v>0</v>
      </c>
      <c r="X368" s="49">
        <f t="shared" si="94"/>
        <v>0</v>
      </c>
      <c r="Y368" s="49">
        <f t="shared" si="94"/>
        <v>0</v>
      </c>
      <c r="Z368" s="49">
        <f t="shared" si="94"/>
        <v>0</v>
      </c>
      <c r="AA368" s="49">
        <f t="shared" si="94"/>
        <v>0</v>
      </c>
      <c r="AB368" s="49">
        <f t="shared" si="94"/>
        <v>0</v>
      </c>
      <c r="AD368" s="49">
        <f t="shared" si="22"/>
        <v>9367389.4688880406</v>
      </c>
      <c r="AE368" s="49">
        <f t="shared" si="23"/>
        <v>9367389.4688880406</v>
      </c>
      <c r="AF368" s="49">
        <f t="shared" si="24"/>
        <v>9367389.4688880406</v>
      </c>
      <c r="AG368" s="49">
        <f t="shared" si="25"/>
        <v>9367389.4688880406</v>
      </c>
      <c r="AH368" s="49">
        <f t="shared" si="26"/>
        <v>9367389.4688880406</v>
      </c>
      <c r="AJ368" s="49">
        <f t="shared" si="13"/>
        <v>318491.24194219342</v>
      </c>
      <c r="AK368" s="49">
        <f t="shared" si="14"/>
        <v>309123.85247330536</v>
      </c>
      <c r="AL368" s="49">
        <f t="shared" si="15"/>
        <v>355960.79981774552</v>
      </c>
      <c r="AM368" s="49">
        <f t="shared" si="16"/>
        <v>355960.79981774552</v>
      </c>
      <c r="AN368" s="49">
        <f t="shared" si="17"/>
        <v>355960.79981774552</v>
      </c>
    </row>
    <row r="369" spans="2:40">
      <c r="B369" s="43" t="str">
        <f t="shared" si="5"/>
        <v>Asset 63</v>
      </c>
      <c r="F369" s="43" t="str">
        <f t="shared" ref="F369:L369" si="96">F121</f>
        <v>09 Bedrijfsinventaris</v>
      </c>
      <c r="G369" s="43">
        <f t="shared" si="96"/>
        <v>1994</v>
      </c>
      <c r="H369" s="58">
        <f t="shared" si="96"/>
        <v>5646696.2199999997</v>
      </c>
      <c r="I369" s="43">
        <f t="shared" si="96"/>
        <v>2021</v>
      </c>
      <c r="J369" s="58">
        <f t="shared" si="96"/>
        <v>10</v>
      </c>
      <c r="K369" s="187">
        <f t="shared" si="96"/>
        <v>1</v>
      </c>
      <c r="L369" s="58">
        <f t="shared" si="96"/>
        <v>0</v>
      </c>
      <c r="N369" s="49">
        <f t="shared" si="21"/>
        <v>0</v>
      </c>
      <c r="P369" s="44">
        <f t="shared" si="7"/>
        <v>0</v>
      </c>
      <c r="R369" s="49">
        <f t="shared" si="93"/>
        <v>0</v>
      </c>
      <c r="S369" s="49">
        <f t="shared" si="93"/>
        <v>0</v>
      </c>
      <c r="T369" s="49">
        <f t="shared" si="93"/>
        <v>0</v>
      </c>
      <c r="U369" s="49">
        <f t="shared" si="93"/>
        <v>0</v>
      </c>
      <c r="V369" s="49">
        <f t="shared" si="93"/>
        <v>0</v>
      </c>
      <c r="X369" s="49">
        <f t="shared" si="94"/>
        <v>0</v>
      </c>
      <c r="Y369" s="49">
        <f t="shared" si="94"/>
        <v>0</v>
      </c>
      <c r="Z369" s="49">
        <f t="shared" si="94"/>
        <v>0</v>
      </c>
      <c r="AA369" s="49">
        <f t="shared" si="94"/>
        <v>0</v>
      </c>
      <c r="AB369" s="49">
        <f t="shared" si="94"/>
        <v>0</v>
      </c>
      <c r="AD369" s="49">
        <f t="shared" si="22"/>
        <v>0</v>
      </c>
      <c r="AE369" s="49">
        <f t="shared" si="23"/>
        <v>0</v>
      </c>
      <c r="AF369" s="49">
        <f t="shared" si="24"/>
        <v>0</v>
      </c>
      <c r="AG369" s="49">
        <f t="shared" si="25"/>
        <v>0</v>
      </c>
      <c r="AH369" s="49">
        <f t="shared" si="26"/>
        <v>0</v>
      </c>
      <c r="AJ369" s="49">
        <f t="shared" si="13"/>
        <v>0</v>
      </c>
      <c r="AK369" s="49">
        <f t="shared" si="14"/>
        <v>0</v>
      </c>
      <c r="AL369" s="49">
        <f t="shared" si="15"/>
        <v>0</v>
      </c>
      <c r="AM369" s="49">
        <f t="shared" si="16"/>
        <v>0</v>
      </c>
      <c r="AN369" s="49">
        <f t="shared" si="17"/>
        <v>0</v>
      </c>
    </row>
    <row r="370" spans="2:40">
      <c r="B370" s="43" t="str">
        <f t="shared" si="5"/>
        <v>Asset 64</v>
      </c>
      <c r="F370" s="43" t="str">
        <f t="shared" ref="F370:L370" si="97">F122</f>
        <v>06 Utiliteitsgebouwen</v>
      </c>
      <c r="G370" s="43">
        <f t="shared" si="97"/>
        <v>1994</v>
      </c>
      <c r="H370" s="58">
        <f t="shared" si="97"/>
        <v>326095.09000000003</v>
      </c>
      <c r="I370" s="43">
        <f t="shared" si="97"/>
        <v>2021</v>
      </c>
      <c r="J370" s="58">
        <f t="shared" si="97"/>
        <v>30</v>
      </c>
      <c r="K370" s="187">
        <f t="shared" si="97"/>
        <v>0</v>
      </c>
      <c r="L370" s="58">
        <f t="shared" si="97"/>
        <v>45606.0937185246</v>
      </c>
      <c r="N370" s="49">
        <f t="shared" si="21"/>
        <v>45606.0937185246</v>
      </c>
      <c r="P370" s="44">
        <f t="shared" si="7"/>
        <v>2.5</v>
      </c>
      <c r="R370" s="49">
        <f t="shared" si="93"/>
        <v>21343.651860269514</v>
      </c>
      <c r="S370" s="49">
        <f t="shared" si="93"/>
        <v>13134.554990935087</v>
      </c>
      <c r="T370" s="49">
        <f t="shared" si="93"/>
        <v>6567.2774954675433</v>
      </c>
      <c r="U370" s="49">
        <f t="shared" si="93"/>
        <v>0</v>
      </c>
      <c r="V370" s="49">
        <f t="shared" si="93"/>
        <v>0</v>
      </c>
      <c r="X370" s="49">
        <f t="shared" si="94"/>
        <v>1824.2437487409841</v>
      </c>
      <c r="Y370" s="49">
        <f t="shared" si="94"/>
        <v>1824.2437487409836</v>
      </c>
      <c r="Z370" s="49">
        <f t="shared" si="94"/>
        <v>912.12187437049181</v>
      </c>
      <c r="AA370" s="49">
        <f t="shared" si="94"/>
        <v>0</v>
      </c>
      <c r="AB370" s="49">
        <f t="shared" si="94"/>
        <v>0</v>
      </c>
      <c r="AD370" s="49">
        <f t="shared" si="22"/>
        <v>22438.198109514102</v>
      </c>
      <c r="AE370" s="49">
        <f t="shared" si="23"/>
        <v>7479.3993698380318</v>
      </c>
      <c r="AF370" s="49">
        <f t="shared" si="24"/>
        <v>-3.2969182939268649E-12</v>
      </c>
      <c r="AG370" s="49">
        <f t="shared" si="25"/>
        <v>0</v>
      </c>
      <c r="AH370" s="49">
        <f t="shared" si="26"/>
        <v>0</v>
      </c>
      <c r="AJ370" s="49">
        <f t="shared" si="13"/>
        <v>23930.794344733979</v>
      </c>
      <c r="AK370" s="49">
        <f t="shared" si="14"/>
        <v>15205.618918880726</v>
      </c>
      <c r="AL370" s="49">
        <f t="shared" si="15"/>
        <v>7479.3993698380355</v>
      </c>
      <c r="AM370" s="49">
        <f t="shared" si="16"/>
        <v>0</v>
      </c>
      <c r="AN370" s="49">
        <f t="shared" si="17"/>
        <v>0</v>
      </c>
    </row>
    <row r="371" spans="2:40">
      <c r="B371" s="43" t="str">
        <f t="shared" si="5"/>
        <v>Asset 65</v>
      </c>
      <c r="F371" s="43" t="str">
        <f t="shared" ref="F371:L371" si="98">F123</f>
        <v>05 Wegen en terreinvoorzieningen</v>
      </c>
      <c r="G371" s="43">
        <f t="shared" si="98"/>
        <v>1993</v>
      </c>
      <c r="H371" s="58">
        <f t="shared" si="98"/>
        <v>174007.47</v>
      </c>
      <c r="I371" s="43">
        <f t="shared" si="98"/>
        <v>2021</v>
      </c>
      <c r="J371" s="58">
        <f t="shared" si="98"/>
        <v>10</v>
      </c>
      <c r="K371" s="187">
        <f t="shared" si="98"/>
        <v>0</v>
      </c>
      <c r="L371" s="58">
        <f t="shared" si="98"/>
        <v>0</v>
      </c>
      <c r="N371" s="49">
        <f t="shared" si="21"/>
        <v>0</v>
      </c>
      <c r="P371" s="44">
        <f t="shared" si="7"/>
        <v>0</v>
      </c>
      <c r="R371" s="49">
        <f t="shared" si="93"/>
        <v>0</v>
      </c>
      <c r="S371" s="49">
        <f t="shared" si="93"/>
        <v>0</v>
      </c>
      <c r="T371" s="49">
        <f t="shared" si="93"/>
        <v>0</v>
      </c>
      <c r="U371" s="49">
        <f t="shared" si="93"/>
        <v>0</v>
      </c>
      <c r="V371" s="49">
        <f t="shared" si="93"/>
        <v>0</v>
      </c>
      <c r="X371" s="49">
        <f t="shared" si="94"/>
        <v>0</v>
      </c>
      <c r="Y371" s="49">
        <f t="shared" si="94"/>
        <v>0</v>
      </c>
      <c r="Z371" s="49">
        <f t="shared" si="94"/>
        <v>0</v>
      </c>
      <c r="AA371" s="49">
        <f t="shared" si="94"/>
        <v>0</v>
      </c>
      <c r="AB371" s="49">
        <f t="shared" si="94"/>
        <v>0</v>
      </c>
      <c r="AD371" s="49">
        <f t="shared" si="22"/>
        <v>0</v>
      </c>
      <c r="AE371" s="49">
        <f t="shared" si="23"/>
        <v>0</v>
      </c>
      <c r="AF371" s="49">
        <f t="shared" si="24"/>
        <v>0</v>
      </c>
      <c r="AG371" s="49">
        <f t="shared" si="25"/>
        <v>0</v>
      </c>
      <c r="AH371" s="49">
        <f t="shared" si="26"/>
        <v>0</v>
      </c>
      <c r="AJ371" s="49">
        <f t="shared" si="13"/>
        <v>0</v>
      </c>
      <c r="AK371" s="49">
        <f t="shared" si="14"/>
        <v>0</v>
      </c>
      <c r="AL371" s="49">
        <f t="shared" si="15"/>
        <v>0</v>
      </c>
      <c r="AM371" s="49">
        <f t="shared" si="16"/>
        <v>0</v>
      </c>
      <c r="AN371" s="49">
        <f t="shared" si="17"/>
        <v>0</v>
      </c>
    </row>
    <row r="372" spans="2:40">
      <c r="B372" s="43" t="str">
        <f t="shared" ref="B372:B435" si="99">B124</f>
        <v>Asset 66</v>
      </c>
      <c r="F372" s="43" t="str">
        <f t="shared" ref="F372:L372" si="100">F124</f>
        <v>20 Kantoorgebouwen</v>
      </c>
      <c r="G372" s="43">
        <f t="shared" si="100"/>
        <v>1991</v>
      </c>
      <c r="H372" s="58">
        <f t="shared" si="100"/>
        <v>475302.12</v>
      </c>
      <c r="I372" s="43">
        <f t="shared" si="100"/>
        <v>2021</v>
      </c>
      <c r="J372" s="58">
        <f t="shared" si="100"/>
        <v>30</v>
      </c>
      <c r="K372" s="187">
        <f t="shared" si="100"/>
        <v>0</v>
      </c>
      <c r="L372" s="58">
        <f t="shared" si="100"/>
        <v>0</v>
      </c>
      <c r="N372" s="49">
        <f t="shared" si="21"/>
        <v>0</v>
      </c>
      <c r="P372" s="44">
        <f t="shared" ref="P372:P435" si="101">MAX(0,IF(G372&lt;=2021, J372-2021+G372-0.5,J372))</f>
        <v>0</v>
      </c>
      <c r="R372" s="49">
        <f t="shared" si="93"/>
        <v>0</v>
      </c>
      <c r="S372" s="49">
        <f t="shared" si="93"/>
        <v>0</v>
      </c>
      <c r="T372" s="49">
        <f t="shared" si="93"/>
        <v>0</v>
      </c>
      <c r="U372" s="49">
        <f t="shared" si="93"/>
        <v>0</v>
      </c>
      <c r="V372" s="49">
        <f t="shared" si="93"/>
        <v>0</v>
      </c>
      <c r="X372" s="49">
        <f t="shared" si="94"/>
        <v>0</v>
      </c>
      <c r="Y372" s="49">
        <f t="shared" si="94"/>
        <v>0</v>
      </c>
      <c r="Z372" s="49">
        <f t="shared" si="94"/>
        <v>0</v>
      </c>
      <c r="AA372" s="49">
        <f t="shared" si="94"/>
        <v>0</v>
      </c>
      <c r="AB372" s="49">
        <f t="shared" si="94"/>
        <v>0</v>
      </c>
      <c r="AD372" s="49">
        <f t="shared" si="22"/>
        <v>0</v>
      </c>
      <c r="AE372" s="49">
        <f t="shared" si="23"/>
        <v>0</v>
      </c>
      <c r="AF372" s="49">
        <f t="shared" si="24"/>
        <v>0</v>
      </c>
      <c r="AG372" s="49">
        <f t="shared" si="25"/>
        <v>0</v>
      </c>
      <c r="AH372" s="49">
        <f t="shared" si="26"/>
        <v>0</v>
      </c>
      <c r="AJ372" s="49">
        <f t="shared" ref="AJ372:AJ435" si="102">(R372+X372+AD372*I$16)*IF($K372=1,$F$19,1)</f>
        <v>0</v>
      </c>
      <c r="AK372" s="49">
        <f t="shared" ref="AK372:AK435" si="103">(S372+Y372+AE372*J$16)*IF($K372=1,$F$19,1)</f>
        <v>0</v>
      </c>
      <c r="AL372" s="49">
        <f t="shared" ref="AL372:AL435" si="104">(T372+Z372+AF372*K$16)*IF($K372=1,$F$19,1)</f>
        <v>0</v>
      </c>
      <c r="AM372" s="49">
        <f t="shared" ref="AM372:AM435" si="105">(U372+AA372+AG372*L$16)*IF($K372=1,$F$19,1)</f>
        <v>0</v>
      </c>
      <c r="AN372" s="49">
        <f t="shared" ref="AN372:AN435" si="106">(V372+AB372+AH372*M$16)*IF($K372=1,$F$19,1)</f>
        <v>0</v>
      </c>
    </row>
    <row r="373" spans="2:40">
      <c r="B373" s="43" t="str">
        <f t="shared" si="99"/>
        <v>Asset 67</v>
      </c>
      <c r="F373" s="43" t="str">
        <f t="shared" ref="F373:L373" si="107">F125</f>
        <v>08 Inrichting gebouwen</v>
      </c>
      <c r="G373" s="43">
        <f t="shared" si="107"/>
        <v>1995</v>
      </c>
      <c r="H373" s="58">
        <f t="shared" si="107"/>
        <v>365539.92999999993</v>
      </c>
      <c r="I373" s="43">
        <f t="shared" si="107"/>
        <v>2021</v>
      </c>
      <c r="J373" s="58">
        <f t="shared" si="107"/>
        <v>10</v>
      </c>
      <c r="K373" s="187">
        <f t="shared" si="107"/>
        <v>0</v>
      </c>
      <c r="L373" s="58">
        <f t="shared" si="107"/>
        <v>0</v>
      </c>
      <c r="N373" s="49">
        <f t="shared" si="21"/>
        <v>0</v>
      </c>
      <c r="P373" s="44">
        <f t="shared" si="101"/>
        <v>0</v>
      </c>
      <c r="R373" s="49">
        <f t="shared" si="93"/>
        <v>0</v>
      </c>
      <c r="S373" s="49">
        <f t="shared" si="93"/>
        <v>0</v>
      </c>
      <c r="T373" s="49">
        <f t="shared" si="93"/>
        <v>0</v>
      </c>
      <c r="U373" s="49">
        <f t="shared" si="93"/>
        <v>0</v>
      </c>
      <c r="V373" s="49">
        <f t="shared" si="93"/>
        <v>0</v>
      </c>
      <c r="X373" s="49">
        <f t="shared" si="94"/>
        <v>0</v>
      </c>
      <c r="Y373" s="49">
        <f t="shared" si="94"/>
        <v>0</v>
      </c>
      <c r="Z373" s="49">
        <f t="shared" si="94"/>
        <v>0</v>
      </c>
      <c r="AA373" s="49">
        <f t="shared" si="94"/>
        <v>0</v>
      </c>
      <c r="AB373" s="49">
        <f t="shared" si="94"/>
        <v>0</v>
      </c>
      <c r="AD373" s="49">
        <f t="shared" si="22"/>
        <v>0</v>
      </c>
      <c r="AE373" s="49">
        <f t="shared" si="23"/>
        <v>0</v>
      </c>
      <c r="AF373" s="49">
        <f t="shared" si="24"/>
        <v>0</v>
      </c>
      <c r="AG373" s="49">
        <f t="shared" si="25"/>
        <v>0</v>
      </c>
      <c r="AH373" s="49">
        <f t="shared" si="26"/>
        <v>0</v>
      </c>
      <c r="AJ373" s="49">
        <f t="shared" si="102"/>
        <v>0</v>
      </c>
      <c r="AK373" s="49">
        <f t="shared" si="103"/>
        <v>0</v>
      </c>
      <c r="AL373" s="49">
        <f t="shared" si="104"/>
        <v>0</v>
      </c>
      <c r="AM373" s="49">
        <f t="shared" si="105"/>
        <v>0</v>
      </c>
      <c r="AN373" s="49">
        <f t="shared" si="106"/>
        <v>0</v>
      </c>
    </row>
    <row r="374" spans="2:40">
      <c r="B374" s="43" t="str">
        <f t="shared" si="99"/>
        <v>Asset 68</v>
      </c>
      <c r="F374" s="43" t="str">
        <f t="shared" ref="F374:L374" si="108">F126</f>
        <v>08 Inrichting gebouwen</v>
      </c>
      <c r="G374" s="43">
        <f t="shared" si="108"/>
        <v>1994</v>
      </c>
      <c r="H374" s="58">
        <f t="shared" si="108"/>
        <v>6615395.4499999993</v>
      </c>
      <c r="I374" s="43">
        <f t="shared" si="108"/>
        <v>2021</v>
      </c>
      <c r="J374" s="58">
        <f t="shared" si="108"/>
        <v>10</v>
      </c>
      <c r="K374" s="187">
        <f t="shared" si="108"/>
        <v>0</v>
      </c>
      <c r="L374" s="58">
        <f t="shared" si="108"/>
        <v>0</v>
      </c>
      <c r="N374" s="49">
        <f t="shared" si="21"/>
        <v>0</v>
      </c>
      <c r="P374" s="44">
        <f t="shared" si="101"/>
        <v>0</v>
      </c>
      <c r="R374" s="49">
        <f t="shared" si="93"/>
        <v>0</v>
      </c>
      <c r="S374" s="49">
        <f t="shared" si="93"/>
        <v>0</v>
      </c>
      <c r="T374" s="49">
        <f t="shared" si="93"/>
        <v>0</v>
      </c>
      <c r="U374" s="49">
        <f t="shared" si="93"/>
        <v>0</v>
      </c>
      <c r="V374" s="49">
        <f t="shared" si="93"/>
        <v>0</v>
      </c>
      <c r="X374" s="49">
        <f t="shared" si="94"/>
        <v>0</v>
      </c>
      <c r="Y374" s="49">
        <f t="shared" si="94"/>
        <v>0</v>
      </c>
      <c r="Z374" s="49">
        <f t="shared" si="94"/>
        <v>0</v>
      </c>
      <c r="AA374" s="49">
        <f t="shared" si="94"/>
        <v>0</v>
      </c>
      <c r="AB374" s="49">
        <f t="shared" si="94"/>
        <v>0</v>
      </c>
      <c r="AD374" s="49">
        <f t="shared" si="22"/>
        <v>0</v>
      </c>
      <c r="AE374" s="49">
        <f t="shared" si="23"/>
        <v>0</v>
      </c>
      <c r="AF374" s="49">
        <f t="shared" si="24"/>
        <v>0</v>
      </c>
      <c r="AG374" s="49">
        <f t="shared" si="25"/>
        <v>0</v>
      </c>
      <c r="AH374" s="49">
        <f t="shared" si="26"/>
        <v>0</v>
      </c>
      <c r="AJ374" s="49">
        <f t="shared" si="102"/>
        <v>0</v>
      </c>
      <c r="AK374" s="49">
        <f t="shared" si="103"/>
        <v>0</v>
      </c>
      <c r="AL374" s="49">
        <f t="shared" si="104"/>
        <v>0</v>
      </c>
      <c r="AM374" s="49">
        <f t="shared" si="105"/>
        <v>0</v>
      </c>
      <c r="AN374" s="49">
        <f t="shared" si="106"/>
        <v>0</v>
      </c>
    </row>
    <row r="375" spans="2:40">
      <c r="B375" s="43" t="str">
        <f t="shared" si="99"/>
        <v>Asset 69</v>
      </c>
      <c r="F375" s="43" t="str">
        <f t="shared" ref="F375:L375" si="109">F127</f>
        <v>20 Kantoorgebouwen</v>
      </c>
      <c r="G375" s="43">
        <f t="shared" si="109"/>
        <v>1998</v>
      </c>
      <c r="H375" s="58">
        <f t="shared" si="109"/>
        <v>789493.11</v>
      </c>
      <c r="I375" s="43">
        <f t="shared" si="109"/>
        <v>2021</v>
      </c>
      <c r="J375" s="58">
        <f t="shared" si="109"/>
        <v>30</v>
      </c>
      <c r="K375" s="187">
        <f t="shared" si="109"/>
        <v>0</v>
      </c>
      <c r="L375" s="58">
        <f t="shared" si="109"/>
        <v>263672.8175889462</v>
      </c>
      <c r="N375" s="49">
        <f t="shared" ref="N375:N438" si="110">L375*IF(K375=1,$F$19,1)</f>
        <v>263672.8175889462</v>
      </c>
      <c r="P375" s="44">
        <f t="shared" si="101"/>
        <v>6.5</v>
      </c>
      <c r="R375" s="49">
        <f t="shared" si="93"/>
        <v>47461.107166010319</v>
      </c>
      <c r="S375" s="49">
        <f t="shared" si="93"/>
        <v>37968.885732808259</v>
      </c>
      <c r="T375" s="49">
        <f t="shared" si="93"/>
        <v>33750.120651385114</v>
      </c>
      <c r="U375" s="49">
        <f t="shared" si="93"/>
        <v>33750.120651385114</v>
      </c>
      <c r="V375" s="49">
        <f t="shared" si="93"/>
        <v>33750.120651385114</v>
      </c>
      <c r="X375" s="49">
        <f t="shared" si="94"/>
        <v>4056.504885983788</v>
      </c>
      <c r="Y375" s="49">
        <f t="shared" si="94"/>
        <v>4056.5048859837875</v>
      </c>
      <c r="Z375" s="49">
        <f t="shared" si="94"/>
        <v>4056.5048859837875</v>
      </c>
      <c r="AA375" s="49">
        <f t="shared" si="94"/>
        <v>4056.5048859837875</v>
      </c>
      <c r="AB375" s="49">
        <f t="shared" si="94"/>
        <v>4056.5048859837875</v>
      </c>
      <c r="AD375" s="49">
        <f t="shared" ref="AD375:AD438" si="111">IF(OR(AD$305&lt;=$G375+$J375,$J375=0),IF(AC375=0,$L375,AC375)-R375-X375,0)</f>
        <v>212155.2055369521</v>
      </c>
      <c r="AE375" s="49">
        <f t="shared" ref="AE375:AE438" si="112">IF(OR(AE$305&lt;=$G375+$J375,$J375=0),IF(AD375=0,$L375,AD375)-S375-Y375,0)</f>
        <v>170129.81491816003</v>
      </c>
      <c r="AF375" s="49">
        <f t="shared" ref="AF375:AF438" si="113">IF(OR(AF$305&lt;=$G375+$J375,$J375=0),IF(AE375=0,$L375,AE375)-T375-Z375,0)</f>
        <v>132323.18938079113</v>
      </c>
      <c r="AG375" s="49">
        <f t="shared" ref="AG375:AG438" si="114">IF(OR(AG$305&lt;=$G375+$J375,$J375=0),IF(AF375=0,$L375,AF375)-U375-AA375,0)</f>
        <v>94516.563843422235</v>
      </c>
      <c r="AH375" s="49">
        <f t="shared" ref="AH375:AH438" si="115">IF(OR(AH$305&lt;=$G375+$J375,$J375=0),IF(AG375=0,$L375,AG375)-V375-AB375,0)</f>
        <v>56709.938306053336</v>
      </c>
      <c r="AJ375" s="49">
        <f t="shared" si="102"/>
        <v>58730.889040250477</v>
      </c>
      <c r="AK375" s="49">
        <f t="shared" si="103"/>
        <v>47639.674511091325</v>
      </c>
      <c r="AL375" s="49">
        <f t="shared" si="104"/>
        <v>42834.906733838958</v>
      </c>
      <c r="AM375" s="49">
        <f t="shared" si="105"/>
        <v>41398.254963418942</v>
      </c>
      <c r="AN375" s="49">
        <f t="shared" si="106"/>
        <v>39961.603192998926</v>
      </c>
    </row>
    <row r="376" spans="2:40">
      <c r="B376" s="43" t="str">
        <f t="shared" si="99"/>
        <v>Asset 70</v>
      </c>
      <c r="F376" s="43" t="str">
        <f t="shared" ref="F376:L376" si="116">F128</f>
        <v>20 Kantoorgebouwen</v>
      </c>
      <c r="G376" s="43">
        <f t="shared" si="116"/>
        <v>1995</v>
      </c>
      <c r="H376" s="58">
        <f t="shared" si="116"/>
        <v>93310335.520000011</v>
      </c>
      <c r="I376" s="43">
        <f t="shared" si="116"/>
        <v>2021</v>
      </c>
      <c r="J376" s="58">
        <f t="shared" si="116"/>
        <v>30</v>
      </c>
      <c r="K376" s="187">
        <f t="shared" si="116"/>
        <v>0</v>
      </c>
      <c r="L376" s="58">
        <f t="shared" si="116"/>
        <v>17806929.596040629</v>
      </c>
      <c r="N376" s="49">
        <f t="shared" si="110"/>
        <v>17806929.596040629</v>
      </c>
      <c r="P376" s="44">
        <f t="shared" si="101"/>
        <v>3.5</v>
      </c>
      <c r="R376" s="49">
        <f t="shared" si="93"/>
        <v>5952602.1792478682</v>
      </c>
      <c r="S376" s="49">
        <f t="shared" si="93"/>
        <v>4029453.7828754797</v>
      </c>
      <c r="T376" s="49">
        <f t="shared" si="93"/>
        <v>4029453.7828754797</v>
      </c>
      <c r="U376" s="49">
        <f t="shared" si="93"/>
        <v>2014726.8914377398</v>
      </c>
      <c r="V376" s="49">
        <f t="shared" si="93"/>
        <v>0</v>
      </c>
      <c r="X376" s="49">
        <f t="shared" si="94"/>
        <v>508769.41702973231</v>
      </c>
      <c r="Y376" s="49">
        <f t="shared" si="94"/>
        <v>508769.41702973231</v>
      </c>
      <c r="Z376" s="49">
        <f t="shared" si="94"/>
        <v>508769.41702973231</v>
      </c>
      <c r="AA376" s="49">
        <f t="shared" si="94"/>
        <v>254384.70851486616</v>
      </c>
      <c r="AB376" s="49">
        <f t="shared" si="94"/>
        <v>0</v>
      </c>
      <c r="AD376" s="49">
        <f t="shared" si="111"/>
        <v>11345557.999763029</v>
      </c>
      <c r="AE376" s="49">
        <f t="shared" si="112"/>
        <v>6807334.7998578167</v>
      </c>
      <c r="AF376" s="49">
        <f t="shared" si="113"/>
        <v>2269111.5999526046</v>
      </c>
      <c r="AG376" s="49">
        <f t="shared" si="114"/>
        <v>-1.3678800314664841E-9</v>
      </c>
      <c r="AH376" s="49">
        <f t="shared" si="115"/>
        <v>0</v>
      </c>
      <c r="AJ376" s="49">
        <f t="shared" si="102"/>
        <v>6847120.5682695433</v>
      </c>
      <c r="AK376" s="49">
        <f t="shared" si="103"/>
        <v>4762865.2483005198</v>
      </c>
      <c r="AL376" s="49">
        <f t="shared" si="104"/>
        <v>4624449.4407034107</v>
      </c>
      <c r="AM376" s="49">
        <f t="shared" si="105"/>
        <v>2269111.599952606</v>
      </c>
      <c r="AN376" s="49">
        <f t="shared" si="106"/>
        <v>0</v>
      </c>
    </row>
    <row r="377" spans="2:40">
      <c r="B377" s="43" t="str">
        <f t="shared" si="99"/>
        <v>Asset 71</v>
      </c>
      <c r="F377" s="43" t="str">
        <f t="shared" ref="F377:L377" si="117">F129</f>
        <v>09 Bedrijfsinventaris</v>
      </c>
      <c r="G377" s="43">
        <f t="shared" si="117"/>
        <v>1997</v>
      </c>
      <c r="H377" s="58">
        <f t="shared" si="117"/>
        <v>3767.74</v>
      </c>
      <c r="I377" s="43">
        <f t="shared" si="117"/>
        <v>2021</v>
      </c>
      <c r="J377" s="58">
        <f t="shared" si="117"/>
        <v>10</v>
      </c>
      <c r="K377" s="187">
        <f t="shared" si="117"/>
        <v>1</v>
      </c>
      <c r="L377" s="58">
        <f t="shared" si="117"/>
        <v>0</v>
      </c>
      <c r="N377" s="49">
        <f t="shared" si="110"/>
        <v>0</v>
      </c>
      <c r="P377" s="44">
        <f t="shared" si="101"/>
        <v>0</v>
      </c>
      <c r="R377" s="49">
        <f t="shared" ref="R377:V386" si="118">IF(R$305&lt;=$G377+$J377,VDB($L377*(1-$F$25),0,$P377,R$305-2022,MIN(R$305-2021,$P377),$F$22),0)</f>
        <v>0</v>
      </c>
      <c r="S377" s="49">
        <f t="shared" si="118"/>
        <v>0</v>
      </c>
      <c r="T377" s="49">
        <f t="shared" si="118"/>
        <v>0</v>
      </c>
      <c r="U377" s="49">
        <f t="shared" si="118"/>
        <v>0</v>
      </c>
      <c r="V377" s="49">
        <f t="shared" si="118"/>
        <v>0</v>
      </c>
      <c r="X377" s="49">
        <f t="shared" ref="X377:AB386" si="119">IF(X$305&lt;=$G377+$J377,VDB($L377*$F$25,0,$P377,X$305-2022,MIN(X$305-2021,$P377),1),0)</f>
        <v>0</v>
      </c>
      <c r="Y377" s="49">
        <f t="shared" si="119"/>
        <v>0</v>
      </c>
      <c r="Z377" s="49">
        <f t="shared" si="119"/>
        <v>0</v>
      </c>
      <c r="AA377" s="49">
        <f t="shared" si="119"/>
        <v>0</v>
      </c>
      <c r="AB377" s="49">
        <f t="shared" si="119"/>
        <v>0</v>
      </c>
      <c r="AD377" s="49">
        <f t="shared" si="111"/>
        <v>0</v>
      </c>
      <c r="AE377" s="49">
        <f t="shared" si="112"/>
        <v>0</v>
      </c>
      <c r="AF377" s="49">
        <f t="shared" si="113"/>
        <v>0</v>
      </c>
      <c r="AG377" s="49">
        <f t="shared" si="114"/>
        <v>0</v>
      </c>
      <c r="AH377" s="49">
        <f t="shared" si="115"/>
        <v>0</v>
      </c>
      <c r="AJ377" s="49">
        <f t="shared" si="102"/>
        <v>0</v>
      </c>
      <c r="AK377" s="49">
        <f t="shared" si="103"/>
        <v>0</v>
      </c>
      <c r="AL377" s="49">
        <f t="shared" si="104"/>
        <v>0</v>
      </c>
      <c r="AM377" s="49">
        <f t="shared" si="105"/>
        <v>0</v>
      </c>
      <c r="AN377" s="49">
        <f t="shared" si="106"/>
        <v>0</v>
      </c>
    </row>
    <row r="378" spans="2:40">
      <c r="B378" s="43" t="str">
        <f t="shared" si="99"/>
        <v>Asset 72</v>
      </c>
      <c r="F378" s="43" t="str">
        <f t="shared" ref="F378:L378" si="120">F130</f>
        <v>08 Inrichting gebouwen</v>
      </c>
      <c r="G378" s="43">
        <f t="shared" si="120"/>
        <v>2002</v>
      </c>
      <c r="H378" s="58">
        <f t="shared" si="120"/>
        <v>257167.26</v>
      </c>
      <c r="I378" s="43">
        <f t="shared" si="120"/>
        <v>2021</v>
      </c>
      <c r="J378" s="58">
        <f t="shared" si="120"/>
        <v>10</v>
      </c>
      <c r="K378" s="187">
        <f t="shared" si="120"/>
        <v>0</v>
      </c>
      <c r="L378" s="58">
        <f t="shared" si="120"/>
        <v>0</v>
      </c>
      <c r="N378" s="49">
        <f t="shared" si="110"/>
        <v>0</v>
      </c>
      <c r="P378" s="44">
        <f t="shared" si="101"/>
        <v>0</v>
      </c>
      <c r="R378" s="49">
        <f t="shared" si="118"/>
        <v>0</v>
      </c>
      <c r="S378" s="49">
        <f t="shared" si="118"/>
        <v>0</v>
      </c>
      <c r="T378" s="49">
        <f t="shared" si="118"/>
        <v>0</v>
      </c>
      <c r="U378" s="49">
        <f t="shared" si="118"/>
        <v>0</v>
      </c>
      <c r="V378" s="49">
        <f t="shared" si="118"/>
        <v>0</v>
      </c>
      <c r="X378" s="49">
        <f t="shared" si="119"/>
        <v>0</v>
      </c>
      <c r="Y378" s="49">
        <f t="shared" si="119"/>
        <v>0</v>
      </c>
      <c r="Z378" s="49">
        <f t="shared" si="119"/>
        <v>0</v>
      </c>
      <c r="AA378" s="49">
        <f t="shared" si="119"/>
        <v>0</v>
      </c>
      <c r="AB378" s="49">
        <f t="shared" si="119"/>
        <v>0</v>
      </c>
      <c r="AD378" s="49">
        <f t="shared" si="111"/>
        <v>0</v>
      </c>
      <c r="AE378" s="49">
        <f t="shared" si="112"/>
        <v>0</v>
      </c>
      <c r="AF378" s="49">
        <f t="shared" si="113"/>
        <v>0</v>
      </c>
      <c r="AG378" s="49">
        <f t="shared" si="114"/>
        <v>0</v>
      </c>
      <c r="AH378" s="49">
        <f t="shared" si="115"/>
        <v>0</v>
      </c>
      <c r="AJ378" s="49">
        <f t="shared" si="102"/>
        <v>0</v>
      </c>
      <c r="AK378" s="49">
        <f t="shared" si="103"/>
        <v>0</v>
      </c>
      <c r="AL378" s="49">
        <f t="shared" si="104"/>
        <v>0</v>
      </c>
      <c r="AM378" s="49">
        <f t="shared" si="105"/>
        <v>0</v>
      </c>
      <c r="AN378" s="49">
        <f t="shared" si="106"/>
        <v>0</v>
      </c>
    </row>
    <row r="379" spans="2:40">
      <c r="B379" s="43" t="str">
        <f t="shared" si="99"/>
        <v>Asset 73</v>
      </c>
      <c r="F379" s="43" t="str">
        <f t="shared" ref="F379:L379" si="121">F131</f>
        <v>20 Kantoorgebouwen</v>
      </c>
      <c r="G379" s="43">
        <f t="shared" si="121"/>
        <v>1997</v>
      </c>
      <c r="H379" s="58">
        <f t="shared" si="121"/>
        <v>9956.39</v>
      </c>
      <c r="I379" s="43">
        <f t="shared" si="121"/>
        <v>2021</v>
      </c>
      <c r="J379" s="58">
        <f t="shared" si="121"/>
        <v>30</v>
      </c>
      <c r="K379" s="187">
        <f t="shared" si="121"/>
        <v>0</v>
      </c>
      <c r="L379" s="58">
        <f t="shared" si="121"/>
        <v>2886.7927731398736</v>
      </c>
      <c r="N379" s="49">
        <f t="shared" si="110"/>
        <v>2886.7927731398736</v>
      </c>
      <c r="P379" s="44">
        <f t="shared" si="101"/>
        <v>5.5</v>
      </c>
      <c r="R379" s="49">
        <f t="shared" si="118"/>
        <v>614.09955355884586</v>
      </c>
      <c r="S379" s="49">
        <f t="shared" si="118"/>
        <v>468.94874999039138</v>
      </c>
      <c r="T379" s="49">
        <f t="shared" si="118"/>
        <v>432.8757692218997</v>
      </c>
      <c r="U379" s="49">
        <f t="shared" si="118"/>
        <v>432.8757692218997</v>
      </c>
      <c r="V379" s="49">
        <f t="shared" si="118"/>
        <v>432.8757692218997</v>
      </c>
      <c r="X379" s="49">
        <f t="shared" si="119"/>
        <v>52.487141329815884</v>
      </c>
      <c r="Y379" s="49">
        <f t="shared" si="119"/>
        <v>52.487141329815891</v>
      </c>
      <c r="Z379" s="49">
        <f t="shared" si="119"/>
        <v>52.487141329815891</v>
      </c>
      <c r="AA379" s="49">
        <f t="shared" si="119"/>
        <v>52.487141329815891</v>
      </c>
      <c r="AB379" s="49">
        <f t="shared" si="119"/>
        <v>52.487141329815891</v>
      </c>
      <c r="AD379" s="49">
        <f t="shared" si="111"/>
        <v>2220.2060782512117</v>
      </c>
      <c r="AE379" s="49">
        <f t="shared" si="112"/>
        <v>1698.7701869310044</v>
      </c>
      <c r="AF379" s="49">
        <f t="shared" si="113"/>
        <v>1213.407276379289</v>
      </c>
      <c r="AG379" s="49">
        <f t="shared" si="114"/>
        <v>728.04436582757342</v>
      </c>
      <c r="AH379" s="49">
        <f t="shared" si="115"/>
        <v>242.68145527585781</v>
      </c>
      <c r="AJ379" s="49">
        <f t="shared" si="102"/>
        <v>742.07370154920295</v>
      </c>
      <c r="AK379" s="49">
        <f t="shared" si="103"/>
        <v>577.49530748893039</v>
      </c>
      <c r="AL379" s="49">
        <f t="shared" si="104"/>
        <v>531.4723870541286</v>
      </c>
      <c r="AM379" s="49">
        <f t="shared" si="105"/>
        <v>513.02859645316335</v>
      </c>
      <c r="AN379" s="49">
        <f t="shared" si="106"/>
        <v>494.58480585219814</v>
      </c>
    </row>
    <row r="380" spans="2:40">
      <c r="B380" s="43" t="str">
        <f t="shared" si="99"/>
        <v>Asset 74</v>
      </c>
      <c r="F380" s="43" t="str">
        <f t="shared" ref="F380:L380" si="122">F132</f>
        <v>09 Bedrijfsinventaris</v>
      </c>
      <c r="G380" s="43">
        <f t="shared" si="122"/>
        <v>2002</v>
      </c>
      <c r="H380" s="58">
        <f t="shared" si="122"/>
        <v>259859.76</v>
      </c>
      <c r="I380" s="43">
        <f t="shared" si="122"/>
        <v>2021</v>
      </c>
      <c r="J380" s="58">
        <f t="shared" si="122"/>
        <v>10</v>
      </c>
      <c r="K380" s="187">
        <f t="shared" si="122"/>
        <v>1</v>
      </c>
      <c r="L380" s="58">
        <f t="shared" si="122"/>
        <v>0</v>
      </c>
      <c r="N380" s="49">
        <f t="shared" si="110"/>
        <v>0</v>
      </c>
      <c r="P380" s="44">
        <f t="shared" si="101"/>
        <v>0</v>
      </c>
      <c r="R380" s="49">
        <f t="shared" si="118"/>
        <v>0</v>
      </c>
      <c r="S380" s="49">
        <f t="shared" si="118"/>
        <v>0</v>
      </c>
      <c r="T380" s="49">
        <f t="shared" si="118"/>
        <v>0</v>
      </c>
      <c r="U380" s="49">
        <f t="shared" si="118"/>
        <v>0</v>
      </c>
      <c r="V380" s="49">
        <f t="shared" si="118"/>
        <v>0</v>
      </c>
      <c r="X380" s="49">
        <f t="shared" si="119"/>
        <v>0</v>
      </c>
      <c r="Y380" s="49">
        <f t="shared" si="119"/>
        <v>0</v>
      </c>
      <c r="Z380" s="49">
        <f t="shared" si="119"/>
        <v>0</v>
      </c>
      <c r="AA380" s="49">
        <f t="shared" si="119"/>
        <v>0</v>
      </c>
      <c r="AB380" s="49">
        <f t="shared" si="119"/>
        <v>0</v>
      </c>
      <c r="AD380" s="49">
        <f t="shared" si="111"/>
        <v>0</v>
      </c>
      <c r="AE380" s="49">
        <f t="shared" si="112"/>
        <v>0</v>
      </c>
      <c r="AF380" s="49">
        <f t="shared" si="113"/>
        <v>0</v>
      </c>
      <c r="AG380" s="49">
        <f t="shared" si="114"/>
        <v>0</v>
      </c>
      <c r="AH380" s="49">
        <f t="shared" si="115"/>
        <v>0</v>
      </c>
      <c r="AJ380" s="49">
        <f t="shared" si="102"/>
        <v>0</v>
      </c>
      <c r="AK380" s="49">
        <f t="shared" si="103"/>
        <v>0</v>
      </c>
      <c r="AL380" s="49">
        <f t="shared" si="104"/>
        <v>0</v>
      </c>
      <c r="AM380" s="49">
        <f t="shared" si="105"/>
        <v>0</v>
      </c>
      <c r="AN380" s="49">
        <f t="shared" si="106"/>
        <v>0</v>
      </c>
    </row>
    <row r="381" spans="2:40">
      <c r="B381" s="43" t="str">
        <f t="shared" si="99"/>
        <v>Asset 75</v>
      </c>
      <c r="F381" s="43" t="str">
        <f t="shared" ref="F381:L381" si="123">F133</f>
        <v>37 ICT middelen 1</v>
      </c>
      <c r="G381" s="43">
        <f t="shared" si="123"/>
        <v>1998</v>
      </c>
      <c r="H381" s="58">
        <f t="shared" si="123"/>
        <v>194674.43</v>
      </c>
      <c r="I381" s="43">
        <f t="shared" si="123"/>
        <v>2021</v>
      </c>
      <c r="J381" s="58">
        <f t="shared" si="123"/>
        <v>5</v>
      </c>
      <c r="K381" s="187">
        <f t="shared" si="123"/>
        <v>1</v>
      </c>
      <c r="L381" s="58">
        <f t="shared" si="123"/>
        <v>0</v>
      </c>
      <c r="N381" s="49">
        <f t="shared" si="110"/>
        <v>0</v>
      </c>
      <c r="P381" s="44">
        <f t="shared" si="101"/>
        <v>0</v>
      </c>
      <c r="R381" s="49">
        <f t="shared" si="118"/>
        <v>0</v>
      </c>
      <c r="S381" s="49">
        <f t="shared" si="118"/>
        <v>0</v>
      </c>
      <c r="T381" s="49">
        <f t="shared" si="118"/>
        <v>0</v>
      </c>
      <c r="U381" s="49">
        <f t="shared" si="118"/>
        <v>0</v>
      </c>
      <c r="V381" s="49">
        <f t="shared" si="118"/>
        <v>0</v>
      </c>
      <c r="X381" s="49">
        <f t="shared" si="119"/>
        <v>0</v>
      </c>
      <c r="Y381" s="49">
        <f t="shared" si="119"/>
        <v>0</v>
      </c>
      <c r="Z381" s="49">
        <f t="shared" si="119"/>
        <v>0</v>
      </c>
      <c r="AA381" s="49">
        <f t="shared" si="119"/>
        <v>0</v>
      </c>
      <c r="AB381" s="49">
        <f t="shared" si="119"/>
        <v>0</v>
      </c>
      <c r="AD381" s="49">
        <f t="shared" si="111"/>
        <v>0</v>
      </c>
      <c r="AE381" s="49">
        <f t="shared" si="112"/>
        <v>0</v>
      </c>
      <c r="AF381" s="49">
        <f t="shared" si="113"/>
        <v>0</v>
      </c>
      <c r="AG381" s="49">
        <f t="shared" si="114"/>
        <v>0</v>
      </c>
      <c r="AH381" s="49">
        <f t="shared" si="115"/>
        <v>0</v>
      </c>
      <c r="AJ381" s="49">
        <f t="shared" si="102"/>
        <v>0</v>
      </c>
      <c r="AK381" s="49">
        <f t="shared" si="103"/>
        <v>0</v>
      </c>
      <c r="AL381" s="49">
        <f t="shared" si="104"/>
        <v>0</v>
      </c>
      <c r="AM381" s="49">
        <f t="shared" si="105"/>
        <v>0</v>
      </c>
      <c r="AN381" s="49">
        <f t="shared" si="106"/>
        <v>0</v>
      </c>
    </row>
    <row r="382" spans="2:40">
      <c r="B382" s="43" t="str">
        <f t="shared" si="99"/>
        <v>Asset 76</v>
      </c>
      <c r="F382" s="43" t="str">
        <f t="shared" ref="F382:L382" si="124">F134</f>
        <v>13 Aanhangwagens</v>
      </c>
      <c r="G382" s="43">
        <f t="shared" si="124"/>
        <v>2000</v>
      </c>
      <c r="H382" s="58">
        <f t="shared" si="124"/>
        <v>5437.76</v>
      </c>
      <c r="I382" s="43">
        <f t="shared" si="124"/>
        <v>2021</v>
      </c>
      <c r="J382" s="58">
        <f t="shared" si="124"/>
        <v>10</v>
      </c>
      <c r="K382" s="187">
        <f t="shared" si="124"/>
        <v>1</v>
      </c>
      <c r="L382" s="58">
        <f t="shared" si="124"/>
        <v>0</v>
      </c>
      <c r="N382" s="49">
        <f t="shared" si="110"/>
        <v>0</v>
      </c>
      <c r="P382" s="44">
        <f t="shared" si="101"/>
        <v>0</v>
      </c>
      <c r="R382" s="49">
        <f t="shared" si="118"/>
        <v>0</v>
      </c>
      <c r="S382" s="49">
        <f t="shared" si="118"/>
        <v>0</v>
      </c>
      <c r="T382" s="49">
        <f t="shared" si="118"/>
        <v>0</v>
      </c>
      <c r="U382" s="49">
        <f t="shared" si="118"/>
        <v>0</v>
      </c>
      <c r="V382" s="49">
        <f t="shared" si="118"/>
        <v>0</v>
      </c>
      <c r="X382" s="49">
        <f t="shared" si="119"/>
        <v>0</v>
      </c>
      <c r="Y382" s="49">
        <f t="shared" si="119"/>
        <v>0</v>
      </c>
      <c r="Z382" s="49">
        <f t="shared" si="119"/>
        <v>0</v>
      </c>
      <c r="AA382" s="49">
        <f t="shared" si="119"/>
        <v>0</v>
      </c>
      <c r="AB382" s="49">
        <f t="shared" si="119"/>
        <v>0</v>
      </c>
      <c r="AD382" s="49">
        <f t="shared" si="111"/>
        <v>0</v>
      </c>
      <c r="AE382" s="49">
        <f t="shared" si="112"/>
        <v>0</v>
      </c>
      <c r="AF382" s="49">
        <f t="shared" si="113"/>
        <v>0</v>
      </c>
      <c r="AG382" s="49">
        <f t="shared" si="114"/>
        <v>0</v>
      </c>
      <c r="AH382" s="49">
        <f t="shared" si="115"/>
        <v>0</v>
      </c>
      <c r="AJ382" s="49">
        <f t="shared" si="102"/>
        <v>0</v>
      </c>
      <c r="AK382" s="49">
        <f t="shared" si="103"/>
        <v>0</v>
      </c>
      <c r="AL382" s="49">
        <f t="shared" si="104"/>
        <v>0</v>
      </c>
      <c r="AM382" s="49">
        <f t="shared" si="105"/>
        <v>0</v>
      </c>
      <c r="AN382" s="49">
        <f t="shared" si="106"/>
        <v>0</v>
      </c>
    </row>
    <row r="383" spans="2:40">
      <c r="B383" s="43" t="str">
        <f t="shared" si="99"/>
        <v>Asset 77</v>
      </c>
      <c r="F383" s="43" t="str">
        <f t="shared" ref="F383:L383" si="125">F135</f>
        <v>09 Bedrijfsinventaris</v>
      </c>
      <c r="G383" s="43">
        <f t="shared" si="125"/>
        <v>1998</v>
      </c>
      <c r="H383" s="58">
        <f t="shared" si="125"/>
        <v>159402.09</v>
      </c>
      <c r="I383" s="43">
        <f t="shared" si="125"/>
        <v>2021</v>
      </c>
      <c r="J383" s="58">
        <f t="shared" si="125"/>
        <v>10</v>
      </c>
      <c r="K383" s="187">
        <f t="shared" si="125"/>
        <v>1</v>
      </c>
      <c r="L383" s="58">
        <f t="shared" si="125"/>
        <v>0</v>
      </c>
      <c r="N383" s="49">
        <f t="shared" si="110"/>
        <v>0</v>
      </c>
      <c r="P383" s="44">
        <f t="shared" si="101"/>
        <v>0</v>
      </c>
      <c r="R383" s="49">
        <f t="shared" si="118"/>
        <v>0</v>
      </c>
      <c r="S383" s="49">
        <f t="shared" si="118"/>
        <v>0</v>
      </c>
      <c r="T383" s="49">
        <f t="shared" si="118"/>
        <v>0</v>
      </c>
      <c r="U383" s="49">
        <f t="shared" si="118"/>
        <v>0</v>
      </c>
      <c r="V383" s="49">
        <f t="shared" si="118"/>
        <v>0</v>
      </c>
      <c r="X383" s="49">
        <f t="shared" si="119"/>
        <v>0</v>
      </c>
      <c r="Y383" s="49">
        <f t="shared" si="119"/>
        <v>0</v>
      </c>
      <c r="Z383" s="49">
        <f t="shared" si="119"/>
        <v>0</v>
      </c>
      <c r="AA383" s="49">
        <f t="shared" si="119"/>
        <v>0</v>
      </c>
      <c r="AB383" s="49">
        <f t="shared" si="119"/>
        <v>0</v>
      </c>
      <c r="AD383" s="49">
        <f t="shared" si="111"/>
        <v>0</v>
      </c>
      <c r="AE383" s="49">
        <f t="shared" si="112"/>
        <v>0</v>
      </c>
      <c r="AF383" s="49">
        <f t="shared" si="113"/>
        <v>0</v>
      </c>
      <c r="AG383" s="49">
        <f t="shared" si="114"/>
        <v>0</v>
      </c>
      <c r="AH383" s="49">
        <f t="shared" si="115"/>
        <v>0</v>
      </c>
      <c r="AJ383" s="49">
        <f t="shared" si="102"/>
        <v>0</v>
      </c>
      <c r="AK383" s="49">
        <f t="shared" si="103"/>
        <v>0</v>
      </c>
      <c r="AL383" s="49">
        <f t="shared" si="104"/>
        <v>0</v>
      </c>
      <c r="AM383" s="49">
        <f t="shared" si="105"/>
        <v>0</v>
      </c>
      <c r="AN383" s="49">
        <f t="shared" si="106"/>
        <v>0</v>
      </c>
    </row>
    <row r="384" spans="2:40">
      <c r="B384" s="43" t="str">
        <f t="shared" si="99"/>
        <v>Asset 78</v>
      </c>
      <c r="F384" s="43" t="str">
        <f t="shared" ref="F384:L384" si="126">F136</f>
        <v>08 Inrichting gebouwen</v>
      </c>
      <c r="G384" s="43">
        <f t="shared" si="126"/>
        <v>1998</v>
      </c>
      <c r="H384" s="58">
        <f t="shared" si="126"/>
        <v>120568.99000000002</v>
      </c>
      <c r="I384" s="43">
        <f t="shared" si="126"/>
        <v>2021</v>
      </c>
      <c r="J384" s="58">
        <f t="shared" si="126"/>
        <v>10</v>
      </c>
      <c r="K384" s="187">
        <f t="shared" si="126"/>
        <v>0</v>
      </c>
      <c r="L384" s="58">
        <f t="shared" si="126"/>
        <v>0</v>
      </c>
      <c r="N384" s="49">
        <f t="shared" si="110"/>
        <v>0</v>
      </c>
      <c r="P384" s="44">
        <f t="shared" si="101"/>
        <v>0</v>
      </c>
      <c r="R384" s="49">
        <f t="shared" si="118"/>
        <v>0</v>
      </c>
      <c r="S384" s="49">
        <f t="shared" si="118"/>
        <v>0</v>
      </c>
      <c r="T384" s="49">
        <f t="shared" si="118"/>
        <v>0</v>
      </c>
      <c r="U384" s="49">
        <f t="shared" si="118"/>
        <v>0</v>
      </c>
      <c r="V384" s="49">
        <f t="shared" si="118"/>
        <v>0</v>
      </c>
      <c r="X384" s="49">
        <f t="shared" si="119"/>
        <v>0</v>
      </c>
      <c r="Y384" s="49">
        <f t="shared" si="119"/>
        <v>0</v>
      </c>
      <c r="Z384" s="49">
        <f t="shared" si="119"/>
        <v>0</v>
      </c>
      <c r="AA384" s="49">
        <f t="shared" si="119"/>
        <v>0</v>
      </c>
      <c r="AB384" s="49">
        <f t="shared" si="119"/>
        <v>0</v>
      </c>
      <c r="AD384" s="49">
        <f t="shared" si="111"/>
        <v>0</v>
      </c>
      <c r="AE384" s="49">
        <f t="shared" si="112"/>
        <v>0</v>
      </c>
      <c r="AF384" s="49">
        <f t="shared" si="113"/>
        <v>0</v>
      </c>
      <c r="AG384" s="49">
        <f t="shared" si="114"/>
        <v>0</v>
      </c>
      <c r="AH384" s="49">
        <f t="shared" si="115"/>
        <v>0</v>
      </c>
      <c r="AJ384" s="49">
        <f t="shared" si="102"/>
        <v>0</v>
      </c>
      <c r="AK384" s="49">
        <f t="shared" si="103"/>
        <v>0</v>
      </c>
      <c r="AL384" s="49">
        <f t="shared" si="104"/>
        <v>0</v>
      </c>
      <c r="AM384" s="49">
        <f t="shared" si="105"/>
        <v>0</v>
      </c>
      <c r="AN384" s="49">
        <f t="shared" si="106"/>
        <v>0</v>
      </c>
    </row>
    <row r="385" spans="2:40">
      <c r="B385" s="43" t="str">
        <f t="shared" si="99"/>
        <v>Asset 79</v>
      </c>
      <c r="F385" s="43" t="str">
        <f t="shared" ref="F385:L385" si="127">F137</f>
        <v>37 ICT middelen 1</v>
      </c>
      <c r="G385" s="43">
        <f t="shared" si="127"/>
        <v>2002</v>
      </c>
      <c r="H385" s="58">
        <f t="shared" si="127"/>
        <v>342396.39</v>
      </c>
      <c r="I385" s="43">
        <f t="shared" si="127"/>
        <v>2021</v>
      </c>
      <c r="J385" s="58">
        <f t="shared" si="127"/>
        <v>5</v>
      </c>
      <c r="K385" s="187">
        <f t="shared" si="127"/>
        <v>1</v>
      </c>
      <c r="L385" s="58">
        <f t="shared" si="127"/>
        <v>0</v>
      </c>
      <c r="N385" s="49">
        <f t="shared" si="110"/>
        <v>0</v>
      </c>
      <c r="P385" s="44">
        <f t="shared" si="101"/>
        <v>0</v>
      </c>
      <c r="R385" s="49">
        <f t="shared" si="118"/>
        <v>0</v>
      </c>
      <c r="S385" s="49">
        <f t="shared" si="118"/>
        <v>0</v>
      </c>
      <c r="T385" s="49">
        <f t="shared" si="118"/>
        <v>0</v>
      </c>
      <c r="U385" s="49">
        <f t="shared" si="118"/>
        <v>0</v>
      </c>
      <c r="V385" s="49">
        <f t="shared" si="118"/>
        <v>0</v>
      </c>
      <c r="X385" s="49">
        <f t="shared" si="119"/>
        <v>0</v>
      </c>
      <c r="Y385" s="49">
        <f t="shared" si="119"/>
        <v>0</v>
      </c>
      <c r="Z385" s="49">
        <f t="shared" si="119"/>
        <v>0</v>
      </c>
      <c r="AA385" s="49">
        <f t="shared" si="119"/>
        <v>0</v>
      </c>
      <c r="AB385" s="49">
        <f t="shared" si="119"/>
        <v>0</v>
      </c>
      <c r="AD385" s="49">
        <f t="shared" si="111"/>
        <v>0</v>
      </c>
      <c r="AE385" s="49">
        <f t="shared" si="112"/>
        <v>0</v>
      </c>
      <c r="AF385" s="49">
        <f t="shared" si="113"/>
        <v>0</v>
      </c>
      <c r="AG385" s="49">
        <f t="shared" si="114"/>
        <v>0</v>
      </c>
      <c r="AH385" s="49">
        <f t="shared" si="115"/>
        <v>0</v>
      </c>
      <c r="AJ385" s="49">
        <f t="shared" si="102"/>
        <v>0</v>
      </c>
      <c r="AK385" s="49">
        <f t="shared" si="103"/>
        <v>0</v>
      </c>
      <c r="AL385" s="49">
        <f t="shared" si="104"/>
        <v>0</v>
      </c>
      <c r="AM385" s="49">
        <f t="shared" si="105"/>
        <v>0</v>
      </c>
      <c r="AN385" s="49">
        <f t="shared" si="106"/>
        <v>0</v>
      </c>
    </row>
    <row r="386" spans="2:40">
      <c r="B386" s="43" t="str">
        <f t="shared" si="99"/>
        <v>Asset 80</v>
      </c>
      <c r="F386" s="43" t="str">
        <f t="shared" ref="F386:L386" si="128">F138</f>
        <v>37 ICT middelen 1 (gaschromatografen en comptabele meting)</v>
      </c>
      <c r="G386" s="43">
        <f t="shared" si="128"/>
        <v>2000</v>
      </c>
      <c r="H386" s="58">
        <f t="shared" si="128"/>
        <v>717051.87</v>
      </c>
      <c r="I386" s="43">
        <f t="shared" si="128"/>
        <v>2021</v>
      </c>
      <c r="J386" s="58">
        <f t="shared" si="128"/>
        <v>5</v>
      </c>
      <c r="K386" s="187">
        <f t="shared" si="128"/>
        <v>0</v>
      </c>
      <c r="L386" s="58">
        <f t="shared" si="128"/>
        <v>0</v>
      </c>
      <c r="N386" s="49">
        <f t="shared" si="110"/>
        <v>0</v>
      </c>
      <c r="P386" s="44">
        <f t="shared" si="101"/>
        <v>0</v>
      </c>
      <c r="R386" s="49">
        <f t="shared" si="118"/>
        <v>0</v>
      </c>
      <c r="S386" s="49">
        <f t="shared" si="118"/>
        <v>0</v>
      </c>
      <c r="T386" s="49">
        <f t="shared" si="118"/>
        <v>0</v>
      </c>
      <c r="U386" s="49">
        <f t="shared" si="118"/>
        <v>0</v>
      </c>
      <c r="V386" s="49">
        <f t="shared" si="118"/>
        <v>0</v>
      </c>
      <c r="X386" s="49">
        <f t="shared" si="119"/>
        <v>0</v>
      </c>
      <c r="Y386" s="49">
        <f t="shared" si="119"/>
        <v>0</v>
      </c>
      <c r="Z386" s="49">
        <f t="shared" si="119"/>
        <v>0</v>
      </c>
      <c r="AA386" s="49">
        <f t="shared" si="119"/>
        <v>0</v>
      </c>
      <c r="AB386" s="49">
        <f t="shared" si="119"/>
        <v>0</v>
      </c>
      <c r="AD386" s="49">
        <f t="shared" si="111"/>
        <v>0</v>
      </c>
      <c r="AE386" s="49">
        <f t="shared" si="112"/>
        <v>0</v>
      </c>
      <c r="AF386" s="49">
        <f t="shared" si="113"/>
        <v>0</v>
      </c>
      <c r="AG386" s="49">
        <f t="shared" si="114"/>
        <v>0</v>
      </c>
      <c r="AH386" s="49">
        <f t="shared" si="115"/>
        <v>0</v>
      </c>
      <c r="AJ386" s="49">
        <f t="shared" si="102"/>
        <v>0</v>
      </c>
      <c r="AK386" s="49">
        <f t="shared" si="103"/>
        <v>0</v>
      </c>
      <c r="AL386" s="49">
        <f t="shared" si="104"/>
        <v>0</v>
      </c>
      <c r="AM386" s="49">
        <f t="shared" si="105"/>
        <v>0</v>
      </c>
      <c r="AN386" s="49">
        <f t="shared" si="106"/>
        <v>0</v>
      </c>
    </row>
    <row r="387" spans="2:40">
      <c r="B387" s="43" t="str">
        <f t="shared" si="99"/>
        <v>Asset 81</v>
      </c>
      <c r="F387" s="43" t="str">
        <f t="shared" ref="F387:L387" si="129">F139</f>
        <v>09 Bedrijfsinventaris</v>
      </c>
      <c r="G387" s="43">
        <f t="shared" si="129"/>
        <v>1999</v>
      </c>
      <c r="H387" s="58">
        <f t="shared" si="129"/>
        <v>64305.72</v>
      </c>
      <c r="I387" s="43">
        <f t="shared" si="129"/>
        <v>2021</v>
      </c>
      <c r="J387" s="58">
        <f t="shared" si="129"/>
        <v>10</v>
      </c>
      <c r="K387" s="187">
        <f t="shared" si="129"/>
        <v>1</v>
      </c>
      <c r="L387" s="58">
        <f t="shared" si="129"/>
        <v>0</v>
      </c>
      <c r="N387" s="49">
        <f t="shared" si="110"/>
        <v>0</v>
      </c>
      <c r="P387" s="44">
        <f t="shared" si="101"/>
        <v>0</v>
      </c>
      <c r="R387" s="49">
        <f t="shared" ref="R387:V396" si="130">IF(R$305&lt;=$G387+$J387,VDB($L387*(1-$F$25),0,$P387,R$305-2022,MIN(R$305-2021,$P387),$F$22),0)</f>
        <v>0</v>
      </c>
      <c r="S387" s="49">
        <f t="shared" si="130"/>
        <v>0</v>
      </c>
      <c r="T387" s="49">
        <f t="shared" si="130"/>
        <v>0</v>
      </c>
      <c r="U387" s="49">
        <f t="shared" si="130"/>
        <v>0</v>
      </c>
      <c r="V387" s="49">
        <f t="shared" si="130"/>
        <v>0</v>
      </c>
      <c r="X387" s="49">
        <f t="shared" ref="X387:AB396" si="131">IF(X$305&lt;=$G387+$J387,VDB($L387*$F$25,0,$P387,X$305-2022,MIN(X$305-2021,$P387),1),0)</f>
        <v>0</v>
      </c>
      <c r="Y387" s="49">
        <f t="shared" si="131"/>
        <v>0</v>
      </c>
      <c r="Z387" s="49">
        <f t="shared" si="131"/>
        <v>0</v>
      </c>
      <c r="AA387" s="49">
        <f t="shared" si="131"/>
        <v>0</v>
      </c>
      <c r="AB387" s="49">
        <f t="shared" si="131"/>
        <v>0</v>
      </c>
      <c r="AD387" s="49">
        <f t="shared" si="111"/>
        <v>0</v>
      </c>
      <c r="AE387" s="49">
        <f t="shared" si="112"/>
        <v>0</v>
      </c>
      <c r="AF387" s="49">
        <f t="shared" si="113"/>
        <v>0</v>
      </c>
      <c r="AG387" s="49">
        <f t="shared" si="114"/>
        <v>0</v>
      </c>
      <c r="AH387" s="49">
        <f t="shared" si="115"/>
        <v>0</v>
      </c>
      <c r="AJ387" s="49">
        <f t="shared" si="102"/>
        <v>0</v>
      </c>
      <c r="AK387" s="49">
        <f t="shared" si="103"/>
        <v>0</v>
      </c>
      <c r="AL387" s="49">
        <f t="shared" si="104"/>
        <v>0</v>
      </c>
      <c r="AM387" s="49">
        <f t="shared" si="105"/>
        <v>0</v>
      </c>
      <c r="AN387" s="49">
        <f t="shared" si="106"/>
        <v>0</v>
      </c>
    </row>
    <row r="388" spans="2:40">
      <c r="B388" s="43" t="str">
        <f t="shared" si="99"/>
        <v>Asset 82</v>
      </c>
      <c r="F388" s="43" t="str">
        <f t="shared" ref="F388:L388" si="132">F140</f>
        <v>08 Inrichting gebouwen</v>
      </c>
      <c r="G388" s="43">
        <f t="shared" si="132"/>
        <v>1999</v>
      </c>
      <c r="H388" s="58">
        <f t="shared" si="132"/>
        <v>41263.56</v>
      </c>
      <c r="I388" s="43">
        <f t="shared" si="132"/>
        <v>2021</v>
      </c>
      <c r="J388" s="58">
        <f t="shared" si="132"/>
        <v>10</v>
      </c>
      <c r="K388" s="187">
        <f t="shared" si="132"/>
        <v>0</v>
      </c>
      <c r="L388" s="58">
        <f t="shared" si="132"/>
        <v>0</v>
      </c>
      <c r="N388" s="49">
        <f t="shared" si="110"/>
        <v>0</v>
      </c>
      <c r="P388" s="44">
        <f t="shared" si="101"/>
        <v>0</v>
      </c>
      <c r="R388" s="49">
        <f t="shared" si="130"/>
        <v>0</v>
      </c>
      <c r="S388" s="49">
        <f t="shared" si="130"/>
        <v>0</v>
      </c>
      <c r="T388" s="49">
        <f t="shared" si="130"/>
        <v>0</v>
      </c>
      <c r="U388" s="49">
        <f t="shared" si="130"/>
        <v>0</v>
      </c>
      <c r="V388" s="49">
        <f t="shared" si="130"/>
        <v>0</v>
      </c>
      <c r="X388" s="49">
        <f t="shared" si="131"/>
        <v>0</v>
      </c>
      <c r="Y388" s="49">
        <f t="shared" si="131"/>
        <v>0</v>
      </c>
      <c r="Z388" s="49">
        <f t="shared" si="131"/>
        <v>0</v>
      </c>
      <c r="AA388" s="49">
        <f t="shared" si="131"/>
        <v>0</v>
      </c>
      <c r="AB388" s="49">
        <f t="shared" si="131"/>
        <v>0</v>
      </c>
      <c r="AD388" s="49">
        <f t="shared" si="111"/>
        <v>0</v>
      </c>
      <c r="AE388" s="49">
        <f t="shared" si="112"/>
        <v>0</v>
      </c>
      <c r="AF388" s="49">
        <f t="shared" si="113"/>
        <v>0</v>
      </c>
      <c r="AG388" s="49">
        <f t="shared" si="114"/>
        <v>0</v>
      </c>
      <c r="AH388" s="49">
        <f t="shared" si="115"/>
        <v>0</v>
      </c>
      <c r="AJ388" s="49">
        <f t="shared" si="102"/>
        <v>0</v>
      </c>
      <c r="AK388" s="49">
        <f t="shared" si="103"/>
        <v>0</v>
      </c>
      <c r="AL388" s="49">
        <f t="shared" si="104"/>
        <v>0</v>
      </c>
      <c r="AM388" s="49">
        <f t="shared" si="105"/>
        <v>0</v>
      </c>
      <c r="AN388" s="49">
        <f t="shared" si="106"/>
        <v>0</v>
      </c>
    </row>
    <row r="389" spans="2:40">
      <c r="B389" s="43" t="str">
        <f t="shared" si="99"/>
        <v>Asset 83</v>
      </c>
      <c r="F389" s="43" t="str">
        <f t="shared" ref="F389:L389" si="133">F141</f>
        <v>09 Bedrijfsinventaris</v>
      </c>
      <c r="G389" s="43">
        <f t="shared" si="133"/>
        <v>2000</v>
      </c>
      <c r="H389" s="58">
        <f t="shared" si="133"/>
        <v>5312.4</v>
      </c>
      <c r="I389" s="43">
        <f t="shared" si="133"/>
        <v>2021</v>
      </c>
      <c r="J389" s="58">
        <f t="shared" si="133"/>
        <v>10</v>
      </c>
      <c r="K389" s="187">
        <f t="shared" si="133"/>
        <v>1</v>
      </c>
      <c r="L389" s="58">
        <f t="shared" si="133"/>
        <v>0</v>
      </c>
      <c r="N389" s="49">
        <f t="shared" si="110"/>
        <v>0</v>
      </c>
      <c r="P389" s="44">
        <f t="shared" si="101"/>
        <v>0</v>
      </c>
      <c r="R389" s="49">
        <f t="shared" si="130"/>
        <v>0</v>
      </c>
      <c r="S389" s="49">
        <f t="shared" si="130"/>
        <v>0</v>
      </c>
      <c r="T389" s="49">
        <f t="shared" si="130"/>
        <v>0</v>
      </c>
      <c r="U389" s="49">
        <f t="shared" si="130"/>
        <v>0</v>
      </c>
      <c r="V389" s="49">
        <f t="shared" si="130"/>
        <v>0</v>
      </c>
      <c r="X389" s="49">
        <f t="shared" si="131"/>
        <v>0</v>
      </c>
      <c r="Y389" s="49">
        <f t="shared" si="131"/>
        <v>0</v>
      </c>
      <c r="Z389" s="49">
        <f t="shared" si="131"/>
        <v>0</v>
      </c>
      <c r="AA389" s="49">
        <f t="shared" si="131"/>
        <v>0</v>
      </c>
      <c r="AB389" s="49">
        <f t="shared" si="131"/>
        <v>0</v>
      </c>
      <c r="AD389" s="49">
        <f t="shared" si="111"/>
        <v>0</v>
      </c>
      <c r="AE389" s="49">
        <f t="shared" si="112"/>
        <v>0</v>
      </c>
      <c r="AF389" s="49">
        <f t="shared" si="113"/>
        <v>0</v>
      </c>
      <c r="AG389" s="49">
        <f t="shared" si="114"/>
        <v>0</v>
      </c>
      <c r="AH389" s="49">
        <f t="shared" si="115"/>
        <v>0</v>
      </c>
      <c r="AJ389" s="49">
        <f t="shared" si="102"/>
        <v>0</v>
      </c>
      <c r="AK389" s="49">
        <f t="shared" si="103"/>
        <v>0</v>
      </c>
      <c r="AL389" s="49">
        <f t="shared" si="104"/>
        <v>0</v>
      </c>
      <c r="AM389" s="49">
        <f t="shared" si="105"/>
        <v>0</v>
      </c>
      <c r="AN389" s="49">
        <f t="shared" si="106"/>
        <v>0</v>
      </c>
    </row>
    <row r="390" spans="2:40">
      <c r="B390" s="43" t="str">
        <f t="shared" si="99"/>
        <v>Asset 84</v>
      </c>
      <c r="F390" s="43" t="str">
        <f t="shared" ref="F390:L390" si="134">F142</f>
        <v>37 ICT middelen 1</v>
      </c>
      <c r="G390" s="43">
        <f t="shared" si="134"/>
        <v>2001</v>
      </c>
      <c r="H390" s="58">
        <f t="shared" si="134"/>
        <v>1754908.7700000003</v>
      </c>
      <c r="I390" s="43">
        <f t="shared" si="134"/>
        <v>2021</v>
      </c>
      <c r="J390" s="58">
        <f t="shared" si="134"/>
        <v>5</v>
      </c>
      <c r="K390" s="187">
        <f t="shared" si="134"/>
        <v>1</v>
      </c>
      <c r="L390" s="58">
        <f t="shared" si="134"/>
        <v>0</v>
      </c>
      <c r="N390" s="49">
        <f t="shared" si="110"/>
        <v>0</v>
      </c>
      <c r="P390" s="44">
        <f t="shared" si="101"/>
        <v>0</v>
      </c>
      <c r="R390" s="49">
        <f t="shared" si="130"/>
        <v>0</v>
      </c>
      <c r="S390" s="49">
        <f t="shared" si="130"/>
        <v>0</v>
      </c>
      <c r="T390" s="49">
        <f t="shared" si="130"/>
        <v>0</v>
      </c>
      <c r="U390" s="49">
        <f t="shared" si="130"/>
        <v>0</v>
      </c>
      <c r="V390" s="49">
        <f t="shared" si="130"/>
        <v>0</v>
      </c>
      <c r="X390" s="49">
        <f t="shared" si="131"/>
        <v>0</v>
      </c>
      <c r="Y390" s="49">
        <f t="shared" si="131"/>
        <v>0</v>
      </c>
      <c r="Z390" s="49">
        <f t="shared" si="131"/>
        <v>0</v>
      </c>
      <c r="AA390" s="49">
        <f t="shared" si="131"/>
        <v>0</v>
      </c>
      <c r="AB390" s="49">
        <f t="shared" si="131"/>
        <v>0</v>
      </c>
      <c r="AD390" s="49">
        <f t="shared" si="111"/>
        <v>0</v>
      </c>
      <c r="AE390" s="49">
        <f t="shared" si="112"/>
        <v>0</v>
      </c>
      <c r="AF390" s="49">
        <f t="shared" si="113"/>
        <v>0</v>
      </c>
      <c r="AG390" s="49">
        <f t="shared" si="114"/>
        <v>0</v>
      </c>
      <c r="AH390" s="49">
        <f t="shared" si="115"/>
        <v>0</v>
      </c>
      <c r="AJ390" s="49">
        <f t="shared" si="102"/>
        <v>0</v>
      </c>
      <c r="AK390" s="49">
        <f t="shared" si="103"/>
        <v>0</v>
      </c>
      <c r="AL390" s="49">
        <f t="shared" si="104"/>
        <v>0</v>
      </c>
      <c r="AM390" s="49">
        <f t="shared" si="105"/>
        <v>0</v>
      </c>
      <c r="AN390" s="49">
        <f t="shared" si="106"/>
        <v>0</v>
      </c>
    </row>
    <row r="391" spans="2:40">
      <c r="B391" s="43" t="str">
        <f t="shared" si="99"/>
        <v>Asset 85</v>
      </c>
      <c r="F391" s="43" t="str">
        <f t="shared" ref="F391:L391" si="135">F143</f>
        <v>11 Werktuigen</v>
      </c>
      <c r="G391" s="43">
        <f t="shared" si="135"/>
        <v>2000</v>
      </c>
      <c r="H391" s="58">
        <f t="shared" si="135"/>
        <v>86461.709999999992</v>
      </c>
      <c r="I391" s="43">
        <f t="shared" si="135"/>
        <v>2021</v>
      </c>
      <c r="J391" s="58">
        <f t="shared" si="135"/>
        <v>10</v>
      </c>
      <c r="K391" s="187">
        <f t="shared" si="135"/>
        <v>1</v>
      </c>
      <c r="L391" s="58">
        <f t="shared" si="135"/>
        <v>0</v>
      </c>
      <c r="N391" s="49">
        <f t="shared" si="110"/>
        <v>0</v>
      </c>
      <c r="P391" s="44">
        <f t="shared" si="101"/>
        <v>0</v>
      </c>
      <c r="R391" s="49">
        <f t="shared" si="130"/>
        <v>0</v>
      </c>
      <c r="S391" s="49">
        <f t="shared" si="130"/>
        <v>0</v>
      </c>
      <c r="T391" s="49">
        <f t="shared" si="130"/>
        <v>0</v>
      </c>
      <c r="U391" s="49">
        <f t="shared" si="130"/>
        <v>0</v>
      </c>
      <c r="V391" s="49">
        <f t="shared" si="130"/>
        <v>0</v>
      </c>
      <c r="X391" s="49">
        <f t="shared" si="131"/>
        <v>0</v>
      </c>
      <c r="Y391" s="49">
        <f t="shared" si="131"/>
        <v>0</v>
      </c>
      <c r="Z391" s="49">
        <f t="shared" si="131"/>
        <v>0</v>
      </c>
      <c r="AA391" s="49">
        <f t="shared" si="131"/>
        <v>0</v>
      </c>
      <c r="AB391" s="49">
        <f t="shared" si="131"/>
        <v>0</v>
      </c>
      <c r="AD391" s="49">
        <f t="shared" si="111"/>
        <v>0</v>
      </c>
      <c r="AE391" s="49">
        <f t="shared" si="112"/>
        <v>0</v>
      </c>
      <c r="AF391" s="49">
        <f t="shared" si="113"/>
        <v>0</v>
      </c>
      <c r="AG391" s="49">
        <f t="shared" si="114"/>
        <v>0</v>
      </c>
      <c r="AH391" s="49">
        <f t="shared" si="115"/>
        <v>0</v>
      </c>
      <c r="AJ391" s="49">
        <f t="shared" si="102"/>
        <v>0</v>
      </c>
      <c r="AK391" s="49">
        <f t="shared" si="103"/>
        <v>0</v>
      </c>
      <c r="AL391" s="49">
        <f t="shared" si="104"/>
        <v>0</v>
      </c>
      <c r="AM391" s="49">
        <f t="shared" si="105"/>
        <v>0</v>
      </c>
      <c r="AN391" s="49">
        <f t="shared" si="106"/>
        <v>0</v>
      </c>
    </row>
    <row r="392" spans="2:40">
      <c r="B392" s="43" t="str">
        <f t="shared" si="99"/>
        <v>Asset 86</v>
      </c>
      <c r="F392" s="43" t="str">
        <f t="shared" ref="F392:L392" si="136">F144</f>
        <v>13 Aanhangwagens</v>
      </c>
      <c r="G392" s="43">
        <f t="shared" si="136"/>
        <v>1998</v>
      </c>
      <c r="H392" s="58">
        <f t="shared" si="136"/>
        <v>3630.24</v>
      </c>
      <c r="I392" s="43">
        <f t="shared" si="136"/>
        <v>2021</v>
      </c>
      <c r="J392" s="58">
        <f t="shared" si="136"/>
        <v>10</v>
      </c>
      <c r="K392" s="187">
        <f t="shared" si="136"/>
        <v>1</v>
      </c>
      <c r="L392" s="58">
        <f t="shared" si="136"/>
        <v>0</v>
      </c>
      <c r="N392" s="49">
        <f t="shared" si="110"/>
        <v>0</v>
      </c>
      <c r="P392" s="44">
        <f t="shared" si="101"/>
        <v>0</v>
      </c>
      <c r="R392" s="49">
        <f t="shared" si="130"/>
        <v>0</v>
      </c>
      <c r="S392" s="49">
        <f t="shared" si="130"/>
        <v>0</v>
      </c>
      <c r="T392" s="49">
        <f t="shared" si="130"/>
        <v>0</v>
      </c>
      <c r="U392" s="49">
        <f t="shared" si="130"/>
        <v>0</v>
      </c>
      <c r="V392" s="49">
        <f t="shared" si="130"/>
        <v>0</v>
      </c>
      <c r="X392" s="49">
        <f t="shared" si="131"/>
        <v>0</v>
      </c>
      <c r="Y392" s="49">
        <f t="shared" si="131"/>
        <v>0</v>
      </c>
      <c r="Z392" s="49">
        <f t="shared" si="131"/>
        <v>0</v>
      </c>
      <c r="AA392" s="49">
        <f t="shared" si="131"/>
        <v>0</v>
      </c>
      <c r="AB392" s="49">
        <f t="shared" si="131"/>
        <v>0</v>
      </c>
      <c r="AD392" s="49">
        <f t="shared" si="111"/>
        <v>0</v>
      </c>
      <c r="AE392" s="49">
        <f t="shared" si="112"/>
        <v>0</v>
      </c>
      <c r="AF392" s="49">
        <f t="shared" si="113"/>
        <v>0</v>
      </c>
      <c r="AG392" s="49">
        <f t="shared" si="114"/>
        <v>0</v>
      </c>
      <c r="AH392" s="49">
        <f t="shared" si="115"/>
        <v>0</v>
      </c>
      <c r="AJ392" s="49">
        <f t="shared" si="102"/>
        <v>0</v>
      </c>
      <c r="AK392" s="49">
        <f t="shared" si="103"/>
        <v>0</v>
      </c>
      <c r="AL392" s="49">
        <f t="shared" si="104"/>
        <v>0</v>
      </c>
      <c r="AM392" s="49">
        <f t="shared" si="105"/>
        <v>0</v>
      </c>
      <c r="AN392" s="49">
        <f t="shared" si="106"/>
        <v>0</v>
      </c>
    </row>
    <row r="393" spans="2:40">
      <c r="B393" s="43" t="str">
        <f t="shared" si="99"/>
        <v>Asset 87</v>
      </c>
      <c r="F393" s="43" t="str">
        <f t="shared" ref="F393:L393" si="137">F145</f>
        <v>37 ICT middelen 1</v>
      </c>
      <c r="G393" s="43">
        <f t="shared" si="137"/>
        <v>2000</v>
      </c>
      <c r="H393" s="58">
        <f t="shared" si="137"/>
        <v>63690.75</v>
      </c>
      <c r="I393" s="43">
        <f t="shared" si="137"/>
        <v>2021</v>
      </c>
      <c r="J393" s="58">
        <f t="shared" si="137"/>
        <v>5</v>
      </c>
      <c r="K393" s="187">
        <f t="shared" si="137"/>
        <v>1</v>
      </c>
      <c r="L393" s="58">
        <f t="shared" si="137"/>
        <v>0</v>
      </c>
      <c r="N393" s="49">
        <f t="shared" si="110"/>
        <v>0</v>
      </c>
      <c r="P393" s="44">
        <f t="shared" si="101"/>
        <v>0</v>
      </c>
      <c r="R393" s="49">
        <f t="shared" si="130"/>
        <v>0</v>
      </c>
      <c r="S393" s="49">
        <f t="shared" si="130"/>
        <v>0</v>
      </c>
      <c r="T393" s="49">
        <f t="shared" si="130"/>
        <v>0</v>
      </c>
      <c r="U393" s="49">
        <f t="shared" si="130"/>
        <v>0</v>
      </c>
      <c r="V393" s="49">
        <f t="shared" si="130"/>
        <v>0</v>
      </c>
      <c r="X393" s="49">
        <f t="shared" si="131"/>
        <v>0</v>
      </c>
      <c r="Y393" s="49">
        <f t="shared" si="131"/>
        <v>0</v>
      </c>
      <c r="Z393" s="49">
        <f t="shared" si="131"/>
        <v>0</v>
      </c>
      <c r="AA393" s="49">
        <f t="shared" si="131"/>
        <v>0</v>
      </c>
      <c r="AB393" s="49">
        <f t="shared" si="131"/>
        <v>0</v>
      </c>
      <c r="AD393" s="49">
        <f t="shared" si="111"/>
        <v>0</v>
      </c>
      <c r="AE393" s="49">
        <f t="shared" si="112"/>
        <v>0</v>
      </c>
      <c r="AF393" s="49">
        <f t="shared" si="113"/>
        <v>0</v>
      </c>
      <c r="AG393" s="49">
        <f t="shared" si="114"/>
        <v>0</v>
      </c>
      <c r="AH393" s="49">
        <f t="shared" si="115"/>
        <v>0</v>
      </c>
      <c r="AJ393" s="49">
        <f t="shared" si="102"/>
        <v>0</v>
      </c>
      <c r="AK393" s="49">
        <f t="shared" si="103"/>
        <v>0</v>
      </c>
      <c r="AL393" s="49">
        <f t="shared" si="104"/>
        <v>0</v>
      </c>
      <c r="AM393" s="49">
        <f t="shared" si="105"/>
        <v>0</v>
      </c>
      <c r="AN393" s="49">
        <f t="shared" si="106"/>
        <v>0</v>
      </c>
    </row>
    <row r="394" spans="2:40">
      <c r="B394" s="43" t="str">
        <f t="shared" si="99"/>
        <v>Asset 88</v>
      </c>
      <c r="F394" s="43" t="str">
        <f t="shared" ref="F394:L394" si="138">F146</f>
        <v>08 Inrichting gebouwen</v>
      </c>
      <c r="G394" s="43">
        <f t="shared" si="138"/>
        <v>2000</v>
      </c>
      <c r="H394" s="58">
        <f t="shared" si="138"/>
        <v>53314.77</v>
      </c>
      <c r="I394" s="43">
        <f t="shared" si="138"/>
        <v>2021</v>
      </c>
      <c r="J394" s="58">
        <f t="shared" si="138"/>
        <v>10</v>
      </c>
      <c r="K394" s="187">
        <f t="shared" si="138"/>
        <v>0</v>
      </c>
      <c r="L394" s="58">
        <f t="shared" si="138"/>
        <v>0</v>
      </c>
      <c r="N394" s="49">
        <f t="shared" si="110"/>
        <v>0</v>
      </c>
      <c r="P394" s="44">
        <f t="shared" si="101"/>
        <v>0</v>
      </c>
      <c r="R394" s="49">
        <f t="shared" si="130"/>
        <v>0</v>
      </c>
      <c r="S394" s="49">
        <f t="shared" si="130"/>
        <v>0</v>
      </c>
      <c r="T394" s="49">
        <f t="shared" si="130"/>
        <v>0</v>
      </c>
      <c r="U394" s="49">
        <f t="shared" si="130"/>
        <v>0</v>
      </c>
      <c r="V394" s="49">
        <f t="shared" si="130"/>
        <v>0</v>
      </c>
      <c r="X394" s="49">
        <f t="shared" si="131"/>
        <v>0</v>
      </c>
      <c r="Y394" s="49">
        <f t="shared" si="131"/>
        <v>0</v>
      </c>
      <c r="Z394" s="49">
        <f t="shared" si="131"/>
        <v>0</v>
      </c>
      <c r="AA394" s="49">
        <f t="shared" si="131"/>
        <v>0</v>
      </c>
      <c r="AB394" s="49">
        <f t="shared" si="131"/>
        <v>0</v>
      </c>
      <c r="AD394" s="49">
        <f t="shared" si="111"/>
        <v>0</v>
      </c>
      <c r="AE394" s="49">
        <f t="shared" si="112"/>
        <v>0</v>
      </c>
      <c r="AF394" s="49">
        <f t="shared" si="113"/>
        <v>0</v>
      </c>
      <c r="AG394" s="49">
        <f t="shared" si="114"/>
        <v>0</v>
      </c>
      <c r="AH394" s="49">
        <f t="shared" si="115"/>
        <v>0</v>
      </c>
      <c r="AJ394" s="49">
        <f t="shared" si="102"/>
        <v>0</v>
      </c>
      <c r="AK394" s="49">
        <f t="shared" si="103"/>
        <v>0</v>
      </c>
      <c r="AL394" s="49">
        <f t="shared" si="104"/>
        <v>0</v>
      </c>
      <c r="AM394" s="49">
        <f t="shared" si="105"/>
        <v>0</v>
      </c>
      <c r="AN394" s="49">
        <f t="shared" si="106"/>
        <v>0</v>
      </c>
    </row>
    <row r="395" spans="2:40">
      <c r="B395" s="43" t="str">
        <f t="shared" si="99"/>
        <v>Asset 89</v>
      </c>
      <c r="F395" s="43" t="str">
        <f t="shared" ref="F395:L395" si="139">F147</f>
        <v>14 Overig rollend materieel</v>
      </c>
      <c r="G395" s="43">
        <f t="shared" si="139"/>
        <v>2000</v>
      </c>
      <c r="H395" s="58">
        <f t="shared" si="139"/>
        <v>36334.86</v>
      </c>
      <c r="I395" s="43">
        <f t="shared" si="139"/>
        <v>2021</v>
      </c>
      <c r="J395" s="58">
        <f t="shared" si="139"/>
        <v>10</v>
      </c>
      <c r="K395" s="187">
        <f t="shared" si="139"/>
        <v>1</v>
      </c>
      <c r="L395" s="58">
        <f t="shared" si="139"/>
        <v>0</v>
      </c>
      <c r="N395" s="49">
        <f t="shared" si="110"/>
        <v>0</v>
      </c>
      <c r="P395" s="44">
        <f t="shared" si="101"/>
        <v>0</v>
      </c>
      <c r="R395" s="49">
        <f t="shared" si="130"/>
        <v>0</v>
      </c>
      <c r="S395" s="49">
        <f t="shared" si="130"/>
        <v>0</v>
      </c>
      <c r="T395" s="49">
        <f t="shared" si="130"/>
        <v>0</v>
      </c>
      <c r="U395" s="49">
        <f t="shared" si="130"/>
        <v>0</v>
      </c>
      <c r="V395" s="49">
        <f t="shared" si="130"/>
        <v>0</v>
      </c>
      <c r="X395" s="49">
        <f t="shared" si="131"/>
        <v>0</v>
      </c>
      <c r="Y395" s="49">
        <f t="shared" si="131"/>
        <v>0</v>
      </c>
      <c r="Z395" s="49">
        <f t="shared" si="131"/>
        <v>0</v>
      </c>
      <c r="AA395" s="49">
        <f t="shared" si="131"/>
        <v>0</v>
      </c>
      <c r="AB395" s="49">
        <f t="shared" si="131"/>
        <v>0</v>
      </c>
      <c r="AD395" s="49">
        <f t="shared" si="111"/>
        <v>0</v>
      </c>
      <c r="AE395" s="49">
        <f t="shared" si="112"/>
        <v>0</v>
      </c>
      <c r="AF395" s="49">
        <f t="shared" si="113"/>
        <v>0</v>
      </c>
      <c r="AG395" s="49">
        <f t="shared" si="114"/>
        <v>0</v>
      </c>
      <c r="AH395" s="49">
        <f t="shared" si="115"/>
        <v>0</v>
      </c>
      <c r="AJ395" s="49">
        <f t="shared" si="102"/>
        <v>0</v>
      </c>
      <c r="AK395" s="49">
        <f t="shared" si="103"/>
        <v>0</v>
      </c>
      <c r="AL395" s="49">
        <f t="shared" si="104"/>
        <v>0</v>
      </c>
      <c r="AM395" s="49">
        <f t="shared" si="105"/>
        <v>0</v>
      </c>
      <c r="AN395" s="49">
        <f t="shared" si="106"/>
        <v>0</v>
      </c>
    </row>
    <row r="396" spans="2:40">
      <c r="B396" s="43" t="str">
        <f t="shared" si="99"/>
        <v>Asset 90</v>
      </c>
      <c r="F396" s="43" t="str">
        <f t="shared" ref="F396:L396" si="140">F148</f>
        <v>06 Utiliteitsgebouwen</v>
      </c>
      <c r="G396" s="43">
        <f t="shared" si="140"/>
        <v>2000</v>
      </c>
      <c r="H396" s="58">
        <f t="shared" si="140"/>
        <v>61022.52</v>
      </c>
      <c r="I396" s="43">
        <f t="shared" si="140"/>
        <v>2021</v>
      </c>
      <c r="J396" s="58">
        <f t="shared" si="140"/>
        <v>30</v>
      </c>
      <c r="K396" s="187">
        <f t="shared" si="140"/>
        <v>0</v>
      </c>
      <c r="L396" s="58">
        <f t="shared" si="140"/>
        <v>25541.383007029126</v>
      </c>
      <c r="N396" s="49">
        <f t="shared" si="110"/>
        <v>25541.383007029126</v>
      </c>
      <c r="P396" s="44">
        <f t="shared" si="101"/>
        <v>8.5</v>
      </c>
      <c r="R396" s="49">
        <f t="shared" si="130"/>
        <v>3515.6962492028333</v>
      </c>
      <c r="S396" s="49">
        <f t="shared" si="130"/>
        <v>2978.0015287365177</v>
      </c>
      <c r="T396" s="49">
        <f t="shared" si="130"/>
        <v>2537.4687582133638</v>
      </c>
      <c r="U396" s="49">
        <f t="shared" si="130"/>
        <v>2537.4687582133638</v>
      </c>
      <c r="V396" s="49">
        <f t="shared" si="130"/>
        <v>2537.4687582133638</v>
      </c>
      <c r="X396" s="49">
        <f t="shared" si="131"/>
        <v>300.486858906225</v>
      </c>
      <c r="Y396" s="49">
        <f t="shared" si="131"/>
        <v>300.48685890622505</v>
      </c>
      <c r="Z396" s="49">
        <f t="shared" si="131"/>
        <v>300.48685890622505</v>
      </c>
      <c r="AA396" s="49">
        <f t="shared" si="131"/>
        <v>300.48685890622505</v>
      </c>
      <c r="AB396" s="49">
        <f t="shared" si="131"/>
        <v>300.48685890622505</v>
      </c>
      <c r="AD396" s="49">
        <f t="shared" si="111"/>
        <v>21725.199898920069</v>
      </c>
      <c r="AE396" s="49">
        <f t="shared" si="112"/>
        <v>18446.711511277328</v>
      </c>
      <c r="AF396" s="49">
        <f t="shared" si="113"/>
        <v>15608.755894157741</v>
      </c>
      <c r="AG396" s="49">
        <f t="shared" si="114"/>
        <v>12770.800277038154</v>
      </c>
      <c r="AH396" s="49">
        <f t="shared" si="115"/>
        <v>9932.8446599185663</v>
      </c>
      <c r="AJ396" s="49">
        <f t="shared" si="102"/>
        <v>4554.8399046723407</v>
      </c>
      <c r="AK396" s="49">
        <f t="shared" si="103"/>
        <v>3887.229867514895</v>
      </c>
      <c r="AL396" s="49">
        <f t="shared" si="104"/>
        <v>3431.088341097583</v>
      </c>
      <c r="AM396" s="49">
        <f t="shared" si="105"/>
        <v>3323.2460276470388</v>
      </c>
      <c r="AN396" s="49">
        <f t="shared" si="106"/>
        <v>3215.4037141964945</v>
      </c>
    </row>
    <row r="397" spans="2:40">
      <c r="B397" s="43" t="str">
        <f t="shared" si="99"/>
        <v>Asset 91</v>
      </c>
      <c r="F397" s="43" t="str">
        <f t="shared" ref="F397:L397" si="141">F149</f>
        <v>11 Werktuigen</v>
      </c>
      <c r="G397" s="43">
        <f t="shared" si="141"/>
        <v>2001</v>
      </c>
      <c r="H397" s="58">
        <f t="shared" si="141"/>
        <v>11928.48</v>
      </c>
      <c r="I397" s="43">
        <f t="shared" si="141"/>
        <v>2021</v>
      </c>
      <c r="J397" s="58">
        <f t="shared" si="141"/>
        <v>10</v>
      </c>
      <c r="K397" s="187">
        <f t="shared" si="141"/>
        <v>1</v>
      </c>
      <c r="L397" s="58">
        <f t="shared" si="141"/>
        <v>0</v>
      </c>
      <c r="N397" s="49">
        <f t="shared" si="110"/>
        <v>0</v>
      </c>
      <c r="P397" s="44">
        <f t="shared" si="101"/>
        <v>0</v>
      </c>
      <c r="R397" s="49">
        <f t="shared" ref="R397:V406" si="142">IF(R$305&lt;=$G397+$J397,VDB($L397*(1-$F$25),0,$P397,R$305-2022,MIN(R$305-2021,$P397),$F$22),0)</f>
        <v>0</v>
      </c>
      <c r="S397" s="49">
        <f t="shared" si="142"/>
        <v>0</v>
      </c>
      <c r="T397" s="49">
        <f t="shared" si="142"/>
        <v>0</v>
      </c>
      <c r="U397" s="49">
        <f t="shared" si="142"/>
        <v>0</v>
      </c>
      <c r="V397" s="49">
        <f t="shared" si="142"/>
        <v>0</v>
      </c>
      <c r="X397" s="49">
        <f t="shared" ref="X397:AB406" si="143">IF(X$305&lt;=$G397+$J397,VDB($L397*$F$25,0,$P397,X$305-2022,MIN(X$305-2021,$P397),1),0)</f>
        <v>0</v>
      </c>
      <c r="Y397" s="49">
        <f t="shared" si="143"/>
        <v>0</v>
      </c>
      <c r="Z397" s="49">
        <f t="shared" si="143"/>
        <v>0</v>
      </c>
      <c r="AA397" s="49">
        <f t="shared" si="143"/>
        <v>0</v>
      </c>
      <c r="AB397" s="49">
        <f t="shared" si="143"/>
        <v>0</v>
      </c>
      <c r="AD397" s="49">
        <f t="shared" si="111"/>
        <v>0</v>
      </c>
      <c r="AE397" s="49">
        <f t="shared" si="112"/>
        <v>0</v>
      </c>
      <c r="AF397" s="49">
        <f t="shared" si="113"/>
        <v>0</v>
      </c>
      <c r="AG397" s="49">
        <f t="shared" si="114"/>
        <v>0</v>
      </c>
      <c r="AH397" s="49">
        <f t="shared" si="115"/>
        <v>0</v>
      </c>
      <c r="AJ397" s="49">
        <f t="shared" si="102"/>
        <v>0</v>
      </c>
      <c r="AK397" s="49">
        <f t="shared" si="103"/>
        <v>0</v>
      </c>
      <c r="AL397" s="49">
        <f t="shared" si="104"/>
        <v>0</v>
      </c>
      <c r="AM397" s="49">
        <f t="shared" si="105"/>
        <v>0</v>
      </c>
      <c r="AN397" s="49">
        <f t="shared" si="106"/>
        <v>0</v>
      </c>
    </row>
    <row r="398" spans="2:40">
      <c r="B398" s="43" t="str">
        <f t="shared" si="99"/>
        <v>Asset 92</v>
      </c>
      <c r="F398" s="43" t="str">
        <f t="shared" ref="F398:L398" si="144">F150</f>
        <v>14 Overig rollend materieel</v>
      </c>
      <c r="G398" s="43">
        <f t="shared" si="144"/>
        <v>2001</v>
      </c>
      <c r="H398" s="58">
        <f t="shared" si="144"/>
        <v>70639.289999999994</v>
      </c>
      <c r="I398" s="43">
        <f t="shared" si="144"/>
        <v>2021</v>
      </c>
      <c r="J398" s="58">
        <f t="shared" si="144"/>
        <v>10</v>
      </c>
      <c r="K398" s="187">
        <f t="shared" si="144"/>
        <v>1</v>
      </c>
      <c r="L398" s="58">
        <f t="shared" si="144"/>
        <v>0</v>
      </c>
      <c r="N398" s="49">
        <f t="shared" si="110"/>
        <v>0</v>
      </c>
      <c r="P398" s="44">
        <f t="shared" si="101"/>
        <v>0</v>
      </c>
      <c r="R398" s="49">
        <f t="shared" si="142"/>
        <v>0</v>
      </c>
      <c r="S398" s="49">
        <f t="shared" si="142"/>
        <v>0</v>
      </c>
      <c r="T398" s="49">
        <f t="shared" si="142"/>
        <v>0</v>
      </c>
      <c r="U398" s="49">
        <f t="shared" si="142"/>
        <v>0</v>
      </c>
      <c r="V398" s="49">
        <f t="shared" si="142"/>
        <v>0</v>
      </c>
      <c r="X398" s="49">
        <f t="shared" si="143"/>
        <v>0</v>
      </c>
      <c r="Y398" s="49">
        <f t="shared" si="143"/>
        <v>0</v>
      </c>
      <c r="Z398" s="49">
        <f t="shared" si="143"/>
        <v>0</v>
      </c>
      <c r="AA398" s="49">
        <f t="shared" si="143"/>
        <v>0</v>
      </c>
      <c r="AB398" s="49">
        <f t="shared" si="143"/>
        <v>0</v>
      </c>
      <c r="AD398" s="49">
        <f t="shared" si="111"/>
        <v>0</v>
      </c>
      <c r="AE398" s="49">
        <f t="shared" si="112"/>
        <v>0</v>
      </c>
      <c r="AF398" s="49">
        <f t="shared" si="113"/>
        <v>0</v>
      </c>
      <c r="AG398" s="49">
        <f t="shared" si="114"/>
        <v>0</v>
      </c>
      <c r="AH398" s="49">
        <f t="shared" si="115"/>
        <v>0</v>
      </c>
      <c r="AJ398" s="49">
        <f t="shared" si="102"/>
        <v>0</v>
      </c>
      <c r="AK398" s="49">
        <f t="shared" si="103"/>
        <v>0</v>
      </c>
      <c r="AL398" s="49">
        <f t="shared" si="104"/>
        <v>0</v>
      </c>
      <c r="AM398" s="49">
        <f t="shared" si="105"/>
        <v>0</v>
      </c>
      <c r="AN398" s="49">
        <f t="shared" si="106"/>
        <v>0</v>
      </c>
    </row>
    <row r="399" spans="2:40">
      <c r="B399" s="43" t="str">
        <f t="shared" si="99"/>
        <v>Asset 93</v>
      </c>
      <c r="F399" s="43" t="str">
        <f t="shared" ref="F399:L399" si="145">F151</f>
        <v>09 Bedrijfsinventaris</v>
      </c>
      <c r="G399" s="43">
        <f t="shared" si="145"/>
        <v>2001</v>
      </c>
      <c r="H399" s="58">
        <f t="shared" si="145"/>
        <v>55051.729999999996</v>
      </c>
      <c r="I399" s="43">
        <f t="shared" si="145"/>
        <v>2021</v>
      </c>
      <c r="J399" s="58">
        <f t="shared" si="145"/>
        <v>10</v>
      </c>
      <c r="K399" s="187">
        <f t="shared" si="145"/>
        <v>1</v>
      </c>
      <c r="L399" s="58">
        <f t="shared" si="145"/>
        <v>0</v>
      </c>
      <c r="N399" s="49">
        <f t="shared" si="110"/>
        <v>0</v>
      </c>
      <c r="P399" s="44">
        <f t="shared" si="101"/>
        <v>0</v>
      </c>
      <c r="R399" s="49">
        <f t="shared" si="142"/>
        <v>0</v>
      </c>
      <c r="S399" s="49">
        <f t="shared" si="142"/>
        <v>0</v>
      </c>
      <c r="T399" s="49">
        <f t="shared" si="142"/>
        <v>0</v>
      </c>
      <c r="U399" s="49">
        <f t="shared" si="142"/>
        <v>0</v>
      </c>
      <c r="V399" s="49">
        <f t="shared" si="142"/>
        <v>0</v>
      </c>
      <c r="X399" s="49">
        <f t="shared" si="143"/>
        <v>0</v>
      </c>
      <c r="Y399" s="49">
        <f t="shared" si="143"/>
        <v>0</v>
      </c>
      <c r="Z399" s="49">
        <f t="shared" si="143"/>
        <v>0</v>
      </c>
      <c r="AA399" s="49">
        <f t="shared" si="143"/>
        <v>0</v>
      </c>
      <c r="AB399" s="49">
        <f t="shared" si="143"/>
        <v>0</v>
      </c>
      <c r="AD399" s="49">
        <f t="shared" si="111"/>
        <v>0</v>
      </c>
      <c r="AE399" s="49">
        <f t="shared" si="112"/>
        <v>0</v>
      </c>
      <c r="AF399" s="49">
        <f t="shared" si="113"/>
        <v>0</v>
      </c>
      <c r="AG399" s="49">
        <f t="shared" si="114"/>
        <v>0</v>
      </c>
      <c r="AH399" s="49">
        <f t="shared" si="115"/>
        <v>0</v>
      </c>
      <c r="AJ399" s="49">
        <f t="shared" si="102"/>
        <v>0</v>
      </c>
      <c r="AK399" s="49">
        <f t="shared" si="103"/>
        <v>0</v>
      </c>
      <c r="AL399" s="49">
        <f t="shared" si="104"/>
        <v>0</v>
      </c>
      <c r="AM399" s="49">
        <f t="shared" si="105"/>
        <v>0</v>
      </c>
      <c r="AN399" s="49">
        <f t="shared" si="106"/>
        <v>0</v>
      </c>
    </row>
    <row r="400" spans="2:40">
      <c r="B400" s="43" t="str">
        <f t="shared" si="99"/>
        <v>Asset 94</v>
      </c>
      <c r="F400" s="43" t="str">
        <f t="shared" ref="F400:L400" si="146">F152</f>
        <v>10 Gereedschap</v>
      </c>
      <c r="G400" s="43">
        <f t="shared" si="146"/>
        <v>2002</v>
      </c>
      <c r="H400" s="58">
        <f t="shared" si="146"/>
        <v>26546</v>
      </c>
      <c r="I400" s="43">
        <f t="shared" si="146"/>
        <v>2021</v>
      </c>
      <c r="J400" s="58">
        <f t="shared" si="146"/>
        <v>10</v>
      </c>
      <c r="K400" s="187">
        <f t="shared" si="146"/>
        <v>1</v>
      </c>
      <c r="L400" s="58">
        <f t="shared" si="146"/>
        <v>0</v>
      </c>
      <c r="N400" s="49">
        <f t="shared" si="110"/>
        <v>0</v>
      </c>
      <c r="P400" s="44">
        <f t="shared" si="101"/>
        <v>0</v>
      </c>
      <c r="R400" s="49">
        <f t="shared" si="142"/>
        <v>0</v>
      </c>
      <c r="S400" s="49">
        <f t="shared" si="142"/>
        <v>0</v>
      </c>
      <c r="T400" s="49">
        <f t="shared" si="142"/>
        <v>0</v>
      </c>
      <c r="U400" s="49">
        <f t="shared" si="142"/>
        <v>0</v>
      </c>
      <c r="V400" s="49">
        <f t="shared" si="142"/>
        <v>0</v>
      </c>
      <c r="X400" s="49">
        <f t="shared" si="143"/>
        <v>0</v>
      </c>
      <c r="Y400" s="49">
        <f t="shared" si="143"/>
        <v>0</v>
      </c>
      <c r="Z400" s="49">
        <f t="shared" si="143"/>
        <v>0</v>
      </c>
      <c r="AA400" s="49">
        <f t="shared" si="143"/>
        <v>0</v>
      </c>
      <c r="AB400" s="49">
        <f t="shared" si="143"/>
        <v>0</v>
      </c>
      <c r="AD400" s="49">
        <f t="shared" si="111"/>
        <v>0</v>
      </c>
      <c r="AE400" s="49">
        <f t="shared" si="112"/>
        <v>0</v>
      </c>
      <c r="AF400" s="49">
        <f t="shared" si="113"/>
        <v>0</v>
      </c>
      <c r="AG400" s="49">
        <f t="shared" si="114"/>
        <v>0</v>
      </c>
      <c r="AH400" s="49">
        <f t="shared" si="115"/>
        <v>0</v>
      </c>
      <c r="AJ400" s="49">
        <f t="shared" si="102"/>
        <v>0</v>
      </c>
      <c r="AK400" s="49">
        <f t="shared" si="103"/>
        <v>0</v>
      </c>
      <c r="AL400" s="49">
        <f t="shared" si="104"/>
        <v>0</v>
      </c>
      <c r="AM400" s="49">
        <f t="shared" si="105"/>
        <v>0</v>
      </c>
      <c r="AN400" s="49">
        <f t="shared" si="106"/>
        <v>0</v>
      </c>
    </row>
    <row r="401" spans="2:40">
      <c r="B401" s="43" t="str">
        <f t="shared" si="99"/>
        <v>Asset 95</v>
      </c>
      <c r="F401" s="43" t="str">
        <f t="shared" ref="F401:L401" si="147">F153</f>
        <v>03 Verremeting</v>
      </c>
      <c r="G401" s="43">
        <f t="shared" si="147"/>
        <v>2001</v>
      </c>
      <c r="H401" s="58">
        <f t="shared" si="147"/>
        <v>16968.61</v>
      </c>
      <c r="I401" s="43">
        <f t="shared" si="147"/>
        <v>2021</v>
      </c>
      <c r="J401" s="58">
        <f t="shared" si="147"/>
        <v>5</v>
      </c>
      <c r="K401" s="187">
        <f t="shared" si="147"/>
        <v>1</v>
      </c>
      <c r="L401" s="58">
        <f t="shared" si="147"/>
        <v>0</v>
      </c>
      <c r="N401" s="49">
        <f t="shared" si="110"/>
        <v>0</v>
      </c>
      <c r="P401" s="44">
        <f t="shared" si="101"/>
        <v>0</v>
      </c>
      <c r="R401" s="49">
        <f t="shared" si="142"/>
        <v>0</v>
      </c>
      <c r="S401" s="49">
        <f t="shared" si="142"/>
        <v>0</v>
      </c>
      <c r="T401" s="49">
        <f t="shared" si="142"/>
        <v>0</v>
      </c>
      <c r="U401" s="49">
        <f t="shared" si="142"/>
        <v>0</v>
      </c>
      <c r="V401" s="49">
        <f t="shared" si="142"/>
        <v>0</v>
      </c>
      <c r="X401" s="49">
        <f t="shared" si="143"/>
        <v>0</v>
      </c>
      <c r="Y401" s="49">
        <f t="shared" si="143"/>
        <v>0</v>
      </c>
      <c r="Z401" s="49">
        <f t="shared" si="143"/>
        <v>0</v>
      </c>
      <c r="AA401" s="49">
        <f t="shared" si="143"/>
        <v>0</v>
      </c>
      <c r="AB401" s="49">
        <f t="shared" si="143"/>
        <v>0</v>
      </c>
      <c r="AD401" s="49">
        <f t="shared" si="111"/>
        <v>0</v>
      </c>
      <c r="AE401" s="49">
        <f t="shared" si="112"/>
        <v>0</v>
      </c>
      <c r="AF401" s="49">
        <f t="shared" si="113"/>
        <v>0</v>
      </c>
      <c r="AG401" s="49">
        <f t="shared" si="114"/>
        <v>0</v>
      </c>
      <c r="AH401" s="49">
        <f t="shared" si="115"/>
        <v>0</v>
      </c>
      <c r="AJ401" s="49">
        <f t="shared" si="102"/>
        <v>0</v>
      </c>
      <c r="AK401" s="49">
        <f t="shared" si="103"/>
        <v>0</v>
      </c>
      <c r="AL401" s="49">
        <f t="shared" si="104"/>
        <v>0</v>
      </c>
      <c r="AM401" s="49">
        <f t="shared" si="105"/>
        <v>0</v>
      </c>
      <c r="AN401" s="49">
        <f t="shared" si="106"/>
        <v>0</v>
      </c>
    </row>
    <row r="402" spans="2:40">
      <c r="B402" s="43" t="str">
        <f t="shared" si="99"/>
        <v>Asset 96</v>
      </c>
      <c r="F402" s="43" t="str">
        <f t="shared" ref="F402:L402" si="148">F154</f>
        <v>08 Inrichting gebouwen</v>
      </c>
      <c r="G402" s="43">
        <f t="shared" si="148"/>
        <v>2001</v>
      </c>
      <c r="H402" s="58">
        <f t="shared" si="148"/>
        <v>7752.83</v>
      </c>
      <c r="I402" s="43">
        <f t="shared" si="148"/>
        <v>2021</v>
      </c>
      <c r="J402" s="58">
        <f t="shared" si="148"/>
        <v>10</v>
      </c>
      <c r="K402" s="187">
        <f t="shared" si="148"/>
        <v>0</v>
      </c>
      <c r="L402" s="58">
        <f t="shared" si="148"/>
        <v>0</v>
      </c>
      <c r="N402" s="49">
        <f t="shared" si="110"/>
        <v>0</v>
      </c>
      <c r="P402" s="44">
        <f t="shared" si="101"/>
        <v>0</v>
      </c>
      <c r="R402" s="49">
        <f t="shared" si="142"/>
        <v>0</v>
      </c>
      <c r="S402" s="49">
        <f t="shared" si="142"/>
        <v>0</v>
      </c>
      <c r="T402" s="49">
        <f t="shared" si="142"/>
        <v>0</v>
      </c>
      <c r="U402" s="49">
        <f t="shared" si="142"/>
        <v>0</v>
      </c>
      <c r="V402" s="49">
        <f t="shared" si="142"/>
        <v>0</v>
      </c>
      <c r="X402" s="49">
        <f t="shared" si="143"/>
        <v>0</v>
      </c>
      <c r="Y402" s="49">
        <f t="shared" si="143"/>
        <v>0</v>
      </c>
      <c r="Z402" s="49">
        <f t="shared" si="143"/>
        <v>0</v>
      </c>
      <c r="AA402" s="49">
        <f t="shared" si="143"/>
        <v>0</v>
      </c>
      <c r="AB402" s="49">
        <f t="shared" si="143"/>
        <v>0</v>
      </c>
      <c r="AD402" s="49">
        <f t="shared" si="111"/>
        <v>0</v>
      </c>
      <c r="AE402" s="49">
        <f t="shared" si="112"/>
        <v>0</v>
      </c>
      <c r="AF402" s="49">
        <f t="shared" si="113"/>
        <v>0</v>
      </c>
      <c r="AG402" s="49">
        <f t="shared" si="114"/>
        <v>0</v>
      </c>
      <c r="AH402" s="49">
        <f t="shared" si="115"/>
        <v>0</v>
      </c>
      <c r="AJ402" s="49">
        <f t="shared" si="102"/>
        <v>0</v>
      </c>
      <c r="AK402" s="49">
        <f t="shared" si="103"/>
        <v>0</v>
      </c>
      <c r="AL402" s="49">
        <f t="shared" si="104"/>
        <v>0</v>
      </c>
      <c r="AM402" s="49">
        <f t="shared" si="105"/>
        <v>0</v>
      </c>
      <c r="AN402" s="49">
        <f t="shared" si="106"/>
        <v>0</v>
      </c>
    </row>
    <row r="403" spans="2:40">
      <c r="B403" s="43" t="str">
        <f t="shared" si="99"/>
        <v>Asset 97</v>
      </c>
      <c r="F403" s="43" t="str">
        <f t="shared" ref="F403:L403" si="149">F155</f>
        <v>37 ICT middelen 1 (gaschromatografen en comptabele meting)</v>
      </c>
      <c r="G403" s="43">
        <f t="shared" si="149"/>
        <v>2001</v>
      </c>
      <c r="H403" s="58">
        <f t="shared" si="149"/>
        <v>757040.92</v>
      </c>
      <c r="I403" s="43">
        <f t="shared" si="149"/>
        <v>2021</v>
      </c>
      <c r="J403" s="58">
        <f t="shared" si="149"/>
        <v>5</v>
      </c>
      <c r="K403" s="187">
        <f t="shared" si="149"/>
        <v>0</v>
      </c>
      <c r="L403" s="58">
        <f t="shared" si="149"/>
        <v>0</v>
      </c>
      <c r="N403" s="49">
        <f t="shared" si="110"/>
        <v>0</v>
      </c>
      <c r="P403" s="44">
        <f t="shared" si="101"/>
        <v>0</v>
      </c>
      <c r="R403" s="49">
        <f t="shared" si="142"/>
        <v>0</v>
      </c>
      <c r="S403" s="49">
        <f t="shared" si="142"/>
        <v>0</v>
      </c>
      <c r="T403" s="49">
        <f t="shared" si="142"/>
        <v>0</v>
      </c>
      <c r="U403" s="49">
        <f t="shared" si="142"/>
        <v>0</v>
      </c>
      <c r="V403" s="49">
        <f t="shared" si="142"/>
        <v>0</v>
      </c>
      <c r="X403" s="49">
        <f t="shared" si="143"/>
        <v>0</v>
      </c>
      <c r="Y403" s="49">
        <f t="shared" si="143"/>
        <v>0</v>
      </c>
      <c r="Z403" s="49">
        <f t="shared" si="143"/>
        <v>0</v>
      </c>
      <c r="AA403" s="49">
        <f t="shared" si="143"/>
        <v>0</v>
      </c>
      <c r="AB403" s="49">
        <f t="shared" si="143"/>
        <v>0</v>
      </c>
      <c r="AD403" s="49">
        <f t="shared" si="111"/>
        <v>0</v>
      </c>
      <c r="AE403" s="49">
        <f t="shared" si="112"/>
        <v>0</v>
      </c>
      <c r="AF403" s="49">
        <f t="shared" si="113"/>
        <v>0</v>
      </c>
      <c r="AG403" s="49">
        <f t="shared" si="114"/>
        <v>0</v>
      </c>
      <c r="AH403" s="49">
        <f t="shared" si="115"/>
        <v>0</v>
      </c>
      <c r="AJ403" s="49">
        <f t="shared" si="102"/>
        <v>0</v>
      </c>
      <c r="AK403" s="49">
        <f t="shared" si="103"/>
        <v>0</v>
      </c>
      <c r="AL403" s="49">
        <f t="shared" si="104"/>
        <v>0</v>
      </c>
      <c r="AM403" s="49">
        <f t="shared" si="105"/>
        <v>0</v>
      </c>
      <c r="AN403" s="49">
        <f t="shared" si="106"/>
        <v>0</v>
      </c>
    </row>
    <row r="404" spans="2:40">
      <c r="B404" s="43" t="str">
        <f t="shared" si="99"/>
        <v>Asset 98</v>
      </c>
      <c r="F404" s="43" t="str">
        <f t="shared" ref="F404:L404" si="150">F156</f>
        <v>13 Aanhangwagens</v>
      </c>
      <c r="G404" s="43">
        <f t="shared" si="150"/>
        <v>2001</v>
      </c>
      <c r="H404" s="58">
        <f t="shared" si="150"/>
        <v>2746.92</v>
      </c>
      <c r="I404" s="43">
        <f t="shared" si="150"/>
        <v>2021</v>
      </c>
      <c r="J404" s="58">
        <f t="shared" si="150"/>
        <v>10</v>
      </c>
      <c r="K404" s="187">
        <f t="shared" si="150"/>
        <v>1</v>
      </c>
      <c r="L404" s="58">
        <f t="shared" si="150"/>
        <v>0</v>
      </c>
      <c r="N404" s="49">
        <f t="shared" si="110"/>
        <v>0</v>
      </c>
      <c r="P404" s="44">
        <f t="shared" si="101"/>
        <v>0</v>
      </c>
      <c r="R404" s="49">
        <f t="shared" si="142"/>
        <v>0</v>
      </c>
      <c r="S404" s="49">
        <f t="shared" si="142"/>
        <v>0</v>
      </c>
      <c r="T404" s="49">
        <f t="shared" si="142"/>
        <v>0</v>
      </c>
      <c r="U404" s="49">
        <f t="shared" si="142"/>
        <v>0</v>
      </c>
      <c r="V404" s="49">
        <f t="shared" si="142"/>
        <v>0</v>
      </c>
      <c r="X404" s="49">
        <f t="shared" si="143"/>
        <v>0</v>
      </c>
      <c r="Y404" s="49">
        <f t="shared" si="143"/>
        <v>0</v>
      </c>
      <c r="Z404" s="49">
        <f t="shared" si="143"/>
        <v>0</v>
      </c>
      <c r="AA404" s="49">
        <f t="shared" si="143"/>
        <v>0</v>
      </c>
      <c r="AB404" s="49">
        <f t="shared" si="143"/>
        <v>0</v>
      </c>
      <c r="AD404" s="49">
        <f t="shared" si="111"/>
        <v>0</v>
      </c>
      <c r="AE404" s="49">
        <f t="shared" si="112"/>
        <v>0</v>
      </c>
      <c r="AF404" s="49">
        <f t="shared" si="113"/>
        <v>0</v>
      </c>
      <c r="AG404" s="49">
        <f t="shared" si="114"/>
        <v>0</v>
      </c>
      <c r="AH404" s="49">
        <f t="shared" si="115"/>
        <v>0</v>
      </c>
      <c r="AJ404" s="49">
        <f t="shared" si="102"/>
        <v>0</v>
      </c>
      <c r="AK404" s="49">
        <f t="shared" si="103"/>
        <v>0</v>
      </c>
      <c r="AL404" s="49">
        <f t="shared" si="104"/>
        <v>0</v>
      </c>
      <c r="AM404" s="49">
        <f t="shared" si="105"/>
        <v>0</v>
      </c>
      <c r="AN404" s="49">
        <f t="shared" si="106"/>
        <v>0</v>
      </c>
    </row>
    <row r="405" spans="2:40">
      <c r="B405" s="43" t="str">
        <f t="shared" si="99"/>
        <v>Asset 99</v>
      </c>
      <c r="F405" s="43" t="str">
        <f t="shared" ref="F405:L405" si="151">F157</f>
        <v>11 Werktuigen</v>
      </c>
      <c r="G405" s="43">
        <f t="shared" si="151"/>
        <v>2002</v>
      </c>
      <c r="H405" s="58">
        <f t="shared" si="151"/>
        <v>108571.05</v>
      </c>
      <c r="I405" s="43">
        <f t="shared" si="151"/>
        <v>2021</v>
      </c>
      <c r="J405" s="58">
        <f t="shared" si="151"/>
        <v>10</v>
      </c>
      <c r="K405" s="187">
        <f t="shared" si="151"/>
        <v>1</v>
      </c>
      <c r="L405" s="58">
        <f t="shared" si="151"/>
        <v>0</v>
      </c>
      <c r="N405" s="49">
        <f t="shared" si="110"/>
        <v>0</v>
      </c>
      <c r="P405" s="44">
        <f t="shared" si="101"/>
        <v>0</v>
      </c>
      <c r="R405" s="49">
        <f t="shared" si="142"/>
        <v>0</v>
      </c>
      <c r="S405" s="49">
        <f t="shared" si="142"/>
        <v>0</v>
      </c>
      <c r="T405" s="49">
        <f t="shared" si="142"/>
        <v>0</v>
      </c>
      <c r="U405" s="49">
        <f t="shared" si="142"/>
        <v>0</v>
      </c>
      <c r="V405" s="49">
        <f t="shared" si="142"/>
        <v>0</v>
      </c>
      <c r="X405" s="49">
        <f t="shared" si="143"/>
        <v>0</v>
      </c>
      <c r="Y405" s="49">
        <f t="shared" si="143"/>
        <v>0</v>
      </c>
      <c r="Z405" s="49">
        <f t="shared" si="143"/>
        <v>0</v>
      </c>
      <c r="AA405" s="49">
        <f t="shared" si="143"/>
        <v>0</v>
      </c>
      <c r="AB405" s="49">
        <f t="shared" si="143"/>
        <v>0</v>
      </c>
      <c r="AD405" s="49">
        <f t="shared" si="111"/>
        <v>0</v>
      </c>
      <c r="AE405" s="49">
        <f t="shared" si="112"/>
        <v>0</v>
      </c>
      <c r="AF405" s="49">
        <f t="shared" si="113"/>
        <v>0</v>
      </c>
      <c r="AG405" s="49">
        <f t="shared" si="114"/>
        <v>0</v>
      </c>
      <c r="AH405" s="49">
        <f t="shared" si="115"/>
        <v>0</v>
      </c>
      <c r="AJ405" s="49">
        <f t="shared" si="102"/>
        <v>0</v>
      </c>
      <c r="AK405" s="49">
        <f t="shared" si="103"/>
        <v>0</v>
      </c>
      <c r="AL405" s="49">
        <f t="shared" si="104"/>
        <v>0</v>
      </c>
      <c r="AM405" s="49">
        <f t="shared" si="105"/>
        <v>0</v>
      </c>
      <c r="AN405" s="49">
        <f t="shared" si="106"/>
        <v>0</v>
      </c>
    </row>
    <row r="406" spans="2:40">
      <c r="B406" s="43" t="str">
        <f t="shared" si="99"/>
        <v>Asset 100</v>
      </c>
      <c r="F406" s="43" t="str">
        <f t="shared" ref="F406:L406" si="152">F158</f>
        <v>37 ICT middelen 1 (gaschromatografen en comptabele meting)</v>
      </c>
      <c r="G406" s="43">
        <f t="shared" si="152"/>
        <v>2002</v>
      </c>
      <c r="H406" s="58">
        <f t="shared" si="152"/>
        <v>27589.78</v>
      </c>
      <c r="I406" s="43">
        <f t="shared" si="152"/>
        <v>2021</v>
      </c>
      <c r="J406" s="58">
        <f t="shared" si="152"/>
        <v>5</v>
      </c>
      <c r="K406" s="187">
        <f t="shared" si="152"/>
        <v>0</v>
      </c>
      <c r="L406" s="58">
        <f t="shared" si="152"/>
        <v>0</v>
      </c>
      <c r="N406" s="49">
        <f t="shared" si="110"/>
        <v>0</v>
      </c>
      <c r="P406" s="44">
        <f t="shared" si="101"/>
        <v>0</v>
      </c>
      <c r="R406" s="49">
        <f t="shared" si="142"/>
        <v>0</v>
      </c>
      <c r="S406" s="49">
        <f t="shared" si="142"/>
        <v>0</v>
      </c>
      <c r="T406" s="49">
        <f t="shared" si="142"/>
        <v>0</v>
      </c>
      <c r="U406" s="49">
        <f t="shared" si="142"/>
        <v>0</v>
      </c>
      <c r="V406" s="49">
        <f t="shared" si="142"/>
        <v>0</v>
      </c>
      <c r="X406" s="49">
        <f t="shared" si="143"/>
        <v>0</v>
      </c>
      <c r="Y406" s="49">
        <f t="shared" si="143"/>
        <v>0</v>
      </c>
      <c r="Z406" s="49">
        <f t="shared" si="143"/>
        <v>0</v>
      </c>
      <c r="AA406" s="49">
        <f t="shared" si="143"/>
        <v>0</v>
      </c>
      <c r="AB406" s="49">
        <f t="shared" si="143"/>
        <v>0</v>
      </c>
      <c r="AD406" s="49">
        <f t="shared" si="111"/>
        <v>0</v>
      </c>
      <c r="AE406" s="49">
        <f t="shared" si="112"/>
        <v>0</v>
      </c>
      <c r="AF406" s="49">
        <f t="shared" si="113"/>
        <v>0</v>
      </c>
      <c r="AG406" s="49">
        <f t="shared" si="114"/>
        <v>0</v>
      </c>
      <c r="AH406" s="49">
        <f t="shared" si="115"/>
        <v>0</v>
      </c>
      <c r="AJ406" s="49">
        <f t="shared" si="102"/>
        <v>0</v>
      </c>
      <c r="AK406" s="49">
        <f t="shared" si="103"/>
        <v>0</v>
      </c>
      <c r="AL406" s="49">
        <f t="shared" si="104"/>
        <v>0</v>
      </c>
      <c r="AM406" s="49">
        <f t="shared" si="105"/>
        <v>0</v>
      </c>
      <c r="AN406" s="49">
        <f t="shared" si="106"/>
        <v>0</v>
      </c>
    </row>
    <row r="407" spans="2:40">
      <c r="B407" s="43" t="str">
        <f t="shared" si="99"/>
        <v>Asset 101</v>
      </c>
      <c r="F407" s="43" t="str">
        <f t="shared" ref="F407:L407" si="153">F159</f>
        <v>14 Overig rollend materieel</v>
      </c>
      <c r="G407" s="43">
        <f t="shared" si="153"/>
        <v>2002</v>
      </c>
      <c r="H407" s="58">
        <f t="shared" si="153"/>
        <v>7905</v>
      </c>
      <c r="I407" s="43">
        <f t="shared" si="153"/>
        <v>2021</v>
      </c>
      <c r="J407" s="58">
        <f t="shared" si="153"/>
        <v>10</v>
      </c>
      <c r="K407" s="187">
        <f t="shared" si="153"/>
        <v>1</v>
      </c>
      <c r="L407" s="58">
        <f t="shared" si="153"/>
        <v>0</v>
      </c>
      <c r="N407" s="49">
        <f t="shared" si="110"/>
        <v>0</v>
      </c>
      <c r="P407" s="44">
        <f t="shared" si="101"/>
        <v>0</v>
      </c>
      <c r="R407" s="49">
        <f t="shared" ref="R407:V416" si="154">IF(R$305&lt;=$G407+$J407,VDB($L407*(1-$F$25),0,$P407,R$305-2022,MIN(R$305-2021,$P407),$F$22),0)</f>
        <v>0</v>
      </c>
      <c r="S407" s="49">
        <f t="shared" si="154"/>
        <v>0</v>
      </c>
      <c r="T407" s="49">
        <f t="shared" si="154"/>
        <v>0</v>
      </c>
      <c r="U407" s="49">
        <f t="shared" si="154"/>
        <v>0</v>
      </c>
      <c r="V407" s="49">
        <f t="shared" si="154"/>
        <v>0</v>
      </c>
      <c r="X407" s="49">
        <f t="shared" ref="X407:AB416" si="155">IF(X$305&lt;=$G407+$J407,VDB($L407*$F$25,0,$P407,X$305-2022,MIN(X$305-2021,$P407),1),0)</f>
        <v>0</v>
      </c>
      <c r="Y407" s="49">
        <f t="shared" si="155"/>
        <v>0</v>
      </c>
      <c r="Z407" s="49">
        <f t="shared" si="155"/>
        <v>0</v>
      </c>
      <c r="AA407" s="49">
        <f t="shared" si="155"/>
        <v>0</v>
      </c>
      <c r="AB407" s="49">
        <f t="shared" si="155"/>
        <v>0</v>
      </c>
      <c r="AD407" s="49">
        <f t="shared" si="111"/>
        <v>0</v>
      </c>
      <c r="AE407" s="49">
        <f t="shared" si="112"/>
        <v>0</v>
      </c>
      <c r="AF407" s="49">
        <f t="shared" si="113"/>
        <v>0</v>
      </c>
      <c r="AG407" s="49">
        <f t="shared" si="114"/>
        <v>0</v>
      </c>
      <c r="AH407" s="49">
        <f t="shared" si="115"/>
        <v>0</v>
      </c>
      <c r="AJ407" s="49">
        <f t="shared" si="102"/>
        <v>0</v>
      </c>
      <c r="AK407" s="49">
        <f t="shared" si="103"/>
        <v>0</v>
      </c>
      <c r="AL407" s="49">
        <f t="shared" si="104"/>
        <v>0</v>
      </c>
      <c r="AM407" s="49">
        <f t="shared" si="105"/>
        <v>0</v>
      </c>
      <c r="AN407" s="49">
        <f t="shared" si="106"/>
        <v>0</v>
      </c>
    </row>
    <row r="408" spans="2:40">
      <c r="B408" s="43" t="str">
        <f t="shared" si="99"/>
        <v>Asset 102</v>
      </c>
      <c r="F408" s="43" t="str">
        <f t="shared" ref="F408:L408" si="156">F160</f>
        <v>13 Aanhangwagens</v>
      </c>
      <c r="G408" s="43">
        <f t="shared" si="156"/>
        <v>2002</v>
      </c>
      <c r="H408" s="58">
        <f t="shared" si="156"/>
        <v>1243</v>
      </c>
      <c r="I408" s="43">
        <f t="shared" si="156"/>
        <v>2021</v>
      </c>
      <c r="J408" s="58">
        <f t="shared" si="156"/>
        <v>10</v>
      </c>
      <c r="K408" s="187">
        <f t="shared" si="156"/>
        <v>1</v>
      </c>
      <c r="L408" s="58">
        <f t="shared" si="156"/>
        <v>0</v>
      </c>
      <c r="N408" s="49">
        <f t="shared" si="110"/>
        <v>0</v>
      </c>
      <c r="P408" s="44">
        <f t="shared" si="101"/>
        <v>0</v>
      </c>
      <c r="R408" s="49">
        <f t="shared" si="154"/>
        <v>0</v>
      </c>
      <c r="S408" s="49">
        <f t="shared" si="154"/>
        <v>0</v>
      </c>
      <c r="T408" s="49">
        <f t="shared" si="154"/>
        <v>0</v>
      </c>
      <c r="U408" s="49">
        <f t="shared" si="154"/>
        <v>0</v>
      </c>
      <c r="V408" s="49">
        <f t="shared" si="154"/>
        <v>0</v>
      </c>
      <c r="X408" s="49">
        <f t="shared" si="155"/>
        <v>0</v>
      </c>
      <c r="Y408" s="49">
        <f t="shared" si="155"/>
        <v>0</v>
      </c>
      <c r="Z408" s="49">
        <f t="shared" si="155"/>
        <v>0</v>
      </c>
      <c r="AA408" s="49">
        <f t="shared" si="155"/>
        <v>0</v>
      </c>
      <c r="AB408" s="49">
        <f t="shared" si="155"/>
        <v>0</v>
      </c>
      <c r="AD408" s="49">
        <f t="shared" si="111"/>
        <v>0</v>
      </c>
      <c r="AE408" s="49">
        <f t="shared" si="112"/>
        <v>0</v>
      </c>
      <c r="AF408" s="49">
        <f t="shared" si="113"/>
        <v>0</v>
      </c>
      <c r="AG408" s="49">
        <f t="shared" si="114"/>
        <v>0</v>
      </c>
      <c r="AH408" s="49">
        <f t="shared" si="115"/>
        <v>0</v>
      </c>
      <c r="AJ408" s="49">
        <f t="shared" si="102"/>
        <v>0</v>
      </c>
      <c r="AK408" s="49">
        <f t="shared" si="103"/>
        <v>0</v>
      </c>
      <c r="AL408" s="49">
        <f t="shared" si="104"/>
        <v>0</v>
      </c>
      <c r="AM408" s="49">
        <f t="shared" si="105"/>
        <v>0</v>
      </c>
      <c r="AN408" s="49">
        <f t="shared" si="106"/>
        <v>0</v>
      </c>
    </row>
    <row r="409" spans="2:40">
      <c r="B409" s="43" t="str">
        <f t="shared" si="99"/>
        <v>Asset 103</v>
      </c>
      <c r="F409" s="43" t="str">
        <f t="shared" ref="F409:L409" si="157">F161</f>
        <v>06 Utiliteitsgebouwen</v>
      </c>
      <c r="G409" s="43">
        <f t="shared" si="157"/>
        <v>2002</v>
      </c>
      <c r="H409" s="58">
        <f t="shared" si="157"/>
        <v>68637.27</v>
      </c>
      <c r="I409" s="43">
        <f t="shared" si="157"/>
        <v>2021</v>
      </c>
      <c r="J409" s="58">
        <f t="shared" si="157"/>
        <v>30</v>
      </c>
      <c r="K409" s="187">
        <f t="shared" si="157"/>
        <v>0</v>
      </c>
      <c r="L409" s="58">
        <f t="shared" si="157"/>
        <v>33068.469795601901</v>
      </c>
      <c r="N409" s="49">
        <f t="shared" si="110"/>
        <v>33068.469795601901</v>
      </c>
      <c r="P409" s="44">
        <f t="shared" si="101"/>
        <v>10.5</v>
      </c>
      <c r="R409" s="49">
        <f t="shared" si="154"/>
        <v>3684.7723486527834</v>
      </c>
      <c r="S409" s="49">
        <f t="shared" si="154"/>
        <v>3228.562438819582</v>
      </c>
      <c r="T409" s="49">
        <f t="shared" si="154"/>
        <v>2828.8356606800144</v>
      </c>
      <c r="U409" s="49">
        <f t="shared" si="154"/>
        <v>2669.2603157185777</v>
      </c>
      <c r="V409" s="49">
        <f t="shared" si="154"/>
        <v>2669.2603157185777</v>
      </c>
      <c r="X409" s="49">
        <f t="shared" si="155"/>
        <v>314.93780757716098</v>
      </c>
      <c r="Y409" s="49">
        <f t="shared" si="155"/>
        <v>314.93780757716098</v>
      </c>
      <c r="Z409" s="49">
        <f t="shared" si="155"/>
        <v>314.93780757716098</v>
      </c>
      <c r="AA409" s="49">
        <f t="shared" si="155"/>
        <v>314.93780757716098</v>
      </c>
      <c r="AB409" s="49">
        <f t="shared" si="155"/>
        <v>314.93780757716098</v>
      </c>
      <c r="AD409" s="49">
        <f t="shared" si="111"/>
        <v>29068.759639371958</v>
      </c>
      <c r="AE409" s="49">
        <f t="shared" si="112"/>
        <v>25525.259392975215</v>
      </c>
      <c r="AF409" s="49">
        <f t="shared" si="113"/>
        <v>22381.485924718039</v>
      </c>
      <c r="AG409" s="49">
        <f t="shared" si="114"/>
        <v>19397.287801422302</v>
      </c>
      <c r="AH409" s="49">
        <f t="shared" si="115"/>
        <v>16413.089678126566</v>
      </c>
      <c r="AJ409" s="49">
        <f t="shared" si="102"/>
        <v>4988.0479839685913</v>
      </c>
      <c r="AK409" s="49">
        <f t="shared" si="103"/>
        <v>4385.8338063649253</v>
      </c>
      <c r="AL409" s="49">
        <f t="shared" si="104"/>
        <v>3994.2699333964611</v>
      </c>
      <c r="AM409" s="49">
        <f t="shared" si="105"/>
        <v>3721.2950597497861</v>
      </c>
      <c r="AN409" s="49">
        <f t="shared" si="106"/>
        <v>3607.8955310645483</v>
      </c>
    </row>
    <row r="410" spans="2:40">
      <c r="B410" s="43" t="str">
        <f t="shared" si="99"/>
        <v>Asset 104</v>
      </c>
      <c r="F410" s="43" t="str">
        <f t="shared" ref="F410:L410" si="158">F162</f>
        <v>09 Bedrijfsinventaris</v>
      </c>
      <c r="G410" s="43">
        <f t="shared" si="158"/>
        <v>2003</v>
      </c>
      <c r="H410" s="58">
        <f t="shared" si="158"/>
        <v>108222.26</v>
      </c>
      <c r="I410" s="43">
        <f t="shared" si="158"/>
        <v>2021</v>
      </c>
      <c r="J410" s="58">
        <f t="shared" si="158"/>
        <v>10</v>
      </c>
      <c r="K410" s="187">
        <f t="shared" si="158"/>
        <v>1</v>
      </c>
      <c r="L410" s="58">
        <f t="shared" si="158"/>
        <v>0</v>
      </c>
      <c r="N410" s="49">
        <f t="shared" si="110"/>
        <v>0</v>
      </c>
      <c r="P410" s="44">
        <f t="shared" si="101"/>
        <v>0</v>
      </c>
      <c r="R410" s="49">
        <f t="shared" si="154"/>
        <v>0</v>
      </c>
      <c r="S410" s="49">
        <f t="shared" si="154"/>
        <v>0</v>
      </c>
      <c r="T410" s="49">
        <f t="shared" si="154"/>
        <v>0</v>
      </c>
      <c r="U410" s="49">
        <f t="shared" si="154"/>
        <v>0</v>
      </c>
      <c r="V410" s="49">
        <f t="shared" si="154"/>
        <v>0</v>
      </c>
      <c r="X410" s="49">
        <f t="shared" si="155"/>
        <v>0</v>
      </c>
      <c r="Y410" s="49">
        <f t="shared" si="155"/>
        <v>0</v>
      </c>
      <c r="Z410" s="49">
        <f t="shared" si="155"/>
        <v>0</v>
      </c>
      <c r="AA410" s="49">
        <f t="shared" si="155"/>
        <v>0</v>
      </c>
      <c r="AB410" s="49">
        <f t="shared" si="155"/>
        <v>0</v>
      </c>
      <c r="AD410" s="49">
        <f t="shared" si="111"/>
        <v>0</v>
      </c>
      <c r="AE410" s="49">
        <f t="shared" si="112"/>
        <v>0</v>
      </c>
      <c r="AF410" s="49">
        <f t="shared" si="113"/>
        <v>0</v>
      </c>
      <c r="AG410" s="49">
        <f t="shared" si="114"/>
        <v>0</v>
      </c>
      <c r="AH410" s="49">
        <f t="shared" si="115"/>
        <v>0</v>
      </c>
      <c r="AJ410" s="49">
        <f t="shared" si="102"/>
        <v>0</v>
      </c>
      <c r="AK410" s="49">
        <f t="shared" si="103"/>
        <v>0</v>
      </c>
      <c r="AL410" s="49">
        <f t="shared" si="104"/>
        <v>0</v>
      </c>
      <c r="AM410" s="49">
        <f t="shared" si="105"/>
        <v>0</v>
      </c>
      <c r="AN410" s="49">
        <f t="shared" si="106"/>
        <v>0</v>
      </c>
    </row>
    <row r="411" spans="2:40">
      <c r="B411" s="43" t="str">
        <f t="shared" si="99"/>
        <v>Asset 105</v>
      </c>
      <c r="F411" s="43" t="str">
        <f t="shared" ref="F411:L411" si="159">F163</f>
        <v>11 Werktuigen</v>
      </c>
      <c r="G411" s="43">
        <f t="shared" si="159"/>
        <v>2003</v>
      </c>
      <c r="H411" s="58">
        <f t="shared" si="159"/>
        <v>135681.9</v>
      </c>
      <c r="I411" s="43">
        <f t="shared" si="159"/>
        <v>2021</v>
      </c>
      <c r="J411" s="58">
        <f t="shared" si="159"/>
        <v>10</v>
      </c>
      <c r="K411" s="187">
        <f t="shared" si="159"/>
        <v>1</v>
      </c>
      <c r="L411" s="58">
        <f t="shared" si="159"/>
        <v>0</v>
      </c>
      <c r="N411" s="49">
        <f t="shared" si="110"/>
        <v>0</v>
      </c>
      <c r="P411" s="44">
        <f t="shared" si="101"/>
        <v>0</v>
      </c>
      <c r="R411" s="49">
        <f t="shared" si="154"/>
        <v>0</v>
      </c>
      <c r="S411" s="49">
        <f t="shared" si="154"/>
        <v>0</v>
      </c>
      <c r="T411" s="49">
        <f t="shared" si="154"/>
        <v>0</v>
      </c>
      <c r="U411" s="49">
        <f t="shared" si="154"/>
        <v>0</v>
      </c>
      <c r="V411" s="49">
        <f t="shared" si="154"/>
        <v>0</v>
      </c>
      <c r="X411" s="49">
        <f t="shared" si="155"/>
        <v>0</v>
      </c>
      <c r="Y411" s="49">
        <f t="shared" si="155"/>
        <v>0</v>
      </c>
      <c r="Z411" s="49">
        <f t="shared" si="155"/>
        <v>0</v>
      </c>
      <c r="AA411" s="49">
        <f t="shared" si="155"/>
        <v>0</v>
      </c>
      <c r="AB411" s="49">
        <f t="shared" si="155"/>
        <v>0</v>
      </c>
      <c r="AD411" s="49">
        <f t="shared" si="111"/>
        <v>0</v>
      </c>
      <c r="AE411" s="49">
        <f t="shared" si="112"/>
        <v>0</v>
      </c>
      <c r="AF411" s="49">
        <f t="shared" si="113"/>
        <v>0</v>
      </c>
      <c r="AG411" s="49">
        <f t="shared" si="114"/>
        <v>0</v>
      </c>
      <c r="AH411" s="49">
        <f t="shared" si="115"/>
        <v>0</v>
      </c>
      <c r="AJ411" s="49">
        <f t="shared" si="102"/>
        <v>0</v>
      </c>
      <c r="AK411" s="49">
        <f t="shared" si="103"/>
        <v>0</v>
      </c>
      <c r="AL411" s="49">
        <f t="shared" si="104"/>
        <v>0</v>
      </c>
      <c r="AM411" s="49">
        <f t="shared" si="105"/>
        <v>0</v>
      </c>
      <c r="AN411" s="49">
        <f t="shared" si="106"/>
        <v>0</v>
      </c>
    </row>
    <row r="412" spans="2:40">
      <c r="B412" s="43" t="str">
        <f t="shared" si="99"/>
        <v>Asset 106</v>
      </c>
      <c r="F412" s="43" t="str">
        <f t="shared" ref="F412:L412" si="160">F164</f>
        <v>37 ICT middelen 1</v>
      </c>
      <c r="G412" s="43">
        <f t="shared" si="160"/>
        <v>2003</v>
      </c>
      <c r="H412" s="58">
        <f t="shared" si="160"/>
        <v>869353.66999999993</v>
      </c>
      <c r="I412" s="43">
        <f t="shared" si="160"/>
        <v>2021</v>
      </c>
      <c r="J412" s="58">
        <f t="shared" si="160"/>
        <v>5</v>
      </c>
      <c r="K412" s="187">
        <f t="shared" si="160"/>
        <v>1</v>
      </c>
      <c r="L412" s="58">
        <f t="shared" si="160"/>
        <v>0</v>
      </c>
      <c r="N412" s="49">
        <f t="shared" si="110"/>
        <v>0</v>
      </c>
      <c r="P412" s="44">
        <f t="shared" si="101"/>
        <v>0</v>
      </c>
      <c r="R412" s="49">
        <f t="shared" si="154"/>
        <v>0</v>
      </c>
      <c r="S412" s="49">
        <f t="shared" si="154"/>
        <v>0</v>
      </c>
      <c r="T412" s="49">
        <f t="shared" si="154"/>
        <v>0</v>
      </c>
      <c r="U412" s="49">
        <f t="shared" si="154"/>
        <v>0</v>
      </c>
      <c r="V412" s="49">
        <f t="shared" si="154"/>
        <v>0</v>
      </c>
      <c r="X412" s="49">
        <f t="shared" si="155"/>
        <v>0</v>
      </c>
      <c r="Y412" s="49">
        <f t="shared" si="155"/>
        <v>0</v>
      </c>
      <c r="Z412" s="49">
        <f t="shared" si="155"/>
        <v>0</v>
      </c>
      <c r="AA412" s="49">
        <f t="shared" si="155"/>
        <v>0</v>
      </c>
      <c r="AB412" s="49">
        <f t="shared" si="155"/>
        <v>0</v>
      </c>
      <c r="AD412" s="49">
        <f t="shared" si="111"/>
        <v>0</v>
      </c>
      <c r="AE412" s="49">
        <f t="shared" si="112"/>
        <v>0</v>
      </c>
      <c r="AF412" s="49">
        <f t="shared" si="113"/>
        <v>0</v>
      </c>
      <c r="AG412" s="49">
        <f t="shared" si="114"/>
        <v>0</v>
      </c>
      <c r="AH412" s="49">
        <f t="shared" si="115"/>
        <v>0</v>
      </c>
      <c r="AJ412" s="49">
        <f t="shared" si="102"/>
        <v>0</v>
      </c>
      <c r="AK412" s="49">
        <f t="shared" si="103"/>
        <v>0</v>
      </c>
      <c r="AL412" s="49">
        <f t="shared" si="104"/>
        <v>0</v>
      </c>
      <c r="AM412" s="49">
        <f t="shared" si="105"/>
        <v>0</v>
      </c>
      <c r="AN412" s="49">
        <f t="shared" si="106"/>
        <v>0</v>
      </c>
    </row>
    <row r="413" spans="2:40">
      <c r="B413" s="43" t="str">
        <f t="shared" si="99"/>
        <v>Asset 107</v>
      </c>
      <c r="F413" s="43" t="str">
        <f t="shared" ref="F413:L413" si="161">F165</f>
        <v>37 ICT middelen 1 (gaschromatografen en comptabele meting)</v>
      </c>
      <c r="G413" s="43">
        <f t="shared" si="161"/>
        <v>2003</v>
      </c>
      <c r="H413" s="58">
        <f t="shared" si="161"/>
        <v>1210667.97</v>
      </c>
      <c r="I413" s="43">
        <f t="shared" si="161"/>
        <v>2021</v>
      </c>
      <c r="J413" s="58">
        <f t="shared" si="161"/>
        <v>5</v>
      </c>
      <c r="K413" s="187">
        <f t="shared" si="161"/>
        <v>0</v>
      </c>
      <c r="L413" s="58">
        <f t="shared" si="161"/>
        <v>0</v>
      </c>
      <c r="N413" s="49">
        <f t="shared" si="110"/>
        <v>0</v>
      </c>
      <c r="P413" s="44">
        <f t="shared" si="101"/>
        <v>0</v>
      </c>
      <c r="R413" s="49">
        <f t="shared" si="154"/>
        <v>0</v>
      </c>
      <c r="S413" s="49">
        <f t="shared" si="154"/>
        <v>0</v>
      </c>
      <c r="T413" s="49">
        <f t="shared" si="154"/>
        <v>0</v>
      </c>
      <c r="U413" s="49">
        <f t="shared" si="154"/>
        <v>0</v>
      </c>
      <c r="V413" s="49">
        <f t="shared" si="154"/>
        <v>0</v>
      </c>
      <c r="X413" s="49">
        <f t="shared" si="155"/>
        <v>0</v>
      </c>
      <c r="Y413" s="49">
        <f t="shared" si="155"/>
        <v>0</v>
      </c>
      <c r="Z413" s="49">
        <f t="shared" si="155"/>
        <v>0</v>
      </c>
      <c r="AA413" s="49">
        <f t="shared" si="155"/>
        <v>0</v>
      </c>
      <c r="AB413" s="49">
        <f t="shared" si="155"/>
        <v>0</v>
      </c>
      <c r="AD413" s="49">
        <f t="shared" si="111"/>
        <v>0</v>
      </c>
      <c r="AE413" s="49">
        <f t="shared" si="112"/>
        <v>0</v>
      </c>
      <c r="AF413" s="49">
        <f t="shared" si="113"/>
        <v>0</v>
      </c>
      <c r="AG413" s="49">
        <f t="shared" si="114"/>
        <v>0</v>
      </c>
      <c r="AH413" s="49">
        <f t="shared" si="115"/>
        <v>0</v>
      </c>
      <c r="AJ413" s="49">
        <f t="shared" si="102"/>
        <v>0</v>
      </c>
      <c r="AK413" s="49">
        <f t="shared" si="103"/>
        <v>0</v>
      </c>
      <c r="AL413" s="49">
        <f t="shared" si="104"/>
        <v>0</v>
      </c>
      <c r="AM413" s="49">
        <f t="shared" si="105"/>
        <v>0</v>
      </c>
      <c r="AN413" s="49">
        <f t="shared" si="106"/>
        <v>0</v>
      </c>
    </row>
    <row r="414" spans="2:40">
      <c r="B414" s="43" t="str">
        <f t="shared" si="99"/>
        <v>Asset 108</v>
      </c>
      <c r="F414" s="43" t="str">
        <f t="shared" ref="F414:L414" si="162">F166</f>
        <v>10 Gereedschap</v>
      </c>
      <c r="G414" s="43">
        <f t="shared" si="162"/>
        <v>2003</v>
      </c>
      <c r="H414" s="58">
        <f t="shared" si="162"/>
        <v>62325</v>
      </c>
      <c r="I414" s="43">
        <f t="shared" si="162"/>
        <v>2021</v>
      </c>
      <c r="J414" s="58">
        <f t="shared" si="162"/>
        <v>10</v>
      </c>
      <c r="K414" s="187">
        <f t="shared" si="162"/>
        <v>1</v>
      </c>
      <c r="L414" s="58">
        <f t="shared" si="162"/>
        <v>0</v>
      </c>
      <c r="N414" s="49">
        <f t="shared" si="110"/>
        <v>0</v>
      </c>
      <c r="P414" s="44">
        <f t="shared" si="101"/>
        <v>0</v>
      </c>
      <c r="R414" s="49">
        <f t="shared" si="154"/>
        <v>0</v>
      </c>
      <c r="S414" s="49">
        <f t="shared" si="154"/>
        <v>0</v>
      </c>
      <c r="T414" s="49">
        <f t="shared" si="154"/>
        <v>0</v>
      </c>
      <c r="U414" s="49">
        <f t="shared" si="154"/>
        <v>0</v>
      </c>
      <c r="V414" s="49">
        <f t="shared" si="154"/>
        <v>0</v>
      </c>
      <c r="X414" s="49">
        <f t="shared" si="155"/>
        <v>0</v>
      </c>
      <c r="Y414" s="49">
        <f t="shared" si="155"/>
        <v>0</v>
      </c>
      <c r="Z414" s="49">
        <f t="shared" si="155"/>
        <v>0</v>
      </c>
      <c r="AA414" s="49">
        <f t="shared" si="155"/>
        <v>0</v>
      </c>
      <c r="AB414" s="49">
        <f t="shared" si="155"/>
        <v>0</v>
      </c>
      <c r="AD414" s="49">
        <f t="shared" si="111"/>
        <v>0</v>
      </c>
      <c r="AE414" s="49">
        <f t="shared" si="112"/>
        <v>0</v>
      </c>
      <c r="AF414" s="49">
        <f t="shared" si="113"/>
        <v>0</v>
      </c>
      <c r="AG414" s="49">
        <f t="shared" si="114"/>
        <v>0</v>
      </c>
      <c r="AH414" s="49">
        <f t="shared" si="115"/>
        <v>0</v>
      </c>
      <c r="AJ414" s="49">
        <f t="shared" si="102"/>
        <v>0</v>
      </c>
      <c r="AK414" s="49">
        <f t="shared" si="103"/>
        <v>0</v>
      </c>
      <c r="AL414" s="49">
        <f t="shared" si="104"/>
        <v>0</v>
      </c>
      <c r="AM414" s="49">
        <f t="shared" si="105"/>
        <v>0</v>
      </c>
      <c r="AN414" s="49">
        <f t="shared" si="106"/>
        <v>0</v>
      </c>
    </row>
    <row r="415" spans="2:40">
      <c r="B415" s="43" t="str">
        <f t="shared" si="99"/>
        <v>Asset 109</v>
      </c>
      <c r="F415" s="43" t="str">
        <f t="shared" ref="F415:L415" si="163">F167</f>
        <v>06 Utiliteitsgebouwen</v>
      </c>
      <c r="G415" s="43">
        <f t="shared" si="163"/>
        <v>2003</v>
      </c>
      <c r="H415" s="58">
        <f t="shared" si="163"/>
        <v>206366.74</v>
      </c>
      <c r="I415" s="43">
        <f t="shared" si="163"/>
        <v>2021</v>
      </c>
      <c r="J415" s="58">
        <f t="shared" si="163"/>
        <v>30</v>
      </c>
      <c r="K415" s="187">
        <f t="shared" si="163"/>
        <v>0</v>
      </c>
      <c r="L415" s="58">
        <f t="shared" si="163"/>
        <v>105414.90479883776</v>
      </c>
      <c r="N415" s="49">
        <f t="shared" si="110"/>
        <v>105414.90479883776</v>
      </c>
      <c r="P415" s="44">
        <f t="shared" si="101"/>
        <v>11.5</v>
      </c>
      <c r="R415" s="49">
        <f t="shared" si="154"/>
        <v>10724.820749099146</v>
      </c>
      <c r="S415" s="49">
        <f t="shared" si="154"/>
        <v>9512.4497078966342</v>
      </c>
      <c r="T415" s="49">
        <f t="shared" si="154"/>
        <v>8437.1293061344059</v>
      </c>
      <c r="U415" s="49">
        <f t="shared" si="154"/>
        <v>7788.1193595086825</v>
      </c>
      <c r="V415" s="49">
        <f t="shared" si="154"/>
        <v>7788.1193595086825</v>
      </c>
      <c r="X415" s="49">
        <f t="shared" si="155"/>
        <v>916.65134607685013</v>
      </c>
      <c r="Y415" s="49">
        <f t="shared" si="155"/>
        <v>916.65134607685013</v>
      </c>
      <c r="Z415" s="49">
        <f t="shared" si="155"/>
        <v>916.65134607685013</v>
      </c>
      <c r="AA415" s="49">
        <f t="shared" si="155"/>
        <v>916.65134607685013</v>
      </c>
      <c r="AB415" s="49">
        <f t="shared" si="155"/>
        <v>916.65134607685013</v>
      </c>
      <c r="AD415" s="49">
        <f t="shared" si="111"/>
        <v>93773.432703661761</v>
      </c>
      <c r="AE415" s="49">
        <f t="shared" si="112"/>
        <v>83344.331649688276</v>
      </c>
      <c r="AF415" s="49">
        <f t="shared" si="113"/>
        <v>73990.550997477025</v>
      </c>
      <c r="AG415" s="49">
        <f t="shared" si="114"/>
        <v>65285.780291891497</v>
      </c>
      <c r="AH415" s="49">
        <f t="shared" si="115"/>
        <v>56581.009586305969</v>
      </c>
      <c r="AJ415" s="49">
        <f t="shared" si="102"/>
        <v>14829.768807100496</v>
      </c>
      <c r="AK415" s="49">
        <f t="shared" si="103"/>
        <v>13179.463998413199</v>
      </c>
      <c r="AL415" s="49">
        <f t="shared" si="104"/>
        <v>12165.421590115382</v>
      </c>
      <c r="AM415" s="49">
        <f t="shared" si="105"/>
        <v>11185.630356677408</v>
      </c>
      <c r="AN415" s="49">
        <f t="shared" si="106"/>
        <v>10854.849069865159</v>
      </c>
    </row>
    <row r="416" spans="2:40">
      <c r="B416" s="43" t="str">
        <f t="shared" si="99"/>
        <v>Asset 110</v>
      </c>
      <c r="F416" s="43" t="str">
        <f t="shared" ref="F416:L416" si="164">F168</f>
        <v>13 Aanhangwagens</v>
      </c>
      <c r="G416" s="43">
        <f t="shared" si="164"/>
        <v>2003</v>
      </c>
      <c r="H416" s="58">
        <f t="shared" si="164"/>
        <v>1830.54</v>
      </c>
      <c r="I416" s="43">
        <f t="shared" si="164"/>
        <v>2021</v>
      </c>
      <c r="J416" s="58">
        <f t="shared" si="164"/>
        <v>10</v>
      </c>
      <c r="K416" s="187">
        <f t="shared" si="164"/>
        <v>1</v>
      </c>
      <c r="L416" s="58">
        <f t="shared" si="164"/>
        <v>0</v>
      </c>
      <c r="N416" s="49">
        <f t="shared" si="110"/>
        <v>0</v>
      </c>
      <c r="P416" s="44">
        <f t="shared" si="101"/>
        <v>0</v>
      </c>
      <c r="R416" s="49">
        <f t="shared" si="154"/>
        <v>0</v>
      </c>
      <c r="S416" s="49">
        <f t="shared" si="154"/>
        <v>0</v>
      </c>
      <c r="T416" s="49">
        <f t="shared" si="154"/>
        <v>0</v>
      </c>
      <c r="U416" s="49">
        <f t="shared" si="154"/>
        <v>0</v>
      </c>
      <c r="V416" s="49">
        <f t="shared" si="154"/>
        <v>0</v>
      </c>
      <c r="X416" s="49">
        <f t="shared" si="155"/>
        <v>0</v>
      </c>
      <c r="Y416" s="49">
        <f t="shared" si="155"/>
        <v>0</v>
      </c>
      <c r="Z416" s="49">
        <f t="shared" si="155"/>
        <v>0</v>
      </c>
      <c r="AA416" s="49">
        <f t="shared" si="155"/>
        <v>0</v>
      </c>
      <c r="AB416" s="49">
        <f t="shared" si="155"/>
        <v>0</v>
      </c>
      <c r="AD416" s="49">
        <f t="shared" si="111"/>
        <v>0</v>
      </c>
      <c r="AE416" s="49">
        <f t="shared" si="112"/>
        <v>0</v>
      </c>
      <c r="AF416" s="49">
        <f t="shared" si="113"/>
        <v>0</v>
      </c>
      <c r="AG416" s="49">
        <f t="shared" si="114"/>
        <v>0</v>
      </c>
      <c r="AH416" s="49">
        <f t="shared" si="115"/>
        <v>0</v>
      </c>
      <c r="AJ416" s="49">
        <f t="shared" si="102"/>
        <v>0</v>
      </c>
      <c r="AK416" s="49">
        <f t="shared" si="103"/>
        <v>0</v>
      </c>
      <c r="AL416" s="49">
        <f t="shared" si="104"/>
        <v>0</v>
      </c>
      <c r="AM416" s="49">
        <f t="shared" si="105"/>
        <v>0</v>
      </c>
      <c r="AN416" s="49">
        <f t="shared" si="106"/>
        <v>0</v>
      </c>
    </row>
    <row r="417" spans="2:40">
      <c r="B417" s="43" t="str">
        <f t="shared" si="99"/>
        <v>Asset 111</v>
      </c>
      <c r="F417" s="43" t="str">
        <f t="shared" ref="F417:L417" si="165">F169</f>
        <v>37 ICT middelen 1</v>
      </c>
      <c r="G417" s="43">
        <f t="shared" si="165"/>
        <v>2004</v>
      </c>
      <c r="H417" s="58">
        <f t="shared" si="165"/>
        <v>2583848.4300000002</v>
      </c>
      <c r="I417" s="43">
        <f t="shared" si="165"/>
        <v>2021</v>
      </c>
      <c r="J417" s="58">
        <f t="shared" si="165"/>
        <v>5</v>
      </c>
      <c r="K417" s="187">
        <f t="shared" si="165"/>
        <v>1</v>
      </c>
      <c r="L417" s="58">
        <f t="shared" si="165"/>
        <v>0</v>
      </c>
      <c r="N417" s="49">
        <f t="shared" si="110"/>
        <v>0</v>
      </c>
      <c r="P417" s="44">
        <f t="shared" si="101"/>
        <v>0</v>
      </c>
      <c r="R417" s="49">
        <f t="shared" ref="R417:V426" si="166">IF(R$305&lt;=$G417+$J417,VDB($L417*(1-$F$25),0,$P417,R$305-2022,MIN(R$305-2021,$P417),$F$22),0)</f>
        <v>0</v>
      </c>
      <c r="S417" s="49">
        <f t="shared" si="166"/>
        <v>0</v>
      </c>
      <c r="T417" s="49">
        <f t="shared" si="166"/>
        <v>0</v>
      </c>
      <c r="U417" s="49">
        <f t="shared" si="166"/>
        <v>0</v>
      </c>
      <c r="V417" s="49">
        <f t="shared" si="166"/>
        <v>0</v>
      </c>
      <c r="X417" s="49">
        <f t="shared" ref="X417:AB426" si="167">IF(X$305&lt;=$G417+$J417,VDB($L417*$F$25,0,$P417,X$305-2022,MIN(X$305-2021,$P417),1),0)</f>
        <v>0</v>
      </c>
      <c r="Y417" s="49">
        <f t="shared" si="167"/>
        <v>0</v>
      </c>
      <c r="Z417" s="49">
        <f t="shared" si="167"/>
        <v>0</v>
      </c>
      <c r="AA417" s="49">
        <f t="shared" si="167"/>
        <v>0</v>
      </c>
      <c r="AB417" s="49">
        <f t="shared" si="167"/>
        <v>0</v>
      </c>
      <c r="AD417" s="49">
        <f t="shared" si="111"/>
        <v>0</v>
      </c>
      <c r="AE417" s="49">
        <f t="shared" si="112"/>
        <v>0</v>
      </c>
      <c r="AF417" s="49">
        <f t="shared" si="113"/>
        <v>0</v>
      </c>
      <c r="AG417" s="49">
        <f t="shared" si="114"/>
        <v>0</v>
      </c>
      <c r="AH417" s="49">
        <f t="shared" si="115"/>
        <v>0</v>
      </c>
      <c r="AJ417" s="49">
        <f t="shared" si="102"/>
        <v>0</v>
      </c>
      <c r="AK417" s="49">
        <f t="shared" si="103"/>
        <v>0</v>
      </c>
      <c r="AL417" s="49">
        <f t="shared" si="104"/>
        <v>0</v>
      </c>
      <c r="AM417" s="49">
        <f t="shared" si="105"/>
        <v>0</v>
      </c>
      <c r="AN417" s="49">
        <f t="shared" si="106"/>
        <v>0</v>
      </c>
    </row>
    <row r="418" spans="2:40">
      <c r="B418" s="43" t="str">
        <f t="shared" si="99"/>
        <v>Asset 112</v>
      </c>
      <c r="F418" s="43" t="str">
        <f t="shared" ref="F418:L418" si="168">F170</f>
        <v>37 ICT middelen 1 (gaschromatografen en comptabele meting)</v>
      </c>
      <c r="G418" s="43">
        <f t="shared" si="168"/>
        <v>2004</v>
      </c>
      <c r="H418" s="58">
        <f t="shared" si="168"/>
        <v>263122.5</v>
      </c>
      <c r="I418" s="43">
        <f t="shared" si="168"/>
        <v>2021</v>
      </c>
      <c r="J418" s="58">
        <f t="shared" si="168"/>
        <v>5</v>
      </c>
      <c r="K418" s="187">
        <f t="shared" si="168"/>
        <v>0</v>
      </c>
      <c r="L418" s="58">
        <f t="shared" si="168"/>
        <v>0</v>
      </c>
      <c r="N418" s="49">
        <f t="shared" si="110"/>
        <v>0</v>
      </c>
      <c r="P418" s="44">
        <f t="shared" si="101"/>
        <v>0</v>
      </c>
      <c r="R418" s="49">
        <f t="shared" si="166"/>
        <v>0</v>
      </c>
      <c r="S418" s="49">
        <f t="shared" si="166"/>
        <v>0</v>
      </c>
      <c r="T418" s="49">
        <f t="shared" si="166"/>
        <v>0</v>
      </c>
      <c r="U418" s="49">
        <f t="shared" si="166"/>
        <v>0</v>
      </c>
      <c r="V418" s="49">
        <f t="shared" si="166"/>
        <v>0</v>
      </c>
      <c r="X418" s="49">
        <f t="shared" si="167"/>
        <v>0</v>
      </c>
      <c r="Y418" s="49">
        <f t="shared" si="167"/>
        <v>0</v>
      </c>
      <c r="Z418" s="49">
        <f t="shared" si="167"/>
        <v>0</v>
      </c>
      <c r="AA418" s="49">
        <f t="shared" si="167"/>
        <v>0</v>
      </c>
      <c r="AB418" s="49">
        <f t="shared" si="167"/>
        <v>0</v>
      </c>
      <c r="AD418" s="49">
        <f t="shared" si="111"/>
        <v>0</v>
      </c>
      <c r="AE418" s="49">
        <f t="shared" si="112"/>
        <v>0</v>
      </c>
      <c r="AF418" s="49">
        <f t="shared" si="113"/>
        <v>0</v>
      </c>
      <c r="AG418" s="49">
        <f t="shared" si="114"/>
        <v>0</v>
      </c>
      <c r="AH418" s="49">
        <f t="shared" si="115"/>
        <v>0</v>
      </c>
      <c r="AJ418" s="49">
        <f t="shared" si="102"/>
        <v>0</v>
      </c>
      <c r="AK418" s="49">
        <f t="shared" si="103"/>
        <v>0</v>
      </c>
      <c r="AL418" s="49">
        <f t="shared" si="104"/>
        <v>0</v>
      </c>
      <c r="AM418" s="49">
        <f t="shared" si="105"/>
        <v>0</v>
      </c>
      <c r="AN418" s="49">
        <f t="shared" si="106"/>
        <v>0</v>
      </c>
    </row>
    <row r="419" spans="2:40">
      <c r="B419" s="43" t="str">
        <f t="shared" si="99"/>
        <v>Asset 113</v>
      </c>
      <c r="F419" s="43" t="str">
        <f t="shared" ref="F419:L419" si="169">F171</f>
        <v>09 Bedrijfsinventaris</v>
      </c>
      <c r="G419" s="43">
        <f t="shared" si="169"/>
        <v>2004</v>
      </c>
      <c r="H419" s="58">
        <f t="shared" si="169"/>
        <v>142655</v>
      </c>
      <c r="I419" s="43">
        <f t="shared" si="169"/>
        <v>2021</v>
      </c>
      <c r="J419" s="58">
        <f t="shared" si="169"/>
        <v>10</v>
      </c>
      <c r="K419" s="187">
        <f t="shared" si="169"/>
        <v>1</v>
      </c>
      <c r="L419" s="58">
        <f t="shared" si="169"/>
        <v>0</v>
      </c>
      <c r="N419" s="49">
        <f t="shared" si="110"/>
        <v>0</v>
      </c>
      <c r="P419" s="44">
        <f t="shared" si="101"/>
        <v>0</v>
      </c>
      <c r="R419" s="49">
        <f t="shared" si="166"/>
        <v>0</v>
      </c>
      <c r="S419" s="49">
        <f t="shared" si="166"/>
        <v>0</v>
      </c>
      <c r="T419" s="49">
        <f t="shared" si="166"/>
        <v>0</v>
      </c>
      <c r="U419" s="49">
        <f t="shared" si="166"/>
        <v>0</v>
      </c>
      <c r="V419" s="49">
        <f t="shared" si="166"/>
        <v>0</v>
      </c>
      <c r="X419" s="49">
        <f t="shared" si="167"/>
        <v>0</v>
      </c>
      <c r="Y419" s="49">
        <f t="shared" si="167"/>
        <v>0</v>
      </c>
      <c r="Z419" s="49">
        <f t="shared" si="167"/>
        <v>0</v>
      </c>
      <c r="AA419" s="49">
        <f t="shared" si="167"/>
        <v>0</v>
      </c>
      <c r="AB419" s="49">
        <f t="shared" si="167"/>
        <v>0</v>
      </c>
      <c r="AD419" s="49">
        <f t="shared" si="111"/>
        <v>0</v>
      </c>
      <c r="AE419" s="49">
        <f t="shared" si="112"/>
        <v>0</v>
      </c>
      <c r="AF419" s="49">
        <f t="shared" si="113"/>
        <v>0</v>
      </c>
      <c r="AG419" s="49">
        <f t="shared" si="114"/>
        <v>0</v>
      </c>
      <c r="AH419" s="49">
        <f t="shared" si="115"/>
        <v>0</v>
      </c>
      <c r="AJ419" s="49">
        <f t="shared" si="102"/>
        <v>0</v>
      </c>
      <c r="AK419" s="49">
        <f t="shared" si="103"/>
        <v>0</v>
      </c>
      <c r="AL419" s="49">
        <f t="shared" si="104"/>
        <v>0</v>
      </c>
      <c r="AM419" s="49">
        <f t="shared" si="105"/>
        <v>0</v>
      </c>
      <c r="AN419" s="49">
        <f t="shared" si="106"/>
        <v>0</v>
      </c>
    </row>
    <row r="420" spans="2:40">
      <c r="B420" s="43" t="str">
        <f t="shared" si="99"/>
        <v>Asset 114</v>
      </c>
      <c r="F420" s="43" t="str">
        <f t="shared" ref="F420:L420" si="170">F172</f>
        <v>11 Werktuigen</v>
      </c>
      <c r="G420" s="43">
        <f t="shared" si="170"/>
        <v>2004</v>
      </c>
      <c r="H420" s="58">
        <f t="shared" si="170"/>
        <v>77020.09</v>
      </c>
      <c r="I420" s="43">
        <f t="shared" si="170"/>
        <v>2021</v>
      </c>
      <c r="J420" s="58">
        <f t="shared" si="170"/>
        <v>10</v>
      </c>
      <c r="K420" s="187">
        <f t="shared" si="170"/>
        <v>1</v>
      </c>
      <c r="L420" s="58">
        <f t="shared" si="170"/>
        <v>0</v>
      </c>
      <c r="N420" s="49">
        <f t="shared" si="110"/>
        <v>0</v>
      </c>
      <c r="P420" s="44">
        <f t="shared" si="101"/>
        <v>0</v>
      </c>
      <c r="R420" s="49">
        <f t="shared" si="166"/>
        <v>0</v>
      </c>
      <c r="S420" s="49">
        <f t="shared" si="166"/>
        <v>0</v>
      </c>
      <c r="T420" s="49">
        <f t="shared" si="166"/>
        <v>0</v>
      </c>
      <c r="U420" s="49">
        <f t="shared" si="166"/>
        <v>0</v>
      </c>
      <c r="V420" s="49">
        <f t="shared" si="166"/>
        <v>0</v>
      </c>
      <c r="X420" s="49">
        <f t="shared" si="167"/>
        <v>0</v>
      </c>
      <c r="Y420" s="49">
        <f t="shared" si="167"/>
        <v>0</v>
      </c>
      <c r="Z420" s="49">
        <f t="shared" si="167"/>
        <v>0</v>
      </c>
      <c r="AA420" s="49">
        <f t="shared" si="167"/>
        <v>0</v>
      </c>
      <c r="AB420" s="49">
        <f t="shared" si="167"/>
        <v>0</v>
      </c>
      <c r="AD420" s="49">
        <f t="shared" si="111"/>
        <v>0</v>
      </c>
      <c r="AE420" s="49">
        <f t="shared" si="112"/>
        <v>0</v>
      </c>
      <c r="AF420" s="49">
        <f t="shared" si="113"/>
        <v>0</v>
      </c>
      <c r="AG420" s="49">
        <f t="shared" si="114"/>
        <v>0</v>
      </c>
      <c r="AH420" s="49">
        <f t="shared" si="115"/>
        <v>0</v>
      </c>
      <c r="AJ420" s="49">
        <f t="shared" si="102"/>
        <v>0</v>
      </c>
      <c r="AK420" s="49">
        <f t="shared" si="103"/>
        <v>0</v>
      </c>
      <c r="AL420" s="49">
        <f t="shared" si="104"/>
        <v>0</v>
      </c>
      <c r="AM420" s="49">
        <f t="shared" si="105"/>
        <v>0</v>
      </c>
      <c r="AN420" s="49">
        <f t="shared" si="106"/>
        <v>0</v>
      </c>
    </row>
    <row r="421" spans="2:40">
      <c r="B421" s="43" t="str">
        <f t="shared" si="99"/>
        <v>Asset 115</v>
      </c>
      <c r="F421" s="43" t="str">
        <f t="shared" ref="F421:L421" si="171">F173</f>
        <v>14 Overig rollend materieel</v>
      </c>
      <c r="G421" s="43">
        <f t="shared" si="171"/>
        <v>2004</v>
      </c>
      <c r="H421" s="58">
        <f t="shared" si="171"/>
        <v>195332.07</v>
      </c>
      <c r="I421" s="43">
        <f t="shared" si="171"/>
        <v>2021</v>
      </c>
      <c r="J421" s="58">
        <f t="shared" si="171"/>
        <v>10</v>
      </c>
      <c r="K421" s="187">
        <f t="shared" si="171"/>
        <v>1</v>
      </c>
      <c r="L421" s="58">
        <f t="shared" si="171"/>
        <v>0</v>
      </c>
      <c r="N421" s="49">
        <f t="shared" si="110"/>
        <v>0</v>
      </c>
      <c r="P421" s="44">
        <f t="shared" si="101"/>
        <v>0</v>
      </c>
      <c r="R421" s="49">
        <f t="shared" si="166"/>
        <v>0</v>
      </c>
      <c r="S421" s="49">
        <f t="shared" si="166"/>
        <v>0</v>
      </c>
      <c r="T421" s="49">
        <f t="shared" si="166"/>
        <v>0</v>
      </c>
      <c r="U421" s="49">
        <f t="shared" si="166"/>
        <v>0</v>
      </c>
      <c r="V421" s="49">
        <f t="shared" si="166"/>
        <v>0</v>
      </c>
      <c r="X421" s="49">
        <f t="shared" si="167"/>
        <v>0</v>
      </c>
      <c r="Y421" s="49">
        <f t="shared" si="167"/>
        <v>0</v>
      </c>
      <c r="Z421" s="49">
        <f t="shared" si="167"/>
        <v>0</v>
      </c>
      <c r="AA421" s="49">
        <f t="shared" si="167"/>
        <v>0</v>
      </c>
      <c r="AB421" s="49">
        <f t="shared" si="167"/>
        <v>0</v>
      </c>
      <c r="AD421" s="49">
        <f t="shared" si="111"/>
        <v>0</v>
      </c>
      <c r="AE421" s="49">
        <f t="shared" si="112"/>
        <v>0</v>
      </c>
      <c r="AF421" s="49">
        <f t="shared" si="113"/>
        <v>0</v>
      </c>
      <c r="AG421" s="49">
        <f t="shared" si="114"/>
        <v>0</v>
      </c>
      <c r="AH421" s="49">
        <f t="shared" si="115"/>
        <v>0</v>
      </c>
      <c r="AJ421" s="49">
        <f t="shared" si="102"/>
        <v>0</v>
      </c>
      <c r="AK421" s="49">
        <f t="shared" si="103"/>
        <v>0</v>
      </c>
      <c r="AL421" s="49">
        <f t="shared" si="104"/>
        <v>0</v>
      </c>
      <c r="AM421" s="49">
        <f t="shared" si="105"/>
        <v>0</v>
      </c>
      <c r="AN421" s="49">
        <f t="shared" si="106"/>
        <v>0</v>
      </c>
    </row>
    <row r="422" spans="2:40">
      <c r="B422" s="43" t="str">
        <f t="shared" si="99"/>
        <v>Asset 116</v>
      </c>
      <c r="F422" s="43" t="str">
        <f t="shared" ref="F422:L422" si="172">F174</f>
        <v>13 Aanhangwagens</v>
      </c>
      <c r="G422" s="43">
        <f t="shared" si="172"/>
        <v>2004</v>
      </c>
      <c r="H422" s="58">
        <f t="shared" si="172"/>
        <v>1265</v>
      </c>
      <c r="I422" s="43">
        <f t="shared" si="172"/>
        <v>2021</v>
      </c>
      <c r="J422" s="58">
        <f t="shared" si="172"/>
        <v>10</v>
      </c>
      <c r="K422" s="187">
        <f t="shared" si="172"/>
        <v>1</v>
      </c>
      <c r="L422" s="58">
        <f t="shared" si="172"/>
        <v>0</v>
      </c>
      <c r="N422" s="49">
        <f t="shared" si="110"/>
        <v>0</v>
      </c>
      <c r="P422" s="44">
        <f t="shared" si="101"/>
        <v>0</v>
      </c>
      <c r="R422" s="49">
        <f t="shared" si="166"/>
        <v>0</v>
      </c>
      <c r="S422" s="49">
        <f t="shared" si="166"/>
        <v>0</v>
      </c>
      <c r="T422" s="49">
        <f t="shared" si="166"/>
        <v>0</v>
      </c>
      <c r="U422" s="49">
        <f t="shared" si="166"/>
        <v>0</v>
      </c>
      <c r="V422" s="49">
        <f t="shared" si="166"/>
        <v>0</v>
      </c>
      <c r="X422" s="49">
        <f t="shared" si="167"/>
        <v>0</v>
      </c>
      <c r="Y422" s="49">
        <f t="shared" si="167"/>
        <v>0</v>
      </c>
      <c r="Z422" s="49">
        <f t="shared" si="167"/>
        <v>0</v>
      </c>
      <c r="AA422" s="49">
        <f t="shared" si="167"/>
        <v>0</v>
      </c>
      <c r="AB422" s="49">
        <f t="shared" si="167"/>
        <v>0</v>
      </c>
      <c r="AD422" s="49">
        <f t="shared" si="111"/>
        <v>0</v>
      </c>
      <c r="AE422" s="49">
        <f t="shared" si="112"/>
        <v>0</v>
      </c>
      <c r="AF422" s="49">
        <f t="shared" si="113"/>
        <v>0</v>
      </c>
      <c r="AG422" s="49">
        <f t="shared" si="114"/>
        <v>0</v>
      </c>
      <c r="AH422" s="49">
        <f t="shared" si="115"/>
        <v>0</v>
      </c>
      <c r="AJ422" s="49">
        <f t="shared" si="102"/>
        <v>0</v>
      </c>
      <c r="AK422" s="49">
        <f t="shared" si="103"/>
        <v>0</v>
      </c>
      <c r="AL422" s="49">
        <f t="shared" si="104"/>
        <v>0</v>
      </c>
      <c r="AM422" s="49">
        <f t="shared" si="105"/>
        <v>0</v>
      </c>
      <c r="AN422" s="49">
        <f t="shared" si="106"/>
        <v>0</v>
      </c>
    </row>
    <row r="423" spans="2:40">
      <c r="B423" s="43" t="str">
        <f t="shared" si="99"/>
        <v>Asset 117</v>
      </c>
      <c r="F423" s="43" t="str">
        <f t="shared" ref="F423:L423" si="173">F175</f>
        <v>08 Inrichting gebouwen</v>
      </c>
      <c r="G423" s="43">
        <f t="shared" si="173"/>
        <v>2004</v>
      </c>
      <c r="H423" s="58">
        <f t="shared" si="173"/>
        <v>62865.23</v>
      </c>
      <c r="I423" s="43">
        <f t="shared" si="173"/>
        <v>2021</v>
      </c>
      <c r="J423" s="58">
        <f t="shared" si="173"/>
        <v>10</v>
      </c>
      <c r="K423" s="187">
        <f t="shared" si="173"/>
        <v>0</v>
      </c>
      <c r="L423" s="58">
        <f t="shared" si="173"/>
        <v>0</v>
      </c>
      <c r="N423" s="49">
        <f t="shared" si="110"/>
        <v>0</v>
      </c>
      <c r="P423" s="44">
        <f t="shared" si="101"/>
        <v>0</v>
      </c>
      <c r="R423" s="49">
        <f t="shared" si="166"/>
        <v>0</v>
      </c>
      <c r="S423" s="49">
        <f t="shared" si="166"/>
        <v>0</v>
      </c>
      <c r="T423" s="49">
        <f t="shared" si="166"/>
        <v>0</v>
      </c>
      <c r="U423" s="49">
        <f t="shared" si="166"/>
        <v>0</v>
      </c>
      <c r="V423" s="49">
        <f t="shared" si="166"/>
        <v>0</v>
      </c>
      <c r="X423" s="49">
        <f t="shared" si="167"/>
        <v>0</v>
      </c>
      <c r="Y423" s="49">
        <f t="shared" si="167"/>
        <v>0</v>
      </c>
      <c r="Z423" s="49">
        <f t="shared" si="167"/>
        <v>0</v>
      </c>
      <c r="AA423" s="49">
        <f t="shared" si="167"/>
        <v>0</v>
      </c>
      <c r="AB423" s="49">
        <f t="shared" si="167"/>
        <v>0</v>
      </c>
      <c r="AD423" s="49">
        <f t="shared" si="111"/>
        <v>0</v>
      </c>
      <c r="AE423" s="49">
        <f t="shared" si="112"/>
        <v>0</v>
      </c>
      <c r="AF423" s="49">
        <f t="shared" si="113"/>
        <v>0</v>
      </c>
      <c r="AG423" s="49">
        <f t="shared" si="114"/>
        <v>0</v>
      </c>
      <c r="AH423" s="49">
        <f t="shared" si="115"/>
        <v>0</v>
      </c>
      <c r="AJ423" s="49">
        <f t="shared" si="102"/>
        <v>0</v>
      </c>
      <c r="AK423" s="49">
        <f t="shared" si="103"/>
        <v>0</v>
      </c>
      <c r="AL423" s="49">
        <f t="shared" si="104"/>
        <v>0</v>
      </c>
      <c r="AM423" s="49">
        <f t="shared" si="105"/>
        <v>0</v>
      </c>
      <c r="AN423" s="49">
        <f t="shared" si="106"/>
        <v>0</v>
      </c>
    </row>
    <row r="424" spans="2:40">
      <c r="B424" s="43" t="str">
        <f t="shared" si="99"/>
        <v>Asset 118</v>
      </c>
      <c r="F424" s="43" t="str">
        <f t="shared" ref="F424:L424" si="174">F176</f>
        <v>12 Motorvoertuigen</v>
      </c>
      <c r="G424" s="43">
        <f t="shared" si="174"/>
        <v>2004</v>
      </c>
      <c r="H424" s="58">
        <f t="shared" si="174"/>
        <v>47369.03</v>
      </c>
      <c r="I424" s="43">
        <f t="shared" si="174"/>
        <v>2021</v>
      </c>
      <c r="J424" s="58">
        <f t="shared" si="174"/>
        <v>10</v>
      </c>
      <c r="K424" s="187">
        <f t="shared" si="174"/>
        <v>1</v>
      </c>
      <c r="L424" s="58">
        <f t="shared" si="174"/>
        <v>0</v>
      </c>
      <c r="N424" s="49">
        <f t="shared" si="110"/>
        <v>0</v>
      </c>
      <c r="P424" s="44">
        <f t="shared" si="101"/>
        <v>0</v>
      </c>
      <c r="R424" s="49">
        <f t="shared" si="166"/>
        <v>0</v>
      </c>
      <c r="S424" s="49">
        <f t="shared" si="166"/>
        <v>0</v>
      </c>
      <c r="T424" s="49">
        <f t="shared" si="166"/>
        <v>0</v>
      </c>
      <c r="U424" s="49">
        <f t="shared" si="166"/>
        <v>0</v>
      </c>
      <c r="V424" s="49">
        <f t="shared" si="166"/>
        <v>0</v>
      </c>
      <c r="X424" s="49">
        <f t="shared" si="167"/>
        <v>0</v>
      </c>
      <c r="Y424" s="49">
        <f t="shared" si="167"/>
        <v>0</v>
      </c>
      <c r="Z424" s="49">
        <f t="shared" si="167"/>
        <v>0</v>
      </c>
      <c r="AA424" s="49">
        <f t="shared" si="167"/>
        <v>0</v>
      </c>
      <c r="AB424" s="49">
        <f t="shared" si="167"/>
        <v>0</v>
      </c>
      <c r="AD424" s="49">
        <f t="shared" si="111"/>
        <v>0</v>
      </c>
      <c r="AE424" s="49">
        <f t="shared" si="112"/>
        <v>0</v>
      </c>
      <c r="AF424" s="49">
        <f t="shared" si="113"/>
        <v>0</v>
      </c>
      <c r="AG424" s="49">
        <f t="shared" si="114"/>
        <v>0</v>
      </c>
      <c r="AH424" s="49">
        <f t="shared" si="115"/>
        <v>0</v>
      </c>
      <c r="AJ424" s="49">
        <f t="shared" si="102"/>
        <v>0</v>
      </c>
      <c r="AK424" s="49">
        <f t="shared" si="103"/>
        <v>0</v>
      </c>
      <c r="AL424" s="49">
        <f t="shared" si="104"/>
        <v>0</v>
      </c>
      <c r="AM424" s="49">
        <f t="shared" si="105"/>
        <v>0</v>
      </c>
      <c r="AN424" s="49">
        <f t="shared" si="106"/>
        <v>0</v>
      </c>
    </row>
    <row r="425" spans="2:40">
      <c r="B425" s="43" t="str">
        <f t="shared" si="99"/>
        <v>Asset 119</v>
      </c>
      <c r="F425" s="43" t="str">
        <f t="shared" ref="F425:L425" si="175">F177</f>
        <v>06 Utiliteitsgebouwen</v>
      </c>
      <c r="G425" s="43">
        <f t="shared" si="175"/>
        <v>2005</v>
      </c>
      <c r="H425" s="58">
        <f t="shared" si="175"/>
        <v>13716.41</v>
      </c>
      <c r="I425" s="43">
        <f t="shared" si="175"/>
        <v>2021</v>
      </c>
      <c r="J425" s="58">
        <f t="shared" si="175"/>
        <v>30</v>
      </c>
      <c r="K425" s="187">
        <f t="shared" si="175"/>
        <v>0</v>
      </c>
      <c r="L425" s="58">
        <f t="shared" si="175"/>
        <v>7968.2289834864932</v>
      </c>
      <c r="N425" s="49">
        <f t="shared" si="110"/>
        <v>7968.2289834864932</v>
      </c>
      <c r="P425" s="44">
        <f t="shared" si="101"/>
        <v>13.5</v>
      </c>
      <c r="R425" s="49">
        <f t="shared" si="166"/>
        <v>690.57984523549612</v>
      </c>
      <c r="S425" s="49">
        <f t="shared" si="166"/>
        <v>624.07956384244835</v>
      </c>
      <c r="T425" s="49">
        <f t="shared" si="166"/>
        <v>563.98301325021259</v>
      </c>
      <c r="U425" s="49">
        <f t="shared" si="166"/>
        <v>509.67353790019206</v>
      </c>
      <c r="V425" s="49">
        <f t="shared" si="166"/>
        <v>503.48317104310473</v>
      </c>
      <c r="X425" s="49">
        <f t="shared" si="167"/>
        <v>59.023918396196251</v>
      </c>
      <c r="Y425" s="49">
        <f t="shared" si="167"/>
        <v>59.023918396196251</v>
      </c>
      <c r="Z425" s="49">
        <f t="shared" si="167"/>
        <v>59.023918396196251</v>
      </c>
      <c r="AA425" s="49">
        <f t="shared" si="167"/>
        <v>59.023918396196251</v>
      </c>
      <c r="AB425" s="49">
        <f t="shared" si="167"/>
        <v>59.023918396196251</v>
      </c>
      <c r="AD425" s="49">
        <f t="shared" si="111"/>
        <v>7218.6252198548009</v>
      </c>
      <c r="AE425" s="49">
        <f t="shared" si="112"/>
        <v>6535.5217376161563</v>
      </c>
      <c r="AF425" s="49">
        <f t="shared" si="113"/>
        <v>5912.5148059697467</v>
      </c>
      <c r="AG425" s="49">
        <f t="shared" si="114"/>
        <v>5343.817349673358</v>
      </c>
      <c r="AH425" s="49">
        <f t="shared" si="115"/>
        <v>4781.3102602340568</v>
      </c>
      <c r="AJ425" s="49">
        <f t="shared" si="102"/>
        <v>995.03702110675556</v>
      </c>
      <c r="AK425" s="49">
        <f t="shared" si="103"/>
        <v>898.77569957997775</v>
      </c>
      <c r="AL425" s="49">
        <f t="shared" si="104"/>
        <v>847.68249427325918</v>
      </c>
      <c r="AM425" s="49">
        <f t="shared" si="105"/>
        <v>771.76251558397587</v>
      </c>
      <c r="AN425" s="49">
        <f t="shared" si="106"/>
        <v>744.19687932819511</v>
      </c>
    </row>
    <row r="426" spans="2:40">
      <c r="B426" s="43" t="str">
        <f t="shared" si="99"/>
        <v>Asset 120</v>
      </c>
      <c r="F426" s="43" t="str">
        <f t="shared" ref="F426:L426" si="176">F178</f>
        <v>13 Aanhangwagens</v>
      </c>
      <c r="G426" s="43">
        <f t="shared" si="176"/>
        <v>2005</v>
      </c>
      <c r="H426" s="58">
        <f t="shared" si="176"/>
        <v>5690.5</v>
      </c>
      <c r="I426" s="43">
        <f t="shared" si="176"/>
        <v>2021</v>
      </c>
      <c r="J426" s="58">
        <f t="shared" si="176"/>
        <v>10</v>
      </c>
      <c r="K426" s="187">
        <f t="shared" si="176"/>
        <v>1</v>
      </c>
      <c r="L426" s="58">
        <f t="shared" si="176"/>
        <v>0</v>
      </c>
      <c r="N426" s="49">
        <f t="shared" si="110"/>
        <v>0</v>
      </c>
      <c r="P426" s="44">
        <f t="shared" si="101"/>
        <v>0</v>
      </c>
      <c r="R426" s="49">
        <f t="shared" si="166"/>
        <v>0</v>
      </c>
      <c r="S426" s="49">
        <f t="shared" si="166"/>
        <v>0</v>
      </c>
      <c r="T426" s="49">
        <f t="shared" si="166"/>
        <v>0</v>
      </c>
      <c r="U426" s="49">
        <f t="shared" si="166"/>
        <v>0</v>
      </c>
      <c r="V426" s="49">
        <f t="shared" si="166"/>
        <v>0</v>
      </c>
      <c r="X426" s="49">
        <f t="shared" si="167"/>
        <v>0</v>
      </c>
      <c r="Y426" s="49">
        <f t="shared" si="167"/>
        <v>0</v>
      </c>
      <c r="Z426" s="49">
        <f t="shared" si="167"/>
        <v>0</v>
      </c>
      <c r="AA426" s="49">
        <f t="shared" si="167"/>
        <v>0</v>
      </c>
      <c r="AB426" s="49">
        <f t="shared" si="167"/>
        <v>0</v>
      </c>
      <c r="AD426" s="49">
        <f t="shared" si="111"/>
        <v>0</v>
      </c>
      <c r="AE426" s="49">
        <f t="shared" si="112"/>
        <v>0</v>
      </c>
      <c r="AF426" s="49">
        <f t="shared" si="113"/>
        <v>0</v>
      </c>
      <c r="AG426" s="49">
        <f t="shared" si="114"/>
        <v>0</v>
      </c>
      <c r="AH426" s="49">
        <f t="shared" si="115"/>
        <v>0</v>
      </c>
      <c r="AJ426" s="49">
        <f t="shared" si="102"/>
        <v>0</v>
      </c>
      <c r="AK426" s="49">
        <f t="shared" si="103"/>
        <v>0</v>
      </c>
      <c r="AL426" s="49">
        <f t="shared" si="104"/>
        <v>0</v>
      </c>
      <c r="AM426" s="49">
        <f t="shared" si="105"/>
        <v>0</v>
      </c>
      <c r="AN426" s="49">
        <f t="shared" si="106"/>
        <v>0</v>
      </c>
    </row>
    <row r="427" spans="2:40">
      <c r="B427" s="43" t="str">
        <f t="shared" si="99"/>
        <v>Asset 121</v>
      </c>
      <c r="F427" s="43" t="str">
        <f t="shared" ref="F427:L427" si="177">F179</f>
        <v>08 Inrichting gebouwen</v>
      </c>
      <c r="G427" s="43">
        <f t="shared" si="177"/>
        <v>2005</v>
      </c>
      <c r="H427" s="58">
        <f t="shared" si="177"/>
        <v>149702.98000000001</v>
      </c>
      <c r="I427" s="43">
        <f t="shared" si="177"/>
        <v>2021</v>
      </c>
      <c r="J427" s="58">
        <f t="shared" si="177"/>
        <v>10</v>
      </c>
      <c r="K427" s="187">
        <f t="shared" si="177"/>
        <v>0</v>
      </c>
      <c r="L427" s="58">
        <f t="shared" si="177"/>
        <v>0</v>
      </c>
      <c r="N427" s="49">
        <f t="shared" si="110"/>
        <v>0</v>
      </c>
      <c r="P427" s="44">
        <f t="shared" si="101"/>
        <v>0</v>
      </c>
      <c r="R427" s="49">
        <f t="shared" ref="R427:V436" si="178">IF(R$305&lt;=$G427+$J427,VDB($L427*(1-$F$25),0,$P427,R$305-2022,MIN(R$305-2021,$P427),$F$22),0)</f>
        <v>0</v>
      </c>
      <c r="S427" s="49">
        <f t="shared" si="178"/>
        <v>0</v>
      </c>
      <c r="T427" s="49">
        <f t="shared" si="178"/>
        <v>0</v>
      </c>
      <c r="U427" s="49">
        <f t="shared" si="178"/>
        <v>0</v>
      </c>
      <c r="V427" s="49">
        <f t="shared" si="178"/>
        <v>0</v>
      </c>
      <c r="X427" s="49">
        <f t="shared" ref="X427:AB436" si="179">IF(X$305&lt;=$G427+$J427,VDB($L427*$F$25,0,$P427,X$305-2022,MIN(X$305-2021,$P427),1),0)</f>
        <v>0</v>
      </c>
      <c r="Y427" s="49">
        <f t="shared" si="179"/>
        <v>0</v>
      </c>
      <c r="Z427" s="49">
        <f t="shared" si="179"/>
        <v>0</v>
      </c>
      <c r="AA427" s="49">
        <f t="shared" si="179"/>
        <v>0</v>
      </c>
      <c r="AB427" s="49">
        <f t="shared" si="179"/>
        <v>0</v>
      </c>
      <c r="AD427" s="49">
        <f t="shared" si="111"/>
        <v>0</v>
      </c>
      <c r="AE427" s="49">
        <f t="shared" si="112"/>
        <v>0</v>
      </c>
      <c r="AF427" s="49">
        <f t="shared" si="113"/>
        <v>0</v>
      </c>
      <c r="AG427" s="49">
        <f t="shared" si="114"/>
        <v>0</v>
      </c>
      <c r="AH427" s="49">
        <f t="shared" si="115"/>
        <v>0</v>
      </c>
      <c r="AJ427" s="49">
        <f t="shared" si="102"/>
        <v>0</v>
      </c>
      <c r="AK427" s="49">
        <f t="shared" si="103"/>
        <v>0</v>
      </c>
      <c r="AL427" s="49">
        <f t="shared" si="104"/>
        <v>0</v>
      </c>
      <c r="AM427" s="49">
        <f t="shared" si="105"/>
        <v>0</v>
      </c>
      <c r="AN427" s="49">
        <f t="shared" si="106"/>
        <v>0</v>
      </c>
    </row>
    <row r="428" spans="2:40">
      <c r="B428" s="43" t="str">
        <f t="shared" si="99"/>
        <v>Asset 122</v>
      </c>
      <c r="F428" s="43" t="str">
        <f t="shared" ref="F428:L428" si="180">F180</f>
        <v>12 Motorvoertuigen</v>
      </c>
      <c r="G428" s="43">
        <f t="shared" si="180"/>
        <v>2005</v>
      </c>
      <c r="H428" s="58">
        <f t="shared" si="180"/>
        <v>144500</v>
      </c>
      <c r="I428" s="43">
        <f t="shared" si="180"/>
        <v>2021</v>
      </c>
      <c r="J428" s="58">
        <f t="shared" si="180"/>
        <v>10</v>
      </c>
      <c r="K428" s="187">
        <f t="shared" si="180"/>
        <v>1</v>
      </c>
      <c r="L428" s="58">
        <f t="shared" si="180"/>
        <v>0</v>
      </c>
      <c r="N428" s="49">
        <f t="shared" si="110"/>
        <v>0</v>
      </c>
      <c r="P428" s="44">
        <f t="shared" si="101"/>
        <v>0</v>
      </c>
      <c r="R428" s="49">
        <f t="shared" si="178"/>
        <v>0</v>
      </c>
      <c r="S428" s="49">
        <f t="shared" si="178"/>
        <v>0</v>
      </c>
      <c r="T428" s="49">
        <f t="shared" si="178"/>
        <v>0</v>
      </c>
      <c r="U428" s="49">
        <f t="shared" si="178"/>
        <v>0</v>
      </c>
      <c r="V428" s="49">
        <f t="shared" si="178"/>
        <v>0</v>
      </c>
      <c r="X428" s="49">
        <f t="shared" si="179"/>
        <v>0</v>
      </c>
      <c r="Y428" s="49">
        <f t="shared" si="179"/>
        <v>0</v>
      </c>
      <c r="Z428" s="49">
        <f t="shared" si="179"/>
        <v>0</v>
      </c>
      <c r="AA428" s="49">
        <f t="shared" si="179"/>
        <v>0</v>
      </c>
      <c r="AB428" s="49">
        <f t="shared" si="179"/>
        <v>0</v>
      </c>
      <c r="AD428" s="49">
        <f t="shared" si="111"/>
        <v>0</v>
      </c>
      <c r="AE428" s="49">
        <f t="shared" si="112"/>
        <v>0</v>
      </c>
      <c r="AF428" s="49">
        <f t="shared" si="113"/>
        <v>0</v>
      </c>
      <c r="AG428" s="49">
        <f t="shared" si="114"/>
        <v>0</v>
      </c>
      <c r="AH428" s="49">
        <f t="shared" si="115"/>
        <v>0</v>
      </c>
      <c r="AJ428" s="49">
        <f t="shared" si="102"/>
        <v>0</v>
      </c>
      <c r="AK428" s="49">
        <f t="shared" si="103"/>
        <v>0</v>
      </c>
      <c r="AL428" s="49">
        <f t="shared" si="104"/>
        <v>0</v>
      </c>
      <c r="AM428" s="49">
        <f t="shared" si="105"/>
        <v>0</v>
      </c>
      <c r="AN428" s="49">
        <f t="shared" si="106"/>
        <v>0</v>
      </c>
    </row>
    <row r="429" spans="2:40">
      <c r="B429" s="43" t="str">
        <f t="shared" si="99"/>
        <v>Asset 123</v>
      </c>
      <c r="F429" s="43" t="str">
        <f t="shared" ref="F429:L429" si="181">F181</f>
        <v>09 Bedrijfsinventaris</v>
      </c>
      <c r="G429" s="43">
        <f t="shared" si="181"/>
        <v>2005</v>
      </c>
      <c r="H429" s="58">
        <f t="shared" si="181"/>
        <v>22500</v>
      </c>
      <c r="I429" s="43">
        <f t="shared" si="181"/>
        <v>2021</v>
      </c>
      <c r="J429" s="58">
        <f t="shared" si="181"/>
        <v>10</v>
      </c>
      <c r="K429" s="187">
        <f t="shared" si="181"/>
        <v>1</v>
      </c>
      <c r="L429" s="58">
        <f t="shared" si="181"/>
        <v>0</v>
      </c>
      <c r="N429" s="49">
        <f t="shared" si="110"/>
        <v>0</v>
      </c>
      <c r="P429" s="44">
        <f t="shared" si="101"/>
        <v>0</v>
      </c>
      <c r="R429" s="49">
        <f t="shared" si="178"/>
        <v>0</v>
      </c>
      <c r="S429" s="49">
        <f t="shared" si="178"/>
        <v>0</v>
      </c>
      <c r="T429" s="49">
        <f t="shared" si="178"/>
        <v>0</v>
      </c>
      <c r="U429" s="49">
        <f t="shared" si="178"/>
        <v>0</v>
      </c>
      <c r="V429" s="49">
        <f t="shared" si="178"/>
        <v>0</v>
      </c>
      <c r="X429" s="49">
        <f t="shared" si="179"/>
        <v>0</v>
      </c>
      <c r="Y429" s="49">
        <f t="shared" si="179"/>
        <v>0</v>
      </c>
      <c r="Z429" s="49">
        <f t="shared" si="179"/>
        <v>0</v>
      </c>
      <c r="AA429" s="49">
        <f t="shared" si="179"/>
        <v>0</v>
      </c>
      <c r="AB429" s="49">
        <f t="shared" si="179"/>
        <v>0</v>
      </c>
      <c r="AD429" s="49">
        <f t="shared" si="111"/>
        <v>0</v>
      </c>
      <c r="AE429" s="49">
        <f t="shared" si="112"/>
        <v>0</v>
      </c>
      <c r="AF429" s="49">
        <f t="shared" si="113"/>
        <v>0</v>
      </c>
      <c r="AG429" s="49">
        <f t="shared" si="114"/>
        <v>0</v>
      </c>
      <c r="AH429" s="49">
        <f t="shared" si="115"/>
        <v>0</v>
      </c>
      <c r="AJ429" s="49">
        <f t="shared" si="102"/>
        <v>0</v>
      </c>
      <c r="AK429" s="49">
        <f t="shared" si="103"/>
        <v>0</v>
      </c>
      <c r="AL429" s="49">
        <f t="shared" si="104"/>
        <v>0</v>
      </c>
      <c r="AM429" s="49">
        <f t="shared" si="105"/>
        <v>0</v>
      </c>
      <c r="AN429" s="49">
        <f t="shared" si="106"/>
        <v>0</v>
      </c>
    </row>
    <row r="430" spans="2:40">
      <c r="B430" s="43" t="str">
        <f t="shared" si="99"/>
        <v>Asset 124</v>
      </c>
      <c r="F430" s="43" t="str">
        <f t="shared" ref="F430:L430" si="182">F182</f>
        <v>14 Overig rollend materieel</v>
      </c>
      <c r="G430" s="43">
        <f t="shared" si="182"/>
        <v>2006</v>
      </c>
      <c r="H430" s="58">
        <f t="shared" si="182"/>
        <v>23374</v>
      </c>
      <c r="I430" s="43">
        <f t="shared" si="182"/>
        <v>2021</v>
      </c>
      <c r="J430" s="58">
        <f t="shared" si="182"/>
        <v>10</v>
      </c>
      <c r="K430" s="187">
        <f t="shared" si="182"/>
        <v>1</v>
      </c>
      <c r="L430" s="58">
        <f t="shared" si="182"/>
        <v>0</v>
      </c>
      <c r="N430" s="49">
        <f t="shared" si="110"/>
        <v>0</v>
      </c>
      <c r="P430" s="44">
        <f t="shared" si="101"/>
        <v>0</v>
      </c>
      <c r="R430" s="49">
        <f t="shared" si="178"/>
        <v>0</v>
      </c>
      <c r="S430" s="49">
        <f t="shared" si="178"/>
        <v>0</v>
      </c>
      <c r="T430" s="49">
        <f t="shared" si="178"/>
        <v>0</v>
      </c>
      <c r="U430" s="49">
        <f t="shared" si="178"/>
        <v>0</v>
      </c>
      <c r="V430" s="49">
        <f t="shared" si="178"/>
        <v>0</v>
      </c>
      <c r="X430" s="49">
        <f t="shared" si="179"/>
        <v>0</v>
      </c>
      <c r="Y430" s="49">
        <f t="shared" si="179"/>
        <v>0</v>
      </c>
      <c r="Z430" s="49">
        <f t="shared" si="179"/>
        <v>0</v>
      </c>
      <c r="AA430" s="49">
        <f t="shared" si="179"/>
        <v>0</v>
      </c>
      <c r="AB430" s="49">
        <f t="shared" si="179"/>
        <v>0</v>
      </c>
      <c r="AD430" s="49">
        <f t="shared" si="111"/>
        <v>0</v>
      </c>
      <c r="AE430" s="49">
        <f t="shared" si="112"/>
        <v>0</v>
      </c>
      <c r="AF430" s="49">
        <f t="shared" si="113"/>
        <v>0</v>
      </c>
      <c r="AG430" s="49">
        <f t="shared" si="114"/>
        <v>0</v>
      </c>
      <c r="AH430" s="49">
        <f t="shared" si="115"/>
        <v>0</v>
      </c>
      <c r="AJ430" s="49">
        <f t="shared" si="102"/>
        <v>0</v>
      </c>
      <c r="AK430" s="49">
        <f t="shared" si="103"/>
        <v>0</v>
      </c>
      <c r="AL430" s="49">
        <f t="shared" si="104"/>
        <v>0</v>
      </c>
      <c r="AM430" s="49">
        <f t="shared" si="105"/>
        <v>0</v>
      </c>
      <c r="AN430" s="49">
        <f t="shared" si="106"/>
        <v>0</v>
      </c>
    </row>
    <row r="431" spans="2:40">
      <c r="B431" s="43" t="str">
        <f t="shared" si="99"/>
        <v>Asset 125</v>
      </c>
      <c r="F431" s="43" t="str">
        <f t="shared" ref="F431:L431" si="183">F183</f>
        <v>06 Utiliteitsgebouwen</v>
      </c>
      <c r="G431" s="43">
        <f t="shared" si="183"/>
        <v>2006</v>
      </c>
      <c r="H431" s="58">
        <f t="shared" si="183"/>
        <v>216791.4</v>
      </c>
      <c r="I431" s="43">
        <f t="shared" si="183"/>
        <v>2021</v>
      </c>
      <c r="J431" s="58">
        <f t="shared" si="183"/>
        <v>30</v>
      </c>
      <c r="K431" s="187">
        <f t="shared" si="183"/>
        <v>0</v>
      </c>
      <c r="L431" s="58">
        <f t="shared" si="183"/>
        <v>132877.0119526372</v>
      </c>
      <c r="N431" s="49">
        <f t="shared" si="110"/>
        <v>132877.0119526372</v>
      </c>
      <c r="P431" s="44">
        <f t="shared" si="101"/>
        <v>14.5</v>
      </c>
      <c r="R431" s="49">
        <f t="shared" si="178"/>
        <v>10721.800274799003</v>
      </c>
      <c r="S431" s="49">
        <f t="shared" si="178"/>
        <v>9760.5354225756437</v>
      </c>
      <c r="T431" s="49">
        <f t="shared" si="178"/>
        <v>8885.4529364136888</v>
      </c>
      <c r="U431" s="49">
        <f t="shared" si="178"/>
        <v>8088.8261214248769</v>
      </c>
      <c r="V431" s="49">
        <f t="shared" si="178"/>
        <v>7822.1615240152651</v>
      </c>
      <c r="X431" s="49">
        <f t="shared" si="179"/>
        <v>916.39318588025662</v>
      </c>
      <c r="Y431" s="49">
        <f t="shared" si="179"/>
        <v>916.39318588025662</v>
      </c>
      <c r="Z431" s="49">
        <f t="shared" si="179"/>
        <v>916.39318588025662</v>
      </c>
      <c r="AA431" s="49">
        <f t="shared" si="179"/>
        <v>916.39318588025662</v>
      </c>
      <c r="AB431" s="49">
        <f t="shared" si="179"/>
        <v>916.39318588025662</v>
      </c>
      <c r="AD431" s="49">
        <f t="shared" si="111"/>
        <v>121238.81849195795</v>
      </c>
      <c r="AE431" s="49">
        <f t="shared" si="112"/>
        <v>110561.88988350205</v>
      </c>
      <c r="AF431" s="49">
        <f t="shared" si="113"/>
        <v>100760.04376120812</v>
      </c>
      <c r="AG431" s="49">
        <f t="shared" si="114"/>
        <v>91754.824453902984</v>
      </c>
      <c r="AH431" s="49">
        <f t="shared" si="115"/>
        <v>83016.26974400747</v>
      </c>
      <c r="AJ431" s="49">
        <f t="shared" si="102"/>
        <v>15760.313289405831</v>
      </c>
      <c r="AK431" s="49">
        <f t="shared" si="103"/>
        <v>14325.470974611468</v>
      </c>
      <c r="AL431" s="49">
        <f t="shared" si="104"/>
        <v>13630.727785219853</v>
      </c>
      <c r="AM431" s="49">
        <f t="shared" si="105"/>
        <v>12491.902636553446</v>
      </c>
      <c r="AN431" s="49">
        <f t="shared" si="106"/>
        <v>11893.172960167805</v>
      </c>
    </row>
    <row r="432" spans="2:40">
      <c r="B432" s="43" t="str">
        <f t="shared" si="99"/>
        <v>Asset 126</v>
      </c>
      <c r="F432" s="43" t="str">
        <f t="shared" ref="F432:L432" si="184">F184</f>
        <v>11 Werktuigen</v>
      </c>
      <c r="G432" s="43">
        <f t="shared" si="184"/>
        <v>2006</v>
      </c>
      <c r="H432" s="58">
        <f t="shared" si="184"/>
        <v>39984.959999999999</v>
      </c>
      <c r="I432" s="43">
        <f t="shared" si="184"/>
        <v>2021</v>
      </c>
      <c r="J432" s="58">
        <f t="shared" si="184"/>
        <v>10</v>
      </c>
      <c r="K432" s="187">
        <f t="shared" si="184"/>
        <v>1</v>
      </c>
      <c r="L432" s="58">
        <f t="shared" si="184"/>
        <v>0</v>
      </c>
      <c r="N432" s="49">
        <f t="shared" si="110"/>
        <v>0</v>
      </c>
      <c r="P432" s="44">
        <f t="shared" si="101"/>
        <v>0</v>
      </c>
      <c r="R432" s="49">
        <f t="shared" si="178"/>
        <v>0</v>
      </c>
      <c r="S432" s="49">
        <f t="shared" si="178"/>
        <v>0</v>
      </c>
      <c r="T432" s="49">
        <f t="shared" si="178"/>
        <v>0</v>
      </c>
      <c r="U432" s="49">
        <f t="shared" si="178"/>
        <v>0</v>
      </c>
      <c r="V432" s="49">
        <f t="shared" si="178"/>
        <v>0</v>
      </c>
      <c r="X432" s="49">
        <f t="shared" si="179"/>
        <v>0</v>
      </c>
      <c r="Y432" s="49">
        <f t="shared" si="179"/>
        <v>0</v>
      </c>
      <c r="Z432" s="49">
        <f t="shared" si="179"/>
        <v>0</v>
      </c>
      <c r="AA432" s="49">
        <f t="shared" si="179"/>
        <v>0</v>
      </c>
      <c r="AB432" s="49">
        <f t="shared" si="179"/>
        <v>0</v>
      </c>
      <c r="AD432" s="49">
        <f t="shared" si="111"/>
        <v>0</v>
      </c>
      <c r="AE432" s="49">
        <f t="shared" si="112"/>
        <v>0</v>
      </c>
      <c r="AF432" s="49">
        <f t="shared" si="113"/>
        <v>0</v>
      </c>
      <c r="AG432" s="49">
        <f t="shared" si="114"/>
        <v>0</v>
      </c>
      <c r="AH432" s="49">
        <f t="shared" si="115"/>
        <v>0</v>
      </c>
      <c r="AJ432" s="49">
        <f t="shared" si="102"/>
        <v>0</v>
      </c>
      <c r="AK432" s="49">
        <f t="shared" si="103"/>
        <v>0</v>
      </c>
      <c r="AL432" s="49">
        <f t="shared" si="104"/>
        <v>0</v>
      </c>
      <c r="AM432" s="49">
        <f t="shared" si="105"/>
        <v>0</v>
      </c>
      <c r="AN432" s="49">
        <f t="shared" si="106"/>
        <v>0</v>
      </c>
    </row>
    <row r="433" spans="2:40">
      <c r="B433" s="43" t="str">
        <f t="shared" si="99"/>
        <v>Asset 127</v>
      </c>
      <c r="F433" s="43" t="str">
        <f t="shared" ref="F433:L433" si="185">F185</f>
        <v>06 Utiliteitsgebouwen</v>
      </c>
      <c r="G433" s="43">
        <f t="shared" si="185"/>
        <v>2007</v>
      </c>
      <c r="H433" s="58">
        <f t="shared" si="185"/>
        <v>25858.771191949236</v>
      </c>
      <c r="I433" s="43">
        <f t="shared" si="185"/>
        <v>2021</v>
      </c>
      <c r="J433" s="58">
        <f t="shared" si="185"/>
        <v>30</v>
      </c>
      <c r="K433" s="187">
        <f t="shared" si="185"/>
        <v>0</v>
      </c>
      <c r="L433" s="58">
        <f t="shared" si="185"/>
        <v>16708.652536273155</v>
      </c>
      <c r="N433" s="49">
        <f t="shared" si="110"/>
        <v>16708.652536273155</v>
      </c>
      <c r="P433" s="44">
        <f t="shared" si="101"/>
        <v>15.5</v>
      </c>
      <c r="R433" s="49">
        <f t="shared" si="178"/>
        <v>1261.233772092877</v>
      </c>
      <c r="S433" s="49">
        <f t="shared" si="178"/>
        <v>1155.4528750786358</v>
      </c>
      <c r="T433" s="49">
        <f t="shared" si="178"/>
        <v>1058.5439242655889</v>
      </c>
      <c r="U433" s="49">
        <f t="shared" si="178"/>
        <v>969.76282094008786</v>
      </c>
      <c r="V433" s="49">
        <f t="shared" si="178"/>
        <v>921.11251219727399</v>
      </c>
      <c r="X433" s="49">
        <f t="shared" si="179"/>
        <v>107.79775829853649</v>
      </c>
      <c r="Y433" s="49">
        <f t="shared" si="179"/>
        <v>107.79775829853649</v>
      </c>
      <c r="Z433" s="49">
        <f t="shared" si="179"/>
        <v>107.79775829853649</v>
      </c>
      <c r="AA433" s="49">
        <f t="shared" si="179"/>
        <v>107.79775829853649</v>
      </c>
      <c r="AB433" s="49">
        <f t="shared" si="179"/>
        <v>107.79775829853649</v>
      </c>
      <c r="AD433" s="49">
        <f t="shared" si="111"/>
        <v>15339.621005881741</v>
      </c>
      <c r="AE433" s="49">
        <f t="shared" si="112"/>
        <v>14076.370372504569</v>
      </c>
      <c r="AF433" s="49">
        <f t="shared" si="113"/>
        <v>12910.028689940444</v>
      </c>
      <c r="AG433" s="49">
        <f t="shared" si="114"/>
        <v>11832.468110701819</v>
      </c>
      <c r="AH433" s="49">
        <f t="shared" si="115"/>
        <v>10803.557840206007</v>
      </c>
      <c r="AJ433" s="49">
        <f t="shared" si="102"/>
        <v>1890.5786445913927</v>
      </c>
      <c r="AK433" s="49">
        <f t="shared" si="103"/>
        <v>1727.770855669823</v>
      </c>
      <c r="AL433" s="49">
        <f t="shared" si="104"/>
        <v>1656.9227727818622</v>
      </c>
      <c r="AM433" s="49">
        <f t="shared" si="105"/>
        <v>1527.1943674452934</v>
      </c>
      <c r="AN433" s="49">
        <f t="shared" si="106"/>
        <v>1439.4454684236387</v>
      </c>
    </row>
    <row r="434" spans="2:40">
      <c r="B434" s="43" t="str">
        <f t="shared" si="99"/>
        <v>Asset 128</v>
      </c>
      <c r="F434" s="43" t="str">
        <f t="shared" ref="F434:L434" si="186">F186</f>
        <v>11 Werktuigen</v>
      </c>
      <c r="G434" s="43">
        <f t="shared" si="186"/>
        <v>2007</v>
      </c>
      <c r="H434" s="58">
        <f t="shared" si="186"/>
        <v>1088351.8199999998</v>
      </c>
      <c r="I434" s="43">
        <f t="shared" si="186"/>
        <v>2021</v>
      </c>
      <c r="J434" s="58">
        <f t="shared" si="186"/>
        <v>10</v>
      </c>
      <c r="K434" s="187">
        <f t="shared" si="186"/>
        <v>1</v>
      </c>
      <c r="L434" s="58">
        <f t="shared" si="186"/>
        <v>0</v>
      </c>
      <c r="N434" s="49">
        <f t="shared" si="110"/>
        <v>0</v>
      </c>
      <c r="P434" s="44">
        <f t="shared" si="101"/>
        <v>0</v>
      </c>
      <c r="R434" s="49">
        <f t="shared" si="178"/>
        <v>0</v>
      </c>
      <c r="S434" s="49">
        <f t="shared" si="178"/>
        <v>0</v>
      </c>
      <c r="T434" s="49">
        <f t="shared" si="178"/>
        <v>0</v>
      </c>
      <c r="U434" s="49">
        <f t="shared" si="178"/>
        <v>0</v>
      </c>
      <c r="V434" s="49">
        <f t="shared" si="178"/>
        <v>0</v>
      </c>
      <c r="X434" s="49">
        <f t="shared" si="179"/>
        <v>0</v>
      </c>
      <c r="Y434" s="49">
        <f t="shared" si="179"/>
        <v>0</v>
      </c>
      <c r="Z434" s="49">
        <f t="shared" si="179"/>
        <v>0</v>
      </c>
      <c r="AA434" s="49">
        <f t="shared" si="179"/>
        <v>0</v>
      </c>
      <c r="AB434" s="49">
        <f t="shared" si="179"/>
        <v>0</v>
      </c>
      <c r="AD434" s="49">
        <f t="shared" si="111"/>
        <v>0</v>
      </c>
      <c r="AE434" s="49">
        <f t="shared" si="112"/>
        <v>0</v>
      </c>
      <c r="AF434" s="49">
        <f t="shared" si="113"/>
        <v>0</v>
      </c>
      <c r="AG434" s="49">
        <f t="shared" si="114"/>
        <v>0</v>
      </c>
      <c r="AH434" s="49">
        <f t="shared" si="115"/>
        <v>0</v>
      </c>
      <c r="AJ434" s="49">
        <f t="shared" si="102"/>
        <v>0</v>
      </c>
      <c r="AK434" s="49">
        <f t="shared" si="103"/>
        <v>0</v>
      </c>
      <c r="AL434" s="49">
        <f t="shared" si="104"/>
        <v>0</v>
      </c>
      <c r="AM434" s="49">
        <f t="shared" si="105"/>
        <v>0</v>
      </c>
      <c r="AN434" s="49">
        <f t="shared" si="106"/>
        <v>0</v>
      </c>
    </row>
    <row r="435" spans="2:40">
      <c r="B435" s="43" t="str">
        <f t="shared" si="99"/>
        <v>Asset 129</v>
      </c>
      <c r="F435" s="43" t="str">
        <f t="shared" ref="F435:L435" si="187">F187</f>
        <v>14 Overig rollend materieel</v>
      </c>
      <c r="G435" s="43">
        <f t="shared" si="187"/>
        <v>2007</v>
      </c>
      <c r="H435" s="58">
        <f t="shared" si="187"/>
        <v>661943.85</v>
      </c>
      <c r="I435" s="43">
        <f t="shared" si="187"/>
        <v>2021</v>
      </c>
      <c r="J435" s="58">
        <f t="shared" si="187"/>
        <v>10</v>
      </c>
      <c r="K435" s="187">
        <f t="shared" si="187"/>
        <v>1</v>
      </c>
      <c r="L435" s="58">
        <f t="shared" si="187"/>
        <v>0</v>
      </c>
      <c r="N435" s="49">
        <f t="shared" si="110"/>
        <v>0</v>
      </c>
      <c r="P435" s="44">
        <f t="shared" si="101"/>
        <v>0</v>
      </c>
      <c r="R435" s="49">
        <f t="shared" si="178"/>
        <v>0</v>
      </c>
      <c r="S435" s="49">
        <f t="shared" si="178"/>
        <v>0</v>
      </c>
      <c r="T435" s="49">
        <f t="shared" si="178"/>
        <v>0</v>
      </c>
      <c r="U435" s="49">
        <f t="shared" si="178"/>
        <v>0</v>
      </c>
      <c r="V435" s="49">
        <f t="shared" si="178"/>
        <v>0</v>
      </c>
      <c r="X435" s="49">
        <f t="shared" si="179"/>
        <v>0</v>
      </c>
      <c r="Y435" s="49">
        <f t="shared" si="179"/>
        <v>0</v>
      </c>
      <c r="Z435" s="49">
        <f t="shared" si="179"/>
        <v>0</v>
      </c>
      <c r="AA435" s="49">
        <f t="shared" si="179"/>
        <v>0</v>
      </c>
      <c r="AB435" s="49">
        <f t="shared" si="179"/>
        <v>0</v>
      </c>
      <c r="AD435" s="49">
        <f t="shared" si="111"/>
        <v>0</v>
      </c>
      <c r="AE435" s="49">
        <f t="shared" si="112"/>
        <v>0</v>
      </c>
      <c r="AF435" s="49">
        <f t="shared" si="113"/>
        <v>0</v>
      </c>
      <c r="AG435" s="49">
        <f t="shared" si="114"/>
        <v>0</v>
      </c>
      <c r="AH435" s="49">
        <f t="shared" si="115"/>
        <v>0</v>
      </c>
      <c r="AJ435" s="49">
        <f t="shared" si="102"/>
        <v>0</v>
      </c>
      <c r="AK435" s="49">
        <f t="shared" si="103"/>
        <v>0</v>
      </c>
      <c r="AL435" s="49">
        <f t="shared" si="104"/>
        <v>0</v>
      </c>
      <c r="AM435" s="49">
        <f t="shared" si="105"/>
        <v>0</v>
      </c>
      <c r="AN435" s="49">
        <f t="shared" si="106"/>
        <v>0</v>
      </c>
    </row>
    <row r="436" spans="2:40">
      <c r="B436" s="43" t="str">
        <f t="shared" ref="B436:B499" si="188">B188</f>
        <v>Asset 130</v>
      </c>
      <c r="F436" s="43" t="str">
        <f t="shared" ref="F436:L436" si="189">F188</f>
        <v>12 Motorvoertuigen</v>
      </c>
      <c r="G436" s="43">
        <f t="shared" si="189"/>
        <v>2007</v>
      </c>
      <c r="H436" s="58">
        <f t="shared" si="189"/>
        <v>154091.65000000002</v>
      </c>
      <c r="I436" s="43">
        <f t="shared" si="189"/>
        <v>2021</v>
      </c>
      <c r="J436" s="58">
        <f t="shared" si="189"/>
        <v>10</v>
      </c>
      <c r="K436" s="187">
        <f t="shared" si="189"/>
        <v>1</v>
      </c>
      <c r="L436" s="58">
        <f t="shared" si="189"/>
        <v>0</v>
      </c>
      <c r="N436" s="49">
        <f t="shared" si="110"/>
        <v>0</v>
      </c>
      <c r="P436" s="44">
        <f t="shared" ref="P436:P499" si="190">MAX(0,IF(G436&lt;=2021, J436-2021+G436-0.5,J436))</f>
        <v>0</v>
      </c>
      <c r="R436" s="49">
        <f t="shared" si="178"/>
        <v>0</v>
      </c>
      <c r="S436" s="49">
        <f t="shared" si="178"/>
        <v>0</v>
      </c>
      <c r="T436" s="49">
        <f t="shared" si="178"/>
        <v>0</v>
      </c>
      <c r="U436" s="49">
        <f t="shared" si="178"/>
        <v>0</v>
      </c>
      <c r="V436" s="49">
        <f t="shared" si="178"/>
        <v>0</v>
      </c>
      <c r="X436" s="49">
        <f t="shared" si="179"/>
        <v>0</v>
      </c>
      <c r="Y436" s="49">
        <f t="shared" si="179"/>
        <v>0</v>
      </c>
      <c r="Z436" s="49">
        <f t="shared" si="179"/>
        <v>0</v>
      </c>
      <c r="AA436" s="49">
        <f t="shared" si="179"/>
        <v>0</v>
      </c>
      <c r="AB436" s="49">
        <f t="shared" si="179"/>
        <v>0</v>
      </c>
      <c r="AD436" s="49">
        <f t="shared" si="111"/>
        <v>0</v>
      </c>
      <c r="AE436" s="49">
        <f t="shared" si="112"/>
        <v>0</v>
      </c>
      <c r="AF436" s="49">
        <f t="shared" si="113"/>
        <v>0</v>
      </c>
      <c r="AG436" s="49">
        <f t="shared" si="114"/>
        <v>0</v>
      </c>
      <c r="AH436" s="49">
        <f t="shared" si="115"/>
        <v>0</v>
      </c>
      <c r="AJ436" s="49">
        <f t="shared" ref="AJ436:AJ499" si="191">(R436+X436+AD436*I$16)*IF($K436=1,$F$19,1)</f>
        <v>0</v>
      </c>
      <c r="AK436" s="49">
        <f t="shared" ref="AK436:AK499" si="192">(S436+Y436+AE436*J$16)*IF($K436=1,$F$19,1)</f>
        <v>0</v>
      </c>
      <c r="AL436" s="49">
        <f t="shared" ref="AL436:AL499" si="193">(T436+Z436+AF436*K$16)*IF($K436=1,$F$19,1)</f>
        <v>0</v>
      </c>
      <c r="AM436" s="49">
        <f t="shared" ref="AM436:AM499" si="194">(U436+AA436+AG436*L$16)*IF($K436=1,$F$19,1)</f>
        <v>0</v>
      </c>
      <c r="AN436" s="49">
        <f t="shared" ref="AN436:AN499" si="195">(V436+AB436+AH436*M$16)*IF($K436=1,$F$19,1)</f>
        <v>0</v>
      </c>
    </row>
    <row r="437" spans="2:40">
      <c r="B437" s="43" t="str">
        <f t="shared" si="188"/>
        <v>Asset 131</v>
      </c>
      <c r="F437" s="43" t="str">
        <f t="shared" ref="F437:L437" si="196">F189</f>
        <v>05 Wegen en terreinvoorzieningen</v>
      </c>
      <c r="G437" s="43">
        <f t="shared" si="196"/>
        <v>2007</v>
      </c>
      <c r="H437" s="58">
        <f t="shared" si="196"/>
        <v>79744.08</v>
      </c>
      <c r="I437" s="43">
        <f t="shared" si="196"/>
        <v>2021</v>
      </c>
      <c r="J437" s="58">
        <f t="shared" si="196"/>
        <v>10</v>
      </c>
      <c r="K437" s="187">
        <f t="shared" si="196"/>
        <v>0</v>
      </c>
      <c r="L437" s="58">
        <f t="shared" si="196"/>
        <v>0</v>
      </c>
      <c r="N437" s="49">
        <f t="shared" si="110"/>
        <v>0</v>
      </c>
      <c r="P437" s="44">
        <f t="shared" si="190"/>
        <v>0</v>
      </c>
      <c r="R437" s="49">
        <f t="shared" ref="R437:V446" si="197">IF(R$305&lt;=$G437+$J437,VDB($L437*(1-$F$25),0,$P437,R$305-2022,MIN(R$305-2021,$P437),$F$22),0)</f>
        <v>0</v>
      </c>
      <c r="S437" s="49">
        <f t="shared" si="197"/>
        <v>0</v>
      </c>
      <c r="T437" s="49">
        <f t="shared" si="197"/>
        <v>0</v>
      </c>
      <c r="U437" s="49">
        <f t="shared" si="197"/>
        <v>0</v>
      </c>
      <c r="V437" s="49">
        <f t="shared" si="197"/>
        <v>0</v>
      </c>
      <c r="X437" s="49">
        <f t="shared" ref="X437:AB446" si="198">IF(X$305&lt;=$G437+$J437,VDB($L437*$F$25,0,$P437,X$305-2022,MIN(X$305-2021,$P437),1),0)</f>
        <v>0</v>
      </c>
      <c r="Y437" s="49">
        <f t="shared" si="198"/>
        <v>0</v>
      </c>
      <c r="Z437" s="49">
        <f t="shared" si="198"/>
        <v>0</v>
      </c>
      <c r="AA437" s="49">
        <f t="shared" si="198"/>
        <v>0</v>
      </c>
      <c r="AB437" s="49">
        <f t="shared" si="198"/>
        <v>0</v>
      </c>
      <c r="AD437" s="49">
        <f t="shared" si="111"/>
        <v>0</v>
      </c>
      <c r="AE437" s="49">
        <f t="shared" si="112"/>
        <v>0</v>
      </c>
      <c r="AF437" s="49">
        <f t="shared" si="113"/>
        <v>0</v>
      </c>
      <c r="AG437" s="49">
        <f t="shared" si="114"/>
        <v>0</v>
      </c>
      <c r="AH437" s="49">
        <f t="shared" si="115"/>
        <v>0</v>
      </c>
      <c r="AJ437" s="49">
        <f t="shared" si="191"/>
        <v>0</v>
      </c>
      <c r="AK437" s="49">
        <f t="shared" si="192"/>
        <v>0</v>
      </c>
      <c r="AL437" s="49">
        <f t="shared" si="193"/>
        <v>0</v>
      </c>
      <c r="AM437" s="49">
        <f t="shared" si="194"/>
        <v>0</v>
      </c>
      <c r="AN437" s="49">
        <f t="shared" si="195"/>
        <v>0</v>
      </c>
    </row>
    <row r="438" spans="2:40">
      <c r="B438" s="43" t="str">
        <f t="shared" si="188"/>
        <v>Asset 132</v>
      </c>
      <c r="F438" s="43" t="str">
        <f t="shared" ref="F438:L438" si="199">F190</f>
        <v>20 Kantoorgebouwen</v>
      </c>
      <c r="G438" s="43">
        <f t="shared" si="199"/>
        <v>2008</v>
      </c>
      <c r="H438" s="58">
        <f t="shared" si="199"/>
        <v>4978200.5000000009</v>
      </c>
      <c r="I438" s="43">
        <f t="shared" si="199"/>
        <v>2021</v>
      </c>
      <c r="J438" s="58">
        <f t="shared" si="199"/>
        <v>30</v>
      </c>
      <c r="K438" s="187">
        <f t="shared" si="199"/>
        <v>0</v>
      </c>
      <c r="L438" s="58">
        <f t="shared" si="199"/>
        <v>3386936.2239016104</v>
      </c>
      <c r="N438" s="49">
        <f t="shared" si="110"/>
        <v>3386936.2239016104</v>
      </c>
      <c r="P438" s="44">
        <f t="shared" si="190"/>
        <v>16.5</v>
      </c>
      <c r="R438" s="49">
        <f t="shared" si="197"/>
        <v>240164.56860393242</v>
      </c>
      <c r="S438" s="49">
        <f t="shared" si="197"/>
        <v>221242.51168362258</v>
      </c>
      <c r="T438" s="49">
        <f t="shared" si="197"/>
        <v>203811.2834903675</v>
      </c>
      <c r="U438" s="49">
        <f t="shared" si="197"/>
        <v>187753.4247911264</v>
      </c>
      <c r="V438" s="49">
        <f t="shared" si="197"/>
        <v>175621.66503539204</v>
      </c>
      <c r="X438" s="49">
        <f t="shared" si="198"/>
        <v>20526.886205464307</v>
      </c>
      <c r="Y438" s="49">
        <f t="shared" si="198"/>
        <v>20526.886205464303</v>
      </c>
      <c r="Z438" s="49">
        <f t="shared" si="198"/>
        <v>20526.886205464303</v>
      </c>
      <c r="AA438" s="49">
        <f t="shared" si="198"/>
        <v>20526.886205464303</v>
      </c>
      <c r="AB438" s="49">
        <f t="shared" si="198"/>
        <v>20526.886205464303</v>
      </c>
      <c r="AD438" s="49">
        <f t="shared" si="111"/>
        <v>3126244.7690922138</v>
      </c>
      <c r="AE438" s="49">
        <f t="shared" si="112"/>
        <v>2884475.3712031273</v>
      </c>
      <c r="AF438" s="49">
        <f t="shared" si="113"/>
        <v>2660137.2015072955</v>
      </c>
      <c r="AG438" s="49">
        <f t="shared" si="114"/>
        <v>2451856.8905107048</v>
      </c>
      <c r="AH438" s="49">
        <f t="shared" si="115"/>
        <v>2255708.3392698485</v>
      </c>
      <c r="AJ438" s="49">
        <f t="shared" si="191"/>
        <v>366983.77695853199</v>
      </c>
      <c r="AK438" s="49">
        <f t="shared" si="192"/>
        <v>336957.08513879008</v>
      </c>
      <c r="AL438" s="49">
        <f t="shared" si="193"/>
        <v>325423.38335310901</v>
      </c>
      <c r="AM438" s="49">
        <f t="shared" si="194"/>
        <v>301450.87283599749</v>
      </c>
      <c r="AN438" s="49">
        <f t="shared" si="195"/>
        <v>281865.46813311061</v>
      </c>
    </row>
    <row r="439" spans="2:40">
      <c r="B439" s="43" t="str">
        <f t="shared" si="188"/>
        <v>Asset 133</v>
      </c>
      <c r="F439" s="43" t="str">
        <f t="shared" ref="F439:L439" si="200">F191</f>
        <v>06 Utiliteitsgebouwen</v>
      </c>
      <c r="G439" s="43">
        <f t="shared" si="200"/>
        <v>2008</v>
      </c>
      <c r="H439" s="58">
        <f t="shared" si="200"/>
        <v>233293.04544821067</v>
      </c>
      <c r="I439" s="43">
        <f t="shared" si="200"/>
        <v>2021</v>
      </c>
      <c r="J439" s="58">
        <f t="shared" si="200"/>
        <v>30</v>
      </c>
      <c r="K439" s="187">
        <f t="shared" si="200"/>
        <v>0</v>
      </c>
      <c r="L439" s="58">
        <f t="shared" si="200"/>
        <v>158721.74421517763</v>
      </c>
      <c r="N439" s="49">
        <f t="shared" ref="N439:N502" si="201">L439*IF(K439=1,$F$19,1)</f>
        <v>158721.74421517763</v>
      </c>
      <c r="P439" s="44">
        <f t="shared" si="190"/>
        <v>16.5</v>
      </c>
      <c r="R439" s="49">
        <f t="shared" si="197"/>
        <v>11254.814589803505</v>
      </c>
      <c r="S439" s="49">
        <f t="shared" si="197"/>
        <v>10368.071622122017</v>
      </c>
      <c r="T439" s="49">
        <f t="shared" si="197"/>
        <v>9551.1932518942212</v>
      </c>
      <c r="U439" s="49">
        <f t="shared" si="197"/>
        <v>8798.6749956843742</v>
      </c>
      <c r="V439" s="49">
        <f t="shared" si="197"/>
        <v>8230.1452267324603</v>
      </c>
      <c r="X439" s="49">
        <f t="shared" si="198"/>
        <v>961.94996494047064</v>
      </c>
      <c r="Y439" s="49">
        <f t="shared" si="198"/>
        <v>961.94996494047052</v>
      </c>
      <c r="Z439" s="49">
        <f t="shared" si="198"/>
        <v>961.94996494047052</v>
      </c>
      <c r="AA439" s="49">
        <f t="shared" si="198"/>
        <v>961.94996494047052</v>
      </c>
      <c r="AB439" s="49">
        <f t="shared" si="198"/>
        <v>961.94996494047052</v>
      </c>
      <c r="AD439" s="49">
        <f t="shared" ref="AD439:AD502" si="202">IF(OR(AD$305&lt;=$G439+$J439,$J439=0),IF(AC439=0,$L439,AC439)-R439-X439,0)</f>
        <v>146504.97966043366</v>
      </c>
      <c r="AE439" s="49">
        <f t="shared" ref="AE439:AE502" si="203">IF(OR(AE$305&lt;=$G439+$J439,$J439=0),IF(AD439=0,$L439,AD439)-S439-Y439,0)</f>
        <v>135174.95807337118</v>
      </c>
      <c r="AF439" s="49">
        <f t="shared" ref="AF439:AF502" si="204">IF(OR(AF$305&lt;=$G439+$J439,$J439=0),IF(AE439=0,$L439,AE439)-T439-Z439,0)</f>
        <v>124661.81485653648</v>
      </c>
      <c r="AG439" s="49">
        <f t="shared" ref="AG439:AG502" si="205">IF(OR(AG$305&lt;=$G439+$J439,$J439=0),IF(AF439=0,$L439,AF439)-U439-AA439,0)</f>
        <v>114901.18989591164</v>
      </c>
      <c r="AH439" s="49">
        <f t="shared" ref="AH439:AH502" si="206">IF(OR(AH$305&lt;=$G439+$J439,$J439=0),IF(AG439=0,$L439,AG439)-V439-AB439,0)</f>
        <v>105709.0947042387</v>
      </c>
      <c r="AJ439" s="49">
        <f t="shared" si="191"/>
        <v>17197.933863198719</v>
      </c>
      <c r="AK439" s="49">
        <f t="shared" si="192"/>
        <v>15790.795203483736</v>
      </c>
      <c r="AL439" s="49">
        <f t="shared" si="193"/>
        <v>15250.292181383076</v>
      </c>
      <c r="AM439" s="49">
        <f t="shared" si="194"/>
        <v>14126.870176669487</v>
      </c>
      <c r="AN439" s="49">
        <f t="shared" si="195"/>
        <v>13209.040790434001</v>
      </c>
    </row>
    <row r="440" spans="2:40">
      <c r="B440" s="43" t="str">
        <f t="shared" si="188"/>
        <v>Asset 134</v>
      </c>
      <c r="F440" s="43" t="str">
        <f t="shared" ref="F440:L440" si="207">F192</f>
        <v>10 Gereedschap</v>
      </c>
      <c r="G440" s="43">
        <f t="shared" si="207"/>
        <v>2008</v>
      </c>
      <c r="H440" s="58">
        <f t="shared" si="207"/>
        <v>178157.88</v>
      </c>
      <c r="I440" s="43">
        <f t="shared" si="207"/>
        <v>2021</v>
      </c>
      <c r="J440" s="58">
        <f t="shared" si="207"/>
        <v>10</v>
      </c>
      <c r="K440" s="187">
        <f t="shared" si="207"/>
        <v>1</v>
      </c>
      <c r="L440" s="58">
        <f t="shared" si="207"/>
        <v>0</v>
      </c>
      <c r="N440" s="49">
        <f t="shared" si="201"/>
        <v>0</v>
      </c>
      <c r="P440" s="44">
        <f t="shared" si="190"/>
        <v>0</v>
      </c>
      <c r="R440" s="49">
        <f t="shared" si="197"/>
        <v>0</v>
      </c>
      <c r="S440" s="49">
        <f t="shared" si="197"/>
        <v>0</v>
      </c>
      <c r="T440" s="49">
        <f t="shared" si="197"/>
        <v>0</v>
      </c>
      <c r="U440" s="49">
        <f t="shared" si="197"/>
        <v>0</v>
      </c>
      <c r="V440" s="49">
        <f t="shared" si="197"/>
        <v>0</v>
      </c>
      <c r="X440" s="49">
        <f t="shared" si="198"/>
        <v>0</v>
      </c>
      <c r="Y440" s="49">
        <f t="shared" si="198"/>
        <v>0</v>
      </c>
      <c r="Z440" s="49">
        <f t="shared" si="198"/>
        <v>0</v>
      </c>
      <c r="AA440" s="49">
        <f t="shared" si="198"/>
        <v>0</v>
      </c>
      <c r="AB440" s="49">
        <f t="shared" si="198"/>
        <v>0</v>
      </c>
      <c r="AD440" s="49">
        <f t="shared" si="202"/>
        <v>0</v>
      </c>
      <c r="AE440" s="49">
        <f t="shared" si="203"/>
        <v>0</v>
      </c>
      <c r="AF440" s="49">
        <f t="shared" si="204"/>
        <v>0</v>
      </c>
      <c r="AG440" s="49">
        <f t="shared" si="205"/>
        <v>0</v>
      </c>
      <c r="AH440" s="49">
        <f t="shared" si="206"/>
        <v>0</v>
      </c>
      <c r="AJ440" s="49">
        <f t="shared" si="191"/>
        <v>0</v>
      </c>
      <c r="AK440" s="49">
        <f t="shared" si="192"/>
        <v>0</v>
      </c>
      <c r="AL440" s="49">
        <f t="shared" si="193"/>
        <v>0</v>
      </c>
      <c r="AM440" s="49">
        <f t="shared" si="194"/>
        <v>0</v>
      </c>
      <c r="AN440" s="49">
        <f t="shared" si="195"/>
        <v>0</v>
      </c>
    </row>
    <row r="441" spans="2:40">
      <c r="B441" s="43" t="str">
        <f t="shared" si="188"/>
        <v>Asset 135</v>
      </c>
      <c r="F441" s="43" t="str">
        <f t="shared" ref="F441:L441" si="208">F193</f>
        <v>14 Overig rollend materieel</v>
      </c>
      <c r="G441" s="43">
        <f t="shared" si="208"/>
        <v>2008</v>
      </c>
      <c r="H441" s="58">
        <f t="shared" si="208"/>
        <v>1299449.8500000001</v>
      </c>
      <c r="I441" s="43">
        <f t="shared" si="208"/>
        <v>2021</v>
      </c>
      <c r="J441" s="58">
        <f t="shared" si="208"/>
        <v>10</v>
      </c>
      <c r="K441" s="187">
        <f t="shared" si="208"/>
        <v>1</v>
      </c>
      <c r="L441" s="58">
        <f t="shared" si="208"/>
        <v>0</v>
      </c>
      <c r="N441" s="49">
        <f t="shared" si="201"/>
        <v>0</v>
      </c>
      <c r="P441" s="44">
        <f t="shared" si="190"/>
        <v>0</v>
      </c>
      <c r="R441" s="49">
        <f t="shared" si="197"/>
        <v>0</v>
      </c>
      <c r="S441" s="49">
        <f t="shared" si="197"/>
        <v>0</v>
      </c>
      <c r="T441" s="49">
        <f t="shared" si="197"/>
        <v>0</v>
      </c>
      <c r="U441" s="49">
        <f t="shared" si="197"/>
        <v>0</v>
      </c>
      <c r="V441" s="49">
        <f t="shared" si="197"/>
        <v>0</v>
      </c>
      <c r="X441" s="49">
        <f t="shared" si="198"/>
        <v>0</v>
      </c>
      <c r="Y441" s="49">
        <f t="shared" si="198"/>
        <v>0</v>
      </c>
      <c r="Z441" s="49">
        <f t="shared" si="198"/>
        <v>0</v>
      </c>
      <c r="AA441" s="49">
        <f t="shared" si="198"/>
        <v>0</v>
      </c>
      <c r="AB441" s="49">
        <f t="shared" si="198"/>
        <v>0</v>
      </c>
      <c r="AD441" s="49">
        <f t="shared" si="202"/>
        <v>0</v>
      </c>
      <c r="AE441" s="49">
        <f t="shared" si="203"/>
        <v>0</v>
      </c>
      <c r="AF441" s="49">
        <f t="shared" si="204"/>
        <v>0</v>
      </c>
      <c r="AG441" s="49">
        <f t="shared" si="205"/>
        <v>0</v>
      </c>
      <c r="AH441" s="49">
        <f t="shared" si="206"/>
        <v>0</v>
      </c>
      <c r="AJ441" s="49">
        <f t="shared" si="191"/>
        <v>0</v>
      </c>
      <c r="AK441" s="49">
        <f t="shared" si="192"/>
        <v>0</v>
      </c>
      <c r="AL441" s="49">
        <f t="shared" si="193"/>
        <v>0</v>
      </c>
      <c r="AM441" s="49">
        <f t="shared" si="194"/>
        <v>0</v>
      </c>
      <c r="AN441" s="49">
        <f t="shared" si="195"/>
        <v>0</v>
      </c>
    </row>
    <row r="442" spans="2:40">
      <c r="B442" s="43" t="str">
        <f t="shared" si="188"/>
        <v>Asset 136</v>
      </c>
      <c r="F442" s="43" t="str">
        <f t="shared" ref="F442:L442" si="209">F194</f>
        <v>37 ICT middelen 1 (gaschromatografen en comptabele meting)</v>
      </c>
      <c r="G442" s="43">
        <f t="shared" si="209"/>
        <v>2008</v>
      </c>
      <c r="H442" s="58">
        <f t="shared" si="209"/>
        <v>8310.1200000000008</v>
      </c>
      <c r="I442" s="43">
        <f t="shared" si="209"/>
        <v>2021</v>
      </c>
      <c r="J442" s="58">
        <f t="shared" si="209"/>
        <v>5</v>
      </c>
      <c r="K442" s="187">
        <f t="shared" si="209"/>
        <v>0</v>
      </c>
      <c r="L442" s="58">
        <f t="shared" si="209"/>
        <v>0</v>
      </c>
      <c r="N442" s="49">
        <f t="shared" si="201"/>
        <v>0</v>
      </c>
      <c r="P442" s="44">
        <f t="shared" si="190"/>
        <v>0</v>
      </c>
      <c r="R442" s="49">
        <f t="shared" si="197"/>
        <v>0</v>
      </c>
      <c r="S442" s="49">
        <f t="shared" si="197"/>
        <v>0</v>
      </c>
      <c r="T442" s="49">
        <f t="shared" si="197"/>
        <v>0</v>
      </c>
      <c r="U442" s="49">
        <f t="shared" si="197"/>
        <v>0</v>
      </c>
      <c r="V442" s="49">
        <f t="shared" si="197"/>
        <v>0</v>
      </c>
      <c r="X442" s="49">
        <f t="shared" si="198"/>
        <v>0</v>
      </c>
      <c r="Y442" s="49">
        <f t="shared" si="198"/>
        <v>0</v>
      </c>
      <c r="Z442" s="49">
        <f t="shared" si="198"/>
        <v>0</v>
      </c>
      <c r="AA442" s="49">
        <f t="shared" si="198"/>
        <v>0</v>
      </c>
      <c r="AB442" s="49">
        <f t="shared" si="198"/>
        <v>0</v>
      </c>
      <c r="AD442" s="49">
        <f t="shared" si="202"/>
        <v>0</v>
      </c>
      <c r="AE442" s="49">
        <f t="shared" si="203"/>
        <v>0</v>
      </c>
      <c r="AF442" s="49">
        <f t="shared" si="204"/>
        <v>0</v>
      </c>
      <c r="AG442" s="49">
        <f t="shared" si="205"/>
        <v>0</v>
      </c>
      <c r="AH442" s="49">
        <f t="shared" si="206"/>
        <v>0</v>
      </c>
      <c r="AJ442" s="49">
        <f t="shared" si="191"/>
        <v>0</v>
      </c>
      <c r="AK442" s="49">
        <f t="shared" si="192"/>
        <v>0</v>
      </c>
      <c r="AL442" s="49">
        <f t="shared" si="193"/>
        <v>0</v>
      </c>
      <c r="AM442" s="49">
        <f t="shared" si="194"/>
        <v>0</v>
      </c>
      <c r="AN442" s="49">
        <f t="shared" si="195"/>
        <v>0</v>
      </c>
    </row>
    <row r="443" spans="2:40">
      <c r="B443" s="43" t="str">
        <f t="shared" si="188"/>
        <v>Asset 137</v>
      </c>
      <c r="F443" s="43" t="str">
        <f t="shared" ref="F443:L443" si="210">F195</f>
        <v>11 Werktuigen</v>
      </c>
      <c r="G443" s="43">
        <f t="shared" si="210"/>
        <v>2008</v>
      </c>
      <c r="H443" s="58">
        <f t="shared" si="210"/>
        <v>427546.18</v>
      </c>
      <c r="I443" s="43">
        <f t="shared" si="210"/>
        <v>2021</v>
      </c>
      <c r="J443" s="58">
        <f t="shared" si="210"/>
        <v>10</v>
      </c>
      <c r="K443" s="187">
        <f t="shared" si="210"/>
        <v>1</v>
      </c>
      <c r="L443" s="58">
        <f t="shared" si="210"/>
        <v>0</v>
      </c>
      <c r="N443" s="49">
        <f t="shared" si="201"/>
        <v>0</v>
      </c>
      <c r="P443" s="44">
        <f t="shared" si="190"/>
        <v>0</v>
      </c>
      <c r="R443" s="49">
        <f t="shared" si="197"/>
        <v>0</v>
      </c>
      <c r="S443" s="49">
        <f t="shared" si="197"/>
        <v>0</v>
      </c>
      <c r="T443" s="49">
        <f t="shared" si="197"/>
        <v>0</v>
      </c>
      <c r="U443" s="49">
        <f t="shared" si="197"/>
        <v>0</v>
      </c>
      <c r="V443" s="49">
        <f t="shared" si="197"/>
        <v>0</v>
      </c>
      <c r="X443" s="49">
        <f t="shared" si="198"/>
        <v>0</v>
      </c>
      <c r="Y443" s="49">
        <f t="shared" si="198"/>
        <v>0</v>
      </c>
      <c r="Z443" s="49">
        <f t="shared" si="198"/>
        <v>0</v>
      </c>
      <c r="AA443" s="49">
        <f t="shared" si="198"/>
        <v>0</v>
      </c>
      <c r="AB443" s="49">
        <f t="shared" si="198"/>
        <v>0</v>
      </c>
      <c r="AD443" s="49">
        <f t="shared" si="202"/>
        <v>0</v>
      </c>
      <c r="AE443" s="49">
        <f t="shared" si="203"/>
        <v>0</v>
      </c>
      <c r="AF443" s="49">
        <f t="shared" si="204"/>
        <v>0</v>
      </c>
      <c r="AG443" s="49">
        <f t="shared" si="205"/>
        <v>0</v>
      </c>
      <c r="AH443" s="49">
        <f t="shared" si="206"/>
        <v>0</v>
      </c>
      <c r="AJ443" s="49">
        <f t="shared" si="191"/>
        <v>0</v>
      </c>
      <c r="AK443" s="49">
        <f t="shared" si="192"/>
        <v>0</v>
      </c>
      <c r="AL443" s="49">
        <f t="shared" si="193"/>
        <v>0</v>
      </c>
      <c r="AM443" s="49">
        <f t="shared" si="194"/>
        <v>0</v>
      </c>
      <c r="AN443" s="49">
        <f t="shared" si="195"/>
        <v>0</v>
      </c>
    </row>
    <row r="444" spans="2:40">
      <c r="B444" s="43" t="str">
        <f t="shared" si="188"/>
        <v>Asset 138</v>
      </c>
      <c r="F444" s="43" t="str">
        <f t="shared" ref="F444:L444" si="211">F196</f>
        <v>08 Inrichting gebouwen</v>
      </c>
      <c r="G444" s="43">
        <f t="shared" si="211"/>
        <v>2008</v>
      </c>
      <c r="H444" s="58">
        <f t="shared" si="211"/>
        <v>1194171.3899999999</v>
      </c>
      <c r="I444" s="43">
        <f t="shared" si="211"/>
        <v>2021</v>
      </c>
      <c r="J444" s="58">
        <f t="shared" si="211"/>
        <v>10</v>
      </c>
      <c r="K444" s="187">
        <f t="shared" si="211"/>
        <v>0</v>
      </c>
      <c r="L444" s="58">
        <f t="shared" si="211"/>
        <v>0</v>
      </c>
      <c r="N444" s="49">
        <f t="shared" si="201"/>
        <v>0</v>
      </c>
      <c r="P444" s="44">
        <f t="shared" si="190"/>
        <v>0</v>
      </c>
      <c r="R444" s="49">
        <f t="shared" si="197"/>
        <v>0</v>
      </c>
      <c r="S444" s="49">
        <f t="shared" si="197"/>
        <v>0</v>
      </c>
      <c r="T444" s="49">
        <f t="shared" si="197"/>
        <v>0</v>
      </c>
      <c r="U444" s="49">
        <f t="shared" si="197"/>
        <v>0</v>
      </c>
      <c r="V444" s="49">
        <f t="shared" si="197"/>
        <v>0</v>
      </c>
      <c r="X444" s="49">
        <f t="shared" si="198"/>
        <v>0</v>
      </c>
      <c r="Y444" s="49">
        <f t="shared" si="198"/>
        <v>0</v>
      </c>
      <c r="Z444" s="49">
        <f t="shared" si="198"/>
        <v>0</v>
      </c>
      <c r="AA444" s="49">
        <f t="shared" si="198"/>
        <v>0</v>
      </c>
      <c r="AB444" s="49">
        <f t="shared" si="198"/>
        <v>0</v>
      </c>
      <c r="AD444" s="49">
        <f t="shared" si="202"/>
        <v>0</v>
      </c>
      <c r="AE444" s="49">
        <f t="shared" si="203"/>
        <v>0</v>
      </c>
      <c r="AF444" s="49">
        <f t="shared" si="204"/>
        <v>0</v>
      </c>
      <c r="AG444" s="49">
        <f t="shared" si="205"/>
        <v>0</v>
      </c>
      <c r="AH444" s="49">
        <f t="shared" si="206"/>
        <v>0</v>
      </c>
      <c r="AJ444" s="49">
        <f t="shared" si="191"/>
        <v>0</v>
      </c>
      <c r="AK444" s="49">
        <f t="shared" si="192"/>
        <v>0</v>
      </c>
      <c r="AL444" s="49">
        <f t="shared" si="193"/>
        <v>0</v>
      </c>
      <c r="AM444" s="49">
        <f t="shared" si="194"/>
        <v>0</v>
      </c>
      <c r="AN444" s="49">
        <f t="shared" si="195"/>
        <v>0</v>
      </c>
    </row>
    <row r="445" spans="2:40">
      <c r="B445" s="43" t="str">
        <f t="shared" si="188"/>
        <v>Asset 139</v>
      </c>
      <c r="F445" s="43" t="str">
        <f t="shared" ref="F445:L445" si="212">F197</f>
        <v>08 Inrichting gebouwen</v>
      </c>
      <c r="G445" s="43">
        <f t="shared" si="212"/>
        <v>2009</v>
      </c>
      <c r="H445" s="58">
        <f t="shared" si="212"/>
        <v>124506.82</v>
      </c>
      <c r="I445" s="43">
        <f t="shared" si="212"/>
        <v>2021</v>
      </c>
      <c r="J445" s="58">
        <f t="shared" si="212"/>
        <v>10</v>
      </c>
      <c r="K445" s="187">
        <f t="shared" si="212"/>
        <v>0</v>
      </c>
      <c r="L445" s="58">
        <f t="shared" si="212"/>
        <v>0</v>
      </c>
      <c r="N445" s="49">
        <f t="shared" si="201"/>
        <v>0</v>
      </c>
      <c r="P445" s="44">
        <f t="shared" si="190"/>
        <v>0</v>
      </c>
      <c r="R445" s="49">
        <f t="shared" si="197"/>
        <v>0</v>
      </c>
      <c r="S445" s="49">
        <f t="shared" si="197"/>
        <v>0</v>
      </c>
      <c r="T445" s="49">
        <f t="shared" si="197"/>
        <v>0</v>
      </c>
      <c r="U445" s="49">
        <f t="shared" si="197"/>
        <v>0</v>
      </c>
      <c r="V445" s="49">
        <f t="shared" si="197"/>
        <v>0</v>
      </c>
      <c r="X445" s="49">
        <f t="shared" si="198"/>
        <v>0</v>
      </c>
      <c r="Y445" s="49">
        <f t="shared" si="198"/>
        <v>0</v>
      </c>
      <c r="Z445" s="49">
        <f t="shared" si="198"/>
        <v>0</v>
      </c>
      <c r="AA445" s="49">
        <f t="shared" si="198"/>
        <v>0</v>
      </c>
      <c r="AB445" s="49">
        <f t="shared" si="198"/>
        <v>0</v>
      </c>
      <c r="AD445" s="49">
        <f t="shared" si="202"/>
        <v>0</v>
      </c>
      <c r="AE445" s="49">
        <f t="shared" si="203"/>
        <v>0</v>
      </c>
      <c r="AF445" s="49">
        <f t="shared" si="204"/>
        <v>0</v>
      </c>
      <c r="AG445" s="49">
        <f t="shared" si="205"/>
        <v>0</v>
      </c>
      <c r="AH445" s="49">
        <f t="shared" si="206"/>
        <v>0</v>
      </c>
      <c r="AJ445" s="49">
        <f t="shared" si="191"/>
        <v>0</v>
      </c>
      <c r="AK445" s="49">
        <f t="shared" si="192"/>
        <v>0</v>
      </c>
      <c r="AL445" s="49">
        <f t="shared" si="193"/>
        <v>0</v>
      </c>
      <c r="AM445" s="49">
        <f t="shared" si="194"/>
        <v>0</v>
      </c>
      <c r="AN445" s="49">
        <f t="shared" si="195"/>
        <v>0</v>
      </c>
    </row>
    <row r="446" spans="2:40">
      <c r="B446" s="43" t="str">
        <f t="shared" si="188"/>
        <v>Asset 140</v>
      </c>
      <c r="F446" s="43" t="str">
        <f t="shared" ref="F446:L446" si="213">F198</f>
        <v>14 Overig rollend materieel</v>
      </c>
      <c r="G446" s="43">
        <f t="shared" si="213"/>
        <v>2009</v>
      </c>
      <c r="H446" s="58">
        <f t="shared" si="213"/>
        <v>285378.59999999998</v>
      </c>
      <c r="I446" s="43">
        <f t="shared" si="213"/>
        <v>2021</v>
      </c>
      <c r="J446" s="58">
        <f t="shared" si="213"/>
        <v>10</v>
      </c>
      <c r="K446" s="187">
        <f t="shared" si="213"/>
        <v>1</v>
      </c>
      <c r="L446" s="58">
        <f t="shared" si="213"/>
        <v>0</v>
      </c>
      <c r="N446" s="49">
        <f t="shared" si="201"/>
        <v>0</v>
      </c>
      <c r="P446" s="44">
        <f t="shared" si="190"/>
        <v>0</v>
      </c>
      <c r="R446" s="49">
        <f t="shared" si="197"/>
        <v>0</v>
      </c>
      <c r="S446" s="49">
        <f t="shared" si="197"/>
        <v>0</v>
      </c>
      <c r="T446" s="49">
        <f t="shared" si="197"/>
        <v>0</v>
      </c>
      <c r="U446" s="49">
        <f t="shared" si="197"/>
        <v>0</v>
      </c>
      <c r="V446" s="49">
        <f t="shared" si="197"/>
        <v>0</v>
      </c>
      <c r="X446" s="49">
        <f t="shared" si="198"/>
        <v>0</v>
      </c>
      <c r="Y446" s="49">
        <f t="shared" si="198"/>
        <v>0</v>
      </c>
      <c r="Z446" s="49">
        <f t="shared" si="198"/>
        <v>0</v>
      </c>
      <c r="AA446" s="49">
        <f t="shared" si="198"/>
        <v>0</v>
      </c>
      <c r="AB446" s="49">
        <f t="shared" si="198"/>
        <v>0</v>
      </c>
      <c r="AD446" s="49">
        <f t="shared" si="202"/>
        <v>0</v>
      </c>
      <c r="AE446" s="49">
        <f t="shared" si="203"/>
        <v>0</v>
      </c>
      <c r="AF446" s="49">
        <f t="shared" si="204"/>
        <v>0</v>
      </c>
      <c r="AG446" s="49">
        <f t="shared" si="205"/>
        <v>0</v>
      </c>
      <c r="AH446" s="49">
        <f t="shared" si="206"/>
        <v>0</v>
      </c>
      <c r="AJ446" s="49">
        <f t="shared" si="191"/>
        <v>0</v>
      </c>
      <c r="AK446" s="49">
        <f t="shared" si="192"/>
        <v>0</v>
      </c>
      <c r="AL446" s="49">
        <f t="shared" si="193"/>
        <v>0</v>
      </c>
      <c r="AM446" s="49">
        <f t="shared" si="194"/>
        <v>0</v>
      </c>
      <c r="AN446" s="49">
        <f t="shared" si="195"/>
        <v>0</v>
      </c>
    </row>
    <row r="447" spans="2:40">
      <c r="B447" s="43" t="str">
        <f t="shared" si="188"/>
        <v>Asset 141</v>
      </c>
      <c r="F447" s="43" t="str">
        <f t="shared" ref="F447:L447" si="214">F199</f>
        <v>06 Utiliteitsgebouwen</v>
      </c>
      <c r="G447" s="43">
        <f t="shared" si="214"/>
        <v>2009</v>
      </c>
      <c r="H447" s="58">
        <f t="shared" si="214"/>
        <v>35389.120000000003</v>
      </c>
      <c r="I447" s="43">
        <f t="shared" si="214"/>
        <v>2021</v>
      </c>
      <c r="J447" s="58">
        <f t="shared" si="214"/>
        <v>30</v>
      </c>
      <c r="K447" s="187">
        <f t="shared" si="214"/>
        <v>0</v>
      </c>
      <c r="L447" s="58">
        <f t="shared" si="214"/>
        <v>24744.506996892218</v>
      </c>
      <c r="N447" s="49">
        <f t="shared" si="201"/>
        <v>24744.506996892218</v>
      </c>
      <c r="P447" s="44">
        <f t="shared" si="190"/>
        <v>17.5</v>
      </c>
      <c r="R447" s="49">
        <f t="shared" ref="R447:V456" si="215">IF(R$305&lt;=$G447+$J447,VDB($L447*(1-$F$25),0,$P447,R$305-2022,MIN(R$305-2021,$P447),$F$22),0)</f>
        <v>1654.3470392207942</v>
      </c>
      <c r="S447" s="49">
        <f t="shared" si="215"/>
        <v>1531.452687735821</v>
      </c>
      <c r="T447" s="49">
        <f t="shared" si="215"/>
        <v>1417.6876309325885</v>
      </c>
      <c r="U447" s="49">
        <f t="shared" si="215"/>
        <v>1312.373692634739</v>
      </c>
      <c r="V447" s="49">
        <f t="shared" si="215"/>
        <v>1214.8830754675871</v>
      </c>
      <c r="X447" s="49">
        <f t="shared" ref="X447:AB456" si="216">IF(X$305&lt;=$G447+$J447,VDB($L447*$F$25,0,$P447,X$305-2022,MIN(X$305-2021,$P447),1),0)</f>
        <v>141.3971828393841</v>
      </c>
      <c r="Y447" s="49">
        <f t="shared" si="216"/>
        <v>141.3971828393841</v>
      </c>
      <c r="Z447" s="49">
        <f t="shared" si="216"/>
        <v>141.3971828393841</v>
      </c>
      <c r="AA447" s="49">
        <f t="shared" si="216"/>
        <v>141.3971828393841</v>
      </c>
      <c r="AB447" s="49">
        <f t="shared" si="216"/>
        <v>141.3971828393841</v>
      </c>
      <c r="AD447" s="49">
        <f t="shared" si="202"/>
        <v>22948.762774832041</v>
      </c>
      <c r="AE447" s="49">
        <f t="shared" si="203"/>
        <v>21275.912904256835</v>
      </c>
      <c r="AF447" s="49">
        <f t="shared" si="204"/>
        <v>19716.828090484862</v>
      </c>
      <c r="AG447" s="49">
        <f t="shared" si="205"/>
        <v>18263.05721501074</v>
      </c>
      <c r="AH447" s="49">
        <f t="shared" si="206"/>
        <v>16906.776956703769</v>
      </c>
      <c r="AJ447" s="49">
        <f t="shared" si="191"/>
        <v>2576.0021564044678</v>
      </c>
      <c r="AK447" s="49">
        <f t="shared" si="192"/>
        <v>2374.9549964156809</v>
      </c>
      <c r="AL447" s="49">
        <f t="shared" si="193"/>
        <v>2308.3242812103972</v>
      </c>
      <c r="AM447" s="49">
        <f t="shared" si="194"/>
        <v>2147.7670496445312</v>
      </c>
      <c r="AN447" s="49">
        <f t="shared" si="195"/>
        <v>1998.7377826617144</v>
      </c>
    </row>
    <row r="448" spans="2:40">
      <c r="B448" s="43" t="str">
        <f t="shared" si="188"/>
        <v>Asset 142</v>
      </c>
      <c r="F448" s="43" t="str">
        <f t="shared" ref="F448:L448" si="217">F200</f>
        <v>09 Bedrijfsinventaris</v>
      </c>
      <c r="G448" s="43">
        <f t="shared" si="217"/>
        <v>2009</v>
      </c>
      <c r="H448" s="58">
        <f t="shared" si="217"/>
        <v>537011.27</v>
      </c>
      <c r="I448" s="43">
        <f t="shared" si="217"/>
        <v>2021</v>
      </c>
      <c r="J448" s="58">
        <f t="shared" si="217"/>
        <v>10</v>
      </c>
      <c r="K448" s="187">
        <f t="shared" si="217"/>
        <v>1</v>
      </c>
      <c r="L448" s="58">
        <f t="shared" si="217"/>
        <v>0</v>
      </c>
      <c r="N448" s="49">
        <f t="shared" si="201"/>
        <v>0</v>
      </c>
      <c r="P448" s="44">
        <f t="shared" si="190"/>
        <v>0</v>
      </c>
      <c r="R448" s="49">
        <f t="shared" si="215"/>
        <v>0</v>
      </c>
      <c r="S448" s="49">
        <f t="shared" si="215"/>
        <v>0</v>
      </c>
      <c r="T448" s="49">
        <f t="shared" si="215"/>
        <v>0</v>
      </c>
      <c r="U448" s="49">
        <f t="shared" si="215"/>
        <v>0</v>
      </c>
      <c r="V448" s="49">
        <f t="shared" si="215"/>
        <v>0</v>
      </c>
      <c r="X448" s="49">
        <f t="shared" si="216"/>
        <v>0</v>
      </c>
      <c r="Y448" s="49">
        <f t="shared" si="216"/>
        <v>0</v>
      </c>
      <c r="Z448" s="49">
        <f t="shared" si="216"/>
        <v>0</v>
      </c>
      <c r="AA448" s="49">
        <f t="shared" si="216"/>
        <v>0</v>
      </c>
      <c r="AB448" s="49">
        <f t="shared" si="216"/>
        <v>0</v>
      </c>
      <c r="AD448" s="49">
        <f t="shared" si="202"/>
        <v>0</v>
      </c>
      <c r="AE448" s="49">
        <f t="shared" si="203"/>
        <v>0</v>
      </c>
      <c r="AF448" s="49">
        <f t="shared" si="204"/>
        <v>0</v>
      </c>
      <c r="AG448" s="49">
        <f t="shared" si="205"/>
        <v>0</v>
      </c>
      <c r="AH448" s="49">
        <f t="shared" si="206"/>
        <v>0</v>
      </c>
      <c r="AJ448" s="49">
        <f t="shared" si="191"/>
        <v>0</v>
      </c>
      <c r="AK448" s="49">
        <f t="shared" si="192"/>
        <v>0</v>
      </c>
      <c r="AL448" s="49">
        <f t="shared" si="193"/>
        <v>0</v>
      </c>
      <c r="AM448" s="49">
        <f t="shared" si="194"/>
        <v>0</v>
      </c>
      <c r="AN448" s="49">
        <f t="shared" si="195"/>
        <v>0</v>
      </c>
    </row>
    <row r="449" spans="2:40">
      <c r="B449" s="43" t="str">
        <f t="shared" si="188"/>
        <v>Asset 143</v>
      </c>
      <c r="F449" s="43" t="str">
        <f t="shared" ref="F449:L449" si="218">F201</f>
        <v>20 Kantoorgebouwen</v>
      </c>
      <c r="G449" s="43">
        <f t="shared" si="218"/>
        <v>2009</v>
      </c>
      <c r="H449" s="58">
        <f t="shared" si="218"/>
        <v>2416053.9300000006</v>
      </c>
      <c r="I449" s="43">
        <f t="shared" si="218"/>
        <v>2021</v>
      </c>
      <c r="J449" s="58">
        <f t="shared" si="218"/>
        <v>30</v>
      </c>
      <c r="K449" s="187">
        <f t="shared" si="218"/>
        <v>0</v>
      </c>
      <c r="L449" s="58">
        <f t="shared" si="218"/>
        <v>1689334.5575067692</v>
      </c>
      <c r="N449" s="49">
        <f t="shared" si="201"/>
        <v>1689334.5575067692</v>
      </c>
      <c r="P449" s="44">
        <f t="shared" si="190"/>
        <v>17.5</v>
      </c>
      <c r="R449" s="49">
        <f t="shared" si="215"/>
        <v>112944.08184473829</v>
      </c>
      <c r="S449" s="49">
        <f t="shared" si="215"/>
        <v>104553.95005055775</v>
      </c>
      <c r="T449" s="49">
        <f t="shared" si="215"/>
        <v>96787.085189659163</v>
      </c>
      <c r="U449" s="49">
        <f t="shared" si="215"/>
        <v>89597.187432713064</v>
      </c>
      <c r="V449" s="49">
        <f t="shared" si="215"/>
        <v>82941.396366282948</v>
      </c>
      <c r="X449" s="49">
        <f t="shared" si="216"/>
        <v>9653.3403286101093</v>
      </c>
      <c r="Y449" s="49">
        <f t="shared" si="216"/>
        <v>9653.3403286101111</v>
      </c>
      <c r="Z449" s="49">
        <f t="shared" si="216"/>
        <v>9653.3403286101111</v>
      </c>
      <c r="AA449" s="49">
        <f t="shared" si="216"/>
        <v>9653.3403286101111</v>
      </c>
      <c r="AB449" s="49">
        <f t="shared" si="216"/>
        <v>9653.3403286101111</v>
      </c>
      <c r="AD449" s="49">
        <f t="shared" si="202"/>
        <v>1566737.1353334209</v>
      </c>
      <c r="AE449" s="49">
        <f t="shared" si="203"/>
        <v>1452529.8449542532</v>
      </c>
      <c r="AF449" s="49">
        <f t="shared" si="204"/>
        <v>1346089.419435984</v>
      </c>
      <c r="AG449" s="49">
        <f t="shared" si="205"/>
        <v>1246838.8916746608</v>
      </c>
      <c r="AH449" s="49">
        <f t="shared" si="206"/>
        <v>1154244.1549797677</v>
      </c>
      <c r="AJ449" s="49">
        <f t="shared" si="191"/>
        <v>175866.48477468471</v>
      </c>
      <c r="AK449" s="49">
        <f t="shared" si="192"/>
        <v>162140.77526265822</v>
      </c>
      <c r="AL449" s="49">
        <f t="shared" si="193"/>
        <v>157591.82345683666</v>
      </c>
      <c r="AM449" s="49">
        <f t="shared" si="194"/>
        <v>146630.40564496029</v>
      </c>
      <c r="AN449" s="49">
        <f t="shared" si="195"/>
        <v>136456.01458412423</v>
      </c>
    </row>
    <row r="450" spans="2:40">
      <c r="B450" s="43" t="str">
        <f t="shared" si="188"/>
        <v>Asset 144</v>
      </c>
      <c r="F450" s="43" t="str">
        <f t="shared" ref="F450:L450" si="219">F202</f>
        <v>05 Wegen en terreinvoorzieningen</v>
      </c>
      <c r="G450" s="43">
        <f t="shared" si="219"/>
        <v>2009</v>
      </c>
      <c r="H450" s="58">
        <f t="shared" si="219"/>
        <v>97690.9</v>
      </c>
      <c r="I450" s="43">
        <f t="shared" si="219"/>
        <v>2021</v>
      </c>
      <c r="J450" s="58">
        <f t="shared" si="219"/>
        <v>10</v>
      </c>
      <c r="K450" s="187">
        <f t="shared" si="219"/>
        <v>0</v>
      </c>
      <c r="L450" s="58">
        <f t="shared" si="219"/>
        <v>0</v>
      </c>
      <c r="N450" s="49">
        <f t="shared" si="201"/>
        <v>0</v>
      </c>
      <c r="P450" s="44">
        <f t="shared" si="190"/>
        <v>0</v>
      </c>
      <c r="R450" s="49">
        <f t="shared" si="215"/>
        <v>0</v>
      </c>
      <c r="S450" s="49">
        <f t="shared" si="215"/>
        <v>0</v>
      </c>
      <c r="T450" s="49">
        <f t="shared" si="215"/>
        <v>0</v>
      </c>
      <c r="U450" s="49">
        <f t="shared" si="215"/>
        <v>0</v>
      </c>
      <c r="V450" s="49">
        <f t="shared" si="215"/>
        <v>0</v>
      </c>
      <c r="X450" s="49">
        <f t="shared" si="216"/>
        <v>0</v>
      </c>
      <c r="Y450" s="49">
        <f t="shared" si="216"/>
        <v>0</v>
      </c>
      <c r="Z450" s="49">
        <f t="shared" si="216"/>
        <v>0</v>
      </c>
      <c r="AA450" s="49">
        <f t="shared" si="216"/>
        <v>0</v>
      </c>
      <c r="AB450" s="49">
        <f t="shared" si="216"/>
        <v>0</v>
      </c>
      <c r="AD450" s="49">
        <f t="shared" si="202"/>
        <v>0</v>
      </c>
      <c r="AE450" s="49">
        <f t="shared" si="203"/>
        <v>0</v>
      </c>
      <c r="AF450" s="49">
        <f t="shared" si="204"/>
        <v>0</v>
      </c>
      <c r="AG450" s="49">
        <f t="shared" si="205"/>
        <v>0</v>
      </c>
      <c r="AH450" s="49">
        <f t="shared" si="206"/>
        <v>0</v>
      </c>
      <c r="AJ450" s="49">
        <f t="shared" si="191"/>
        <v>0</v>
      </c>
      <c r="AK450" s="49">
        <f t="shared" si="192"/>
        <v>0</v>
      </c>
      <c r="AL450" s="49">
        <f t="shared" si="193"/>
        <v>0</v>
      </c>
      <c r="AM450" s="49">
        <f t="shared" si="194"/>
        <v>0</v>
      </c>
      <c r="AN450" s="49">
        <f t="shared" si="195"/>
        <v>0</v>
      </c>
    </row>
    <row r="451" spans="2:40">
      <c r="B451" s="43" t="str">
        <f t="shared" si="188"/>
        <v>Asset 145</v>
      </c>
      <c r="F451" s="43" t="str">
        <f t="shared" ref="F451:L451" si="220">F203</f>
        <v>13 Aanhangwagens</v>
      </c>
      <c r="G451" s="43">
        <f t="shared" si="220"/>
        <v>2009</v>
      </c>
      <c r="H451" s="58">
        <f t="shared" si="220"/>
        <v>655669.05999999994</v>
      </c>
      <c r="I451" s="43">
        <f t="shared" si="220"/>
        <v>2021</v>
      </c>
      <c r="J451" s="58">
        <f t="shared" si="220"/>
        <v>10</v>
      </c>
      <c r="K451" s="187">
        <f t="shared" si="220"/>
        <v>1</v>
      </c>
      <c r="L451" s="58">
        <f t="shared" si="220"/>
        <v>0</v>
      </c>
      <c r="N451" s="49">
        <f t="shared" si="201"/>
        <v>0</v>
      </c>
      <c r="P451" s="44">
        <f t="shared" si="190"/>
        <v>0</v>
      </c>
      <c r="R451" s="49">
        <f t="shared" si="215"/>
        <v>0</v>
      </c>
      <c r="S451" s="49">
        <f t="shared" si="215"/>
        <v>0</v>
      </c>
      <c r="T451" s="49">
        <f t="shared" si="215"/>
        <v>0</v>
      </c>
      <c r="U451" s="49">
        <f t="shared" si="215"/>
        <v>0</v>
      </c>
      <c r="V451" s="49">
        <f t="shared" si="215"/>
        <v>0</v>
      </c>
      <c r="X451" s="49">
        <f t="shared" si="216"/>
        <v>0</v>
      </c>
      <c r="Y451" s="49">
        <f t="shared" si="216"/>
        <v>0</v>
      </c>
      <c r="Z451" s="49">
        <f t="shared" si="216"/>
        <v>0</v>
      </c>
      <c r="AA451" s="49">
        <f t="shared" si="216"/>
        <v>0</v>
      </c>
      <c r="AB451" s="49">
        <f t="shared" si="216"/>
        <v>0</v>
      </c>
      <c r="AD451" s="49">
        <f t="shared" si="202"/>
        <v>0</v>
      </c>
      <c r="AE451" s="49">
        <f t="shared" si="203"/>
        <v>0</v>
      </c>
      <c r="AF451" s="49">
        <f t="shared" si="204"/>
        <v>0</v>
      </c>
      <c r="AG451" s="49">
        <f t="shared" si="205"/>
        <v>0</v>
      </c>
      <c r="AH451" s="49">
        <f t="shared" si="206"/>
        <v>0</v>
      </c>
      <c r="AJ451" s="49">
        <f t="shared" si="191"/>
        <v>0</v>
      </c>
      <c r="AK451" s="49">
        <f t="shared" si="192"/>
        <v>0</v>
      </c>
      <c r="AL451" s="49">
        <f t="shared" si="193"/>
        <v>0</v>
      </c>
      <c r="AM451" s="49">
        <f t="shared" si="194"/>
        <v>0</v>
      </c>
      <c r="AN451" s="49">
        <f t="shared" si="195"/>
        <v>0</v>
      </c>
    </row>
    <row r="452" spans="2:40">
      <c r="B452" s="43" t="str">
        <f t="shared" si="188"/>
        <v>Asset 146</v>
      </c>
      <c r="F452" s="43" t="str">
        <f t="shared" ref="F452:L452" si="221">F204</f>
        <v>11 Werktuigen</v>
      </c>
      <c r="G452" s="43">
        <f t="shared" si="221"/>
        <v>2010</v>
      </c>
      <c r="H452" s="58">
        <f t="shared" si="221"/>
        <v>453194.78213502961</v>
      </c>
      <c r="I452" s="43">
        <f t="shared" si="221"/>
        <v>2021</v>
      </c>
      <c r="J452" s="58">
        <f t="shared" si="221"/>
        <v>10</v>
      </c>
      <c r="K452" s="187">
        <f t="shared" si="221"/>
        <v>1</v>
      </c>
      <c r="L452" s="58">
        <f t="shared" si="221"/>
        <v>0</v>
      </c>
      <c r="N452" s="49">
        <f t="shared" si="201"/>
        <v>0</v>
      </c>
      <c r="P452" s="44">
        <f t="shared" si="190"/>
        <v>0</v>
      </c>
      <c r="R452" s="49">
        <f t="shared" si="215"/>
        <v>0</v>
      </c>
      <c r="S452" s="49">
        <f t="shared" si="215"/>
        <v>0</v>
      </c>
      <c r="T452" s="49">
        <f t="shared" si="215"/>
        <v>0</v>
      </c>
      <c r="U452" s="49">
        <f t="shared" si="215"/>
        <v>0</v>
      </c>
      <c r="V452" s="49">
        <f t="shared" si="215"/>
        <v>0</v>
      </c>
      <c r="X452" s="49">
        <f t="shared" si="216"/>
        <v>0</v>
      </c>
      <c r="Y452" s="49">
        <f t="shared" si="216"/>
        <v>0</v>
      </c>
      <c r="Z452" s="49">
        <f t="shared" si="216"/>
        <v>0</v>
      </c>
      <c r="AA452" s="49">
        <f t="shared" si="216"/>
        <v>0</v>
      </c>
      <c r="AB452" s="49">
        <f t="shared" si="216"/>
        <v>0</v>
      </c>
      <c r="AD452" s="49">
        <f t="shared" si="202"/>
        <v>0</v>
      </c>
      <c r="AE452" s="49">
        <f t="shared" si="203"/>
        <v>0</v>
      </c>
      <c r="AF452" s="49">
        <f t="shared" si="204"/>
        <v>0</v>
      </c>
      <c r="AG452" s="49">
        <f t="shared" si="205"/>
        <v>0</v>
      </c>
      <c r="AH452" s="49">
        <f t="shared" si="206"/>
        <v>0</v>
      </c>
      <c r="AJ452" s="49">
        <f t="shared" si="191"/>
        <v>0</v>
      </c>
      <c r="AK452" s="49">
        <f t="shared" si="192"/>
        <v>0</v>
      </c>
      <c r="AL452" s="49">
        <f t="shared" si="193"/>
        <v>0</v>
      </c>
      <c r="AM452" s="49">
        <f t="shared" si="194"/>
        <v>0</v>
      </c>
      <c r="AN452" s="49">
        <f t="shared" si="195"/>
        <v>0</v>
      </c>
    </row>
    <row r="453" spans="2:40">
      <c r="B453" s="43" t="str">
        <f t="shared" si="188"/>
        <v>Asset 147</v>
      </c>
      <c r="F453" s="43" t="str">
        <f t="shared" ref="F453:L453" si="222">F205</f>
        <v>14 Overig rollend materieel</v>
      </c>
      <c r="G453" s="43">
        <f t="shared" si="222"/>
        <v>2010</v>
      </c>
      <c r="H453" s="58">
        <f t="shared" si="222"/>
        <v>179634.02000000002</v>
      </c>
      <c r="I453" s="43">
        <f t="shared" si="222"/>
        <v>2021</v>
      </c>
      <c r="J453" s="58">
        <f t="shared" si="222"/>
        <v>10</v>
      </c>
      <c r="K453" s="187">
        <f t="shared" si="222"/>
        <v>1</v>
      </c>
      <c r="L453" s="58">
        <f t="shared" si="222"/>
        <v>0</v>
      </c>
      <c r="N453" s="49">
        <f t="shared" si="201"/>
        <v>0</v>
      </c>
      <c r="P453" s="44">
        <f t="shared" si="190"/>
        <v>0</v>
      </c>
      <c r="R453" s="49">
        <f t="shared" si="215"/>
        <v>0</v>
      </c>
      <c r="S453" s="49">
        <f t="shared" si="215"/>
        <v>0</v>
      </c>
      <c r="T453" s="49">
        <f t="shared" si="215"/>
        <v>0</v>
      </c>
      <c r="U453" s="49">
        <f t="shared" si="215"/>
        <v>0</v>
      </c>
      <c r="V453" s="49">
        <f t="shared" si="215"/>
        <v>0</v>
      </c>
      <c r="X453" s="49">
        <f t="shared" si="216"/>
        <v>0</v>
      </c>
      <c r="Y453" s="49">
        <f t="shared" si="216"/>
        <v>0</v>
      </c>
      <c r="Z453" s="49">
        <f t="shared" si="216"/>
        <v>0</v>
      </c>
      <c r="AA453" s="49">
        <f t="shared" si="216"/>
        <v>0</v>
      </c>
      <c r="AB453" s="49">
        <f t="shared" si="216"/>
        <v>0</v>
      </c>
      <c r="AD453" s="49">
        <f t="shared" si="202"/>
        <v>0</v>
      </c>
      <c r="AE453" s="49">
        <f t="shared" si="203"/>
        <v>0</v>
      </c>
      <c r="AF453" s="49">
        <f t="shared" si="204"/>
        <v>0</v>
      </c>
      <c r="AG453" s="49">
        <f t="shared" si="205"/>
        <v>0</v>
      </c>
      <c r="AH453" s="49">
        <f t="shared" si="206"/>
        <v>0</v>
      </c>
      <c r="AJ453" s="49">
        <f t="shared" si="191"/>
        <v>0</v>
      </c>
      <c r="AK453" s="49">
        <f t="shared" si="192"/>
        <v>0</v>
      </c>
      <c r="AL453" s="49">
        <f t="shared" si="193"/>
        <v>0</v>
      </c>
      <c r="AM453" s="49">
        <f t="shared" si="194"/>
        <v>0</v>
      </c>
      <c r="AN453" s="49">
        <f t="shared" si="195"/>
        <v>0</v>
      </c>
    </row>
    <row r="454" spans="2:40">
      <c r="B454" s="43" t="str">
        <f t="shared" si="188"/>
        <v>Asset 148</v>
      </c>
      <c r="F454" s="43" t="str">
        <f t="shared" ref="F454:L454" si="223">F206</f>
        <v>12 Motorvoertuigen</v>
      </c>
      <c r="G454" s="43">
        <f t="shared" si="223"/>
        <v>2011</v>
      </c>
      <c r="H454" s="58">
        <f t="shared" si="223"/>
        <v>293470.62269139342</v>
      </c>
      <c r="I454" s="43">
        <f t="shared" si="223"/>
        <v>2021</v>
      </c>
      <c r="J454" s="58">
        <f t="shared" si="223"/>
        <v>10</v>
      </c>
      <c r="K454" s="187">
        <f t="shared" si="223"/>
        <v>1</v>
      </c>
      <c r="L454" s="58">
        <f t="shared" si="223"/>
        <v>0</v>
      </c>
      <c r="N454" s="49">
        <f t="shared" si="201"/>
        <v>0</v>
      </c>
      <c r="P454" s="44">
        <f t="shared" si="190"/>
        <v>0</v>
      </c>
      <c r="R454" s="49">
        <f t="shared" si="215"/>
        <v>0</v>
      </c>
      <c r="S454" s="49">
        <f t="shared" si="215"/>
        <v>0</v>
      </c>
      <c r="T454" s="49">
        <f t="shared" si="215"/>
        <v>0</v>
      </c>
      <c r="U454" s="49">
        <f t="shared" si="215"/>
        <v>0</v>
      </c>
      <c r="V454" s="49">
        <f t="shared" si="215"/>
        <v>0</v>
      </c>
      <c r="X454" s="49">
        <f t="shared" si="216"/>
        <v>0</v>
      </c>
      <c r="Y454" s="49">
        <f t="shared" si="216"/>
        <v>0</v>
      </c>
      <c r="Z454" s="49">
        <f t="shared" si="216"/>
        <v>0</v>
      </c>
      <c r="AA454" s="49">
        <f t="shared" si="216"/>
        <v>0</v>
      </c>
      <c r="AB454" s="49">
        <f t="shared" si="216"/>
        <v>0</v>
      </c>
      <c r="AD454" s="49">
        <f t="shared" si="202"/>
        <v>0</v>
      </c>
      <c r="AE454" s="49">
        <f t="shared" si="203"/>
        <v>0</v>
      </c>
      <c r="AF454" s="49">
        <f t="shared" si="204"/>
        <v>0</v>
      </c>
      <c r="AG454" s="49">
        <f t="shared" si="205"/>
        <v>0</v>
      </c>
      <c r="AH454" s="49">
        <f t="shared" si="206"/>
        <v>0</v>
      </c>
      <c r="AJ454" s="49">
        <f t="shared" si="191"/>
        <v>0</v>
      </c>
      <c r="AK454" s="49">
        <f t="shared" si="192"/>
        <v>0</v>
      </c>
      <c r="AL454" s="49">
        <f t="shared" si="193"/>
        <v>0</v>
      </c>
      <c r="AM454" s="49">
        <f t="shared" si="194"/>
        <v>0</v>
      </c>
      <c r="AN454" s="49">
        <f t="shared" si="195"/>
        <v>0</v>
      </c>
    </row>
    <row r="455" spans="2:40">
      <c r="B455" s="43" t="str">
        <f t="shared" si="188"/>
        <v>Asset 149</v>
      </c>
      <c r="F455" s="43" t="str">
        <f t="shared" ref="F455:L455" si="224">F207</f>
        <v>08 Inrichting gebouwen</v>
      </c>
      <c r="G455" s="43">
        <f t="shared" si="224"/>
        <v>2011</v>
      </c>
      <c r="H455" s="58">
        <f t="shared" si="224"/>
        <v>309147.61872011481</v>
      </c>
      <c r="I455" s="43">
        <f t="shared" si="224"/>
        <v>2021</v>
      </c>
      <c r="J455" s="58">
        <f t="shared" si="224"/>
        <v>10</v>
      </c>
      <c r="K455" s="187">
        <f t="shared" si="224"/>
        <v>0</v>
      </c>
      <c r="L455" s="58">
        <f t="shared" si="224"/>
        <v>0</v>
      </c>
      <c r="N455" s="49">
        <f t="shared" si="201"/>
        <v>0</v>
      </c>
      <c r="P455" s="44">
        <f t="shared" si="190"/>
        <v>0</v>
      </c>
      <c r="R455" s="49">
        <f t="shared" si="215"/>
        <v>0</v>
      </c>
      <c r="S455" s="49">
        <f t="shared" si="215"/>
        <v>0</v>
      </c>
      <c r="T455" s="49">
        <f t="shared" si="215"/>
        <v>0</v>
      </c>
      <c r="U455" s="49">
        <f t="shared" si="215"/>
        <v>0</v>
      </c>
      <c r="V455" s="49">
        <f t="shared" si="215"/>
        <v>0</v>
      </c>
      <c r="X455" s="49">
        <f t="shared" si="216"/>
        <v>0</v>
      </c>
      <c r="Y455" s="49">
        <f t="shared" si="216"/>
        <v>0</v>
      </c>
      <c r="Z455" s="49">
        <f t="shared" si="216"/>
        <v>0</v>
      </c>
      <c r="AA455" s="49">
        <f t="shared" si="216"/>
        <v>0</v>
      </c>
      <c r="AB455" s="49">
        <f t="shared" si="216"/>
        <v>0</v>
      </c>
      <c r="AD455" s="49">
        <f t="shared" si="202"/>
        <v>0</v>
      </c>
      <c r="AE455" s="49">
        <f t="shared" si="203"/>
        <v>0</v>
      </c>
      <c r="AF455" s="49">
        <f t="shared" si="204"/>
        <v>0</v>
      </c>
      <c r="AG455" s="49">
        <f t="shared" si="205"/>
        <v>0</v>
      </c>
      <c r="AH455" s="49">
        <f t="shared" si="206"/>
        <v>0</v>
      </c>
      <c r="AJ455" s="49">
        <f t="shared" si="191"/>
        <v>0</v>
      </c>
      <c r="AK455" s="49">
        <f t="shared" si="192"/>
        <v>0</v>
      </c>
      <c r="AL455" s="49">
        <f t="shared" si="193"/>
        <v>0</v>
      </c>
      <c r="AM455" s="49">
        <f t="shared" si="194"/>
        <v>0</v>
      </c>
      <c r="AN455" s="49">
        <f t="shared" si="195"/>
        <v>0</v>
      </c>
    </row>
    <row r="456" spans="2:40">
      <c r="B456" s="43" t="str">
        <f t="shared" si="188"/>
        <v>Asset 150</v>
      </c>
      <c r="F456" s="43" t="str">
        <f t="shared" ref="F456:L456" si="225">F208</f>
        <v>38 ICT middelen 2</v>
      </c>
      <c r="G456" s="43">
        <f t="shared" si="225"/>
        <v>2011</v>
      </c>
      <c r="H456" s="58">
        <f t="shared" si="225"/>
        <v>24343500.983545668</v>
      </c>
      <c r="I456" s="43">
        <f t="shared" si="225"/>
        <v>2021</v>
      </c>
      <c r="J456" s="58">
        <f t="shared" si="225"/>
        <v>10</v>
      </c>
      <c r="K456" s="187">
        <f t="shared" si="225"/>
        <v>1</v>
      </c>
      <c r="L456" s="58">
        <f t="shared" si="225"/>
        <v>0</v>
      </c>
      <c r="N456" s="49">
        <f t="shared" si="201"/>
        <v>0</v>
      </c>
      <c r="P456" s="44">
        <f t="shared" si="190"/>
        <v>0</v>
      </c>
      <c r="R456" s="49">
        <f t="shared" si="215"/>
        <v>0</v>
      </c>
      <c r="S456" s="49">
        <f t="shared" si="215"/>
        <v>0</v>
      </c>
      <c r="T456" s="49">
        <f t="shared" si="215"/>
        <v>0</v>
      </c>
      <c r="U456" s="49">
        <f t="shared" si="215"/>
        <v>0</v>
      </c>
      <c r="V456" s="49">
        <f t="shared" si="215"/>
        <v>0</v>
      </c>
      <c r="X456" s="49">
        <f t="shared" si="216"/>
        <v>0</v>
      </c>
      <c r="Y456" s="49">
        <f t="shared" si="216"/>
        <v>0</v>
      </c>
      <c r="Z456" s="49">
        <f t="shared" si="216"/>
        <v>0</v>
      </c>
      <c r="AA456" s="49">
        <f t="shared" si="216"/>
        <v>0</v>
      </c>
      <c r="AB456" s="49">
        <f t="shared" si="216"/>
        <v>0</v>
      </c>
      <c r="AD456" s="49">
        <f t="shared" si="202"/>
        <v>0</v>
      </c>
      <c r="AE456" s="49">
        <f t="shared" si="203"/>
        <v>0</v>
      </c>
      <c r="AF456" s="49">
        <f t="shared" si="204"/>
        <v>0</v>
      </c>
      <c r="AG456" s="49">
        <f t="shared" si="205"/>
        <v>0</v>
      </c>
      <c r="AH456" s="49">
        <f t="shared" si="206"/>
        <v>0</v>
      </c>
      <c r="AJ456" s="49">
        <f t="shared" si="191"/>
        <v>0</v>
      </c>
      <c r="AK456" s="49">
        <f t="shared" si="192"/>
        <v>0</v>
      </c>
      <c r="AL456" s="49">
        <f t="shared" si="193"/>
        <v>0</v>
      </c>
      <c r="AM456" s="49">
        <f t="shared" si="194"/>
        <v>0</v>
      </c>
      <c r="AN456" s="49">
        <f t="shared" si="195"/>
        <v>0</v>
      </c>
    </row>
    <row r="457" spans="2:40">
      <c r="B457" s="43" t="str">
        <f t="shared" si="188"/>
        <v>Asset 151</v>
      </c>
      <c r="F457" s="43" t="str">
        <f t="shared" ref="F457:L457" si="226">F209</f>
        <v>11 Werktuigen</v>
      </c>
      <c r="G457" s="43">
        <f t="shared" si="226"/>
        <v>2011</v>
      </c>
      <c r="H457" s="58">
        <f t="shared" si="226"/>
        <v>345005.47060998465</v>
      </c>
      <c r="I457" s="43">
        <f t="shared" si="226"/>
        <v>2021</v>
      </c>
      <c r="J457" s="58">
        <f t="shared" si="226"/>
        <v>10</v>
      </c>
      <c r="K457" s="187">
        <f t="shared" si="226"/>
        <v>1</v>
      </c>
      <c r="L457" s="58">
        <f t="shared" si="226"/>
        <v>0</v>
      </c>
      <c r="N457" s="49">
        <f t="shared" si="201"/>
        <v>0</v>
      </c>
      <c r="P457" s="44">
        <f t="shared" si="190"/>
        <v>0</v>
      </c>
      <c r="R457" s="49">
        <f t="shared" ref="R457:V466" si="227">IF(R$305&lt;=$G457+$J457,VDB($L457*(1-$F$25),0,$P457,R$305-2022,MIN(R$305-2021,$P457),$F$22),0)</f>
        <v>0</v>
      </c>
      <c r="S457" s="49">
        <f t="shared" si="227"/>
        <v>0</v>
      </c>
      <c r="T457" s="49">
        <f t="shared" si="227"/>
        <v>0</v>
      </c>
      <c r="U457" s="49">
        <f t="shared" si="227"/>
        <v>0</v>
      </c>
      <c r="V457" s="49">
        <f t="shared" si="227"/>
        <v>0</v>
      </c>
      <c r="X457" s="49">
        <f t="shared" ref="X457:AB466" si="228">IF(X$305&lt;=$G457+$J457,VDB($L457*$F$25,0,$P457,X$305-2022,MIN(X$305-2021,$P457),1),0)</f>
        <v>0</v>
      </c>
      <c r="Y457" s="49">
        <f t="shared" si="228"/>
        <v>0</v>
      </c>
      <c r="Z457" s="49">
        <f t="shared" si="228"/>
        <v>0</v>
      </c>
      <c r="AA457" s="49">
        <f t="shared" si="228"/>
        <v>0</v>
      </c>
      <c r="AB457" s="49">
        <f t="shared" si="228"/>
        <v>0</v>
      </c>
      <c r="AD457" s="49">
        <f t="shared" si="202"/>
        <v>0</v>
      </c>
      <c r="AE457" s="49">
        <f t="shared" si="203"/>
        <v>0</v>
      </c>
      <c r="AF457" s="49">
        <f t="shared" si="204"/>
        <v>0</v>
      </c>
      <c r="AG457" s="49">
        <f t="shared" si="205"/>
        <v>0</v>
      </c>
      <c r="AH457" s="49">
        <f t="shared" si="206"/>
        <v>0</v>
      </c>
      <c r="AJ457" s="49">
        <f t="shared" si="191"/>
        <v>0</v>
      </c>
      <c r="AK457" s="49">
        <f t="shared" si="192"/>
        <v>0</v>
      </c>
      <c r="AL457" s="49">
        <f t="shared" si="193"/>
        <v>0</v>
      </c>
      <c r="AM457" s="49">
        <f t="shared" si="194"/>
        <v>0</v>
      </c>
      <c r="AN457" s="49">
        <f t="shared" si="195"/>
        <v>0</v>
      </c>
    </row>
    <row r="458" spans="2:40">
      <c r="B458" s="43" t="str">
        <f t="shared" si="188"/>
        <v>Asset 152</v>
      </c>
      <c r="F458" s="43" t="str">
        <f t="shared" ref="F458:L458" si="229">F210</f>
        <v>13 Aanhangwagens</v>
      </c>
      <c r="G458" s="43">
        <f t="shared" si="229"/>
        <v>2011</v>
      </c>
      <c r="H458" s="58">
        <f t="shared" si="229"/>
        <v>10931.96</v>
      </c>
      <c r="I458" s="43">
        <f t="shared" si="229"/>
        <v>2021</v>
      </c>
      <c r="J458" s="58">
        <f t="shared" si="229"/>
        <v>10</v>
      </c>
      <c r="K458" s="187">
        <f t="shared" si="229"/>
        <v>1</v>
      </c>
      <c r="L458" s="58">
        <f t="shared" si="229"/>
        <v>0</v>
      </c>
      <c r="N458" s="49">
        <f t="shared" si="201"/>
        <v>0</v>
      </c>
      <c r="P458" s="44">
        <f t="shared" si="190"/>
        <v>0</v>
      </c>
      <c r="R458" s="49">
        <f t="shared" si="227"/>
        <v>0</v>
      </c>
      <c r="S458" s="49">
        <f t="shared" si="227"/>
        <v>0</v>
      </c>
      <c r="T458" s="49">
        <f t="shared" si="227"/>
        <v>0</v>
      </c>
      <c r="U458" s="49">
        <f t="shared" si="227"/>
        <v>0</v>
      </c>
      <c r="V458" s="49">
        <f t="shared" si="227"/>
        <v>0</v>
      </c>
      <c r="X458" s="49">
        <f t="shared" si="228"/>
        <v>0</v>
      </c>
      <c r="Y458" s="49">
        <f t="shared" si="228"/>
        <v>0</v>
      </c>
      <c r="Z458" s="49">
        <f t="shared" si="228"/>
        <v>0</v>
      </c>
      <c r="AA458" s="49">
        <f t="shared" si="228"/>
        <v>0</v>
      </c>
      <c r="AB458" s="49">
        <f t="shared" si="228"/>
        <v>0</v>
      </c>
      <c r="AD458" s="49">
        <f t="shared" si="202"/>
        <v>0</v>
      </c>
      <c r="AE458" s="49">
        <f t="shared" si="203"/>
        <v>0</v>
      </c>
      <c r="AF458" s="49">
        <f t="shared" si="204"/>
        <v>0</v>
      </c>
      <c r="AG458" s="49">
        <f t="shared" si="205"/>
        <v>0</v>
      </c>
      <c r="AH458" s="49">
        <f t="shared" si="206"/>
        <v>0</v>
      </c>
      <c r="AJ458" s="49">
        <f t="shared" si="191"/>
        <v>0</v>
      </c>
      <c r="AK458" s="49">
        <f t="shared" si="192"/>
        <v>0</v>
      </c>
      <c r="AL458" s="49">
        <f t="shared" si="193"/>
        <v>0</v>
      </c>
      <c r="AM458" s="49">
        <f t="shared" si="194"/>
        <v>0</v>
      </c>
      <c r="AN458" s="49">
        <f t="shared" si="195"/>
        <v>0</v>
      </c>
    </row>
    <row r="459" spans="2:40">
      <c r="B459" s="43" t="str">
        <f t="shared" si="188"/>
        <v>Asset 153</v>
      </c>
      <c r="F459" s="43" t="str">
        <f t="shared" ref="F459:L459" si="230">F211</f>
        <v>37 ICT middelen 1 (transparency)</v>
      </c>
      <c r="G459" s="43">
        <f t="shared" si="230"/>
        <v>2012</v>
      </c>
      <c r="H459" s="58">
        <f t="shared" si="230"/>
        <v>817297.73457401327</v>
      </c>
      <c r="I459" s="43">
        <f t="shared" si="230"/>
        <v>2021</v>
      </c>
      <c r="J459" s="58">
        <f t="shared" si="230"/>
        <v>5</v>
      </c>
      <c r="K459" s="187">
        <f t="shared" si="230"/>
        <v>0</v>
      </c>
      <c r="L459" s="58">
        <f t="shared" si="230"/>
        <v>0</v>
      </c>
      <c r="N459" s="49">
        <f t="shared" si="201"/>
        <v>0</v>
      </c>
      <c r="P459" s="44">
        <f t="shared" si="190"/>
        <v>0</v>
      </c>
      <c r="R459" s="49">
        <f t="shared" si="227"/>
        <v>0</v>
      </c>
      <c r="S459" s="49">
        <f t="shared" si="227"/>
        <v>0</v>
      </c>
      <c r="T459" s="49">
        <f t="shared" si="227"/>
        <v>0</v>
      </c>
      <c r="U459" s="49">
        <f t="shared" si="227"/>
        <v>0</v>
      </c>
      <c r="V459" s="49">
        <f t="shared" si="227"/>
        <v>0</v>
      </c>
      <c r="X459" s="49">
        <f t="shared" si="228"/>
        <v>0</v>
      </c>
      <c r="Y459" s="49">
        <f t="shared" si="228"/>
        <v>0</v>
      </c>
      <c r="Z459" s="49">
        <f t="shared" si="228"/>
        <v>0</v>
      </c>
      <c r="AA459" s="49">
        <f t="shared" si="228"/>
        <v>0</v>
      </c>
      <c r="AB459" s="49">
        <f t="shared" si="228"/>
        <v>0</v>
      </c>
      <c r="AD459" s="49">
        <f t="shared" si="202"/>
        <v>0</v>
      </c>
      <c r="AE459" s="49">
        <f t="shared" si="203"/>
        <v>0</v>
      </c>
      <c r="AF459" s="49">
        <f t="shared" si="204"/>
        <v>0</v>
      </c>
      <c r="AG459" s="49">
        <f t="shared" si="205"/>
        <v>0</v>
      </c>
      <c r="AH459" s="49">
        <f t="shared" si="206"/>
        <v>0</v>
      </c>
      <c r="AJ459" s="49">
        <f t="shared" si="191"/>
        <v>0</v>
      </c>
      <c r="AK459" s="49">
        <f t="shared" si="192"/>
        <v>0</v>
      </c>
      <c r="AL459" s="49">
        <f t="shared" si="193"/>
        <v>0</v>
      </c>
      <c r="AM459" s="49">
        <f t="shared" si="194"/>
        <v>0</v>
      </c>
      <c r="AN459" s="49">
        <f t="shared" si="195"/>
        <v>0</v>
      </c>
    </row>
    <row r="460" spans="2:40">
      <c r="B460" s="43" t="str">
        <f t="shared" si="188"/>
        <v>Asset 154</v>
      </c>
      <c r="F460" s="43" t="str">
        <f t="shared" ref="F460:L460" si="231">F212</f>
        <v>11 Werktuigen</v>
      </c>
      <c r="G460" s="43">
        <f t="shared" si="231"/>
        <v>2012</v>
      </c>
      <c r="H460" s="58">
        <f t="shared" si="231"/>
        <v>237528.30775638262</v>
      </c>
      <c r="I460" s="43">
        <f t="shared" si="231"/>
        <v>2021</v>
      </c>
      <c r="J460" s="58">
        <f t="shared" si="231"/>
        <v>10</v>
      </c>
      <c r="K460" s="187">
        <f t="shared" si="231"/>
        <v>1</v>
      </c>
      <c r="L460" s="58">
        <f t="shared" si="231"/>
        <v>13628.978016883706</v>
      </c>
      <c r="N460" s="49">
        <f t="shared" si="201"/>
        <v>13628.978016883706</v>
      </c>
      <c r="P460" s="44">
        <f t="shared" si="190"/>
        <v>0.5</v>
      </c>
      <c r="R460" s="49">
        <f t="shared" si="227"/>
        <v>12266.080215195336</v>
      </c>
      <c r="S460" s="49">
        <f t="shared" si="227"/>
        <v>0</v>
      </c>
      <c r="T460" s="49">
        <f t="shared" si="227"/>
        <v>0</v>
      </c>
      <c r="U460" s="49">
        <f t="shared" si="227"/>
        <v>0</v>
      </c>
      <c r="V460" s="49">
        <f t="shared" si="227"/>
        <v>0</v>
      </c>
      <c r="X460" s="49">
        <f t="shared" si="228"/>
        <v>1362.8978016883707</v>
      </c>
      <c r="Y460" s="49">
        <f t="shared" si="228"/>
        <v>0</v>
      </c>
      <c r="Z460" s="49">
        <f t="shared" si="228"/>
        <v>0</v>
      </c>
      <c r="AA460" s="49">
        <f t="shared" si="228"/>
        <v>0</v>
      </c>
      <c r="AB460" s="49">
        <f t="shared" si="228"/>
        <v>0</v>
      </c>
      <c r="AD460" s="49">
        <f t="shared" si="202"/>
        <v>-4.5474735088646412E-13</v>
      </c>
      <c r="AE460" s="49">
        <f t="shared" si="203"/>
        <v>0</v>
      </c>
      <c r="AF460" s="49">
        <f t="shared" si="204"/>
        <v>0</v>
      </c>
      <c r="AG460" s="49">
        <f t="shared" si="205"/>
        <v>0</v>
      </c>
      <c r="AH460" s="49">
        <f t="shared" si="206"/>
        <v>0</v>
      </c>
      <c r="AJ460" s="49">
        <f t="shared" si="191"/>
        <v>13628.978016883706</v>
      </c>
      <c r="AK460" s="49">
        <f t="shared" si="192"/>
        <v>0</v>
      </c>
      <c r="AL460" s="49">
        <f t="shared" si="193"/>
        <v>0</v>
      </c>
      <c r="AM460" s="49">
        <f t="shared" si="194"/>
        <v>0</v>
      </c>
      <c r="AN460" s="49">
        <f t="shared" si="195"/>
        <v>0</v>
      </c>
    </row>
    <row r="461" spans="2:40">
      <c r="B461" s="43" t="str">
        <f t="shared" si="188"/>
        <v>Asset 155</v>
      </c>
      <c r="F461" s="43" t="str">
        <f t="shared" ref="F461:L461" si="232">F213</f>
        <v>13 Aanhangwagens</v>
      </c>
      <c r="G461" s="43">
        <f t="shared" si="232"/>
        <v>2012</v>
      </c>
      <c r="H461" s="58">
        <f t="shared" si="232"/>
        <v>20000</v>
      </c>
      <c r="I461" s="43">
        <f t="shared" si="232"/>
        <v>2021</v>
      </c>
      <c r="J461" s="58">
        <f t="shared" si="232"/>
        <v>10</v>
      </c>
      <c r="K461" s="187">
        <f t="shared" si="232"/>
        <v>1</v>
      </c>
      <c r="L461" s="58">
        <f t="shared" si="232"/>
        <v>1147.5666328463135</v>
      </c>
      <c r="N461" s="49">
        <f t="shared" si="201"/>
        <v>1147.5666328463135</v>
      </c>
      <c r="P461" s="44">
        <f t="shared" si="190"/>
        <v>0.5</v>
      </c>
      <c r="R461" s="49">
        <f t="shared" si="227"/>
        <v>1032.8099695616822</v>
      </c>
      <c r="S461" s="49">
        <f t="shared" si="227"/>
        <v>0</v>
      </c>
      <c r="T461" s="49">
        <f t="shared" si="227"/>
        <v>0</v>
      </c>
      <c r="U461" s="49">
        <f t="shared" si="227"/>
        <v>0</v>
      </c>
      <c r="V461" s="49">
        <f t="shared" si="227"/>
        <v>0</v>
      </c>
      <c r="X461" s="49">
        <f t="shared" si="228"/>
        <v>114.75666328463136</v>
      </c>
      <c r="Y461" s="49">
        <f t="shared" si="228"/>
        <v>0</v>
      </c>
      <c r="Z461" s="49">
        <f t="shared" si="228"/>
        <v>0</v>
      </c>
      <c r="AA461" s="49">
        <f t="shared" si="228"/>
        <v>0</v>
      </c>
      <c r="AB461" s="49">
        <f t="shared" si="228"/>
        <v>0</v>
      </c>
      <c r="AD461" s="49">
        <f t="shared" si="202"/>
        <v>-9.9475983006414026E-14</v>
      </c>
      <c r="AE461" s="49">
        <f t="shared" si="203"/>
        <v>0</v>
      </c>
      <c r="AF461" s="49">
        <f t="shared" si="204"/>
        <v>0</v>
      </c>
      <c r="AG461" s="49">
        <f t="shared" si="205"/>
        <v>0</v>
      </c>
      <c r="AH461" s="49">
        <f t="shared" si="206"/>
        <v>0</v>
      </c>
      <c r="AJ461" s="49">
        <f t="shared" si="191"/>
        <v>1147.5666328463135</v>
      </c>
      <c r="AK461" s="49">
        <f t="shared" si="192"/>
        <v>0</v>
      </c>
      <c r="AL461" s="49">
        <f t="shared" si="193"/>
        <v>0</v>
      </c>
      <c r="AM461" s="49">
        <f t="shared" si="194"/>
        <v>0</v>
      </c>
      <c r="AN461" s="49">
        <f t="shared" si="195"/>
        <v>0</v>
      </c>
    </row>
    <row r="462" spans="2:40">
      <c r="B462" s="43" t="str">
        <f t="shared" si="188"/>
        <v>Asset 156</v>
      </c>
      <c r="F462" s="43" t="str">
        <f t="shared" ref="F462:L462" si="233">F214</f>
        <v>20 Kantoorgebouwen</v>
      </c>
      <c r="G462" s="43">
        <f t="shared" si="233"/>
        <v>2012</v>
      </c>
      <c r="H462" s="58">
        <f t="shared" si="233"/>
        <v>701380.67501665035</v>
      </c>
      <c r="I462" s="43">
        <f t="shared" si="233"/>
        <v>2021</v>
      </c>
      <c r="J462" s="58">
        <f t="shared" si="233"/>
        <v>30</v>
      </c>
      <c r="K462" s="187">
        <f t="shared" si="233"/>
        <v>0</v>
      </c>
      <c r="L462" s="58">
        <f t="shared" si="233"/>
        <v>550002.05737442558</v>
      </c>
      <c r="N462" s="49">
        <f t="shared" si="201"/>
        <v>550002.05737442558</v>
      </c>
      <c r="P462" s="44">
        <f t="shared" si="190"/>
        <v>20.5</v>
      </c>
      <c r="R462" s="49">
        <f t="shared" si="227"/>
        <v>31390.361323320878</v>
      </c>
      <c r="S462" s="49">
        <f t="shared" si="227"/>
        <v>29399.753044281017</v>
      </c>
      <c r="T462" s="49">
        <f t="shared" si="227"/>
        <v>27535.378460985143</v>
      </c>
      <c r="U462" s="49">
        <f t="shared" si="227"/>
        <v>25789.23250980072</v>
      </c>
      <c r="V462" s="49">
        <f t="shared" si="227"/>
        <v>24153.817765276774</v>
      </c>
      <c r="X462" s="49">
        <f t="shared" si="228"/>
        <v>2682.9368652411008</v>
      </c>
      <c r="Y462" s="49">
        <f t="shared" si="228"/>
        <v>2682.9368652411008</v>
      </c>
      <c r="Z462" s="49">
        <f t="shared" si="228"/>
        <v>2682.9368652411008</v>
      </c>
      <c r="AA462" s="49">
        <f t="shared" si="228"/>
        <v>2682.9368652411008</v>
      </c>
      <c r="AB462" s="49">
        <f t="shared" si="228"/>
        <v>2682.9368652411008</v>
      </c>
      <c r="AD462" s="49">
        <f t="shared" si="202"/>
        <v>515928.7591858636</v>
      </c>
      <c r="AE462" s="49">
        <f t="shared" si="203"/>
        <v>483846.06927634147</v>
      </c>
      <c r="AF462" s="49">
        <f t="shared" si="204"/>
        <v>453627.75395011524</v>
      </c>
      <c r="AG462" s="49">
        <f t="shared" si="205"/>
        <v>425155.58457507344</v>
      </c>
      <c r="AH462" s="49">
        <f t="shared" si="206"/>
        <v>398318.82994455559</v>
      </c>
      <c r="AJ462" s="49">
        <f t="shared" si="191"/>
        <v>51614.876000881341</v>
      </c>
      <c r="AK462" s="49">
        <f t="shared" si="192"/>
        <v>48049.610195641384</v>
      </c>
      <c r="AL462" s="49">
        <f t="shared" si="193"/>
        <v>47456.169976330624</v>
      </c>
      <c r="AM462" s="49">
        <f t="shared" si="194"/>
        <v>44628.081588894609</v>
      </c>
      <c r="AN462" s="49">
        <f t="shared" si="195"/>
        <v>41972.870168410984</v>
      </c>
    </row>
    <row r="463" spans="2:40">
      <c r="B463" s="43" t="str">
        <f t="shared" si="188"/>
        <v>Asset 157</v>
      </c>
      <c r="F463" s="43" t="str">
        <f t="shared" ref="F463:L463" si="234">F215</f>
        <v>10 Gereedschap</v>
      </c>
      <c r="G463" s="43">
        <f t="shared" si="234"/>
        <v>2012</v>
      </c>
      <c r="H463" s="58">
        <f t="shared" si="234"/>
        <v>102288.01000000001</v>
      </c>
      <c r="I463" s="43">
        <f t="shared" si="234"/>
        <v>2021</v>
      </c>
      <c r="J463" s="58">
        <f t="shared" si="234"/>
        <v>10</v>
      </c>
      <c r="K463" s="187">
        <f t="shared" si="234"/>
        <v>1</v>
      </c>
      <c r="L463" s="58">
        <f t="shared" si="234"/>
        <v>5869.1153608124732</v>
      </c>
      <c r="N463" s="49">
        <f t="shared" si="201"/>
        <v>5869.1153608124732</v>
      </c>
      <c r="P463" s="44">
        <f t="shared" si="190"/>
        <v>0.5</v>
      </c>
      <c r="R463" s="49">
        <f t="shared" si="227"/>
        <v>5282.2038247312257</v>
      </c>
      <c r="S463" s="49">
        <f t="shared" si="227"/>
        <v>0</v>
      </c>
      <c r="T463" s="49">
        <f t="shared" si="227"/>
        <v>0</v>
      </c>
      <c r="U463" s="49">
        <f t="shared" si="227"/>
        <v>0</v>
      </c>
      <c r="V463" s="49">
        <f t="shared" si="227"/>
        <v>0</v>
      </c>
      <c r="X463" s="49">
        <f t="shared" si="228"/>
        <v>586.91153608124739</v>
      </c>
      <c r="Y463" s="49">
        <f t="shared" si="228"/>
        <v>0</v>
      </c>
      <c r="Z463" s="49">
        <f t="shared" si="228"/>
        <v>0</v>
      </c>
      <c r="AA463" s="49">
        <f t="shared" si="228"/>
        <v>0</v>
      </c>
      <c r="AB463" s="49">
        <f t="shared" si="228"/>
        <v>0</v>
      </c>
      <c r="AD463" s="49">
        <f t="shared" si="202"/>
        <v>1.1368683772161603E-13</v>
      </c>
      <c r="AE463" s="49">
        <f t="shared" si="203"/>
        <v>0</v>
      </c>
      <c r="AF463" s="49">
        <f t="shared" si="204"/>
        <v>0</v>
      </c>
      <c r="AG463" s="49">
        <f t="shared" si="205"/>
        <v>0</v>
      </c>
      <c r="AH463" s="49">
        <f t="shared" si="206"/>
        <v>0</v>
      </c>
      <c r="AJ463" s="49">
        <f t="shared" si="191"/>
        <v>5869.1153608124732</v>
      </c>
      <c r="AK463" s="49">
        <f t="shared" si="192"/>
        <v>0</v>
      </c>
      <c r="AL463" s="49">
        <f t="shared" si="193"/>
        <v>0</v>
      </c>
      <c r="AM463" s="49">
        <f t="shared" si="194"/>
        <v>0</v>
      </c>
      <c r="AN463" s="49">
        <f t="shared" si="195"/>
        <v>0</v>
      </c>
    </row>
    <row r="464" spans="2:40">
      <c r="B464" s="43" t="str">
        <f t="shared" si="188"/>
        <v>Asset 158</v>
      </c>
      <c r="F464" s="43" t="str">
        <f t="shared" ref="F464:L464" si="235">F216</f>
        <v>09 Bedrijfsinventaris</v>
      </c>
      <c r="G464" s="43">
        <f t="shared" si="235"/>
        <v>2012</v>
      </c>
      <c r="H464" s="58">
        <f t="shared" si="235"/>
        <v>321753.96830222307</v>
      </c>
      <c r="I464" s="43">
        <f t="shared" si="235"/>
        <v>2021</v>
      </c>
      <c r="J464" s="58">
        <f t="shared" si="235"/>
        <v>10</v>
      </c>
      <c r="K464" s="187">
        <f t="shared" si="235"/>
        <v>1</v>
      </c>
      <c r="L464" s="58">
        <f t="shared" si="235"/>
        <v>18461.705900476001</v>
      </c>
      <c r="N464" s="49">
        <f t="shared" si="201"/>
        <v>18461.705900476001</v>
      </c>
      <c r="P464" s="44">
        <f t="shared" si="190"/>
        <v>0.5</v>
      </c>
      <c r="R464" s="49">
        <f t="shared" si="227"/>
        <v>16615.5353104284</v>
      </c>
      <c r="S464" s="49">
        <f t="shared" si="227"/>
        <v>0</v>
      </c>
      <c r="T464" s="49">
        <f t="shared" si="227"/>
        <v>0</v>
      </c>
      <c r="U464" s="49">
        <f t="shared" si="227"/>
        <v>0</v>
      </c>
      <c r="V464" s="49">
        <f t="shared" si="227"/>
        <v>0</v>
      </c>
      <c r="X464" s="49">
        <f t="shared" si="228"/>
        <v>1846.1705900476002</v>
      </c>
      <c r="Y464" s="49">
        <f t="shared" si="228"/>
        <v>0</v>
      </c>
      <c r="Z464" s="49">
        <f t="shared" si="228"/>
        <v>0</v>
      </c>
      <c r="AA464" s="49">
        <f t="shared" si="228"/>
        <v>0</v>
      </c>
      <c r="AB464" s="49">
        <f t="shared" si="228"/>
        <v>0</v>
      </c>
      <c r="AD464" s="49">
        <f t="shared" si="202"/>
        <v>6.8212102632969618E-13</v>
      </c>
      <c r="AE464" s="49">
        <f t="shared" si="203"/>
        <v>0</v>
      </c>
      <c r="AF464" s="49">
        <f t="shared" si="204"/>
        <v>0</v>
      </c>
      <c r="AG464" s="49">
        <f t="shared" si="205"/>
        <v>0</v>
      </c>
      <c r="AH464" s="49">
        <f t="shared" si="206"/>
        <v>0</v>
      </c>
      <c r="AJ464" s="49">
        <f t="shared" si="191"/>
        <v>18461.705900476001</v>
      </c>
      <c r="AK464" s="49">
        <f t="shared" si="192"/>
        <v>0</v>
      </c>
      <c r="AL464" s="49">
        <f t="shared" si="193"/>
        <v>0</v>
      </c>
      <c r="AM464" s="49">
        <f t="shared" si="194"/>
        <v>0</v>
      </c>
      <c r="AN464" s="49">
        <f t="shared" si="195"/>
        <v>0</v>
      </c>
    </row>
    <row r="465" spans="2:40">
      <c r="B465" s="43" t="str">
        <f t="shared" si="188"/>
        <v>Asset 159</v>
      </c>
      <c r="F465" s="43" t="str">
        <f t="shared" ref="F465:L465" si="236">F217</f>
        <v>14 Overig rollend materieel</v>
      </c>
      <c r="G465" s="43">
        <f t="shared" si="236"/>
        <v>2012</v>
      </c>
      <c r="H465" s="58">
        <f t="shared" si="236"/>
        <v>341738.83030935976</v>
      </c>
      <c r="I465" s="43">
        <f t="shared" si="236"/>
        <v>2021</v>
      </c>
      <c r="J465" s="58">
        <f t="shared" si="236"/>
        <v>10</v>
      </c>
      <c r="K465" s="187">
        <f t="shared" si="236"/>
        <v>1</v>
      </c>
      <c r="L465" s="58">
        <f t="shared" si="236"/>
        <v>19608.403940547396</v>
      </c>
      <c r="N465" s="49">
        <f t="shared" si="201"/>
        <v>19608.403940547396</v>
      </c>
      <c r="P465" s="44">
        <f t="shared" si="190"/>
        <v>0.5</v>
      </c>
      <c r="R465" s="49">
        <f t="shared" si="227"/>
        <v>17647.563546492656</v>
      </c>
      <c r="S465" s="49">
        <f t="shared" si="227"/>
        <v>0</v>
      </c>
      <c r="T465" s="49">
        <f t="shared" si="227"/>
        <v>0</v>
      </c>
      <c r="U465" s="49">
        <f t="shared" si="227"/>
        <v>0</v>
      </c>
      <c r="V465" s="49">
        <f t="shared" si="227"/>
        <v>0</v>
      </c>
      <c r="X465" s="49">
        <f t="shared" si="228"/>
        <v>1960.8403940547396</v>
      </c>
      <c r="Y465" s="49">
        <f t="shared" si="228"/>
        <v>0</v>
      </c>
      <c r="Z465" s="49">
        <f t="shared" si="228"/>
        <v>0</v>
      </c>
      <c r="AA465" s="49">
        <f t="shared" si="228"/>
        <v>0</v>
      </c>
      <c r="AB465" s="49">
        <f t="shared" si="228"/>
        <v>0</v>
      </c>
      <c r="AD465" s="49">
        <f t="shared" si="202"/>
        <v>0</v>
      </c>
      <c r="AE465" s="49">
        <f t="shared" si="203"/>
        <v>0</v>
      </c>
      <c r="AF465" s="49">
        <f t="shared" si="204"/>
        <v>0</v>
      </c>
      <c r="AG465" s="49">
        <f t="shared" si="205"/>
        <v>0</v>
      </c>
      <c r="AH465" s="49">
        <f t="shared" si="206"/>
        <v>0</v>
      </c>
      <c r="AJ465" s="49">
        <f t="shared" si="191"/>
        <v>19608.403940547396</v>
      </c>
      <c r="AK465" s="49">
        <f t="shared" si="192"/>
        <v>0</v>
      </c>
      <c r="AL465" s="49">
        <f t="shared" si="193"/>
        <v>0</v>
      </c>
      <c r="AM465" s="49">
        <f t="shared" si="194"/>
        <v>0</v>
      </c>
      <c r="AN465" s="49">
        <f t="shared" si="195"/>
        <v>0</v>
      </c>
    </row>
    <row r="466" spans="2:40">
      <c r="B466" s="43" t="str">
        <f t="shared" si="188"/>
        <v>Asset 160</v>
      </c>
      <c r="F466" s="43" t="str">
        <f t="shared" ref="F466:L466" si="237">F218</f>
        <v>08 Inrichting gebouwen</v>
      </c>
      <c r="G466" s="43">
        <f t="shared" si="237"/>
        <v>2012</v>
      </c>
      <c r="H466" s="58">
        <f t="shared" si="237"/>
        <v>737114.28212566266</v>
      </c>
      <c r="I466" s="43">
        <f t="shared" si="237"/>
        <v>2021</v>
      </c>
      <c r="J466" s="58">
        <f t="shared" si="237"/>
        <v>10</v>
      </c>
      <c r="K466" s="187">
        <f t="shared" si="237"/>
        <v>0</v>
      </c>
      <c r="L466" s="58">
        <f t="shared" si="237"/>
        <v>42294.387738093574</v>
      </c>
      <c r="N466" s="49">
        <f t="shared" si="201"/>
        <v>42294.387738093574</v>
      </c>
      <c r="P466" s="44">
        <f t="shared" si="190"/>
        <v>0.5</v>
      </c>
      <c r="R466" s="49">
        <f t="shared" si="227"/>
        <v>38064.948964284216</v>
      </c>
      <c r="S466" s="49">
        <f t="shared" si="227"/>
        <v>0</v>
      </c>
      <c r="T466" s="49">
        <f t="shared" si="227"/>
        <v>0</v>
      </c>
      <c r="U466" s="49">
        <f t="shared" si="227"/>
        <v>0</v>
      </c>
      <c r="V466" s="49">
        <f t="shared" si="227"/>
        <v>0</v>
      </c>
      <c r="X466" s="49">
        <f t="shared" si="228"/>
        <v>4229.4387738093574</v>
      </c>
      <c r="Y466" s="49">
        <f t="shared" si="228"/>
        <v>0</v>
      </c>
      <c r="Z466" s="49">
        <f t="shared" si="228"/>
        <v>0</v>
      </c>
      <c r="AA466" s="49">
        <f t="shared" si="228"/>
        <v>0</v>
      </c>
      <c r="AB466" s="49">
        <f t="shared" si="228"/>
        <v>0</v>
      </c>
      <c r="AD466" s="49">
        <f t="shared" si="202"/>
        <v>0</v>
      </c>
      <c r="AE466" s="49">
        <f t="shared" si="203"/>
        <v>0</v>
      </c>
      <c r="AF466" s="49">
        <f t="shared" si="204"/>
        <v>0</v>
      </c>
      <c r="AG466" s="49">
        <f t="shared" si="205"/>
        <v>0</v>
      </c>
      <c r="AH466" s="49">
        <f t="shared" si="206"/>
        <v>0</v>
      </c>
      <c r="AJ466" s="49">
        <f t="shared" si="191"/>
        <v>42294.387738093574</v>
      </c>
      <c r="AK466" s="49">
        <f t="shared" si="192"/>
        <v>0</v>
      </c>
      <c r="AL466" s="49">
        <f t="shared" si="193"/>
        <v>0</v>
      </c>
      <c r="AM466" s="49">
        <f t="shared" si="194"/>
        <v>0</v>
      </c>
      <c r="AN466" s="49">
        <f t="shared" si="195"/>
        <v>0</v>
      </c>
    </row>
    <row r="467" spans="2:40">
      <c r="B467" s="43" t="str">
        <f t="shared" si="188"/>
        <v>Asset 161</v>
      </c>
      <c r="F467" s="43" t="str">
        <f t="shared" ref="F467:L467" si="238">F219</f>
        <v>11 Werktuigen</v>
      </c>
      <c r="G467" s="43">
        <f t="shared" si="238"/>
        <v>2013</v>
      </c>
      <c r="H467" s="58">
        <f t="shared" si="238"/>
        <v>5005059.40396435</v>
      </c>
      <c r="I467" s="43">
        <f t="shared" si="238"/>
        <v>2021</v>
      </c>
      <c r="J467" s="58">
        <f t="shared" si="238"/>
        <v>10</v>
      </c>
      <c r="K467" s="187">
        <f t="shared" si="238"/>
        <v>1</v>
      </c>
      <c r="L467" s="58">
        <f t="shared" si="238"/>
        <v>842175.83099752699</v>
      </c>
      <c r="N467" s="49">
        <f t="shared" si="201"/>
        <v>842175.83099752699</v>
      </c>
      <c r="P467" s="44">
        <f t="shared" si="190"/>
        <v>1.5</v>
      </c>
      <c r="R467" s="49">
        <f t="shared" ref="R467:V476" si="239">IF(R$305&lt;=$G467+$J467,VDB($L467*(1-$F$25),0,$P467,R$305-2022,MIN(R$305-2021,$P467),$F$22),0)</f>
        <v>656897.14817807113</v>
      </c>
      <c r="S467" s="49">
        <f t="shared" si="239"/>
        <v>101061.0997197032</v>
      </c>
      <c r="T467" s="49">
        <f t="shared" si="239"/>
        <v>0</v>
      </c>
      <c r="U467" s="49">
        <f t="shared" si="239"/>
        <v>0</v>
      </c>
      <c r="V467" s="49">
        <f t="shared" si="239"/>
        <v>0</v>
      </c>
      <c r="X467" s="49">
        <f t="shared" ref="X467:AB476" si="240">IF(X$305&lt;=$G467+$J467,VDB($L467*$F$25,0,$P467,X$305-2022,MIN(X$305-2021,$P467),1),0)</f>
        <v>56145.055399835139</v>
      </c>
      <c r="Y467" s="49">
        <f t="shared" si="240"/>
        <v>28072.527699917569</v>
      </c>
      <c r="Z467" s="49">
        <f t="shared" si="240"/>
        <v>0</v>
      </c>
      <c r="AA467" s="49">
        <f t="shared" si="240"/>
        <v>0</v>
      </c>
      <c r="AB467" s="49">
        <f t="shared" si="240"/>
        <v>0</v>
      </c>
      <c r="AD467" s="49">
        <f t="shared" si="202"/>
        <v>129133.62741962072</v>
      </c>
      <c r="AE467" s="49">
        <f t="shared" si="203"/>
        <v>-4.3655745685100555E-11</v>
      </c>
      <c r="AF467" s="49">
        <f t="shared" si="204"/>
        <v>0</v>
      </c>
      <c r="AG467" s="49">
        <f t="shared" si="205"/>
        <v>0</v>
      </c>
      <c r="AH467" s="49">
        <f t="shared" si="206"/>
        <v>0</v>
      </c>
      <c r="AJ467" s="49">
        <f t="shared" si="191"/>
        <v>717432.74691017333</v>
      </c>
      <c r="AK467" s="49">
        <f t="shared" si="192"/>
        <v>129133.62741962077</v>
      </c>
      <c r="AL467" s="49">
        <f t="shared" si="193"/>
        <v>0</v>
      </c>
      <c r="AM467" s="49">
        <f t="shared" si="194"/>
        <v>0</v>
      </c>
      <c r="AN467" s="49">
        <f t="shared" si="195"/>
        <v>0</v>
      </c>
    </row>
    <row r="468" spans="2:40">
      <c r="B468" s="43" t="str">
        <f t="shared" si="188"/>
        <v>Asset 162</v>
      </c>
      <c r="F468" s="43" t="str">
        <f t="shared" ref="F468:L468" si="241">F220</f>
        <v>20 Kantoorgebouwen</v>
      </c>
      <c r="G468" s="43">
        <f t="shared" si="241"/>
        <v>2013</v>
      </c>
      <c r="H468" s="58">
        <f t="shared" si="241"/>
        <v>1237826.9064472313</v>
      </c>
      <c r="I468" s="43">
        <f t="shared" si="241"/>
        <v>2021</v>
      </c>
      <c r="J468" s="58">
        <f t="shared" si="241"/>
        <v>30</v>
      </c>
      <c r="K468" s="187">
        <f t="shared" si="241"/>
        <v>0</v>
      </c>
      <c r="L468" s="58">
        <f t="shared" si="241"/>
        <v>995129.04477620148</v>
      </c>
      <c r="N468" s="49">
        <f t="shared" si="201"/>
        <v>995129.04477620148</v>
      </c>
      <c r="P468" s="44">
        <f t="shared" si="190"/>
        <v>21.5</v>
      </c>
      <c r="R468" s="49">
        <f t="shared" si="239"/>
        <v>54153.534064565385</v>
      </c>
      <c r="S468" s="49">
        <f t="shared" si="239"/>
        <v>50879.134330428868</v>
      </c>
      <c r="T468" s="49">
        <f t="shared" si="239"/>
        <v>47802.721556961071</v>
      </c>
      <c r="U468" s="49">
        <f t="shared" si="239"/>
        <v>44912.324439563425</v>
      </c>
      <c r="V468" s="49">
        <f t="shared" si="239"/>
        <v>42196.695519961919</v>
      </c>
      <c r="X468" s="49">
        <f t="shared" si="240"/>
        <v>4628.5071850055883</v>
      </c>
      <c r="Y468" s="49">
        <f t="shared" si="240"/>
        <v>4628.5071850055883</v>
      </c>
      <c r="Z468" s="49">
        <f t="shared" si="240"/>
        <v>4628.5071850055883</v>
      </c>
      <c r="AA468" s="49">
        <f t="shared" si="240"/>
        <v>4628.5071850055883</v>
      </c>
      <c r="AB468" s="49">
        <f t="shared" si="240"/>
        <v>4628.5071850055883</v>
      </c>
      <c r="AD468" s="49">
        <f t="shared" si="202"/>
        <v>936347.00352663046</v>
      </c>
      <c r="AE468" s="49">
        <f t="shared" si="203"/>
        <v>880839.36201119598</v>
      </c>
      <c r="AF468" s="49">
        <f t="shared" si="204"/>
        <v>828408.13326922932</v>
      </c>
      <c r="AG468" s="49">
        <f t="shared" si="205"/>
        <v>778867.3016446603</v>
      </c>
      <c r="AH468" s="49">
        <f t="shared" si="206"/>
        <v>732042.09893969283</v>
      </c>
      <c r="AJ468" s="49">
        <f t="shared" si="191"/>
        <v>90617.839369476409</v>
      </c>
      <c r="AK468" s="49">
        <f t="shared" si="192"/>
        <v>84575.34046180392</v>
      </c>
      <c r="AL468" s="49">
        <f t="shared" si="193"/>
        <v>83910.737806197372</v>
      </c>
      <c r="AM468" s="49">
        <f t="shared" si="194"/>
        <v>79137.789087066107</v>
      </c>
      <c r="AN468" s="49">
        <f t="shared" si="195"/>
        <v>74642.802464675828</v>
      </c>
    </row>
    <row r="469" spans="2:40">
      <c r="B469" s="43" t="str">
        <f t="shared" si="188"/>
        <v>Asset 163</v>
      </c>
      <c r="F469" s="43" t="str">
        <f t="shared" ref="F469:L469" si="242">F221</f>
        <v>09 Bedrijfsinventaris</v>
      </c>
      <c r="G469" s="43">
        <f t="shared" si="242"/>
        <v>2013</v>
      </c>
      <c r="H469" s="58">
        <f t="shared" si="242"/>
        <v>292655.61609467439</v>
      </c>
      <c r="I469" s="43">
        <f t="shared" si="242"/>
        <v>2021</v>
      </c>
      <c r="J469" s="58">
        <f t="shared" si="242"/>
        <v>10</v>
      </c>
      <c r="K469" s="187">
        <f t="shared" si="242"/>
        <v>1</v>
      </c>
      <c r="L469" s="58">
        <f t="shared" si="242"/>
        <v>49243.668613684422</v>
      </c>
      <c r="N469" s="49">
        <f t="shared" si="201"/>
        <v>49243.668613684422</v>
      </c>
      <c r="P469" s="44">
        <f t="shared" si="190"/>
        <v>1.5</v>
      </c>
      <c r="R469" s="49">
        <f t="shared" si="239"/>
        <v>38410.061518673851</v>
      </c>
      <c r="S469" s="49">
        <f t="shared" si="239"/>
        <v>5909.2402336421292</v>
      </c>
      <c r="T469" s="49">
        <f t="shared" si="239"/>
        <v>0</v>
      </c>
      <c r="U469" s="49">
        <f t="shared" si="239"/>
        <v>0</v>
      </c>
      <c r="V469" s="49">
        <f t="shared" si="239"/>
        <v>0</v>
      </c>
      <c r="X469" s="49">
        <f t="shared" si="240"/>
        <v>3282.9112409122949</v>
      </c>
      <c r="Y469" s="49">
        <f t="shared" si="240"/>
        <v>1641.4556204561475</v>
      </c>
      <c r="Z469" s="49">
        <f t="shared" si="240"/>
        <v>0</v>
      </c>
      <c r="AA469" s="49">
        <f t="shared" si="240"/>
        <v>0</v>
      </c>
      <c r="AB469" s="49">
        <f t="shared" si="240"/>
        <v>0</v>
      </c>
      <c r="AD469" s="49">
        <f t="shared" si="202"/>
        <v>7550.695854098276</v>
      </c>
      <c r="AE469" s="49">
        <f t="shared" si="203"/>
        <v>-6.8212102632969618E-13</v>
      </c>
      <c r="AF469" s="49">
        <f t="shared" si="204"/>
        <v>0</v>
      </c>
      <c r="AG469" s="49">
        <f t="shared" si="205"/>
        <v>0</v>
      </c>
      <c r="AH469" s="49">
        <f t="shared" si="206"/>
        <v>0</v>
      </c>
      <c r="AJ469" s="49">
        <f t="shared" si="191"/>
        <v>41949.696418625492</v>
      </c>
      <c r="AK469" s="49">
        <f t="shared" si="192"/>
        <v>7550.6958540982769</v>
      </c>
      <c r="AL469" s="49">
        <f t="shared" si="193"/>
        <v>0</v>
      </c>
      <c r="AM469" s="49">
        <f t="shared" si="194"/>
        <v>0</v>
      </c>
      <c r="AN469" s="49">
        <f t="shared" si="195"/>
        <v>0</v>
      </c>
    </row>
    <row r="470" spans="2:40">
      <c r="B470" s="43" t="str">
        <f t="shared" si="188"/>
        <v>Asset 164</v>
      </c>
      <c r="F470" s="43" t="str">
        <f t="shared" ref="F470:L470" si="243">F222</f>
        <v>20 Kantoorgebouwen</v>
      </c>
      <c r="G470" s="43">
        <f t="shared" si="243"/>
        <v>2014</v>
      </c>
      <c r="H470" s="58">
        <f t="shared" si="243"/>
        <v>4973944.9463818558</v>
      </c>
      <c r="I470" s="43">
        <f t="shared" si="243"/>
        <v>2021</v>
      </c>
      <c r="J470" s="58">
        <f t="shared" si="243"/>
        <v>30</v>
      </c>
      <c r="K470" s="187">
        <f t="shared" si="243"/>
        <v>0</v>
      </c>
      <c r="L470" s="58">
        <f t="shared" si="243"/>
        <v>4070721.5945336674</v>
      </c>
      <c r="N470" s="49">
        <f t="shared" si="201"/>
        <v>4070721.5945336674</v>
      </c>
      <c r="P470" s="44">
        <f t="shared" si="190"/>
        <v>22.5</v>
      </c>
      <c r="R470" s="49">
        <f t="shared" si="239"/>
        <v>211677.52291575071</v>
      </c>
      <c r="S470" s="49">
        <f t="shared" si="239"/>
        <v>199447.266036174</v>
      </c>
      <c r="T470" s="49">
        <f t="shared" si="239"/>
        <v>187923.64622075064</v>
      </c>
      <c r="U470" s="49">
        <f t="shared" si="239"/>
        <v>177065.83555021835</v>
      </c>
      <c r="V470" s="49">
        <f t="shared" si="239"/>
        <v>166835.3650517613</v>
      </c>
      <c r="X470" s="49">
        <f t="shared" si="240"/>
        <v>18092.09597570519</v>
      </c>
      <c r="Y470" s="49">
        <f t="shared" si="240"/>
        <v>18092.09597570519</v>
      </c>
      <c r="Z470" s="49">
        <f t="shared" si="240"/>
        <v>18092.09597570519</v>
      </c>
      <c r="AA470" s="49">
        <f t="shared" si="240"/>
        <v>18092.09597570519</v>
      </c>
      <c r="AB470" s="49">
        <f t="shared" si="240"/>
        <v>18092.09597570519</v>
      </c>
      <c r="AD470" s="49">
        <f t="shared" si="202"/>
        <v>3840951.9756422117</v>
      </c>
      <c r="AE470" s="49">
        <f t="shared" si="203"/>
        <v>3623412.613630333</v>
      </c>
      <c r="AF470" s="49">
        <f t="shared" si="204"/>
        <v>3417396.8714338774</v>
      </c>
      <c r="AG470" s="49">
        <f t="shared" si="205"/>
        <v>3222238.9399079541</v>
      </c>
      <c r="AH470" s="49">
        <f t="shared" si="206"/>
        <v>3037311.4788804874</v>
      </c>
      <c r="AJ470" s="49">
        <f t="shared" si="191"/>
        <v>360361.98606329109</v>
      </c>
      <c r="AK470" s="49">
        <f t="shared" si="192"/>
        <v>337111.97826168017</v>
      </c>
      <c r="AL470" s="49">
        <f t="shared" si="193"/>
        <v>335876.8233109432</v>
      </c>
      <c r="AM470" s="49">
        <f t="shared" si="194"/>
        <v>317603.01124242577</v>
      </c>
      <c r="AN470" s="49">
        <f t="shared" si="195"/>
        <v>300345.29722492502</v>
      </c>
    </row>
    <row r="471" spans="2:40">
      <c r="B471" s="43" t="str">
        <f t="shared" si="188"/>
        <v>Asset 165</v>
      </c>
      <c r="F471" s="43" t="str">
        <f t="shared" ref="F471:L471" si="244">F223</f>
        <v>09 Bedrijfsinventaris</v>
      </c>
      <c r="G471" s="43">
        <f t="shared" si="244"/>
        <v>2014</v>
      </c>
      <c r="H471" s="58">
        <f t="shared" si="244"/>
        <v>332895.6529706032</v>
      </c>
      <c r="I471" s="43">
        <f t="shared" si="244"/>
        <v>2021</v>
      </c>
      <c r="J471" s="58">
        <f t="shared" si="244"/>
        <v>10</v>
      </c>
      <c r="K471" s="187">
        <f t="shared" si="244"/>
        <v>1</v>
      </c>
      <c r="L471" s="58">
        <f t="shared" si="244"/>
        <v>90814.939173486709</v>
      </c>
      <c r="N471" s="49">
        <f t="shared" si="201"/>
        <v>90814.939173486709</v>
      </c>
      <c r="P471" s="44">
        <f t="shared" si="190"/>
        <v>2.5</v>
      </c>
      <c r="R471" s="49">
        <f t="shared" si="239"/>
        <v>42501.391533191789</v>
      </c>
      <c r="S471" s="49">
        <f t="shared" si="239"/>
        <v>26154.70248196417</v>
      </c>
      <c r="T471" s="49">
        <f t="shared" si="239"/>
        <v>13077.351240982085</v>
      </c>
      <c r="U471" s="49">
        <f t="shared" si="239"/>
        <v>0</v>
      </c>
      <c r="V471" s="49">
        <f t="shared" si="239"/>
        <v>0</v>
      </c>
      <c r="X471" s="49">
        <f t="shared" si="240"/>
        <v>3632.5975669394684</v>
      </c>
      <c r="Y471" s="49">
        <f t="shared" si="240"/>
        <v>3632.5975669394684</v>
      </c>
      <c r="Z471" s="49">
        <f t="shared" si="240"/>
        <v>1816.2987834697342</v>
      </c>
      <c r="AA471" s="49">
        <f t="shared" si="240"/>
        <v>0</v>
      </c>
      <c r="AB471" s="49">
        <f t="shared" si="240"/>
        <v>0</v>
      </c>
      <c r="AD471" s="49">
        <f t="shared" si="202"/>
        <v>44680.950073355452</v>
      </c>
      <c r="AE471" s="49">
        <f t="shared" si="203"/>
        <v>14893.650024451814</v>
      </c>
      <c r="AF471" s="49">
        <f t="shared" si="204"/>
        <v>-5.4569682106375694E-12</v>
      </c>
      <c r="AG471" s="49">
        <f t="shared" si="205"/>
        <v>0</v>
      </c>
      <c r="AH471" s="49">
        <f t="shared" si="206"/>
        <v>0</v>
      </c>
      <c r="AJ471" s="49">
        <f t="shared" si="191"/>
        <v>47653.141402625341</v>
      </c>
      <c r="AK471" s="49">
        <f t="shared" si="192"/>
        <v>30278.790499710547</v>
      </c>
      <c r="AL471" s="49">
        <f t="shared" si="193"/>
        <v>14893.650024451819</v>
      </c>
      <c r="AM471" s="49">
        <f t="shared" si="194"/>
        <v>0</v>
      </c>
      <c r="AN471" s="49">
        <f t="shared" si="195"/>
        <v>0</v>
      </c>
    </row>
    <row r="472" spans="2:40">
      <c r="B472" s="43" t="str">
        <f t="shared" si="188"/>
        <v>Asset 166</v>
      </c>
      <c r="F472" s="43" t="str">
        <f t="shared" ref="F472:L472" si="245">F224</f>
        <v>10 Gereedschap</v>
      </c>
      <c r="G472" s="43">
        <f t="shared" si="245"/>
        <v>2014</v>
      </c>
      <c r="H472" s="58">
        <f t="shared" si="245"/>
        <v>294123.8734031191</v>
      </c>
      <c r="I472" s="43">
        <f t="shared" si="245"/>
        <v>2021</v>
      </c>
      <c r="J472" s="58">
        <f t="shared" si="245"/>
        <v>10</v>
      </c>
      <c r="K472" s="187">
        <f t="shared" si="245"/>
        <v>1</v>
      </c>
      <c r="L472" s="58">
        <f t="shared" si="245"/>
        <v>80237.880651848885</v>
      </c>
      <c r="N472" s="49">
        <f t="shared" si="201"/>
        <v>80237.880651848885</v>
      </c>
      <c r="P472" s="44">
        <f t="shared" si="190"/>
        <v>2.5</v>
      </c>
      <c r="R472" s="49">
        <f t="shared" si="239"/>
        <v>37551.328145065279</v>
      </c>
      <c r="S472" s="49">
        <f t="shared" si="239"/>
        <v>23108.509627732481</v>
      </c>
      <c r="T472" s="49">
        <f t="shared" si="239"/>
        <v>11554.254813866241</v>
      </c>
      <c r="U472" s="49">
        <f t="shared" si="239"/>
        <v>0</v>
      </c>
      <c r="V472" s="49">
        <f t="shared" si="239"/>
        <v>0</v>
      </c>
      <c r="X472" s="49">
        <f t="shared" si="240"/>
        <v>3209.515226073956</v>
      </c>
      <c r="Y472" s="49">
        <f t="shared" si="240"/>
        <v>3209.5152260739555</v>
      </c>
      <c r="Z472" s="49">
        <f t="shared" si="240"/>
        <v>1604.7576130369778</v>
      </c>
      <c r="AA472" s="49">
        <f t="shared" si="240"/>
        <v>0</v>
      </c>
      <c r="AB472" s="49">
        <f t="shared" si="240"/>
        <v>0</v>
      </c>
      <c r="AD472" s="49">
        <f t="shared" si="202"/>
        <v>39477.03728070965</v>
      </c>
      <c r="AE472" s="49">
        <f t="shared" si="203"/>
        <v>13159.012426903213</v>
      </c>
      <c r="AF472" s="49">
        <f t="shared" si="204"/>
        <v>-5.2295945351943374E-12</v>
      </c>
      <c r="AG472" s="49">
        <f t="shared" si="205"/>
        <v>0</v>
      </c>
      <c r="AH472" s="49">
        <f t="shared" si="206"/>
        <v>0</v>
      </c>
      <c r="AJ472" s="49">
        <f t="shared" si="191"/>
        <v>42103.062638683361</v>
      </c>
      <c r="AK472" s="49">
        <f t="shared" si="192"/>
        <v>26752.272263894243</v>
      </c>
      <c r="AL472" s="49">
        <f t="shared" si="193"/>
        <v>13159.012426903219</v>
      </c>
      <c r="AM472" s="49">
        <f t="shared" si="194"/>
        <v>0</v>
      </c>
      <c r="AN472" s="49">
        <f t="shared" si="195"/>
        <v>0</v>
      </c>
    </row>
    <row r="473" spans="2:40">
      <c r="B473" s="43" t="str">
        <f t="shared" si="188"/>
        <v>Asset 167</v>
      </c>
      <c r="F473" s="43" t="str">
        <f t="shared" ref="F473:L473" si="246">F225</f>
        <v>13 Aanhangwagens</v>
      </c>
      <c r="G473" s="43">
        <f t="shared" si="246"/>
        <v>2014</v>
      </c>
      <c r="H473" s="58">
        <f t="shared" si="246"/>
        <v>24919.261718386999</v>
      </c>
      <c r="I473" s="43">
        <f t="shared" si="246"/>
        <v>2021</v>
      </c>
      <c r="J473" s="58">
        <f t="shared" si="246"/>
        <v>10</v>
      </c>
      <c r="K473" s="187">
        <f t="shared" si="246"/>
        <v>1</v>
      </c>
      <c r="L473" s="58">
        <f t="shared" si="246"/>
        <v>6798.0498303573586</v>
      </c>
      <c r="N473" s="49">
        <f t="shared" si="201"/>
        <v>6798.0498303573586</v>
      </c>
      <c r="P473" s="44">
        <f t="shared" si="190"/>
        <v>2.5</v>
      </c>
      <c r="R473" s="49">
        <f t="shared" si="239"/>
        <v>3181.4873206072439</v>
      </c>
      <c r="S473" s="49">
        <f t="shared" si="239"/>
        <v>1957.8383511429192</v>
      </c>
      <c r="T473" s="49">
        <f t="shared" si="239"/>
        <v>978.91917557145962</v>
      </c>
      <c r="U473" s="49">
        <f t="shared" si="239"/>
        <v>0</v>
      </c>
      <c r="V473" s="49">
        <f t="shared" si="239"/>
        <v>0</v>
      </c>
      <c r="X473" s="49">
        <f t="shared" si="240"/>
        <v>271.92199321429433</v>
      </c>
      <c r="Y473" s="49">
        <f t="shared" si="240"/>
        <v>271.92199321429433</v>
      </c>
      <c r="Z473" s="49">
        <f t="shared" si="240"/>
        <v>135.96099660714717</v>
      </c>
      <c r="AA473" s="49">
        <f t="shared" si="240"/>
        <v>0</v>
      </c>
      <c r="AB473" s="49">
        <f t="shared" si="240"/>
        <v>0</v>
      </c>
      <c r="AD473" s="49">
        <f t="shared" si="202"/>
        <v>3344.6405165358206</v>
      </c>
      <c r="AE473" s="49">
        <f t="shared" si="203"/>
        <v>1114.8801721786069</v>
      </c>
      <c r="AF473" s="49">
        <f t="shared" si="204"/>
        <v>1.4210854715202004E-13</v>
      </c>
      <c r="AG473" s="49">
        <f t="shared" si="205"/>
        <v>0</v>
      </c>
      <c r="AH473" s="49">
        <f t="shared" si="206"/>
        <v>0</v>
      </c>
      <c r="AJ473" s="49">
        <f t="shared" si="191"/>
        <v>3567.1270913837561</v>
      </c>
      <c r="AK473" s="49">
        <f t="shared" si="192"/>
        <v>2266.5513900391074</v>
      </c>
      <c r="AL473" s="49">
        <f t="shared" si="193"/>
        <v>1114.8801721786067</v>
      </c>
      <c r="AM473" s="49">
        <f t="shared" si="194"/>
        <v>0</v>
      </c>
      <c r="AN473" s="49">
        <f t="shared" si="195"/>
        <v>0</v>
      </c>
    </row>
    <row r="474" spans="2:40">
      <c r="B474" s="43" t="str">
        <f t="shared" si="188"/>
        <v>Asset 168</v>
      </c>
      <c r="F474" s="43" t="str">
        <f t="shared" ref="F474:L474" si="247">F226</f>
        <v>11 Werktuigen</v>
      </c>
      <c r="G474" s="43">
        <f t="shared" si="247"/>
        <v>2014</v>
      </c>
      <c r="H474" s="58">
        <f t="shared" si="247"/>
        <v>264974.99557180319</v>
      </c>
      <c r="I474" s="43">
        <f t="shared" si="247"/>
        <v>2021</v>
      </c>
      <c r="J474" s="58">
        <f t="shared" si="247"/>
        <v>10</v>
      </c>
      <c r="K474" s="187">
        <f t="shared" si="247"/>
        <v>1</v>
      </c>
      <c r="L474" s="58">
        <f t="shared" si="247"/>
        <v>72285.978776277945</v>
      </c>
      <c r="N474" s="49">
        <f t="shared" si="201"/>
        <v>72285.978776277945</v>
      </c>
      <c r="P474" s="44">
        <f t="shared" si="190"/>
        <v>2.5</v>
      </c>
      <c r="R474" s="49">
        <f t="shared" si="239"/>
        <v>33829.838067298078</v>
      </c>
      <c r="S474" s="49">
        <f t="shared" si="239"/>
        <v>20818.361887568051</v>
      </c>
      <c r="T474" s="49">
        <f t="shared" si="239"/>
        <v>10409.180943784026</v>
      </c>
      <c r="U474" s="49">
        <f t="shared" si="239"/>
        <v>0</v>
      </c>
      <c r="V474" s="49">
        <f t="shared" si="239"/>
        <v>0</v>
      </c>
      <c r="X474" s="49">
        <f t="shared" si="240"/>
        <v>2891.4391510511182</v>
      </c>
      <c r="Y474" s="49">
        <f t="shared" si="240"/>
        <v>2891.4391510511182</v>
      </c>
      <c r="Z474" s="49">
        <f t="shared" si="240"/>
        <v>1445.7195755255591</v>
      </c>
      <c r="AA474" s="49">
        <f t="shared" si="240"/>
        <v>0</v>
      </c>
      <c r="AB474" s="49">
        <f t="shared" si="240"/>
        <v>0</v>
      </c>
      <c r="AD474" s="49">
        <f t="shared" si="202"/>
        <v>35564.701557928747</v>
      </c>
      <c r="AE474" s="49">
        <f t="shared" si="203"/>
        <v>11854.900519309578</v>
      </c>
      <c r="AF474" s="49">
        <f t="shared" si="204"/>
        <v>-6.5938365878537297E-12</v>
      </c>
      <c r="AG474" s="49">
        <f t="shared" si="205"/>
        <v>0</v>
      </c>
      <c r="AH474" s="49">
        <f t="shared" si="206"/>
        <v>0</v>
      </c>
      <c r="AJ474" s="49">
        <f t="shared" si="191"/>
        <v>37930.477071318775</v>
      </c>
      <c r="AK474" s="49">
        <f t="shared" si="192"/>
        <v>24101.012755756386</v>
      </c>
      <c r="AL474" s="49">
        <f t="shared" si="193"/>
        <v>11854.900519309585</v>
      </c>
      <c r="AM474" s="49">
        <f t="shared" si="194"/>
        <v>0</v>
      </c>
      <c r="AN474" s="49">
        <f t="shared" si="195"/>
        <v>0</v>
      </c>
    </row>
    <row r="475" spans="2:40">
      <c r="B475" s="43" t="str">
        <f t="shared" si="188"/>
        <v>Asset 169</v>
      </c>
      <c r="F475" s="43" t="str">
        <f t="shared" ref="F475:L475" si="248">F227</f>
        <v>08 Inrichting gebouwen</v>
      </c>
      <c r="G475" s="43">
        <f t="shared" si="248"/>
        <v>2014</v>
      </c>
      <c r="H475" s="58">
        <f t="shared" si="248"/>
        <v>724167.86511950963</v>
      </c>
      <c r="I475" s="43">
        <f t="shared" si="248"/>
        <v>2021</v>
      </c>
      <c r="J475" s="58">
        <f t="shared" si="248"/>
        <v>10</v>
      </c>
      <c r="K475" s="187">
        <f t="shared" si="248"/>
        <v>0</v>
      </c>
      <c r="L475" s="58">
        <f t="shared" si="248"/>
        <v>197555.1799351057</v>
      </c>
      <c r="N475" s="49">
        <f t="shared" si="201"/>
        <v>197555.1799351057</v>
      </c>
      <c r="P475" s="44">
        <f t="shared" si="190"/>
        <v>2.5</v>
      </c>
      <c r="R475" s="49">
        <f t="shared" si="239"/>
        <v>92455.824209629471</v>
      </c>
      <c r="S475" s="49">
        <f t="shared" si="239"/>
        <v>56895.891821310448</v>
      </c>
      <c r="T475" s="49">
        <f t="shared" si="239"/>
        <v>28447.945910655224</v>
      </c>
      <c r="U475" s="49">
        <f t="shared" si="239"/>
        <v>0</v>
      </c>
      <c r="V475" s="49">
        <f t="shared" si="239"/>
        <v>0</v>
      </c>
      <c r="X475" s="49">
        <f t="shared" si="240"/>
        <v>7902.2071974042283</v>
      </c>
      <c r="Y475" s="49">
        <f t="shared" si="240"/>
        <v>7902.2071974042274</v>
      </c>
      <c r="Z475" s="49">
        <f t="shared" si="240"/>
        <v>3951.1035987021137</v>
      </c>
      <c r="AA475" s="49">
        <f t="shared" si="240"/>
        <v>0</v>
      </c>
      <c r="AB475" s="49">
        <f t="shared" si="240"/>
        <v>0</v>
      </c>
      <c r="AD475" s="49">
        <f t="shared" si="202"/>
        <v>97197.148528071993</v>
      </c>
      <c r="AE475" s="49">
        <f t="shared" si="203"/>
        <v>32399.049509357319</v>
      </c>
      <c r="AF475" s="49">
        <f t="shared" si="204"/>
        <v>-1.8644641386345029E-11</v>
      </c>
      <c r="AG475" s="49">
        <f t="shared" si="205"/>
        <v>0</v>
      </c>
      <c r="AH475" s="49">
        <f t="shared" si="206"/>
        <v>0</v>
      </c>
      <c r="AJ475" s="49">
        <f t="shared" si="191"/>
        <v>103662.73445698815</v>
      </c>
      <c r="AK475" s="49">
        <f t="shared" si="192"/>
        <v>65867.267652523471</v>
      </c>
      <c r="AL475" s="49">
        <f t="shared" si="193"/>
        <v>32399.049509357337</v>
      </c>
      <c r="AM475" s="49">
        <f t="shared" si="194"/>
        <v>0</v>
      </c>
      <c r="AN475" s="49">
        <f t="shared" si="195"/>
        <v>0</v>
      </c>
    </row>
    <row r="476" spans="2:40">
      <c r="B476" s="43" t="str">
        <f t="shared" si="188"/>
        <v>Asset 170</v>
      </c>
      <c r="F476" s="43" t="str">
        <f t="shared" ref="F476:L476" si="249">F228</f>
        <v>14 Overig rollend materieel (odorisatie)</v>
      </c>
      <c r="G476" s="43">
        <f t="shared" si="249"/>
        <v>2014</v>
      </c>
      <c r="H476" s="58">
        <f t="shared" si="249"/>
        <v>1415.9999999999968</v>
      </c>
      <c r="I476" s="43">
        <f t="shared" si="249"/>
        <v>2021</v>
      </c>
      <c r="J476" s="58">
        <f t="shared" si="249"/>
        <v>10</v>
      </c>
      <c r="K476" s="187">
        <f t="shared" si="249"/>
        <v>0</v>
      </c>
      <c r="L476" s="58">
        <f t="shared" si="249"/>
        <v>386.28907503641284</v>
      </c>
      <c r="N476" s="49">
        <f t="shared" si="201"/>
        <v>386.28907503641284</v>
      </c>
      <c r="P476" s="44">
        <f t="shared" si="190"/>
        <v>2.5</v>
      </c>
      <c r="R476" s="49">
        <f t="shared" si="239"/>
        <v>180.7832871170412</v>
      </c>
      <c r="S476" s="49">
        <f t="shared" si="239"/>
        <v>111.2512536104869</v>
      </c>
      <c r="T476" s="49">
        <f t="shared" si="239"/>
        <v>55.625626805243449</v>
      </c>
      <c r="U476" s="49">
        <f t="shared" si="239"/>
        <v>0</v>
      </c>
      <c r="V476" s="49">
        <f t="shared" si="239"/>
        <v>0</v>
      </c>
      <c r="X476" s="49">
        <f t="shared" si="240"/>
        <v>15.451563001456515</v>
      </c>
      <c r="Y476" s="49">
        <f t="shared" si="240"/>
        <v>15.451563001456515</v>
      </c>
      <c r="Z476" s="49">
        <f t="shared" si="240"/>
        <v>7.7257815007282575</v>
      </c>
      <c r="AA476" s="49">
        <f t="shared" si="240"/>
        <v>0</v>
      </c>
      <c r="AB476" s="49">
        <f t="shared" si="240"/>
        <v>0</v>
      </c>
      <c r="AD476" s="49">
        <f t="shared" si="202"/>
        <v>190.05422491791512</v>
      </c>
      <c r="AE476" s="49">
        <f t="shared" si="203"/>
        <v>63.351408305971709</v>
      </c>
      <c r="AF476" s="49">
        <f t="shared" si="204"/>
        <v>2.6645352591003757E-15</v>
      </c>
      <c r="AG476" s="49">
        <f t="shared" si="205"/>
        <v>0</v>
      </c>
      <c r="AH476" s="49">
        <f t="shared" si="206"/>
        <v>0</v>
      </c>
      <c r="AJ476" s="49">
        <f t="shared" si="191"/>
        <v>202.69669376570684</v>
      </c>
      <c r="AK476" s="49">
        <f t="shared" si="192"/>
        <v>128.79341308604049</v>
      </c>
      <c r="AL476" s="49">
        <f t="shared" si="193"/>
        <v>63.351408305971709</v>
      </c>
      <c r="AM476" s="49">
        <f t="shared" si="194"/>
        <v>0</v>
      </c>
      <c r="AN476" s="49">
        <f t="shared" si="195"/>
        <v>0</v>
      </c>
    </row>
    <row r="477" spans="2:40">
      <c r="B477" s="43" t="str">
        <f t="shared" si="188"/>
        <v>Asset 171</v>
      </c>
      <c r="F477" s="43" t="str">
        <f t="shared" ref="F477:L477" si="250">F229</f>
        <v>14 Overig rollend materieel (odorisatie)</v>
      </c>
      <c r="G477" s="43">
        <f t="shared" si="250"/>
        <v>2015</v>
      </c>
      <c r="H477" s="58">
        <f t="shared" si="250"/>
        <v>43315.304046858677</v>
      </c>
      <c r="I477" s="43">
        <f t="shared" si="250"/>
        <v>2021</v>
      </c>
      <c r="J477" s="58">
        <f t="shared" si="250"/>
        <v>10</v>
      </c>
      <c r="K477" s="187">
        <f t="shared" si="250"/>
        <v>0</v>
      </c>
      <c r="L477" s="58">
        <f t="shared" si="250"/>
        <v>16379.370300704035</v>
      </c>
      <c r="N477" s="49">
        <f t="shared" si="201"/>
        <v>16379.370300704035</v>
      </c>
      <c r="P477" s="44">
        <f t="shared" si="190"/>
        <v>3.5</v>
      </c>
      <c r="R477" s="49">
        <f t="shared" ref="R477:V486" si="251">IF(R$305&lt;=$G477+$J477,VDB($L477*(1-$F$25),0,$P477,R$305-2022,MIN(R$305-2021,$P477),$F$22),0)</f>
        <v>5475.3895005210634</v>
      </c>
      <c r="S477" s="49">
        <f t="shared" si="251"/>
        <v>3706.4175080450273</v>
      </c>
      <c r="T477" s="49">
        <f t="shared" si="251"/>
        <v>3706.4175080450273</v>
      </c>
      <c r="U477" s="49">
        <f t="shared" si="251"/>
        <v>1853.2087540225136</v>
      </c>
      <c r="V477" s="49">
        <f t="shared" si="251"/>
        <v>0</v>
      </c>
      <c r="X477" s="49">
        <f t="shared" ref="X477:AB486" si="252">IF(X$305&lt;=$G477+$J477,VDB($L477*$F$25,0,$P477,X$305-2022,MIN(X$305-2021,$P477),1),0)</f>
        <v>467.98200859154389</v>
      </c>
      <c r="Y477" s="49">
        <f t="shared" si="252"/>
        <v>467.98200859154389</v>
      </c>
      <c r="Z477" s="49">
        <f t="shared" si="252"/>
        <v>467.98200859154389</v>
      </c>
      <c r="AA477" s="49">
        <f t="shared" si="252"/>
        <v>233.99100429577194</v>
      </c>
      <c r="AB477" s="49">
        <f t="shared" si="252"/>
        <v>0</v>
      </c>
      <c r="AD477" s="49">
        <f t="shared" si="202"/>
        <v>10435.998791591428</v>
      </c>
      <c r="AE477" s="49">
        <f t="shared" si="203"/>
        <v>6261.5992749548568</v>
      </c>
      <c r="AF477" s="49">
        <f t="shared" si="204"/>
        <v>2087.1997583182856</v>
      </c>
      <c r="AG477" s="49">
        <f t="shared" si="205"/>
        <v>2.8421709430404007E-14</v>
      </c>
      <c r="AH477" s="49">
        <f t="shared" si="206"/>
        <v>0</v>
      </c>
      <c r="AJ477" s="49">
        <f t="shared" si="191"/>
        <v>6298.1954680267154</v>
      </c>
      <c r="AK477" s="49">
        <f t="shared" si="192"/>
        <v>4381.0322927100815</v>
      </c>
      <c r="AL477" s="49">
        <f t="shared" si="193"/>
        <v>4253.713107452666</v>
      </c>
      <c r="AM477" s="49">
        <f t="shared" si="194"/>
        <v>2087.1997583182856</v>
      </c>
      <c r="AN477" s="49">
        <f t="shared" si="195"/>
        <v>0</v>
      </c>
    </row>
    <row r="478" spans="2:40">
      <c r="B478" s="43" t="str">
        <f t="shared" si="188"/>
        <v>Asset 172</v>
      </c>
      <c r="F478" s="43" t="str">
        <f t="shared" ref="F478:L478" si="253">F230</f>
        <v>13 Aanhangwagens</v>
      </c>
      <c r="G478" s="43">
        <f t="shared" si="253"/>
        <v>2015</v>
      </c>
      <c r="H478" s="58">
        <f t="shared" si="253"/>
        <v>78424.550748692549</v>
      </c>
      <c r="I478" s="43">
        <f t="shared" si="253"/>
        <v>2021</v>
      </c>
      <c r="J478" s="58">
        <f t="shared" si="253"/>
        <v>10</v>
      </c>
      <c r="K478" s="187">
        <f t="shared" si="253"/>
        <v>1</v>
      </c>
      <c r="L478" s="58">
        <f t="shared" si="253"/>
        <v>29655.679110310892</v>
      </c>
      <c r="N478" s="49">
        <f t="shared" si="201"/>
        <v>29655.679110310892</v>
      </c>
      <c r="P478" s="44">
        <f t="shared" si="190"/>
        <v>3.5</v>
      </c>
      <c r="R478" s="49">
        <f t="shared" si="251"/>
        <v>9913.4698740182139</v>
      </c>
      <c r="S478" s="49">
        <f t="shared" si="251"/>
        <v>6710.6565301046357</v>
      </c>
      <c r="T478" s="49">
        <f t="shared" si="251"/>
        <v>6710.6565301046357</v>
      </c>
      <c r="U478" s="49">
        <f t="shared" si="251"/>
        <v>3355.3282650523179</v>
      </c>
      <c r="V478" s="49">
        <f t="shared" si="251"/>
        <v>0</v>
      </c>
      <c r="X478" s="49">
        <f t="shared" si="252"/>
        <v>847.3051174374541</v>
      </c>
      <c r="Y478" s="49">
        <f t="shared" si="252"/>
        <v>847.3051174374541</v>
      </c>
      <c r="Z478" s="49">
        <f t="shared" si="252"/>
        <v>847.3051174374541</v>
      </c>
      <c r="AA478" s="49">
        <f t="shared" si="252"/>
        <v>423.65255871872705</v>
      </c>
      <c r="AB478" s="49">
        <f t="shared" si="252"/>
        <v>0</v>
      </c>
      <c r="AD478" s="49">
        <f t="shared" si="202"/>
        <v>18894.904118855222</v>
      </c>
      <c r="AE478" s="49">
        <f t="shared" si="203"/>
        <v>11336.942471313132</v>
      </c>
      <c r="AF478" s="49">
        <f t="shared" si="204"/>
        <v>3778.9808237710422</v>
      </c>
      <c r="AG478" s="49">
        <f t="shared" si="205"/>
        <v>-2.7284841053187847E-12</v>
      </c>
      <c r="AH478" s="49">
        <f t="shared" si="206"/>
        <v>0</v>
      </c>
      <c r="AJ478" s="49">
        <f t="shared" si="191"/>
        <v>11403.201731496745</v>
      </c>
      <c r="AK478" s="49">
        <f t="shared" si="192"/>
        <v>7932.080749095423</v>
      </c>
      <c r="AL478" s="49">
        <f t="shared" si="193"/>
        <v>7701.5629188453895</v>
      </c>
      <c r="AM478" s="49">
        <f t="shared" si="194"/>
        <v>3778.9808237710449</v>
      </c>
      <c r="AN478" s="49">
        <f t="shared" si="195"/>
        <v>0</v>
      </c>
    </row>
    <row r="479" spans="2:40">
      <c r="B479" s="43" t="str">
        <f t="shared" si="188"/>
        <v>Asset 173</v>
      </c>
      <c r="F479" s="43" t="str">
        <f t="shared" ref="F479:L479" si="254">F231</f>
        <v>11 Werktuigen</v>
      </c>
      <c r="G479" s="43">
        <f t="shared" si="254"/>
        <v>2015</v>
      </c>
      <c r="H479" s="58">
        <f t="shared" si="254"/>
        <v>481116.61247078225</v>
      </c>
      <c r="I479" s="43">
        <f t="shared" si="254"/>
        <v>2021</v>
      </c>
      <c r="J479" s="58">
        <f t="shared" si="254"/>
        <v>10</v>
      </c>
      <c r="K479" s="187">
        <f t="shared" si="254"/>
        <v>1</v>
      </c>
      <c r="L479" s="58">
        <f t="shared" si="254"/>
        <v>181930.78236168518</v>
      </c>
      <c r="N479" s="49">
        <f t="shared" si="201"/>
        <v>181930.78236168518</v>
      </c>
      <c r="P479" s="44">
        <f t="shared" si="190"/>
        <v>3.5</v>
      </c>
      <c r="R479" s="49">
        <f t="shared" si="251"/>
        <v>60816.861532334762</v>
      </c>
      <c r="S479" s="49">
        <f t="shared" si="251"/>
        <v>41168.337037272766</v>
      </c>
      <c r="T479" s="49">
        <f t="shared" si="251"/>
        <v>41168.337037272766</v>
      </c>
      <c r="U479" s="49">
        <f t="shared" si="251"/>
        <v>20584.168518636383</v>
      </c>
      <c r="V479" s="49">
        <f t="shared" si="251"/>
        <v>0</v>
      </c>
      <c r="X479" s="49">
        <f t="shared" si="252"/>
        <v>5198.022353191006</v>
      </c>
      <c r="Y479" s="49">
        <f t="shared" si="252"/>
        <v>5198.022353191006</v>
      </c>
      <c r="Z479" s="49">
        <f t="shared" si="252"/>
        <v>5198.022353191006</v>
      </c>
      <c r="AA479" s="49">
        <f t="shared" si="252"/>
        <v>2599.011176595503</v>
      </c>
      <c r="AB479" s="49">
        <f t="shared" si="252"/>
        <v>0</v>
      </c>
      <c r="AD479" s="49">
        <f t="shared" si="202"/>
        <v>115915.89847615942</v>
      </c>
      <c r="AE479" s="49">
        <f t="shared" si="203"/>
        <v>69549.539085695651</v>
      </c>
      <c r="AF479" s="49">
        <f t="shared" si="204"/>
        <v>23183.17969523188</v>
      </c>
      <c r="AG479" s="49">
        <f t="shared" si="205"/>
        <v>-5.9117155615240335E-12</v>
      </c>
      <c r="AH479" s="49">
        <f t="shared" si="206"/>
        <v>0</v>
      </c>
      <c r="AJ479" s="49">
        <f t="shared" si="191"/>
        <v>69956.024433715182</v>
      </c>
      <c r="AK479" s="49">
        <f t="shared" si="192"/>
        <v>48661.494180291731</v>
      </c>
      <c r="AL479" s="49">
        <f t="shared" si="193"/>
        <v>47247.320218882589</v>
      </c>
      <c r="AM479" s="49">
        <f t="shared" si="194"/>
        <v>23183.179695231887</v>
      </c>
      <c r="AN479" s="49">
        <f t="shared" si="195"/>
        <v>0</v>
      </c>
    </row>
    <row r="480" spans="2:40">
      <c r="B480" s="43" t="str">
        <f t="shared" si="188"/>
        <v>Asset 174</v>
      </c>
      <c r="F480" s="43" t="str">
        <f t="shared" ref="F480:L480" si="255">F232</f>
        <v>39 ICT middelen 3</v>
      </c>
      <c r="G480" s="43">
        <f t="shared" si="255"/>
        <v>2015</v>
      </c>
      <c r="H480" s="58">
        <f t="shared" si="255"/>
        <v>13785822.782425826</v>
      </c>
      <c r="I480" s="43">
        <f t="shared" si="255"/>
        <v>2021</v>
      </c>
      <c r="J480" s="58">
        <f t="shared" si="255"/>
        <v>15</v>
      </c>
      <c r="K480" s="187">
        <f t="shared" si="255"/>
        <v>1</v>
      </c>
      <c r="L480" s="58">
        <f t="shared" si="255"/>
        <v>8440110.7970265597</v>
      </c>
      <c r="N480" s="49">
        <f t="shared" si="201"/>
        <v>8440110.7970265597</v>
      </c>
      <c r="P480" s="44">
        <f t="shared" si="190"/>
        <v>8.5</v>
      </c>
      <c r="R480" s="49">
        <f t="shared" si="251"/>
        <v>1161756.4273554208</v>
      </c>
      <c r="S480" s="49">
        <f t="shared" si="251"/>
        <v>984076.03258341516</v>
      </c>
      <c r="T480" s="49">
        <f t="shared" si="251"/>
        <v>838502.65498231805</v>
      </c>
      <c r="U480" s="49">
        <f t="shared" si="251"/>
        <v>838502.65498231805</v>
      </c>
      <c r="V480" s="49">
        <f t="shared" si="251"/>
        <v>838502.65498231805</v>
      </c>
      <c r="X480" s="49">
        <f t="shared" si="252"/>
        <v>99295.421141488943</v>
      </c>
      <c r="Y480" s="49">
        <f t="shared" si="252"/>
        <v>99295.421141488943</v>
      </c>
      <c r="Z480" s="49">
        <f t="shared" si="252"/>
        <v>99295.421141488943</v>
      </c>
      <c r="AA480" s="49">
        <f t="shared" si="252"/>
        <v>99295.421141488943</v>
      </c>
      <c r="AB480" s="49">
        <f t="shared" si="252"/>
        <v>99295.421141488943</v>
      </c>
      <c r="AD480" s="49">
        <f t="shared" si="202"/>
        <v>7179058.9485296495</v>
      </c>
      <c r="AE480" s="49">
        <f t="shared" si="203"/>
        <v>6095687.4948047455</v>
      </c>
      <c r="AF480" s="49">
        <f t="shared" si="204"/>
        <v>5157889.418680938</v>
      </c>
      <c r="AG480" s="49">
        <f t="shared" si="205"/>
        <v>4220091.3425571304</v>
      </c>
      <c r="AH480" s="49">
        <f t="shared" si="206"/>
        <v>3282293.2664333233</v>
      </c>
      <c r="AJ480" s="49">
        <f t="shared" si="191"/>
        <v>1505139.8527469179</v>
      </c>
      <c r="AK480" s="49">
        <f t="shared" si="192"/>
        <v>1284529.1410534605</v>
      </c>
      <c r="AL480" s="49">
        <f t="shared" si="193"/>
        <v>1133797.8740336825</v>
      </c>
      <c r="AM480" s="49">
        <f t="shared" si="194"/>
        <v>1098161.547140978</v>
      </c>
      <c r="AN480" s="49">
        <f t="shared" si="195"/>
        <v>1062525.2202482733</v>
      </c>
    </row>
    <row r="481" spans="2:40">
      <c r="B481" s="43" t="str">
        <f t="shared" si="188"/>
        <v>Asset 175</v>
      </c>
      <c r="F481" s="43" t="str">
        <f t="shared" ref="F481:L481" si="256">F233</f>
        <v>12 Motorvoertuigen</v>
      </c>
      <c r="G481" s="43">
        <f t="shared" si="256"/>
        <v>2015</v>
      </c>
      <c r="H481" s="58">
        <f t="shared" si="256"/>
        <v>43877.173224174046</v>
      </c>
      <c r="I481" s="43">
        <f t="shared" si="256"/>
        <v>2021</v>
      </c>
      <c r="J481" s="58">
        <f t="shared" si="256"/>
        <v>10</v>
      </c>
      <c r="K481" s="187">
        <f t="shared" si="256"/>
        <v>1</v>
      </c>
      <c r="L481" s="58">
        <f t="shared" si="256"/>
        <v>16591.837083941773</v>
      </c>
      <c r="N481" s="49">
        <f t="shared" si="201"/>
        <v>16591.837083941773</v>
      </c>
      <c r="P481" s="44">
        <f t="shared" si="190"/>
        <v>3.5</v>
      </c>
      <c r="R481" s="49">
        <f t="shared" si="251"/>
        <v>5546.414110917679</v>
      </c>
      <c r="S481" s="49">
        <f t="shared" si="251"/>
        <v>3754.4957058519662</v>
      </c>
      <c r="T481" s="49">
        <f t="shared" si="251"/>
        <v>3754.4957058519662</v>
      </c>
      <c r="U481" s="49">
        <f t="shared" si="251"/>
        <v>1877.2478529259831</v>
      </c>
      <c r="V481" s="49">
        <f t="shared" si="251"/>
        <v>0</v>
      </c>
      <c r="X481" s="49">
        <f t="shared" si="252"/>
        <v>474.05248811262209</v>
      </c>
      <c r="Y481" s="49">
        <f t="shared" si="252"/>
        <v>474.05248811262209</v>
      </c>
      <c r="Z481" s="49">
        <f t="shared" si="252"/>
        <v>474.05248811262209</v>
      </c>
      <c r="AA481" s="49">
        <f t="shared" si="252"/>
        <v>237.02624405631104</v>
      </c>
      <c r="AB481" s="49">
        <f t="shared" si="252"/>
        <v>0</v>
      </c>
      <c r="AD481" s="49">
        <f t="shared" si="202"/>
        <v>10571.370484911473</v>
      </c>
      <c r="AE481" s="49">
        <f t="shared" si="203"/>
        <v>6342.8222909468841</v>
      </c>
      <c r="AF481" s="49">
        <f t="shared" si="204"/>
        <v>2114.2740969822958</v>
      </c>
      <c r="AG481" s="49">
        <f t="shared" si="205"/>
        <v>1.5916157281026244E-12</v>
      </c>
      <c r="AH481" s="49">
        <f t="shared" si="206"/>
        <v>0</v>
      </c>
      <c r="AJ481" s="49">
        <f t="shared" si="191"/>
        <v>6379.8931955172911</v>
      </c>
      <c r="AK481" s="49">
        <f t="shared" si="192"/>
        <v>4437.8613295658361</v>
      </c>
      <c r="AL481" s="49">
        <f t="shared" si="193"/>
        <v>4308.8906096499159</v>
      </c>
      <c r="AM481" s="49">
        <f t="shared" si="194"/>
        <v>2114.2740969822944</v>
      </c>
      <c r="AN481" s="49">
        <f t="shared" si="195"/>
        <v>0</v>
      </c>
    </row>
    <row r="482" spans="2:40">
      <c r="B482" s="43" t="str">
        <f t="shared" si="188"/>
        <v>Asset 176</v>
      </c>
      <c r="F482" s="43" t="str">
        <f t="shared" ref="F482:L482" si="257">F234</f>
        <v>09 Bedrijfsinventaris</v>
      </c>
      <c r="G482" s="43">
        <f t="shared" si="257"/>
        <v>2015</v>
      </c>
      <c r="H482" s="58">
        <f t="shared" si="257"/>
        <v>153470.91831934603</v>
      </c>
      <c r="I482" s="43">
        <f t="shared" si="257"/>
        <v>2021</v>
      </c>
      <c r="J482" s="58">
        <f t="shared" si="257"/>
        <v>10</v>
      </c>
      <c r="K482" s="187">
        <f t="shared" si="257"/>
        <v>1</v>
      </c>
      <c r="L482" s="58">
        <f t="shared" si="257"/>
        <v>58033.922579009974</v>
      </c>
      <c r="N482" s="49">
        <f t="shared" si="201"/>
        <v>58033.922579009974</v>
      </c>
      <c r="P482" s="44">
        <f t="shared" si="190"/>
        <v>3.5</v>
      </c>
      <c r="R482" s="49">
        <f t="shared" si="251"/>
        <v>19399.911262126192</v>
      </c>
      <c r="S482" s="49">
        <f t="shared" si="251"/>
        <v>13132.247623593115</v>
      </c>
      <c r="T482" s="49">
        <f t="shared" si="251"/>
        <v>13132.247623593115</v>
      </c>
      <c r="U482" s="49">
        <f t="shared" si="251"/>
        <v>6566.1238117965577</v>
      </c>
      <c r="V482" s="49">
        <f t="shared" si="251"/>
        <v>0</v>
      </c>
      <c r="X482" s="49">
        <f t="shared" si="252"/>
        <v>1658.1120736859993</v>
      </c>
      <c r="Y482" s="49">
        <f t="shared" si="252"/>
        <v>1658.1120736859993</v>
      </c>
      <c r="Z482" s="49">
        <f t="shared" si="252"/>
        <v>1658.1120736859993</v>
      </c>
      <c r="AA482" s="49">
        <f t="shared" si="252"/>
        <v>829.05603684299967</v>
      </c>
      <c r="AB482" s="49">
        <f t="shared" si="252"/>
        <v>0</v>
      </c>
      <c r="AD482" s="49">
        <f t="shared" si="202"/>
        <v>36975.899243197782</v>
      </c>
      <c r="AE482" s="49">
        <f t="shared" si="203"/>
        <v>22185.539545918666</v>
      </c>
      <c r="AF482" s="49">
        <f t="shared" si="204"/>
        <v>7395.179848639551</v>
      </c>
      <c r="AG482" s="49">
        <f t="shared" si="205"/>
        <v>-6.3664629124104977E-12</v>
      </c>
      <c r="AH482" s="49">
        <f t="shared" si="206"/>
        <v>0</v>
      </c>
      <c r="AJ482" s="49">
        <f t="shared" si="191"/>
        <v>22315.203910080916</v>
      </c>
      <c r="AK482" s="49">
        <f t="shared" si="192"/>
        <v>15522.482502294431</v>
      </c>
      <c r="AL482" s="49">
        <f t="shared" si="193"/>
        <v>15071.376531527418</v>
      </c>
      <c r="AM482" s="49">
        <f t="shared" si="194"/>
        <v>7395.1798486395573</v>
      </c>
      <c r="AN482" s="49">
        <f t="shared" si="195"/>
        <v>0</v>
      </c>
    </row>
    <row r="483" spans="2:40">
      <c r="B483" s="43" t="str">
        <f t="shared" si="188"/>
        <v>Asset 177</v>
      </c>
      <c r="F483" s="43" t="str">
        <f t="shared" ref="F483:L483" si="258">F235</f>
        <v>20 Kantoorgebouwen</v>
      </c>
      <c r="G483" s="43">
        <f t="shared" si="258"/>
        <v>2015</v>
      </c>
      <c r="H483" s="58">
        <f t="shared" si="258"/>
        <v>2375369.7957282378</v>
      </c>
      <c r="I483" s="43">
        <f t="shared" si="258"/>
        <v>2021</v>
      </c>
      <c r="J483" s="58">
        <f t="shared" si="258"/>
        <v>30</v>
      </c>
      <c r="K483" s="187">
        <f t="shared" si="258"/>
        <v>0</v>
      </c>
      <c r="L483" s="58">
        <f t="shared" si="258"/>
        <v>2010322.0086927759</v>
      </c>
      <c r="N483" s="49">
        <f t="shared" si="201"/>
        <v>2010322.0086927759</v>
      </c>
      <c r="P483" s="44">
        <f t="shared" si="190"/>
        <v>23.5</v>
      </c>
      <c r="R483" s="49">
        <f t="shared" si="251"/>
        <v>100088.37234768289</v>
      </c>
      <c r="S483" s="49">
        <f t="shared" si="251"/>
        <v>94551.568771002552</v>
      </c>
      <c r="T483" s="49">
        <f t="shared" si="251"/>
        <v>89321.05645601092</v>
      </c>
      <c r="U483" s="49">
        <f t="shared" si="251"/>
        <v>84379.891630784783</v>
      </c>
      <c r="V483" s="49">
        <f t="shared" si="251"/>
        <v>79712.067838443487</v>
      </c>
      <c r="X483" s="49">
        <f t="shared" si="252"/>
        <v>8554.561739118195</v>
      </c>
      <c r="Y483" s="49">
        <f t="shared" si="252"/>
        <v>8554.561739118195</v>
      </c>
      <c r="Z483" s="49">
        <f t="shared" si="252"/>
        <v>8554.561739118195</v>
      </c>
      <c r="AA483" s="49">
        <f t="shared" si="252"/>
        <v>8554.561739118195</v>
      </c>
      <c r="AB483" s="49">
        <f t="shared" si="252"/>
        <v>8554.561739118195</v>
      </c>
      <c r="AD483" s="49">
        <f t="shared" si="202"/>
        <v>1901679.0746059746</v>
      </c>
      <c r="AE483" s="49">
        <f t="shared" si="203"/>
        <v>1798572.9440958537</v>
      </c>
      <c r="AF483" s="49">
        <f t="shared" si="204"/>
        <v>1700697.3259007244</v>
      </c>
      <c r="AG483" s="49">
        <f t="shared" si="205"/>
        <v>1607762.8725308212</v>
      </c>
      <c r="AH483" s="49">
        <f t="shared" si="206"/>
        <v>1519496.2429532595</v>
      </c>
      <c r="AJ483" s="49">
        <f t="shared" si="191"/>
        <v>173300.02262340422</v>
      </c>
      <c r="AK483" s="49">
        <f t="shared" si="192"/>
        <v>162459.03766528392</v>
      </c>
      <c r="AL483" s="49">
        <f t="shared" si="193"/>
        <v>162502.11657935666</v>
      </c>
      <c r="AM483" s="49">
        <f t="shared" si="194"/>
        <v>154029.44252607418</v>
      </c>
      <c r="AN483" s="49">
        <f t="shared" si="195"/>
        <v>146007.48680978554</v>
      </c>
    </row>
    <row r="484" spans="2:40">
      <c r="B484" s="43" t="str">
        <f t="shared" si="188"/>
        <v>Asset 178</v>
      </c>
      <c r="F484" s="43" t="str">
        <f t="shared" ref="F484:L484" si="259">F236</f>
        <v>06 Utiliteitsgebouwen</v>
      </c>
      <c r="G484" s="43">
        <f t="shared" si="259"/>
        <v>2015</v>
      </c>
      <c r="H484" s="58">
        <f t="shared" si="259"/>
        <v>516544.29057147249</v>
      </c>
      <c r="I484" s="43">
        <f t="shared" si="259"/>
        <v>2021</v>
      </c>
      <c r="J484" s="58">
        <f t="shared" si="259"/>
        <v>30</v>
      </c>
      <c r="K484" s="187">
        <f t="shared" si="259"/>
        <v>0</v>
      </c>
      <c r="L484" s="58">
        <f t="shared" si="259"/>
        <v>437161.55592610373</v>
      </c>
      <c r="N484" s="49">
        <f t="shared" si="201"/>
        <v>437161.55592610373</v>
      </c>
      <c r="P484" s="44">
        <f t="shared" si="190"/>
        <v>23.5</v>
      </c>
      <c r="R484" s="49">
        <f t="shared" si="251"/>
        <v>21765.064699299634</v>
      </c>
      <c r="S484" s="49">
        <f t="shared" si="251"/>
        <v>20561.039843593699</v>
      </c>
      <c r="T484" s="49">
        <f t="shared" si="251"/>
        <v>19423.620618203408</v>
      </c>
      <c r="U484" s="49">
        <f t="shared" si="251"/>
        <v>18349.122456345343</v>
      </c>
      <c r="V484" s="49">
        <f t="shared" si="251"/>
        <v>17334.064618334749</v>
      </c>
      <c r="X484" s="49">
        <f t="shared" si="252"/>
        <v>1860.2619401110799</v>
      </c>
      <c r="Y484" s="49">
        <f t="shared" si="252"/>
        <v>1860.2619401110799</v>
      </c>
      <c r="Z484" s="49">
        <f t="shared" si="252"/>
        <v>1860.2619401110799</v>
      </c>
      <c r="AA484" s="49">
        <f t="shared" si="252"/>
        <v>1860.2619401110799</v>
      </c>
      <c r="AB484" s="49">
        <f t="shared" si="252"/>
        <v>1860.2619401110799</v>
      </c>
      <c r="AD484" s="49">
        <f t="shared" si="202"/>
        <v>413536.22928669304</v>
      </c>
      <c r="AE484" s="49">
        <f t="shared" si="203"/>
        <v>391114.92750298826</v>
      </c>
      <c r="AF484" s="49">
        <f t="shared" si="204"/>
        <v>369831.04494467378</v>
      </c>
      <c r="AG484" s="49">
        <f t="shared" si="205"/>
        <v>349621.66054821736</v>
      </c>
      <c r="AH484" s="49">
        <f t="shared" si="206"/>
        <v>330427.33398977155</v>
      </c>
      <c r="AJ484" s="49">
        <f t="shared" si="191"/>
        <v>37685.55843515828</v>
      </c>
      <c r="AK484" s="49">
        <f t="shared" si="192"/>
        <v>35328.094391303392</v>
      </c>
      <c r="AL484" s="49">
        <f t="shared" si="193"/>
        <v>35337.462266212089</v>
      </c>
      <c r="AM484" s="49">
        <f t="shared" si="194"/>
        <v>33495.00749728868</v>
      </c>
      <c r="AN484" s="49">
        <f t="shared" si="195"/>
        <v>31750.565250057145</v>
      </c>
    </row>
    <row r="485" spans="2:40">
      <c r="B485" s="43" t="str">
        <f t="shared" si="188"/>
        <v>Asset 179</v>
      </c>
      <c r="F485" s="43" t="str">
        <f t="shared" ref="F485:L485" si="260">F237</f>
        <v>08 Inrichting gebouwen</v>
      </c>
      <c r="G485" s="43">
        <f t="shared" si="260"/>
        <v>2015</v>
      </c>
      <c r="H485" s="58">
        <f t="shared" si="260"/>
        <v>406758.82739129546</v>
      </c>
      <c r="I485" s="43">
        <f t="shared" si="260"/>
        <v>2021</v>
      </c>
      <c r="J485" s="58">
        <f t="shared" si="260"/>
        <v>10</v>
      </c>
      <c r="K485" s="187">
        <f t="shared" si="260"/>
        <v>0</v>
      </c>
      <c r="L485" s="58">
        <f t="shared" si="260"/>
        <v>153812.9214033616</v>
      </c>
      <c r="N485" s="49">
        <f t="shared" si="201"/>
        <v>153812.9214033616</v>
      </c>
      <c r="P485" s="44">
        <f t="shared" si="190"/>
        <v>3.5</v>
      </c>
      <c r="R485" s="49">
        <f t="shared" si="251"/>
        <v>51417.462297695165</v>
      </c>
      <c r="S485" s="49">
        <f t="shared" si="251"/>
        <v>34805.666786132111</v>
      </c>
      <c r="T485" s="49">
        <f t="shared" si="251"/>
        <v>34805.666786132111</v>
      </c>
      <c r="U485" s="49">
        <f t="shared" si="251"/>
        <v>17402.833393066056</v>
      </c>
      <c r="V485" s="49">
        <f t="shared" si="251"/>
        <v>0</v>
      </c>
      <c r="X485" s="49">
        <f t="shared" si="252"/>
        <v>4394.6548972389037</v>
      </c>
      <c r="Y485" s="49">
        <f t="shared" si="252"/>
        <v>4394.6548972389037</v>
      </c>
      <c r="Z485" s="49">
        <f t="shared" si="252"/>
        <v>4394.6548972389037</v>
      </c>
      <c r="AA485" s="49">
        <f t="shared" si="252"/>
        <v>2197.3274486194518</v>
      </c>
      <c r="AB485" s="49">
        <f t="shared" si="252"/>
        <v>0</v>
      </c>
      <c r="AD485" s="49">
        <f t="shared" si="202"/>
        <v>98000.804208427537</v>
      </c>
      <c r="AE485" s="49">
        <f t="shared" si="203"/>
        <v>58800.482525056519</v>
      </c>
      <c r="AF485" s="49">
        <f t="shared" si="204"/>
        <v>19600.160841685505</v>
      </c>
      <c r="AG485" s="49">
        <f t="shared" si="205"/>
        <v>-2.2737367544323206E-12</v>
      </c>
      <c r="AH485" s="49">
        <f t="shared" si="206"/>
        <v>0</v>
      </c>
      <c r="AJ485" s="49">
        <f t="shared" si="191"/>
        <v>59144.144538020606</v>
      </c>
      <c r="AK485" s="49">
        <f t="shared" si="192"/>
        <v>41140.737606697883</v>
      </c>
      <c r="AL485" s="49">
        <f t="shared" si="193"/>
        <v>39945.127795355067</v>
      </c>
      <c r="AM485" s="49">
        <f t="shared" si="194"/>
        <v>19600.160841685509</v>
      </c>
      <c r="AN485" s="49">
        <f t="shared" si="195"/>
        <v>0</v>
      </c>
    </row>
    <row r="486" spans="2:40">
      <c r="B486" s="43" t="str">
        <f t="shared" si="188"/>
        <v>Asset 180</v>
      </c>
      <c r="F486" s="43" t="str">
        <f t="shared" ref="F486:L486" si="261">F238</f>
        <v>20 Kantoorgebouwen</v>
      </c>
      <c r="G486" s="43">
        <f t="shared" si="261"/>
        <v>2016</v>
      </c>
      <c r="H486" s="58">
        <f t="shared" si="261"/>
        <v>229380.26938547671</v>
      </c>
      <c r="I486" s="43">
        <f t="shared" si="261"/>
        <v>2021</v>
      </c>
      <c r="J486" s="58">
        <f t="shared" si="261"/>
        <v>30</v>
      </c>
      <c r="K486" s="187">
        <f t="shared" si="261"/>
        <v>0</v>
      </c>
      <c r="L486" s="58">
        <f t="shared" si="261"/>
        <v>200783.5579674957</v>
      </c>
      <c r="N486" s="49">
        <f t="shared" si="201"/>
        <v>200783.5579674957</v>
      </c>
      <c r="P486" s="44">
        <f t="shared" si="190"/>
        <v>24.5</v>
      </c>
      <c r="R486" s="49">
        <f t="shared" si="251"/>
        <v>9588.4392988559193</v>
      </c>
      <c r="S486" s="49">
        <f t="shared" si="251"/>
        <v>9079.6649687125428</v>
      </c>
      <c r="T486" s="49">
        <f t="shared" si="251"/>
        <v>8597.886827515551</v>
      </c>
      <c r="U486" s="49">
        <f t="shared" si="251"/>
        <v>8141.6724244228881</v>
      </c>
      <c r="V486" s="49">
        <f t="shared" si="251"/>
        <v>7709.6653161882041</v>
      </c>
      <c r="X486" s="49">
        <f t="shared" si="252"/>
        <v>819.52472639794178</v>
      </c>
      <c r="Y486" s="49">
        <f t="shared" si="252"/>
        <v>819.52472639794178</v>
      </c>
      <c r="Z486" s="49">
        <f t="shared" si="252"/>
        <v>819.52472639794178</v>
      </c>
      <c r="AA486" s="49">
        <f t="shared" si="252"/>
        <v>819.52472639794178</v>
      </c>
      <c r="AB486" s="49">
        <f t="shared" si="252"/>
        <v>819.52472639794178</v>
      </c>
      <c r="AD486" s="49">
        <f t="shared" si="202"/>
        <v>190375.59394224183</v>
      </c>
      <c r="AE486" s="49">
        <f t="shared" si="203"/>
        <v>180476.40424713134</v>
      </c>
      <c r="AF486" s="49">
        <f t="shared" si="204"/>
        <v>171058.99269321785</v>
      </c>
      <c r="AG486" s="49">
        <f t="shared" si="205"/>
        <v>162097.79554239701</v>
      </c>
      <c r="AH486" s="49">
        <f t="shared" si="206"/>
        <v>153568.60549981086</v>
      </c>
      <c r="AJ486" s="49">
        <f t="shared" si="191"/>
        <v>16880.734219290083</v>
      </c>
      <c r="AK486" s="49">
        <f t="shared" si="192"/>
        <v>15854.911035265819</v>
      </c>
      <c r="AL486" s="49">
        <f t="shared" si="193"/>
        <v>15917.653276255771</v>
      </c>
      <c r="AM486" s="49">
        <f t="shared" si="194"/>
        <v>15120.913381431918</v>
      </c>
      <c r="AN486" s="49">
        <f t="shared" si="195"/>
        <v>14364.797051578958</v>
      </c>
    </row>
    <row r="487" spans="2:40">
      <c r="B487" s="43" t="str">
        <f t="shared" si="188"/>
        <v>Asset 181</v>
      </c>
      <c r="F487" s="43" t="str">
        <f t="shared" ref="F487:L487" si="262">F239</f>
        <v>39 ICT middelen 3</v>
      </c>
      <c r="G487" s="43">
        <f t="shared" si="262"/>
        <v>2016</v>
      </c>
      <c r="H487" s="58">
        <f t="shared" si="262"/>
        <v>529286.5107518764</v>
      </c>
      <c r="I487" s="43">
        <f t="shared" si="262"/>
        <v>2021</v>
      </c>
      <c r="J487" s="58">
        <f t="shared" si="262"/>
        <v>15</v>
      </c>
      <c r="K487" s="187">
        <f t="shared" si="262"/>
        <v>1</v>
      </c>
      <c r="L487" s="58">
        <f t="shared" si="262"/>
        <v>359294.38470756344</v>
      </c>
      <c r="N487" s="49">
        <f t="shared" si="201"/>
        <v>359294.38470756344</v>
      </c>
      <c r="P487" s="44">
        <f t="shared" si="190"/>
        <v>9.5</v>
      </c>
      <c r="R487" s="49">
        <f t="shared" ref="R487:V496" si="263">IF(R$305&lt;=$G487+$J487,VDB($L487*(1-$F$25),0,$P487,R$305-2022,MIN(R$305-2021,$P487),$F$22),0)</f>
        <v>44249.940011352555</v>
      </c>
      <c r="S487" s="49">
        <f t="shared" si="263"/>
        <v>38194.685062430624</v>
      </c>
      <c r="T487" s="49">
        <f t="shared" si="263"/>
        <v>32968.043948624334</v>
      </c>
      <c r="U487" s="49">
        <f t="shared" si="263"/>
        <v>31992.658032984553</v>
      </c>
      <c r="V487" s="49">
        <f t="shared" si="263"/>
        <v>31992.658032984553</v>
      </c>
      <c r="X487" s="49">
        <f t="shared" ref="X487:AB496" si="264">IF(X$305&lt;=$G487+$J487,VDB($L487*$F$25,0,$P487,X$305-2022,MIN(X$305-2021,$P487),1),0)</f>
        <v>3782.0461548164571</v>
      </c>
      <c r="Y487" s="49">
        <f t="shared" si="264"/>
        <v>3782.0461548164571</v>
      </c>
      <c r="Z487" s="49">
        <f t="shared" si="264"/>
        <v>3782.0461548164571</v>
      </c>
      <c r="AA487" s="49">
        <f t="shared" si="264"/>
        <v>3782.0461548164571</v>
      </c>
      <c r="AB487" s="49">
        <f t="shared" si="264"/>
        <v>3782.0461548164571</v>
      </c>
      <c r="AD487" s="49">
        <f t="shared" si="202"/>
        <v>311262.39854139445</v>
      </c>
      <c r="AE487" s="49">
        <f t="shared" si="203"/>
        <v>269285.66732414736</v>
      </c>
      <c r="AF487" s="49">
        <f t="shared" si="204"/>
        <v>232535.57722070656</v>
      </c>
      <c r="AG487" s="49">
        <f t="shared" si="205"/>
        <v>196760.87303290554</v>
      </c>
      <c r="AH487" s="49">
        <f t="shared" si="206"/>
        <v>160986.16884510452</v>
      </c>
      <c r="AJ487" s="49">
        <f t="shared" si="191"/>
        <v>58614.907716576432</v>
      </c>
      <c r="AK487" s="49">
        <f t="shared" si="192"/>
        <v>50863.15823894395</v>
      </c>
      <c r="AL487" s="49">
        <f t="shared" si="193"/>
        <v>45586.442037827641</v>
      </c>
      <c r="AM487" s="49">
        <f t="shared" si="194"/>
        <v>43251.617363051424</v>
      </c>
      <c r="AN487" s="49">
        <f t="shared" si="195"/>
        <v>41892.178603914988</v>
      </c>
    </row>
    <row r="488" spans="2:40">
      <c r="B488" s="43" t="str">
        <f t="shared" si="188"/>
        <v>Asset 182</v>
      </c>
      <c r="F488" s="43" t="str">
        <f t="shared" ref="F488:L488" si="265">F240</f>
        <v>12 Motorvoertuigen</v>
      </c>
      <c r="G488" s="43">
        <f t="shared" si="265"/>
        <v>2016</v>
      </c>
      <c r="H488" s="58">
        <f t="shared" si="265"/>
        <v>28567.827468907908</v>
      </c>
      <c r="I488" s="43">
        <f t="shared" si="265"/>
        <v>2021</v>
      </c>
      <c r="J488" s="58">
        <f t="shared" si="265"/>
        <v>10</v>
      </c>
      <c r="K488" s="187">
        <f t="shared" si="265"/>
        <v>1</v>
      </c>
      <c r="L488" s="58">
        <f t="shared" si="265"/>
        <v>13778.977338155324</v>
      </c>
      <c r="N488" s="49">
        <f t="shared" si="201"/>
        <v>13778.977338155324</v>
      </c>
      <c r="P488" s="44">
        <f t="shared" si="190"/>
        <v>4.5</v>
      </c>
      <c r="R488" s="49">
        <f t="shared" si="263"/>
        <v>3582.5341079203845</v>
      </c>
      <c r="S488" s="49">
        <f t="shared" si="263"/>
        <v>2547.5798100767179</v>
      </c>
      <c r="T488" s="49">
        <f t="shared" si="263"/>
        <v>2508.3862745370757</v>
      </c>
      <c r="U488" s="49">
        <f t="shared" si="263"/>
        <v>2508.3862745370757</v>
      </c>
      <c r="V488" s="49">
        <f t="shared" si="263"/>
        <v>1254.1931372685378</v>
      </c>
      <c r="X488" s="49">
        <f t="shared" si="264"/>
        <v>306.19949640345169</v>
      </c>
      <c r="Y488" s="49">
        <f t="shared" si="264"/>
        <v>306.19949640345169</v>
      </c>
      <c r="Z488" s="49">
        <f t="shared" si="264"/>
        <v>306.19949640345169</v>
      </c>
      <c r="AA488" s="49">
        <f t="shared" si="264"/>
        <v>306.19949640345169</v>
      </c>
      <c r="AB488" s="49">
        <f t="shared" si="264"/>
        <v>153.09974820172584</v>
      </c>
      <c r="AD488" s="49">
        <f t="shared" si="202"/>
        <v>9890.2437338314885</v>
      </c>
      <c r="AE488" s="49">
        <f t="shared" si="203"/>
        <v>7036.4644273513186</v>
      </c>
      <c r="AF488" s="49">
        <f t="shared" si="204"/>
        <v>4221.8786564107913</v>
      </c>
      <c r="AG488" s="49">
        <f t="shared" si="205"/>
        <v>1407.2928854702641</v>
      </c>
      <c r="AH488" s="49">
        <f t="shared" si="206"/>
        <v>3.979039320256561E-13</v>
      </c>
      <c r="AJ488" s="49">
        <f t="shared" si="191"/>
        <v>4225.001891274107</v>
      </c>
      <c r="AK488" s="49">
        <f t="shared" si="192"/>
        <v>3085.982632582763</v>
      </c>
      <c r="AL488" s="49">
        <f t="shared" si="193"/>
        <v>2975.0171598841375</v>
      </c>
      <c r="AM488" s="49">
        <f t="shared" si="194"/>
        <v>2868.0629005883975</v>
      </c>
      <c r="AN488" s="49">
        <f t="shared" si="195"/>
        <v>1407.2928854702636</v>
      </c>
    </row>
    <row r="489" spans="2:40">
      <c r="B489" s="43" t="str">
        <f t="shared" si="188"/>
        <v>Asset 183</v>
      </c>
      <c r="F489" s="43" t="str">
        <f t="shared" ref="F489:L489" si="266">F241</f>
        <v>06 Utiliteitsgebouwen</v>
      </c>
      <c r="G489" s="43">
        <f t="shared" si="266"/>
        <v>2016</v>
      </c>
      <c r="H489" s="58">
        <f t="shared" si="266"/>
        <v>69569.550579382194</v>
      </c>
      <c r="I489" s="43">
        <f t="shared" si="266"/>
        <v>2021</v>
      </c>
      <c r="J489" s="58">
        <f t="shared" si="266"/>
        <v>30</v>
      </c>
      <c r="K489" s="187">
        <f t="shared" si="266"/>
        <v>0</v>
      </c>
      <c r="L489" s="58">
        <f t="shared" si="266"/>
        <v>60896.353156050573</v>
      </c>
      <c r="N489" s="49">
        <f t="shared" si="201"/>
        <v>60896.353156050573</v>
      </c>
      <c r="P489" s="44">
        <f t="shared" si="190"/>
        <v>24.5</v>
      </c>
      <c r="R489" s="49">
        <f t="shared" si="263"/>
        <v>2908.1115588807829</v>
      </c>
      <c r="S489" s="49">
        <f t="shared" si="263"/>
        <v>2753.8035986136392</v>
      </c>
      <c r="T489" s="49">
        <f t="shared" si="263"/>
        <v>2607.6834076667933</v>
      </c>
      <c r="U489" s="49">
        <f t="shared" si="263"/>
        <v>2469.3165329742696</v>
      </c>
      <c r="V489" s="49">
        <f t="shared" si="263"/>
        <v>2338.2915740817571</v>
      </c>
      <c r="X489" s="49">
        <f t="shared" si="264"/>
        <v>248.55654349408397</v>
      </c>
      <c r="Y489" s="49">
        <f t="shared" si="264"/>
        <v>248.55654349408397</v>
      </c>
      <c r="Z489" s="49">
        <f t="shared" si="264"/>
        <v>248.55654349408397</v>
      </c>
      <c r="AA489" s="49">
        <f t="shared" si="264"/>
        <v>248.55654349408397</v>
      </c>
      <c r="AB489" s="49">
        <f t="shared" si="264"/>
        <v>248.55654349408397</v>
      </c>
      <c r="AD489" s="49">
        <f t="shared" si="202"/>
        <v>57739.685053675705</v>
      </c>
      <c r="AE489" s="49">
        <f t="shared" si="203"/>
        <v>54737.324911567979</v>
      </c>
      <c r="AF489" s="49">
        <f t="shared" si="204"/>
        <v>51881.084960407097</v>
      </c>
      <c r="AG489" s="49">
        <f t="shared" si="205"/>
        <v>49163.21188393874</v>
      </c>
      <c r="AH489" s="49">
        <f t="shared" si="206"/>
        <v>46576.363766362898</v>
      </c>
      <c r="AJ489" s="49">
        <f t="shared" si="191"/>
        <v>5119.8173941998411</v>
      </c>
      <c r="AK489" s="49">
        <f t="shared" si="192"/>
        <v>4808.6918641894663</v>
      </c>
      <c r="AL489" s="49">
        <f t="shared" si="193"/>
        <v>4827.721179656347</v>
      </c>
      <c r="AM489" s="49">
        <f t="shared" si="194"/>
        <v>4586.0751280580262</v>
      </c>
      <c r="AN489" s="49">
        <f t="shared" si="195"/>
        <v>4356.7499406976312</v>
      </c>
    </row>
    <row r="490" spans="2:40">
      <c r="B490" s="43" t="str">
        <f t="shared" si="188"/>
        <v>Asset 184</v>
      </c>
      <c r="F490" s="43" t="str">
        <f t="shared" ref="F490:L490" si="267">F242</f>
        <v>09 Bedrijfsinventaris</v>
      </c>
      <c r="G490" s="43">
        <f t="shared" si="267"/>
        <v>2016</v>
      </c>
      <c r="H490" s="58">
        <f t="shared" si="267"/>
        <v>285684.31746031862</v>
      </c>
      <c r="I490" s="43">
        <f t="shared" si="267"/>
        <v>2021</v>
      </c>
      <c r="J490" s="58">
        <f t="shared" si="267"/>
        <v>10</v>
      </c>
      <c r="K490" s="187">
        <f t="shared" si="267"/>
        <v>1</v>
      </c>
      <c r="L490" s="58">
        <f t="shared" si="267"/>
        <v>137792.68796118168</v>
      </c>
      <c r="N490" s="49">
        <f t="shared" si="201"/>
        <v>137792.68796118168</v>
      </c>
      <c r="P490" s="44">
        <f t="shared" si="190"/>
        <v>4.5</v>
      </c>
      <c r="R490" s="49">
        <f t="shared" si="263"/>
        <v>35826.09886990724</v>
      </c>
      <c r="S490" s="49">
        <f t="shared" si="263"/>
        <v>25476.33697415626</v>
      </c>
      <c r="T490" s="49">
        <f t="shared" si="263"/>
        <v>25084.393328400001</v>
      </c>
      <c r="U490" s="49">
        <f t="shared" si="263"/>
        <v>25084.393328400001</v>
      </c>
      <c r="V490" s="49">
        <f t="shared" si="263"/>
        <v>12542.196664200001</v>
      </c>
      <c r="X490" s="49">
        <f t="shared" si="264"/>
        <v>3062.0597324707041</v>
      </c>
      <c r="Y490" s="49">
        <f t="shared" si="264"/>
        <v>3062.0597324707041</v>
      </c>
      <c r="Z490" s="49">
        <f t="shared" si="264"/>
        <v>3062.0597324707041</v>
      </c>
      <c r="AA490" s="49">
        <f t="shared" si="264"/>
        <v>3062.0597324707041</v>
      </c>
      <c r="AB490" s="49">
        <f t="shared" si="264"/>
        <v>1531.0298662353521</v>
      </c>
      <c r="AD490" s="49">
        <f t="shared" si="202"/>
        <v>98904.529358803746</v>
      </c>
      <c r="AE490" s="49">
        <f t="shared" si="203"/>
        <v>70366.132652176777</v>
      </c>
      <c r="AF490" s="49">
        <f t="shared" si="204"/>
        <v>42219.679591306071</v>
      </c>
      <c r="AG490" s="49">
        <f t="shared" si="205"/>
        <v>14073.226530435364</v>
      </c>
      <c r="AH490" s="49">
        <f t="shared" si="206"/>
        <v>1.1368683772161603E-11</v>
      </c>
      <c r="AJ490" s="49">
        <f t="shared" si="191"/>
        <v>42250.91260057727</v>
      </c>
      <c r="AK490" s="49">
        <f t="shared" si="192"/>
        <v>30860.479084148799</v>
      </c>
      <c r="AL490" s="49">
        <f t="shared" si="193"/>
        <v>29750.800885340337</v>
      </c>
      <c r="AM490" s="49">
        <f t="shared" si="194"/>
        <v>28681.23566902725</v>
      </c>
      <c r="AN490" s="49">
        <f t="shared" si="195"/>
        <v>14073.226530435353</v>
      </c>
    </row>
    <row r="491" spans="2:40">
      <c r="B491" s="43" t="str">
        <f t="shared" si="188"/>
        <v>Asset 185</v>
      </c>
      <c r="F491" s="43" t="str">
        <f t="shared" ref="F491:L491" si="268">F243</f>
        <v>08 Inrichting gebouwen</v>
      </c>
      <c r="G491" s="43">
        <f t="shared" si="268"/>
        <v>2016</v>
      </c>
      <c r="H491" s="58">
        <f t="shared" si="268"/>
        <v>23169.006741347624</v>
      </c>
      <c r="I491" s="43">
        <f t="shared" si="268"/>
        <v>2021</v>
      </c>
      <c r="J491" s="58">
        <f t="shared" si="268"/>
        <v>10</v>
      </c>
      <c r="K491" s="187">
        <f t="shared" si="268"/>
        <v>0</v>
      </c>
      <c r="L491" s="58">
        <f t="shared" si="268"/>
        <v>11174.991139387506</v>
      </c>
      <c r="N491" s="49">
        <f t="shared" si="201"/>
        <v>11174.991139387506</v>
      </c>
      <c r="P491" s="44">
        <f t="shared" si="190"/>
        <v>4.5</v>
      </c>
      <c r="R491" s="49">
        <f t="shared" si="263"/>
        <v>2905.4976962407518</v>
      </c>
      <c r="S491" s="49">
        <f t="shared" si="263"/>
        <v>2066.1316951045346</v>
      </c>
      <c r="T491" s="49">
        <f t="shared" si="263"/>
        <v>2034.3450536413875</v>
      </c>
      <c r="U491" s="49">
        <f t="shared" si="263"/>
        <v>2034.3450536413875</v>
      </c>
      <c r="V491" s="49">
        <f t="shared" si="263"/>
        <v>1017.1725268206937</v>
      </c>
      <c r="X491" s="49">
        <f t="shared" si="264"/>
        <v>248.33313643083349</v>
      </c>
      <c r="Y491" s="49">
        <f t="shared" si="264"/>
        <v>248.33313643083349</v>
      </c>
      <c r="Z491" s="49">
        <f t="shared" si="264"/>
        <v>248.33313643083349</v>
      </c>
      <c r="AA491" s="49">
        <f t="shared" si="264"/>
        <v>248.33313643083349</v>
      </c>
      <c r="AB491" s="49">
        <f t="shared" si="264"/>
        <v>124.16656821541675</v>
      </c>
      <c r="AD491" s="49">
        <f t="shared" si="202"/>
        <v>8021.1603067159222</v>
      </c>
      <c r="AE491" s="49">
        <f t="shared" si="203"/>
        <v>5706.6954751805542</v>
      </c>
      <c r="AF491" s="49">
        <f t="shared" si="204"/>
        <v>3424.0172851083335</v>
      </c>
      <c r="AG491" s="49">
        <f t="shared" si="205"/>
        <v>1141.3390950361124</v>
      </c>
      <c r="AH491" s="49">
        <f t="shared" si="206"/>
        <v>1.9468870959826745E-12</v>
      </c>
      <c r="AJ491" s="49">
        <f t="shared" si="191"/>
        <v>3426.5502830999267</v>
      </c>
      <c r="AK491" s="49">
        <f t="shared" si="192"/>
        <v>2502.7857822163264</v>
      </c>
      <c r="AL491" s="49">
        <f t="shared" si="193"/>
        <v>2412.7908469063373</v>
      </c>
      <c r="AM491" s="49">
        <f t="shared" si="194"/>
        <v>2326.0490756835929</v>
      </c>
      <c r="AN491" s="49">
        <f t="shared" si="195"/>
        <v>1141.3390950361104</v>
      </c>
    </row>
    <row r="492" spans="2:40">
      <c r="B492" s="43" t="str">
        <f t="shared" si="188"/>
        <v>Asset 186</v>
      </c>
      <c r="F492" s="43" t="str">
        <f t="shared" ref="F492:L492" si="269">F244</f>
        <v>11 Werktuigen (KC)</v>
      </c>
      <c r="G492" s="43">
        <f t="shared" si="269"/>
        <v>2017</v>
      </c>
      <c r="H492" s="58">
        <f t="shared" si="269"/>
        <v>42505.139899436123</v>
      </c>
      <c r="I492" s="43">
        <f t="shared" si="269"/>
        <v>2021</v>
      </c>
      <c r="J492" s="58">
        <f t="shared" si="269"/>
        <v>10</v>
      </c>
      <c r="K492" s="187">
        <f t="shared" si="269"/>
        <v>0</v>
      </c>
      <c r="L492" s="58">
        <f t="shared" si="269"/>
        <v>25007.119857240814</v>
      </c>
      <c r="N492" s="49">
        <f t="shared" si="201"/>
        <v>25007.119857240814</v>
      </c>
      <c r="P492" s="44">
        <f t="shared" si="190"/>
        <v>5.5</v>
      </c>
      <c r="R492" s="49">
        <f t="shared" si="263"/>
        <v>5319.6964059948641</v>
      </c>
      <c r="S492" s="49">
        <f t="shared" si="263"/>
        <v>4062.3136191233507</v>
      </c>
      <c r="T492" s="49">
        <f t="shared" si="263"/>
        <v>3749.8279561138625</v>
      </c>
      <c r="U492" s="49">
        <f t="shared" si="263"/>
        <v>3749.8279561138625</v>
      </c>
      <c r="V492" s="49">
        <f t="shared" si="263"/>
        <v>3749.8279561138625</v>
      </c>
      <c r="X492" s="49">
        <f t="shared" si="264"/>
        <v>454.67490649528753</v>
      </c>
      <c r="Y492" s="49">
        <f t="shared" si="264"/>
        <v>454.67490649528753</v>
      </c>
      <c r="Z492" s="49">
        <f t="shared" si="264"/>
        <v>454.67490649528753</v>
      </c>
      <c r="AA492" s="49">
        <f t="shared" si="264"/>
        <v>454.67490649528753</v>
      </c>
      <c r="AB492" s="49">
        <f t="shared" si="264"/>
        <v>454.67490649528753</v>
      </c>
      <c r="AD492" s="49">
        <f t="shared" si="202"/>
        <v>19232.748544750662</v>
      </c>
      <c r="AE492" s="49">
        <f t="shared" si="203"/>
        <v>14715.760019132025</v>
      </c>
      <c r="AF492" s="49">
        <f t="shared" si="204"/>
        <v>10511.257156522875</v>
      </c>
      <c r="AG492" s="49">
        <f t="shared" si="205"/>
        <v>6306.7542939137256</v>
      </c>
      <c r="AH492" s="49">
        <f t="shared" si="206"/>
        <v>2102.2514313045758</v>
      </c>
      <c r="AJ492" s="49">
        <f t="shared" si="191"/>
        <v>6428.2847630116739</v>
      </c>
      <c r="AK492" s="49">
        <f t="shared" si="192"/>
        <v>5002.6086062499953</v>
      </c>
      <c r="AL492" s="49">
        <f t="shared" si="193"/>
        <v>4603.9306345570194</v>
      </c>
      <c r="AM492" s="49">
        <f t="shared" si="194"/>
        <v>4444.1595257778717</v>
      </c>
      <c r="AN492" s="49">
        <f t="shared" si="195"/>
        <v>4284.3884169987241</v>
      </c>
    </row>
    <row r="493" spans="2:40">
      <c r="B493" s="43" t="str">
        <f t="shared" si="188"/>
        <v>Asset 187</v>
      </c>
      <c r="F493" s="43" t="str">
        <f t="shared" ref="F493:L493" si="270">F245</f>
        <v>10 Gereedschap</v>
      </c>
      <c r="G493" s="43">
        <f t="shared" si="270"/>
        <v>2017</v>
      </c>
      <c r="H493" s="58">
        <f t="shared" si="270"/>
        <v>283180.78041617683</v>
      </c>
      <c r="I493" s="43">
        <f t="shared" si="270"/>
        <v>2021</v>
      </c>
      <c r="J493" s="58">
        <f t="shared" si="270"/>
        <v>10</v>
      </c>
      <c r="K493" s="187">
        <f t="shared" si="270"/>
        <v>1</v>
      </c>
      <c r="L493" s="58">
        <f t="shared" si="270"/>
        <v>166604.2208986652</v>
      </c>
      <c r="N493" s="49">
        <f t="shared" si="201"/>
        <v>166604.2208986652</v>
      </c>
      <c r="P493" s="44">
        <f t="shared" si="190"/>
        <v>5.5</v>
      </c>
      <c r="R493" s="49">
        <f t="shared" si="263"/>
        <v>35441.261536625141</v>
      </c>
      <c r="S493" s="49">
        <f t="shared" si="263"/>
        <v>27064.236082513748</v>
      </c>
      <c r="T493" s="49">
        <f t="shared" si="263"/>
        <v>24982.37176847423</v>
      </c>
      <c r="U493" s="49">
        <f t="shared" si="263"/>
        <v>24982.37176847423</v>
      </c>
      <c r="V493" s="49">
        <f t="shared" si="263"/>
        <v>24982.37176847423</v>
      </c>
      <c r="X493" s="49">
        <f t="shared" si="264"/>
        <v>3029.1676527030036</v>
      </c>
      <c r="Y493" s="49">
        <f t="shared" si="264"/>
        <v>3029.1676527030036</v>
      </c>
      <c r="Z493" s="49">
        <f t="shared" si="264"/>
        <v>3029.1676527030036</v>
      </c>
      <c r="AA493" s="49">
        <f t="shared" si="264"/>
        <v>3029.1676527030036</v>
      </c>
      <c r="AB493" s="49">
        <f t="shared" si="264"/>
        <v>3029.1676527030036</v>
      </c>
      <c r="AD493" s="49">
        <f t="shared" si="202"/>
        <v>128133.79170933703</v>
      </c>
      <c r="AE493" s="49">
        <f t="shared" si="203"/>
        <v>98040.387974120284</v>
      </c>
      <c r="AF493" s="49">
        <f t="shared" si="204"/>
        <v>70028.848552943047</v>
      </c>
      <c r="AG493" s="49">
        <f t="shared" si="205"/>
        <v>42017.309131765811</v>
      </c>
      <c r="AH493" s="49">
        <f t="shared" si="206"/>
        <v>14005.769710588578</v>
      </c>
      <c r="AJ493" s="49">
        <f t="shared" si="191"/>
        <v>42826.978107445611</v>
      </c>
      <c r="AK493" s="49">
        <f t="shared" si="192"/>
        <v>33328.736538362718</v>
      </c>
      <c r="AL493" s="49">
        <f t="shared" si="193"/>
        <v>30672.635666189068</v>
      </c>
      <c r="AM493" s="49">
        <f t="shared" si="194"/>
        <v>29608.197168184335</v>
      </c>
      <c r="AN493" s="49">
        <f t="shared" si="195"/>
        <v>28543.758670179599</v>
      </c>
    </row>
    <row r="494" spans="2:40">
      <c r="B494" s="43" t="str">
        <f t="shared" si="188"/>
        <v>Asset 188</v>
      </c>
      <c r="F494" s="43" t="str">
        <f t="shared" ref="F494:L494" si="271">F246</f>
        <v>10 Gereedschap</v>
      </c>
      <c r="G494" s="43">
        <f t="shared" si="271"/>
        <v>2016</v>
      </c>
      <c r="H494" s="58">
        <f t="shared" si="271"/>
        <v>59355.750635093973</v>
      </c>
      <c r="I494" s="43">
        <f t="shared" si="271"/>
        <v>2021</v>
      </c>
      <c r="J494" s="58">
        <f t="shared" si="271"/>
        <v>10</v>
      </c>
      <c r="K494" s="187">
        <f t="shared" si="271"/>
        <v>1</v>
      </c>
      <c r="L494" s="58">
        <f t="shared" si="271"/>
        <v>28628.76232994219</v>
      </c>
      <c r="N494" s="49">
        <f t="shared" si="201"/>
        <v>28628.76232994219</v>
      </c>
      <c r="P494" s="44">
        <f t="shared" si="190"/>
        <v>4.5</v>
      </c>
      <c r="R494" s="49">
        <f t="shared" si="263"/>
        <v>7443.4782057849707</v>
      </c>
      <c r="S494" s="49">
        <f t="shared" si="263"/>
        <v>5293.1400574470899</v>
      </c>
      <c r="T494" s="49">
        <f t="shared" si="263"/>
        <v>5211.7071334863649</v>
      </c>
      <c r="U494" s="49">
        <f t="shared" si="263"/>
        <v>5211.7071334863649</v>
      </c>
      <c r="V494" s="49">
        <f t="shared" si="263"/>
        <v>2605.8535667431825</v>
      </c>
      <c r="X494" s="49">
        <f t="shared" si="264"/>
        <v>636.19471844315979</v>
      </c>
      <c r="Y494" s="49">
        <f t="shared" si="264"/>
        <v>636.1947184431599</v>
      </c>
      <c r="Z494" s="49">
        <f t="shared" si="264"/>
        <v>636.1947184431599</v>
      </c>
      <c r="AA494" s="49">
        <f t="shared" si="264"/>
        <v>636.1947184431599</v>
      </c>
      <c r="AB494" s="49">
        <f t="shared" si="264"/>
        <v>318.09735922157995</v>
      </c>
      <c r="AD494" s="49">
        <f t="shared" si="202"/>
        <v>20549.089405714061</v>
      </c>
      <c r="AE494" s="49">
        <f t="shared" si="203"/>
        <v>14619.754629823812</v>
      </c>
      <c r="AF494" s="49">
        <f t="shared" si="204"/>
        <v>8771.852777894288</v>
      </c>
      <c r="AG494" s="49">
        <f t="shared" si="205"/>
        <v>2923.950925964763</v>
      </c>
      <c r="AH494" s="49">
        <f t="shared" si="206"/>
        <v>5.6843418860808015E-13</v>
      </c>
      <c r="AJ494" s="49">
        <f t="shared" si="191"/>
        <v>8778.3419640224092</v>
      </c>
      <c r="AK494" s="49">
        <f t="shared" si="192"/>
        <v>6411.7866786744362</v>
      </c>
      <c r="AL494" s="49">
        <f t="shared" si="193"/>
        <v>6181.2322574895079</v>
      </c>
      <c r="AM494" s="49">
        <f t="shared" si="194"/>
        <v>5959.011987116186</v>
      </c>
      <c r="AN494" s="49">
        <f t="shared" si="195"/>
        <v>2923.9509259647625</v>
      </c>
    </row>
    <row r="495" spans="2:40">
      <c r="B495" s="43" t="str">
        <f t="shared" si="188"/>
        <v>Asset 189</v>
      </c>
      <c r="F495" s="43" t="str">
        <f t="shared" ref="F495:L495" si="272">F247</f>
        <v>20 Kantoorgebouwen</v>
      </c>
      <c r="G495" s="43">
        <f t="shared" si="272"/>
        <v>2017</v>
      </c>
      <c r="H495" s="58">
        <f t="shared" si="272"/>
        <v>1235103.6006231268</v>
      </c>
      <c r="I495" s="43">
        <f t="shared" si="272"/>
        <v>2021</v>
      </c>
      <c r="J495" s="58">
        <f t="shared" si="272"/>
        <v>30</v>
      </c>
      <c r="K495" s="187">
        <f t="shared" si="272"/>
        <v>0</v>
      </c>
      <c r="L495" s="58">
        <f t="shared" si="272"/>
        <v>1123005.4133120223</v>
      </c>
      <c r="N495" s="49">
        <f t="shared" si="201"/>
        <v>1123005.4133120223</v>
      </c>
      <c r="P495" s="44">
        <f t="shared" si="190"/>
        <v>25.5</v>
      </c>
      <c r="R495" s="49">
        <f t="shared" si="263"/>
        <v>51526.130728433964</v>
      </c>
      <c r="S495" s="49">
        <f t="shared" si="263"/>
        <v>48899.308377572626</v>
      </c>
      <c r="T495" s="49">
        <f t="shared" si="263"/>
        <v>46406.402460284604</v>
      </c>
      <c r="U495" s="49">
        <f t="shared" si="263"/>
        <v>44040.585864270091</v>
      </c>
      <c r="V495" s="49">
        <f t="shared" si="263"/>
        <v>41795.379526091616</v>
      </c>
      <c r="X495" s="49">
        <f t="shared" si="264"/>
        <v>4403.9427973020483</v>
      </c>
      <c r="Y495" s="49">
        <f t="shared" si="264"/>
        <v>4403.9427973020483</v>
      </c>
      <c r="Z495" s="49">
        <f t="shared" si="264"/>
        <v>4403.9427973020483</v>
      </c>
      <c r="AA495" s="49">
        <f t="shared" si="264"/>
        <v>4403.9427973020483</v>
      </c>
      <c r="AB495" s="49">
        <f t="shared" si="264"/>
        <v>4403.9427973020483</v>
      </c>
      <c r="AD495" s="49">
        <f t="shared" si="202"/>
        <v>1067075.3397862862</v>
      </c>
      <c r="AE495" s="49">
        <f t="shared" si="203"/>
        <v>1013772.0886114116</v>
      </c>
      <c r="AF495" s="49">
        <f t="shared" si="204"/>
        <v>962961.74335382495</v>
      </c>
      <c r="AG495" s="49">
        <f t="shared" si="205"/>
        <v>914517.2146922528</v>
      </c>
      <c r="AH495" s="49">
        <f t="shared" si="206"/>
        <v>868317.89236885915</v>
      </c>
      <c r="AJ495" s="49">
        <f t="shared" si="191"/>
        <v>92210.635078469757</v>
      </c>
      <c r="AK495" s="49">
        <f t="shared" si="192"/>
        <v>86757.730099051259</v>
      </c>
      <c r="AL495" s="49">
        <f t="shared" si="193"/>
        <v>87402.891505031992</v>
      </c>
      <c r="AM495" s="49">
        <f t="shared" si="194"/>
        <v>83196.182819877751</v>
      </c>
      <c r="AN495" s="49">
        <f t="shared" si="195"/>
        <v>79195.402233410307</v>
      </c>
    </row>
    <row r="496" spans="2:40">
      <c r="B496" s="43" t="str">
        <f t="shared" si="188"/>
        <v>Asset 190</v>
      </c>
      <c r="F496" s="43" t="str">
        <f t="shared" ref="F496:L496" si="273">F248</f>
        <v>13 Aanhangwagens</v>
      </c>
      <c r="G496" s="43">
        <f t="shared" si="273"/>
        <v>2017</v>
      </c>
      <c r="H496" s="58">
        <f t="shared" si="273"/>
        <v>251242.94461834809</v>
      </c>
      <c r="I496" s="43">
        <f t="shared" si="273"/>
        <v>2021</v>
      </c>
      <c r="J496" s="58">
        <f t="shared" si="273"/>
        <v>10</v>
      </c>
      <c r="K496" s="187">
        <f t="shared" si="273"/>
        <v>1</v>
      </c>
      <c r="L496" s="58">
        <f t="shared" si="273"/>
        <v>147814.18069019204</v>
      </c>
      <c r="N496" s="49">
        <f t="shared" si="201"/>
        <v>147814.18069019204</v>
      </c>
      <c r="P496" s="44">
        <f t="shared" si="190"/>
        <v>5.5</v>
      </c>
      <c r="R496" s="49">
        <f t="shared" si="263"/>
        <v>31444.107528640856</v>
      </c>
      <c r="S496" s="49">
        <f t="shared" si="263"/>
        <v>24011.863930962107</v>
      </c>
      <c r="T496" s="49">
        <f t="shared" si="263"/>
        <v>22164.797474734252</v>
      </c>
      <c r="U496" s="49">
        <f t="shared" si="263"/>
        <v>22164.797474734252</v>
      </c>
      <c r="V496" s="49">
        <f t="shared" si="263"/>
        <v>22164.797474734252</v>
      </c>
      <c r="X496" s="49">
        <f t="shared" si="264"/>
        <v>2687.5305580034919</v>
      </c>
      <c r="Y496" s="49">
        <f t="shared" si="264"/>
        <v>2687.5305580034919</v>
      </c>
      <c r="Z496" s="49">
        <f t="shared" si="264"/>
        <v>2687.5305580034919</v>
      </c>
      <c r="AA496" s="49">
        <f t="shared" si="264"/>
        <v>2687.5305580034919</v>
      </c>
      <c r="AB496" s="49">
        <f t="shared" si="264"/>
        <v>2687.5305580034919</v>
      </c>
      <c r="AD496" s="49">
        <f t="shared" si="202"/>
        <v>113682.54260354768</v>
      </c>
      <c r="AE496" s="49">
        <f t="shared" si="203"/>
        <v>86983.148114582087</v>
      </c>
      <c r="AF496" s="49">
        <f t="shared" si="204"/>
        <v>62130.820081844344</v>
      </c>
      <c r="AG496" s="49">
        <f t="shared" si="205"/>
        <v>37278.4920491066</v>
      </c>
      <c r="AH496" s="49">
        <f t="shared" si="206"/>
        <v>12426.164016368857</v>
      </c>
      <c r="AJ496" s="49">
        <f t="shared" si="191"/>
        <v>37996.844535164972</v>
      </c>
      <c r="AK496" s="49">
        <f t="shared" si="192"/>
        <v>29569.838376746808</v>
      </c>
      <c r="AL496" s="49">
        <f t="shared" si="193"/>
        <v>27213.299195847827</v>
      </c>
      <c r="AM496" s="49">
        <f t="shared" si="194"/>
        <v>26268.910730603795</v>
      </c>
      <c r="AN496" s="49">
        <f t="shared" si="195"/>
        <v>25324.522265359759</v>
      </c>
    </row>
    <row r="497" spans="2:40">
      <c r="B497" s="43" t="str">
        <f t="shared" si="188"/>
        <v>Asset 191</v>
      </c>
      <c r="F497" s="43" t="str">
        <f t="shared" ref="F497:L497" si="274">F249</f>
        <v>12 Motorvoertuigen</v>
      </c>
      <c r="G497" s="43">
        <f t="shared" si="274"/>
        <v>2017</v>
      </c>
      <c r="H497" s="58">
        <f t="shared" si="274"/>
        <v>342149.84909853589</v>
      </c>
      <c r="I497" s="43">
        <f t="shared" si="274"/>
        <v>2021</v>
      </c>
      <c r="J497" s="58">
        <f t="shared" si="274"/>
        <v>10</v>
      </c>
      <c r="K497" s="187">
        <f t="shared" si="274"/>
        <v>1</v>
      </c>
      <c r="L497" s="58">
        <f t="shared" si="274"/>
        <v>201297.59143922853</v>
      </c>
      <c r="N497" s="49">
        <f t="shared" si="201"/>
        <v>201297.59143922853</v>
      </c>
      <c r="P497" s="44">
        <f t="shared" si="190"/>
        <v>5.5</v>
      </c>
      <c r="R497" s="49">
        <f t="shared" ref="R497:V506" si="275">IF(R$305&lt;=$G497+$J497,VDB($L497*(1-$F$25),0,$P497,R$305-2022,MIN(R$305-2021,$P497),$F$22),0)</f>
        <v>42821.487633435885</v>
      </c>
      <c r="S497" s="49">
        <f t="shared" si="275"/>
        <v>32700.0451018965</v>
      </c>
      <c r="T497" s="49">
        <f t="shared" si="275"/>
        <v>30184.657017135232</v>
      </c>
      <c r="U497" s="49">
        <f t="shared" si="275"/>
        <v>30184.657017135232</v>
      </c>
      <c r="V497" s="49">
        <f t="shared" si="275"/>
        <v>30184.657017135232</v>
      </c>
      <c r="X497" s="49">
        <f t="shared" ref="X497:AB506" si="276">IF(X$305&lt;=$G497+$J497,VDB($L497*$F$25,0,$P497,X$305-2022,MIN(X$305-2021,$P497),1),0)</f>
        <v>3659.9562079859738</v>
      </c>
      <c r="Y497" s="49">
        <f t="shared" si="276"/>
        <v>3659.9562079859734</v>
      </c>
      <c r="Z497" s="49">
        <f t="shared" si="276"/>
        <v>3659.9562079859734</v>
      </c>
      <c r="AA497" s="49">
        <f t="shared" si="276"/>
        <v>3659.9562079859734</v>
      </c>
      <c r="AB497" s="49">
        <f t="shared" si="276"/>
        <v>3659.9562079859734</v>
      </c>
      <c r="AD497" s="49">
        <f t="shared" si="202"/>
        <v>154816.14759780667</v>
      </c>
      <c r="AE497" s="49">
        <f t="shared" si="203"/>
        <v>118456.1462879242</v>
      </c>
      <c r="AF497" s="49">
        <f t="shared" si="204"/>
        <v>84611.533062802991</v>
      </c>
      <c r="AG497" s="49">
        <f t="shared" si="205"/>
        <v>50766.91983768178</v>
      </c>
      <c r="AH497" s="49">
        <f t="shared" si="206"/>
        <v>16922.306612560576</v>
      </c>
      <c r="AJ497" s="49">
        <f t="shared" si="191"/>
        <v>51745.192859747287</v>
      </c>
      <c r="AK497" s="49">
        <f t="shared" si="192"/>
        <v>40269.054137383973</v>
      </c>
      <c r="AL497" s="49">
        <f t="shared" si="193"/>
        <v>37059.851481507714</v>
      </c>
      <c r="AM497" s="49">
        <f t="shared" si="194"/>
        <v>35773.75617895311</v>
      </c>
      <c r="AN497" s="49">
        <f t="shared" si="195"/>
        <v>34487.660876398506</v>
      </c>
    </row>
    <row r="498" spans="2:40">
      <c r="B498" s="43" t="str">
        <f t="shared" si="188"/>
        <v>Asset 192</v>
      </c>
      <c r="F498" s="43" t="str">
        <f t="shared" ref="F498:L498" si="277">F250</f>
        <v>10 Gereedschap (gaschromatografen en comptabele meters)</v>
      </c>
      <c r="G498" s="43">
        <f t="shared" si="277"/>
        <v>2017</v>
      </c>
      <c r="H498" s="58">
        <f t="shared" si="277"/>
        <v>492613.45921199484</v>
      </c>
      <c r="I498" s="43">
        <f t="shared" si="277"/>
        <v>2021</v>
      </c>
      <c r="J498" s="58">
        <f t="shared" si="277"/>
        <v>10</v>
      </c>
      <c r="K498" s="187">
        <f t="shared" si="277"/>
        <v>0</v>
      </c>
      <c r="L498" s="58">
        <f t="shared" si="277"/>
        <v>289820.09815635922</v>
      </c>
      <c r="N498" s="49">
        <f t="shared" si="201"/>
        <v>289820.09815635922</v>
      </c>
      <c r="P498" s="44">
        <f t="shared" si="190"/>
        <v>5.5</v>
      </c>
      <c r="R498" s="49">
        <f t="shared" si="275"/>
        <v>61652.639062352777</v>
      </c>
      <c r="S498" s="49">
        <f t="shared" si="275"/>
        <v>47080.197102160309</v>
      </c>
      <c r="T498" s="49">
        <f t="shared" si="275"/>
        <v>43458.643478917205</v>
      </c>
      <c r="U498" s="49">
        <f t="shared" si="275"/>
        <v>43458.643478917205</v>
      </c>
      <c r="V498" s="49">
        <f t="shared" si="275"/>
        <v>43458.643478917205</v>
      </c>
      <c r="X498" s="49">
        <f t="shared" si="276"/>
        <v>5269.4563301156222</v>
      </c>
      <c r="Y498" s="49">
        <f t="shared" si="276"/>
        <v>5269.4563301156222</v>
      </c>
      <c r="Z498" s="49">
        <f t="shared" si="276"/>
        <v>5269.4563301156222</v>
      </c>
      <c r="AA498" s="49">
        <f t="shared" si="276"/>
        <v>5269.4563301156222</v>
      </c>
      <c r="AB498" s="49">
        <f t="shared" si="276"/>
        <v>5269.4563301156222</v>
      </c>
      <c r="AD498" s="49">
        <f t="shared" si="202"/>
        <v>222898.00276389084</v>
      </c>
      <c r="AE498" s="49">
        <f t="shared" si="203"/>
        <v>170548.34933161491</v>
      </c>
      <c r="AF498" s="49">
        <f t="shared" si="204"/>
        <v>121820.24952258209</v>
      </c>
      <c r="AG498" s="49">
        <f t="shared" si="205"/>
        <v>73092.149713549268</v>
      </c>
      <c r="AH498" s="49">
        <f t="shared" si="206"/>
        <v>24364.04990451644</v>
      </c>
      <c r="AJ498" s="49">
        <f t="shared" si="191"/>
        <v>74500.627486440688</v>
      </c>
      <c r="AK498" s="49">
        <f t="shared" si="192"/>
        <v>57977.748960219222</v>
      </c>
      <c r="AL498" s="49">
        <f t="shared" si="193"/>
        <v>53357.269290890945</v>
      </c>
      <c r="AM498" s="49">
        <f t="shared" si="194"/>
        <v>51505.601498147698</v>
      </c>
      <c r="AN498" s="49">
        <f t="shared" si="195"/>
        <v>49653.933705404452</v>
      </c>
    </row>
    <row r="499" spans="2:40">
      <c r="B499" s="43" t="str">
        <f t="shared" si="188"/>
        <v>Asset 193</v>
      </c>
      <c r="F499" s="43" t="str">
        <f t="shared" ref="F499:L499" si="278">F251</f>
        <v>11 Werktuigen</v>
      </c>
      <c r="G499" s="43">
        <f t="shared" si="278"/>
        <v>2017</v>
      </c>
      <c r="H499" s="58">
        <f t="shared" si="278"/>
        <v>2185364.6124668787</v>
      </c>
      <c r="I499" s="43">
        <f t="shared" si="278"/>
        <v>2021</v>
      </c>
      <c r="J499" s="58">
        <f t="shared" si="278"/>
        <v>10</v>
      </c>
      <c r="K499" s="187">
        <f t="shared" si="278"/>
        <v>1</v>
      </c>
      <c r="L499" s="58">
        <f t="shared" si="278"/>
        <v>1285719.20772473</v>
      </c>
      <c r="N499" s="49">
        <f t="shared" si="201"/>
        <v>1285719.20772473</v>
      </c>
      <c r="P499" s="44">
        <f t="shared" si="190"/>
        <v>5.5</v>
      </c>
      <c r="R499" s="49">
        <f t="shared" si="275"/>
        <v>273507.54055235168</v>
      </c>
      <c r="S499" s="49">
        <f t="shared" si="275"/>
        <v>208860.30369452311</v>
      </c>
      <c r="T499" s="49">
        <f t="shared" si="275"/>
        <v>192794.1264872521</v>
      </c>
      <c r="U499" s="49">
        <f t="shared" si="275"/>
        <v>192794.1264872521</v>
      </c>
      <c r="V499" s="49">
        <f t="shared" si="275"/>
        <v>192794.1264872521</v>
      </c>
      <c r="X499" s="49">
        <f t="shared" si="276"/>
        <v>23376.712867722366</v>
      </c>
      <c r="Y499" s="49">
        <f t="shared" si="276"/>
        <v>23376.712867722366</v>
      </c>
      <c r="Z499" s="49">
        <f t="shared" si="276"/>
        <v>23376.712867722366</v>
      </c>
      <c r="AA499" s="49">
        <f t="shared" si="276"/>
        <v>23376.712867722366</v>
      </c>
      <c r="AB499" s="49">
        <f t="shared" si="276"/>
        <v>23376.712867722366</v>
      </c>
      <c r="AD499" s="49">
        <f t="shared" si="202"/>
        <v>988834.95430465601</v>
      </c>
      <c r="AE499" s="49">
        <f t="shared" si="203"/>
        <v>756597.93774241046</v>
      </c>
      <c r="AF499" s="49">
        <f t="shared" si="204"/>
        <v>540427.09838743601</v>
      </c>
      <c r="AG499" s="49">
        <f t="shared" si="205"/>
        <v>324256.25903246156</v>
      </c>
      <c r="AH499" s="49">
        <f t="shared" si="206"/>
        <v>108085.41967748709</v>
      </c>
      <c r="AJ499" s="49">
        <f t="shared" si="191"/>
        <v>330504.64186643239</v>
      </c>
      <c r="AK499" s="49">
        <f t="shared" si="192"/>
        <v>257204.74850774504</v>
      </c>
      <c r="AL499" s="49">
        <f t="shared" si="193"/>
        <v>236707.06909369701</v>
      </c>
      <c r="AM499" s="49">
        <f t="shared" si="194"/>
        <v>228492.57719820799</v>
      </c>
      <c r="AN499" s="49">
        <f t="shared" si="195"/>
        <v>220278.08530271897</v>
      </c>
    </row>
    <row r="500" spans="2:40">
      <c r="B500" s="43" t="str">
        <f t="shared" ref="B500:B549" si="279">B252</f>
        <v>Asset 194</v>
      </c>
      <c r="F500" s="43" t="str">
        <f t="shared" ref="F500:L500" si="280">F252</f>
        <v>14 Overig rollend materieel</v>
      </c>
      <c r="G500" s="43">
        <f t="shared" si="280"/>
        <v>2017</v>
      </c>
      <c r="H500" s="58">
        <f t="shared" si="280"/>
        <v>68624.022512808762</v>
      </c>
      <c r="I500" s="43">
        <f t="shared" si="280"/>
        <v>2021</v>
      </c>
      <c r="J500" s="58">
        <f t="shared" si="280"/>
        <v>10</v>
      </c>
      <c r="K500" s="187">
        <f t="shared" si="280"/>
        <v>1</v>
      </c>
      <c r="L500" s="58">
        <f t="shared" si="280"/>
        <v>40373.685632465487</v>
      </c>
      <c r="N500" s="49">
        <f t="shared" si="201"/>
        <v>40373.685632465487</v>
      </c>
      <c r="P500" s="44">
        <f t="shared" ref="P500:P549" si="281">MAX(0,IF(G500&lt;=2021, J500-2021+G500-0.5,J500))</f>
        <v>5.5</v>
      </c>
      <c r="R500" s="49">
        <f t="shared" si="275"/>
        <v>8588.5840345426586</v>
      </c>
      <c r="S500" s="49">
        <f t="shared" si="275"/>
        <v>6558.5550809234837</v>
      </c>
      <c r="T500" s="49">
        <f t="shared" si="275"/>
        <v>6054.0508439293699</v>
      </c>
      <c r="U500" s="49">
        <f t="shared" si="275"/>
        <v>6054.0508439293699</v>
      </c>
      <c r="V500" s="49">
        <f t="shared" si="275"/>
        <v>6054.0508439293699</v>
      </c>
      <c r="X500" s="49">
        <f t="shared" si="276"/>
        <v>734.0670114993726</v>
      </c>
      <c r="Y500" s="49">
        <f t="shared" si="276"/>
        <v>734.06701149937248</v>
      </c>
      <c r="Z500" s="49">
        <f t="shared" si="276"/>
        <v>734.06701149937248</v>
      </c>
      <c r="AA500" s="49">
        <f t="shared" si="276"/>
        <v>734.06701149937248</v>
      </c>
      <c r="AB500" s="49">
        <f t="shared" si="276"/>
        <v>734.06701149937248</v>
      </c>
      <c r="AD500" s="49">
        <f t="shared" si="202"/>
        <v>31051.034586423455</v>
      </c>
      <c r="AE500" s="49">
        <f t="shared" si="203"/>
        <v>23758.412494000597</v>
      </c>
      <c r="AF500" s="49">
        <f t="shared" si="204"/>
        <v>16970.294638571853</v>
      </c>
      <c r="AG500" s="49">
        <f t="shared" si="205"/>
        <v>10182.176783143112</v>
      </c>
      <c r="AH500" s="49">
        <f t="shared" si="206"/>
        <v>3394.058927714369</v>
      </c>
      <c r="AJ500" s="49">
        <f t="shared" ref="AJ500:AJ549" si="282">(R500+X500+AD500*I$16)*IF($K500=1,$F$19,1)</f>
        <v>10378.386221980429</v>
      </c>
      <c r="AK500" s="49">
        <f t="shared" ref="AK500:AK549" si="283">(S500+Y500+AE500*J$16)*IF($K500=1,$F$19,1)</f>
        <v>8076.6497047248758</v>
      </c>
      <c r="AL500" s="49">
        <f t="shared" ref="AL500:AL549" si="284">(T500+Z500+AF500*K$16)*IF($K500=1,$F$19,1)</f>
        <v>7432.9890516944733</v>
      </c>
      <c r="AM500" s="49">
        <f t="shared" ref="AM500:AM549" si="285">(U500+AA500+AG500*L$16)*IF($K500=1,$F$19,1)</f>
        <v>7175.040573188181</v>
      </c>
      <c r="AN500" s="49">
        <f t="shared" ref="AN500:AN549" si="286">(V500+AB500+AH500*M$16)*IF($K500=1,$F$19,1)</f>
        <v>6917.0920946818887</v>
      </c>
    </row>
    <row r="501" spans="2:40">
      <c r="B501" s="43" t="str">
        <f t="shared" si="279"/>
        <v>Asset 195</v>
      </c>
      <c r="F501" s="43" t="str">
        <f t="shared" ref="F501:L501" si="287">F253</f>
        <v>09 Bedrijfsinventaris</v>
      </c>
      <c r="G501" s="43">
        <f t="shared" si="287"/>
        <v>2017</v>
      </c>
      <c r="H501" s="58">
        <f t="shared" si="287"/>
        <v>75086.588886849713</v>
      </c>
      <c r="I501" s="43">
        <f t="shared" si="287"/>
        <v>2021</v>
      </c>
      <c r="J501" s="58">
        <f t="shared" si="287"/>
        <v>10</v>
      </c>
      <c r="K501" s="187">
        <f t="shared" si="287"/>
        <v>1</v>
      </c>
      <c r="L501" s="58">
        <f t="shared" si="287"/>
        <v>44175.81808711389</v>
      </c>
      <c r="N501" s="49">
        <f t="shared" si="201"/>
        <v>44175.81808711389</v>
      </c>
      <c r="P501" s="44">
        <f t="shared" si="281"/>
        <v>5.5</v>
      </c>
      <c r="R501" s="49">
        <f t="shared" si="275"/>
        <v>9397.4013021678638</v>
      </c>
      <c r="S501" s="49">
        <f t="shared" si="275"/>
        <v>7176.197358019097</v>
      </c>
      <c r="T501" s="49">
        <f t="shared" si="275"/>
        <v>6624.1821766330122</v>
      </c>
      <c r="U501" s="49">
        <f t="shared" si="275"/>
        <v>6624.1821766330122</v>
      </c>
      <c r="V501" s="49">
        <f t="shared" si="275"/>
        <v>6624.1821766330122</v>
      </c>
      <c r="X501" s="49">
        <f t="shared" si="276"/>
        <v>803.19669249297988</v>
      </c>
      <c r="Y501" s="49">
        <f t="shared" si="276"/>
        <v>803.19669249297988</v>
      </c>
      <c r="Z501" s="49">
        <f t="shared" si="276"/>
        <v>803.19669249297988</v>
      </c>
      <c r="AA501" s="49">
        <f t="shared" si="276"/>
        <v>803.19669249297988</v>
      </c>
      <c r="AB501" s="49">
        <f t="shared" si="276"/>
        <v>803.19669249297988</v>
      </c>
      <c r="AD501" s="49">
        <f t="shared" si="202"/>
        <v>33975.220092453048</v>
      </c>
      <c r="AE501" s="49">
        <f t="shared" si="203"/>
        <v>25995.826041940971</v>
      </c>
      <c r="AF501" s="49">
        <f t="shared" si="204"/>
        <v>18568.44717281498</v>
      </c>
      <c r="AG501" s="49">
        <f t="shared" si="205"/>
        <v>11141.068303688988</v>
      </c>
      <c r="AH501" s="49">
        <f t="shared" si="206"/>
        <v>3713.6894345629958</v>
      </c>
      <c r="AJ501" s="49">
        <f t="shared" si="282"/>
        <v>11355.755477804247</v>
      </c>
      <c r="AK501" s="49">
        <f t="shared" si="283"/>
        <v>8837.2563098961291</v>
      </c>
      <c r="AL501" s="49">
        <f t="shared" si="284"/>
        <v>8132.979861692962</v>
      </c>
      <c r="AM501" s="49">
        <f t="shared" si="285"/>
        <v>7850.7394646661742</v>
      </c>
      <c r="AN501" s="49">
        <f t="shared" si="286"/>
        <v>7568.4990676393863</v>
      </c>
    </row>
    <row r="502" spans="2:40">
      <c r="B502" s="43" t="str">
        <f t="shared" si="279"/>
        <v>Asset 196</v>
      </c>
      <c r="F502" s="43" t="str">
        <f t="shared" ref="F502:L502" si="288">F254</f>
        <v>08 Inrichting gebouwen</v>
      </c>
      <c r="G502" s="43">
        <f t="shared" si="288"/>
        <v>2017</v>
      </c>
      <c r="H502" s="58">
        <f t="shared" si="288"/>
        <v>894081.48176313401</v>
      </c>
      <c r="I502" s="43">
        <f t="shared" si="288"/>
        <v>2021</v>
      </c>
      <c r="J502" s="58">
        <f t="shared" si="288"/>
        <v>10</v>
      </c>
      <c r="K502" s="187">
        <f t="shared" si="288"/>
        <v>0</v>
      </c>
      <c r="L502" s="58">
        <f t="shared" si="288"/>
        <v>526016.44952794898</v>
      </c>
      <c r="N502" s="49">
        <f t="shared" si="201"/>
        <v>526016.44952794898</v>
      </c>
      <c r="P502" s="44">
        <f t="shared" si="281"/>
        <v>5.5</v>
      </c>
      <c r="R502" s="49">
        <f t="shared" si="275"/>
        <v>111898.0447177637</v>
      </c>
      <c r="S502" s="49">
        <f t="shared" si="275"/>
        <v>85449.415966292276</v>
      </c>
      <c r="T502" s="49">
        <f t="shared" si="275"/>
        <v>78876.383968885188</v>
      </c>
      <c r="U502" s="49">
        <f t="shared" si="275"/>
        <v>78876.383968885188</v>
      </c>
      <c r="V502" s="49">
        <f t="shared" si="275"/>
        <v>78876.383968885188</v>
      </c>
      <c r="X502" s="49">
        <f t="shared" si="276"/>
        <v>9563.9354459627102</v>
      </c>
      <c r="Y502" s="49">
        <f t="shared" si="276"/>
        <v>9563.9354459627102</v>
      </c>
      <c r="Z502" s="49">
        <f t="shared" si="276"/>
        <v>9563.9354459627102</v>
      </c>
      <c r="AA502" s="49">
        <f t="shared" si="276"/>
        <v>9563.9354459627102</v>
      </c>
      <c r="AB502" s="49">
        <f t="shared" si="276"/>
        <v>9563.9354459627102</v>
      </c>
      <c r="AD502" s="49">
        <f t="shared" si="202"/>
        <v>404554.4693642226</v>
      </c>
      <c r="AE502" s="49">
        <f t="shared" si="203"/>
        <v>309541.11795196764</v>
      </c>
      <c r="AF502" s="49">
        <f t="shared" si="204"/>
        <v>221100.79853711976</v>
      </c>
      <c r="AG502" s="49">
        <f t="shared" si="205"/>
        <v>132660.47912227188</v>
      </c>
      <c r="AH502" s="49">
        <f t="shared" si="206"/>
        <v>44220.159707423983</v>
      </c>
      <c r="AJ502" s="49">
        <f t="shared" si="282"/>
        <v>135216.83212210998</v>
      </c>
      <c r="AK502" s="49">
        <f t="shared" si="283"/>
        <v>105228.20830466991</v>
      </c>
      <c r="AL502" s="49">
        <f t="shared" si="284"/>
        <v>96842.149759258449</v>
      </c>
      <c r="AM502" s="49">
        <f t="shared" si="285"/>
        <v>93481.417621494227</v>
      </c>
      <c r="AN502" s="49">
        <f t="shared" si="286"/>
        <v>90120.685483730005</v>
      </c>
    </row>
    <row r="503" spans="2:40">
      <c r="B503" s="43" t="str">
        <f t="shared" si="279"/>
        <v>Asset 197</v>
      </c>
      <c r="F503" s="43" t="str">
        <f t="shared" ref="F503:L503" si="289">F255</f>
        <v>09 Bedrijfsinventaris</v>
      </c>
      <c r="G503" s="43">
        <f t="shared" si="289"/>
        <v>2018</v>
      </c>
      <c r="H503" s="58">
        <f t="shared" si="289"/>
        <v>490885.08786120504</v>
      </c>
      <c r="I503" s="43">
        <f t="shared" si="289"/>
        <v>2021</v>
      </c>
      <c r="J503" s="58">
        <f t="shared" si="289"/>
        <v>10</v>
      </c>
      <c r="K503" s="187">
        <f t="shared" si="289"/>
        <v>1</v>
      </c>
      <c r="L503" s="58">
        <f t="shared" si="289"/>
        <v>336600.51580018562</v>
      </c>
      <c r="N503" s="49">
        <f t="shared" ref="N503:N549" si="290">L503*IF(K503=1,$F$19,1)</f>
        <v>336600.51580018562</v>
      </c>
      <c r="P503" s="44">
        <f t="shared" si="281"/>
        <v>6.5</v>
      </c>
      <c r="R503" s="49">
        <f t="shared" si="275"/>
        <v>60588.092844033417</v>
      </c>
      <c r="S503" s="49">
        <f t="shared" si="275"/>
        <v>48470.474275226734</v>
      </c>
      <c r="T503" s="49">
        <f t="shared" si="275"/>
        <v>43084.866022423761</v>
      </c>
      <c r="U503" s="49">
        <f t="shared" si="275"/>
        <v>43084.866022423761</v>
      </c>
      <c r="V503" s="49">
        <f t="shared" si="275"/>
        <v>43084.866022423761</v>
      </c>
      <c r="X503" s="49">
        <f t="shared" si="276"/>
        <v>5178.4694738490098</v>
      </c>
      <c r="Y503" s="49">
        <f t="shared" si="276"/>
        <v>5178.4694738490089</v>
      </c>
      <c r="Z503" s="49">
        <f t="shared" si="276"/>
        <v>5178.4694738490089</v>
      </c>
      <c r="AA503" s="49">
        <f t="shared" si="276"/>
        <v>5178.4694738490089</v>
      </c>
      <c r="AB503" s="49">
        <f t="shared" si="276"/>
        <v>5178.4694738490089</v>
      </c>
      <c r="AD503" s="49">
        <f t="shared" ref="AD503:AD549" si="291">IF(OR(AD$305&lt;=$G503+$J503,$J503=0),IF(AC503=0,$L503,AC503)-R503-X503,0)</f>
        <v>270833.95348230319</v>
      </c>
      <c r="AE503" s="49">
        <f t="shared" ref="AE503:AE549" si="292">IF(OR(AE$305&lt;=$G503+$J503,$J503=0),IF(AD503=0,$L503,AD503)-S503-Y503,0)</f>
        <v>217185.00973322743</v>
      </c>
      <c r="AF503" s="49">
        <f t="shared" ref="AF503:AF549" si="293">IF(OR(AF$305&lt;=$G503+$J503,$J503=0),IF(AE503=0,$L503,AE503)-T503-Z503,0)</f>
        <v>168921.67423695466</v>
      </c>
      <c r="AG503" s="49">
        <f t="shared" ref="AG503:AG549" si="294">IF(OR(AG$305&lt;=$G503+$J503,$J503=0),IF(AF503=0,$L503,AF503)-U503-AA503,0)</f>
        <v>120658.33874068189</v>
      </c>
      <c r="AH503" s="49">
        <f t="shared" ref="AH503:AH549" si="295">IF(OR(AH$305&lt;=$G503+$J503,$J503=0),IF(AG503=0,$L503,AG503)-V503-AB503,0)</f>
        <v>72395.003244409119</v>
      </c>
      <c r="AJ503" s="49">
        <f t="shared" si="282"/>
        <v>74974.916736280735</v>
      </c>
      <c r="AK503" s="49">
        <f t="shared" si="283"/>
        <v>60816.049070272245</v>
      </c>
      <c r="AL503" s="49">
        <f t="shared" si="284"/>
        <v>54682.359117277047</v>
      </c>
      <c r="AM503" s="49">
        <f t="shared" si="285"/>
        <v>52848.35236841868</v>
      </c>
      <c r="AN503" s="49">
        <f t="shared" si="286"/>
        <v>51014.345619560314</v>
      </c>
    </row>
    <row r="504" spans="2:40">
      <c r="B504" s="43" t="str">
        <f t="shared" si="279"/>
        <v>Asset 198</v>
      </c>
      <c r="F504" s="43" t="str">
        <f t="shared" ref="F504:L504" si="296">F256</f>
        <v>08 Inrichting gebouwen</v>
      </c>
      <c r="G504" s="43">
        <f t="shared" si="296"/>
        <v>2018</v>
      </c>
      <c r="H504" s="58">
        <f t="shared" si="296"/>
        <v>533703.76265516167</v>
      </c>
      <c r="I504" s="43">
        <f t="shared" si="296"/>
        <v>2021</v>
      </c>
      <c r="J504" s="58">
        <f t="shared" si="296"/>
        <v>10</v>
      </c>
      <c r="K504" s="187">
        <f t="shared" si="296"/>
        <v>0</v>
      </c>
      <c r="L504" s="58">
        <f t="shared" si="296"/>
        <v>365961.33440708811</v>
      </c>
      <c r="N504" s="49">
        <f t="shared" si="290"/>
        <v>365961.33440708811</v>
      </c>
      <c r="P504" s="44">
        <f t="shared" si="281"/>
        <v>6.5</v>
      </c>
      <c r="R504" s="49">
        <f t="shared" si="275"/>
        <v>65873.040193275869</v>
      </c>
      <c r="S504" s="49">
        <f t="shared" si="275"/>
        <v>52698.432154620699</v>
      </c>
      <c r="T504" s="49">
        <f t="shared" si="275"/>
        <v>46843.050804107283</v>
      </c>
      <c r="U504" s="49">
        <f t="shared" si="275"/>
        <v>46843.050804107283</v>
      </c>
      <c r="V504" s="49">
        <f t="shared" si="275"/>
        <v>46843.050804107283</v>
      </c>
      <c r="X504" s="49">
        <f t="shared" si="276"/>
        <v>5630.1743754936642</v>
      </c>
      <c r="Y504" s="49">
        <f t="shared" si="276"/>
        <v>5630.1743754936633</v>
      </c>
      <c r="Z504" s="49">
        <f t="shared" si="276"/>
        <v>5630.1743754936633</v>
      </c>
      <c r="AA504" s="49">
        <f t="shared" si="276"/>
        <v>5630.1743754936633</v>
      </c>
      <c r="AB504" s="49">
        <f t="shared" si="276"/>
        <v>5630.1743754936633</v>
      </c>
      <c r="AD504" s="49">
        <f t="shared" si="291"/>
        <v>294458.11983831855</v>
      </c>
      <c r="AE504" s="49">
        <f t="shared" si="292"/>
        <v>236129.51330820419</v>
      </c>
      <c r="AF504" s="49">
        <f t="shared" si="293"/>
        <v>183656.28812860325</v>
      </c>
      <c r="AG504" s="49">
        <f t="shared" si="294"/>
        <v>131183.06294900231</v>
      </c>
      <c r="AH504" s="49">
        <f t="shared" si="295"/>
        <v>78709.837769401376</v>
      </c>
      <c r="AJ504" s="49">
        <f t="shared" si="282"/>
        <v>81514.790643272368</v>
      </c>
      <c r="AK504" s="49">
        <f t="shared" si="283"/>
        <v>66120.880469285097</v>
      </c>
      <c r="AL504" s="49">
        <f t="shared" si="284"/>
        <v>59452.164128487871</v>
      </c>
      <c r="AM504" s="49">
        <f t="shared" si="285"/>
        <v>57458.18157166303</v>
      </c>
      <c r="AN504" s="49">
        <f t="shared" si="286"/>
        <v>55464.199014838196</v>
      </c>
    </row>
    <row r="505" spans="2:40">
      <c r="B505" s="43" t="str">
        <f t="shared" si="279"/>
        <v>Asset 199</v>
      </c>
      <c r="F505" s="43" t="str">
        <f t="shared" ref="F505:L505" si="297">F257</f>
        <v>11 Werktuigen</v>
      </c>
      <c r="G505" s="43">
        <f t="shared" si="297"/>
        <v>2018</v>
      </c>
      <c r="H505" s="58">
        <f t="shared" si="297"/>
        <v>2619455.826851733</v>
      </c>
      <c r="I505" s="43">
        <f t="shared" si="297"/>
        <v>2021</v>
      </c>
      <c r="J505" s="58">
        <f t="shared" si="297"/>
        <v>10</v>
      </c>
      <c r="K505" s="187">
        <f t="shared" si="297"/>
        <v>1</v>
      </c>
      <c r="L505" s="58">
        <f t="shared" si="297"/>
        <v>1796164.1211708463</v>
      </c>
      <c r="N505" s="49">
        <f t="shared" si="290"/>
        <v>1796164.1211708463</v>
      </c>
      <c r="P505" s="44">
        <f t="shared" si="281"/>
        <v>6.5</v>
      </c>
      <c r="R505" s="49">
        <f t="shared" si="275"/>
        <v>323309.54181075236</v>
      </c>
      <c r="S505" s="49">
        <f t="shared" si="275"/>
        <v>258647.6334486019</v>
      </c>
      <c r="T505" s="49">
        <f t="shared" si="275"/>
        <v>229909.00750986833</v>
      </c>
      <c r="U505" s="49">
        <f t="shared" si="275"/>
        <v>229909.00750986833</v>
      </c>
      <c r="V505" s="49">
        <f t="shared" si="275"/>
        <v>229909.00750986833</v>
      </c>
      <c r="X505" s="49">
        <f t="shared" si="276"/>
        <v>27633.294171859176</v>
      </c>
      <c r="Y505" s="49">
        <f t="shared" si="276"/>
        <v>27633.294171859172</v>
      </c>
      <c r="Z505" s="49">
        <f t="shared" si="276"/>
        <v>27633.294171859172</v>
      </c>
      <c r="AA505" s="49">
        <f t="shared" si="276"/>
        <v>27633.294171859172</v>
      </c>
      <c r="AB505" s="49">
        <f t="shared" si="276"/>
        <v>27633.294171859172</v>
      </c>
      <c r="AD505" s="49">
        <f t="shared" si="291"/>
        <v>1445221.2851882346</v>
      </c>
      <c r="AE505" s="49">
        <f t="shared" si="292"/>
        <v>1158940.3575677734</v>
      </c>
      <c r="AF505" s="49">
        <f t="shared" si="293"/>
        <v>901398.05588604591</v>
      </c>
      <c r="AG505" s="49">
        <f t="shared" si="294"/>
        <v>643855.75420431839</v>
      </c>
      <c r="AH505" s="49">
        <f t="shared" si="295"/>
        <v>386313.45252259087</v>
      </c>
      <c r="AJ505" s="49">
        <f t="shared" si="282"/>
        <v>400080.35967901151</v>
      </c>
      <c r="AK505" s="49">
        <f t="shared" si="283"/>
        <v>324525.95942019764</v>
      </c>
      <c r="AL505" s="49">
        <f t="shared" si="284"/>
        <v>291795.42780539725</v>
      </c>
      <c r="AM505" s="49">
        <f t="shared" si="285"/>
        <v>282008.82034149161</v>
      </c>
      <c r="AN505" s="49">
        <f t="shared" si="286"/>
        <v>272222.21287758596</v>
      </c>
    </row>
    <row r="506" spans="2:40">
      <c r="B506" s="43" t="str">
        <f t="shared" si="279"/>
        <v>Asset 200</v>
      </c>
      <c r="F506" s="43" t="str">
        <f t="shared" ref="F506:L506" si="298">F258</f>
        <v>10 Gereedschap</v>
      </c>
      <c r="G506" s="43">
        <f t="shared" si="298"/>
        <v>2018</v>
      </c>
      <c r="H506" s="58">
        <f t="shared" si="298"/>
        <v>252164.79428194632</v>
      </c>
      <c r="I506" s="43">
        <f t="shared" si="298"/>
        <v>2021</v>
      </c>
      <c r="J506" s="58">
        <f t="shared" si="298"/>
        <v>10</v>
      </c>
      <c r="K506" s="187">
        <f t="shared" si="298"/>
        <v>1</v>
      </c>
      <c r="L506" s="58">
        <f t="shared" si="298"/>
        <v>172909.7133338665</v>
      </c>
      <c r="N506" s="49">
        <f t="shared" si="290"/>
        <v>172909.7133338665</v>
      </c>
      <c r="P506" s="44">
        <f t="shared" si="281"/>
        <v>6.5</v>
      </c>
      <c r="R506" s="49">
        <f t="shared" si="275"/>
        <v>31123.748400095974</v>
      </c>
      <c r="S506" s="49">
        <f t="shared" si="275"/>
        <v>24898.998720076779</v>
      </c>
      <c r="T506" s="49">
        <f t="shared" si="275"/>
        <v>22132.443306734916</v>
      </c>
      <c r="U506" s="49">
        <f t="shared" si="275"/>
        <v>22132.443306734916</v>
      </c>
      <c r="V506" s="49">
        <f t="shared" si="275"/>
        <v>22132.443306734916</v>
      </c>
      <c r="X506" s="49">
        <f t="shared" si="276"/>
        <v>2660.1494359056387</v>
      </c>
      <c r="Y506" s="49">
        <f t="shared" si="276"/>
        <v>2660.1494359056383</v>
      </c>
      <c r="Z506" s="49">
        <f t="shared" si="276"/>
        <v>2660.1494359056383</v>
      </c>
      <c r="AA506" s="49">
        <f t="shared" si="276"/>
        <v>2660.1494359056383</v>
      </c>
      <c r="AB506" s="49">
        <f t="shared" si="276"/>
        <v>2660.1494359056383</v>
      </c>
      <c r="AD506" s="49">
        <f t="shared" si="291"/>
        <v>139125.81549786488</v>
      </c>
      <c r="AE506" s="49">
        <f t="shared" si="292"/>
        <v>111566.66734188246</v>
      </c>
      <c r="AF506" s="49">
        <f t="shared" si="293"/>
        <v>86774.074599241911</v>
      </c>
      <c r="AG506" s="49">
        <f t="shared" si="294"/>
        <v>61981.481856601356</v>
      </c>
      <c r="AH506" s="49">
        <f t="shared" si="295"/>
        <v>37188.889113960802</v>
      </c>
      <c r="AJ506" s="49">
        <f t="shared" si="282"/>
        <v>38514.17556292902</v>
      </c>
      <c r="AK506" s="49">
        <f t="shared" si="283"/>
        <v>31240.848178264539</v>
      </c>
      <c r="AL506" s="49">
        <f t="shared" si="284"/>
        <v>28090.007577411747</v>
      </c>
      <c r="AM506" s="49">
        <f t="shared" si="285"/>
        <v>27147.889053191408</v>
      </c>
      <c r="AN506" s="49">
        <f t="shared" si="286"/>
        <v>26205.770528971065</v>
      </c>
    </row>
    <row r="507" spans="2:40">
      <c r="B507" s="43" t="str">
        <f t="shared" si="279"/>
        <v>Asset 201</v>
      </c>
      <c r="F507" s="43" t="str">
        <f t="shared" ref="F507:L507" si="299">F259</f>
        <v>11 Werktuigen (KC)</v>
      </c>
      <c r="G507" s="43">
        <f t="shared" si="299"/>
        <v>2018</v>
      </c>
      <c r="H507" s="58">
        <f t="shared" si="299"/>
        <v>13021546.318391869</v>
      </c>
      <c r="I507" s="43">
        <f t="shared" si="299"/>
        <v>2021</v>
      </c>
      <c r="J507" s="58">
        <f t="shared" si="299"/>
        <v>10</v>
      </c>
      <c r="K507" s="187">
        <f t="shared" si="299"/>
        <v>0</v>
      </c>
      <c r="L507" s="58">
        <f t="shared" si="299"/>
        <v>8928890.519742161</v>
      </c>
      <c r="N507" s="49">
        <f t="shared" si="290"/>
        <v>8928890.519742161</v>
      </c>
      <c r="P507" s="44">
        <f t="shared" si="281"/>
        <v>6.5</v>
      </c>
      <c r="R507" s="49">
        <f t="shared" ref="R507:V516" si="300">IF(R$305&lt;=$G507+$J507,VDB($L507*(1-$F$25),0,$P507,R$305-2022,MIN(R$305-2021,$P507),$F$22),0)</f>
        <v>1607200.2935535891</v>
      </c>
      <c r="S507" s="49">
        <f t="shared" si="300"/>
        <v>1285760.2348428713</v>
      </c>
      <c r="T507" s="49">
        <f t="shared" si="300"/>
        <v>1142897.9865269968</v>
      </c>
      <c r="U507" s="49">
        <f t="shared" si="300"/>
        <v>1142897.9865269968</v>
      </c>
      <c r="V507" s="49">
        <f t="shared" si="300"/>
        <v>1142897.9865269968</v>
      </c>
      <c r="X507" s="49">
        <f t="shared" ref="X507:AB516" si="301">IF(X$305&lt;=$G507+$J507,VDB($L507*$F$25,0,$P507,X$305-2022,MIN(X$305-2021,$P507),1),0)</f>
        <v>137367.54645757171</v>
      </c>
      <c r="Y507" s="49">
        <f t="shared" si="301"/>
        <v>137367.54645757171</v>
      </c>
      <c r="Z507" s="49">
        <f t="shared" si="301"/>
        <v>137367.54645757171</v>
      </c>
      <c r="AA507" s="49">
        <f t="shared" si="301"/>
        <v>137367.54645757171</v>
      </c>
      <c r="AB507" s="49">
        <f t="shared" si="301"/>
        <v>137367.54645757171</v>
      </c>
      <c r="AD507" s="49">
        <f t="shared" si="291"/>
        <v>7184322.6797310002</v>
      </c>
      <c r="AE507" s="49">
        <f t="shared" si="292"/>
        <v>5761194.898430557</v>
      </c>
      <c r="AF507" s="49">
        <f t="shared" si="293"/>
        <v>4480929.3654459883</v>
      </c>
      <c r="AG507" s="49">
        <f t="shared" si="294"/>
        <v>3200663.8324614195</v>
      </c>
      <c r="AH507" s="49">
        <f t="shared" si="295"/>
        <v>1920398.299476851</v>
      </c>
      <c r="AJ507" s="49">
        <f t="shared" si="282"/>
        <v>1988834.8111220149</v>
      </c>
      <c r="AK507" s="49">
        <f t="shared" si="283"/>
        <v>1613247.2129486513</v>
      </c>
      <c r="AL507" s="49">
        <f t="shared" si="284"/>
        <v>1450540.8488715161</v>
      </c>
      <c r="AM507" s="49">
        <f t="shared" si="285"/>
        <v>1401890.7586181024</v>
      </c>
      <c r="AN507" s="49">
        <f t="shared" si="286"/>
        <v>1353240.6683646888</v>
      </c>
    </row>
    <row r="508" spans="2:40">
      <c r="B508" s="43" t="str">
        <f t="shared" si="279"/>
        <v>Asset 202</v>
      </c>
      <c r="F508" s="43" t="str">
        <f t="shared" ref="F508:L508" si="302">F260</f>
        <v>20 Kantoorgebouwen</v>
      </c>
      <c r="G508" s="43">
        <f t="shared" si="302"/>
        <v>2018</v>
      </c>
      <c r="H508" s="58">
        <f t="shared" si="302"/>
        <v>5158473.573657441</v>
      </c>
      <c r="I508" s="43">
        <f t="shared" si="302"/>
        <v>2021</v>
      </c>
      <c r="J508" s="58">
        <f t="shared" si="302"/>
        <v>30</v>
      </c>
      <c r="K508" s="187">
        <f t="shared" si="302"/>
        <v>0</v>
      </c>
      <c r="L508" s="58">
        <f t="shared" si="302"/>
        <v>4806925.7125234623</v>
      </c>
      <c r="N508" s="49">
        <f t="shared" si="290"/>
        <v>4806925.7125234623</v>
      </c>
      <c r="P508" s="44">
        <f t="shared" si="281"/>
        <v>26.5</v>
      </c>
      <c r="R508" s="49">
        <f t="shared" si="300"/>
        <v>212230.30504348874</v>
      </c>
      <c r="S508" s="49">
        <f t="shared" si="300"/>
        <v>201819.00706022326</v>
      </c>
      <c r="T508" s="49">
        <f t="shared" si="300"/>
        <v>191918.45199689153</v>
      </c>
      <c r="U508" s="49">
        <f t="shared" si="300"/>
        <v>182503.58454044024</v>
      </c>
      <c r="V508" s="49">
        <f t="shared" si="300"/>
        <v>173550.5785063809</v>
      </c>
      <c r="X508" s="49">
        <f t="shared" si="301"/>
        <v>18139.342311409295</v>
      </c>
      <c r="Y508" s="49">
        <f t="shared" si="301"/>
        <v>18139.342311409295</v>
      </c>
      <c r="Z508" s="49">
        <f t="shared" si="301"/>
        <v>18139.342311409295</v>
      </c>
      <c r="AA508" s="49">
        <f t="shared" si="301"/>
        <v>18139.342311409295</v>
      </c>
      <c r="AB508" s="49">
        <f t="shared" si="301"/>
        <v>18139.342311409295</v>
      </c>
      <c r="AD508" s="49">
        <f t="shared" si="291"/>
        <v>4576556.0651685642</v>
      </c>
      <c r="AE508" s="49">
        <f t="shared" si="292"/>
        <v>4356597.7157969316</v>
      </c>
      <c r="AF508" s="49">
        <f t="shared" si="293"/>
        <v>4146539.9214886306</v>
      </c>
      <c r="AG508" s="49">
        <f t="shared" si="294"/>
        <v>3945896.994636781</v>
      </c>
      <c r="AH508" s="49">
        <f t="shared" si="295"/>
        <v>3754207.073818991</v>
      </c>
      <c r="AJ508" s="49">
        <f t="shared" si="282"/>
        <v>385972.55357062921</v>
      </c>
      <c r="AK508" s="49">
        <f t="shared" si="283"/>
        <v>363726.07399293128</v>
      </c>
      <c r="AL508" s="49">
        <f t="shared" si="284"/>
        <v>367626.31132486882</v>
      </c>
      <c r="AM508" s="49">
        <f t="shared" si="285"/>
        <v>350587.01264804718</v>
      </c>
      <c r="AN508" s="49">
        <f t="shared" si="286"/>
        <v>334349.78962291183</v>
      </c>
    </row>
    <row r="509" spans="2:40">
      <c r="B509" s="43" t="str">
        <f t="shared" si="279"/>
        <v>Asset 203</v>
      </c>
      <c r="F509" s="43" t="str">
        <f t="shared" ref="F509:L509" si="303">F261</f>
        <v>39 ICT middelen 3 (KC)</v>
      </c>
      <c r="G509" s="43">
        <f t="shared" si="303"/>
        <v>2018</v>
      </c>
      <c r="H509" s="58">
        <f t="shared" si="303"/>
        <v>21147142.000000007</v>
      </c>
      <c r="I509" s="43">
        <f t="shared" si="303"/>
        <v>2021</v>
      </c>
      <c r="J509" s="58">
        <f t="shared" si="303"/>
        <v>15</v>
      </c>
      <c r="K509" s="187">
        <f t="shared" si="303"/>
        <v>0</v>
      </c>
      <c r="L509" s="58">
        <f t="shared" si="303"/>
        <v>17103297.263965867</v>
      </c>
      <c r="N509" s="49">
        <f t="shared" si="290"/>
        <v>17103297.263965867</v>
      </c>
      <c r="P509" s="44">
        <f t="shared" si="281"/>
        <v>11.5</v>
      </c>
      <c r="R509" s="49">
        <f t="shared" si="300"/>
        <v>1740074.591203484</v>
      </c>
      <c r="S509" s="49">
        <f t="shared" si="300"/>
        <v>1543370.5069804813</v>
      </c>
      <c r="T509" s="49">
        <f t="shared" si="300"/>
        <v>1368902.5366261662</v>
      </c>
      <c r="U509" s="49">
        <f t="shared" si="300"/>
        <v>1263602.3415010765</v>
      </c>
      <c r="V509" s="49">
        <f t="shared" si="300"/>
        <v>1263602.3415010765</v>
      </c>
      <c r="X509" s="49">
        <f t="shared" si="301"/>
        <v>148724.32403448579</v>
      </c>
      <c r="Y509" s="49">
        <f t="shared" si="301"/>
        <v>148724.32403448582</v>
      </c>
      <c r="Z509" s="49">
        <f t="shared" si="301"/>
        <v>148724.32403448582</v>
      </c>
      <c r="AA509" s="49">
        <f t="shared" si="301"/>
        <v>148724.32403448582</v>
      </c>
      <c r="AB509" s="49">
        <f t="shared" si="301"/>
        <v>148724.32403448582</v>
      </c>
      <c r="AD509" s="49">
        <f t="shared" si="291"/>
        <v>15214498.348727897</v>
      </c>
      <c r="AE509" s="49">
        <f t="shared" si="292"/>
        <v>13522403.51771293</v>
      </c>
      <c r="AF509" s="49">
        <f t="shared" si="293"/>
        <v>12004776.657052279</v>
      </c>
      <c r="AG509" s="49">
        <f t="shared" si="294"/>
        <v>10592449.991516717</v>
      </c>
      <c r="AH509" s="49">
        <f t="shared" si="295"/>
        <v>9180123.325981155</v>
      </c>
      <c r="AJ509" s="49">
        <f t="shared" si="282"/>
        <v>2406091.8590947185</v>
      </c>
      <c r="AK509" s="49">
        <f t="shared" si="283"/>
        <v>2138334.147099494</v>
      </c>
      <c r="AL509" s="49">
        <f t="shared" si="284"/>
        <v>1973808.3736286385</v>
      </c>
      <c r="AM509" s="49">
        <f t="shared" si="285"/>
        <v>1814839.7652131976</v>
      </c>
      <c r="AN509" s="49">
        <f t="shared" si="286"/>
        <v>1761171.3519228462</v>
      </c>
    </row>
    <row r="510" spans="2:40">
      <c r="B510" s="43" t="str">
        <f t="shared" si="279"/>
        <v>Asset 204</v>
      </c>
      <c r="F510" s="43" t="str">
        <f t="shared" ref="F510:L510" si="304">F262</f>
        <v>37 ICT middelen 1 (KC)</v>
      </c>
      <c r="G510" s="43">
        <f t="shared" si="304"/>
        <v>2018</v>
      </c>
      <c r="H510" s="58">
        <f t="shared" si="304"/>
        <v>1669649.9999999995</v>
      </c>
      <c r="I510" s="43">
        <f t="shared" si="304"/>
        <v>2021</v>
      </c>
      <c r="J510" s="58">
        <f t="shared" si="304"/>
        <v>5</v>
      </c>
      <c r="K510" s="187">
        <f t="shared" si="304"/>
        <v>0</v>
      </c>
      <c r="L510" s="58">
        <f t="shared" si="304"/>
        <v>528406.65386783984</v>
      </c>
      <c r="N510" s="49">
        <f t="shared" si="290"/>
        <v>528406.65386783984</v>
      </c>
      <c r="P510" s="44">
        <f t="shared" si="281"/>
        <v>1.5</v>
      </c>
      <c r="R510" s="49">
        <f t="shared" si="300"/>
        <v>412157.19001691509</v>
      </c>
      <c r="S510" s="49">
        <f t="shared" si="300"/>
        <v>63408.798464140797</v>
      </c>
      <c r="T510" s="49">
        <f t="shared" si="300"/>
        <v>0</v>
      </c>
      <c r="U510" s="49">
        <f t="shared" si="300"/>
        <v>0</v>
      </c>
      <c r="V510" s="49">
        <f t="shared" si="300"/>
        <v>0</v>
      </c>
      <c r="X510" s="49">
        <f t="shared" si="301"/>
        <v>35227.110257855988</v>
      </c>
      <c r="Y510" s="49">
        <f t="shared" si="301"/>
        <v>17613.555128927997</v>
      </c>
      <c r="Z510" s="49">
        <f t="shared" si="301"/>
        <v>0</v>
      </c>
      <c r="AA510" s="49">
        <f t="shared" si="301"/>
        <v>0</v>
      </c>
      <c r="AB510" s="49">
        <f t="shared" si="301"/>
        <v>0</v>
      </c>
      <c r="AD510" s="49">
        <f t="shared" si="291"/>
        <v>81022.35359306875</v>
      </c>
      <c r="AE510" s="49">
        <f t="shared" si="292"/>
        <v>-4.3655745685100555E-11</v>
      </c>
      <c r="AF510" s="49">
        <f t="shared" si="293"/>
        <v>0</v>
      </c>
      <c r="AG510" s="49">
        <f t="shared" si="294"/>
        <v>0</v>
      </c>
      <c r="AH510" s="49">
        <f t="shared" si="295"/>
        <v>0</v>
      </c>
      <c r="AJ510" s="49">
        <f t="shared" si="282"/>
        <v>450139.06029693538</v>
      </c>
      <c r="AK510" s="49">
        <f t="shared" si="283"/>
        <v>81022.353593068794</v>
      </c>
      <c r="AL510" s="49">
        <f t="shared" si="284"/>
        <v>0</v>
      </c>
      <c r="AM510" s="49">
        <f t="shared" si="285"/>
        <v>0</v>
      </c>
      <c r="AN510" s="49">
        <f t="shared" si="286"/>
        <v>0</v>
      </c>
    </row>
    <row r="511" spans="2:40">
      <c r="B511" s="43" t="str">
        <f t="shared" si="279"/>
        <v>Asset 205</v>
      </c>
      <c r="F511" s="43" t="str">
        <f t="shared" ref="F511:L511" si="305">F263</f>
        <v>05 Wegen en terreinvoorzieningen</v>
      </c>
      <c r="G511" s="43">
        <f t="shared" si="305"/>
        <v>2017</v>
      </c>
      <c r="H511" s="58">
        <f t="shared" si="305"/>
        <v>41129.587663444909</v>
      </c>
      <c r="I511" s="43">
        <f t="shared" si="305"/>
        <v>2021</v>
      </c>
      <c r="J511" s="58">
        <f t="shared" si="305"/>
        <v>10</v>
      </c>
      <c r="K511" s="187">
        <f t="shared" si="305"/>
        <v>0</v>
      </c>
      <c r="L511" s="58">
        <f t="shared" si="305"/>
        <v>24197.83891576614</v>
      </c>
      <c r="N511" s="49">
        <f t="shared" si="290"/>
        <v>24197.83891576614</v>
      </c>
      <c r="P511" s="44">
        <f t="shared" si="281"/>
        <v>5.5</v>
      </c>
      <c r="R511" s="49">
        <f t="shared" si="300"/>
        <v>5147.540278444797</v>
      </c>
      <c r="S511" s="49">
        <f t="shared" si="300"/>
        <v>3930.8489399032992</v>
      </c>
      <c r="T511" s="49">
        <f t="shared" si="300"/>
        <v>3628.4759445261225</v>
      </c>
      <c r="U511" s="49">
        <f t="shared" si="300"/>
        <v>3628.4759445261225</v>
      </c>
      <c r="V511" s="49">
        <f t="shared" si="300"/>
        <v>3628.4759445261225</v>
      </c>
      <c r="X511" s="49">
        <f t="shared" si="301"/>
        <v>439.96070755938439</v>
      </c>
      <c r="Y511" s="49">
        <f t="shared" si="301"/>
        <v>439.96070755938439</v>
      </c>
      <c r="Z511" s="49">
        <f t="shared" si="301"/>
        <v>439.96070755938439</v>
      </c>
      <c r="AA511" s="49">
        <f t="shared" si="301"/>
        <v>439.96070755938439</v>
      </c>
      <c r="AB511" s="49">
        <f t="shared" si="301"/>
        <v>439.96070755938439</v>
      </c>
      <c r="AD511" s="49">
        <f t="shared" si="291"/>
        <v>18610.337929761958</v>
      </c>
      <c r="AE511" s="49">
        <f t="shared" si="292"/>
        <v>14239.528282299274</v>
      </c>
      <c r="AF511" s="49">
        <f t="shared" si="293"/>
        <v>10171.091630213767</v>
      </c>
      <c r="AG511" s="49">
        <f t="shared" si="294"/>
        <v>6102.6549781282602</v>
      </c>
      <c r="AH511" s="49">
        <f t="shared" si="295"/>
        <v>2034.2183260427532</v>
      </c>
      <c r="AJ511" s="49">
        <f t="shared" si="282"/>
        <v>6220.2524756160874</v>
      </c>
      <c r="AK511" s="49">
        <f t="shared" si="283"/>
        <v>4840.7140807785599</v>
      </c>
      <c r="AL511" s="49">
        <f t="shared" si="284"/>
        <v>4454.9381340336304</v>
      </c>
      <c r="AM511" s="49">
        <f t="shared" si="285"/>
        <v>4300.337541254381</v>
      </c>
      <c r="AN511" s="49">
        <f t="shared" si="286"/>
        <v>4145.7369484751316</v>
      </c>
    </row>
    <row r="512" spans="2:40">
      <c r="B512" s="43" t="str">
        <f t="shared" si="279"/>
        <v>Asset 206</v>
      </c>
      <c r="F512" s="43" t="str">
        <f t="shared" ref="F512:L512" si="306">F264</f>
        <v>06 Utiliteitsgebouwen</v>
      </c>
      <c r="G512" s="43">
        <f t="shared" si="306"/>
        <v>2018</v>
      </c>
      <c r="H512" s="58">
        <f t="shared" si="306"/>
        <v>1769813.2968497979</v>
      </c>
      <c r="I512" s="43">
        <f t="shared" si="306"/>
        <v>2021</v>
      </c>
      <c r="J512" s="58">
        <f t="shared" si="306"/>
        <v>30</v>
      </c>
      <c r="K512" s="187">
        <f t="shared" si="306"/>
        <v>0</v>
      </c>
      <c r="L512" s="58">
        <f t="shared" si="306"/>
        <v>1649201.2455850111</v>
      </c>
      <c r="N512" s="49">
        <f t="shared" si="290"/>
        <v>1649201.2455850111</v>
      </c>
      <c r="P512" s="44">
        <f t="shared" si="281"/>
        <v>26.5</v>
      </c>
      <c r="R512" s="49">
        <f t="shared" si="300"/>
        <v>72813.790842809918</v>
      </c>
      <c r="S512" s="49">
        <f t="shared" si="300"/>
        <v>69241.79355618151</v>
      </c>
      <c r="T512" s="49">
        <f t="shared" si="300"/>
        <v>65845.026325123559</v>
      </c>
      <c r="U512" s="49">
        <f t="shared" si="300"/>
        <v>62614.892958230696</v>
      </c>
      <c r="V512" s="49">
        <f t="shared" si="300"/>
        <v>59543.218964053332</v>
      </c>
      <c r="X512" s="49">
        <f t="shared" si="301"/>
        <v>6223.4009267358915</v>
      </c>
      <c r="Y512" s="49">
        <f t="shared" si="301"/>
        <v>6223.4009267358915</v>
      </c>
      <c r="Z512" s="49">
        <f t="shared" si="301"/>
        <v>6223.4009267358915</v>
      </c>
      <c r="AA512" s="49">
        <f t="shared" si="301"/>
        <v>6223.4009267358915</v>
      </c>
      <c r="AB512" s="49">
        <f t="shared" si="301"/>
        <v>6223.4009267358915</v>
      </c>
      <c r="AD512" s="49">
        <f t="shared" si="291"/>
        <v>1570164.0538154652</v>
      </c>
      <c r="AE512" s="49">
        <f t="shared" si="292"/>
        <v>1494698.8593325478</v>
      </c>
      <c r="AF512" s="49">
        <f t="shared" si="293"/>
        <v>1422630.4320806882</v>
      </c>
      <c r="AG512" s="49">
        <f t="shared" si="294"/>
        <v>1353792.1381957214</v>
      </c>
      <c r="AH512" s="49">
        <f t="shared" si="295"/>
        <v>1288025.5183049322</v>
      </c>
      <c r="AJ512" s="49">
        <f t="shared" si="282"/>
        <v>132422.76959927165</v>
      </c>
      <c r="AK512" s="49">
        <f t="shared" si="283"/>
        <v>124790.25684089148</v>
      </c>
      <c r="AL512" s="49">
        <f t="shared" si="284"/>
        <v>126128.3836709256</v>
      </c>
      <c r="AM512" s="49">
        <f t="shared" si="285"/>
        <v>120282.395136404</v>
      </c>
      <c r="AN512" s="49">
        <f t="shared" si="286"/>
        <v>114711.58958637665</v>
      </c>
    </row>
    <row r="513" spans="2:40">
      <c r="B513" s="43" t="str">
        <f t="shared" si="279"/>
        <v>Asset 207</v>
      </c>
      <c r="F513" s="43" t="str">
        <f t="shared" ref="F513:L513" si="307">F265</f>
        <v>14 Overig rollend materieel</v>
      </c>
      <c r="G513" s="43">
        <f t="shared" si="307"/>
        <v>2018</v>
      </c>
      <c r="H513" s="58">
        <f t="shared" si="307"/>
        <v>20291.448993786991</v>
      </c>
      <c r="I513" s="43">
        <f t="shared" si="307"/>
        <v>2021</v>
      </c>
      <c r="J513" s="58">
        <f t="shared" si="307"/>
        <v>10</v>
      </c>
      <c r="K513" s="187">
        <f t="shared" si="307"/>
        <v>1</v>
      </c>
      <c r="L513" s="58">
        <f t="shared" si="307"/>
        <v>13913.871833835448</v>
      </c>
      <c r="N513" s="49">
        <f t="shared" si="290"/>
        <v>13913.871833835448</v>
      </c>
      <c r="P513" s="44">
        <f t="shared" si="281"/>
        <v>6.5</v>
      </c>
      <c r="R513" s="49">
        <f t="shared" si="300"/>
        <v>2504.4969300903813</v>
      </c>
      <c r="S513" s="49">
        <f t="shared" si="300"/>
        <v>2003.5975440723048</v>
      </c>
      <c r="T513" s="49">
        <f t="shared" si="300"/>
        <v>1780.9755947309375</v>
      </c>
      <c r="U513" s="49">
        <f t="shared" si="300"/>
        <v>1780.9755947309375</v>
      </c>
      <c r="V513" s="49">
        <f t="shared" si="300"/>
        <v>1780.9755947309375</v>
      </c>
      <c r="X513" s="49">
        <f t="shared" si="301"/>
        <v>214.05956667439153</v>
      </c>
      <c r="Y513" s="49">
        <f t="shared" si="301"/>
        <v>214.0595666743915</v>
      </c>
      <c r="Z513" s="49">
        <f t="shared" si="301"/>
        <v>214.0595666743915</v>
      </c>
      <c r="AA513" s="49">
        <f t="shared" si="301"/>
        <v>214.0595666743915</v>
      </c>
      <c r="AB513" s="49">
        <f t="shared" si="301"/>
        <v>214.0595666743915</v>
      </c>
      <c r="AD513" s="49">
        <f t="shared" si="291"/>
        <v>11195.315337070675</v>
      </c>
      <c r="AE513" s="49">
        <f t="shared" si="292"/>
        <v>8977.6582263239779</v>
      </c>
      <c r="AF513" s="49">
        <f t="shared" si="293"/>
        <v>6982.6230649186491</v>
      </c>
      <c r="AG513" s="49">
        <f t="shared" si="294"/>
        <v>4987.5879035133203</v>
      </c>
      <c r="AH513" s="49">
        <f t="shared" si="295"/>
        <v>2992.552742107991</v>
      </c>
      <c r="AJ513" s="49">
        <f t="shared" si="282"/>
        <v>3099.1972182251757</v>
      </c>
      <c r="AK513" s="49">
        <f t="shared" si="283"/>
        <v>2513.9198322153875</v>
      </c>
      <c r="AL513" s="49">
        <f t="shared" si="284"/>
        <v>2260.3748378722375</v>
      </c>
      <c r="AM513" s="49">
        <f t="shared" si="285"/>
        <v>2184.5635017388354</v>
      </c>
      <c r="AN513" s="49">
        <f t="shared" si="286"/>
        <v>2108.7521656054328</v>
      </c>
    </row>
    <row r="514" spans="2:40">
      <c r="B514" s="43" t="str">
        <f t="shared" si="279"/>
        <v>Asset 208</v>
      </c>
      <c r="F514" s="43" t="str">
        <f t="shared" ref="F514:L514" si="308">F266</f>
        <v>10 Gereedschap (odorisatie)</v>
      </c>
      <c r="G514" s="43">
        <f t="shared" si="308"/>
        <v>2018</v>
      </c>
      <c r="H514" s="58">
        <f t="shared" si="308"/>
        <v>59796.38767845487</v>
      </c>
      <c r="I514" s="43">
        <f t="shared" si="308"/>
        <v>2021</v>
      </c>
      <c r="J514" s="58">
        <f t="shared" si="308"/>
        <v>10</v>
      </c>
      <c r="K514" s="187">
        <f t="shared" si="308"/>
        <v>0</v>
      </c>
      <c r="L514" s="58">
        <f t="shared" si="308"/>
        <v>41002.457465659885</v>
      </c>
      <c r="N514" s="49">
        <f t="shared" si="290"/>
        <v>41002.457465659885</v>
      </c>
      <c r="P514" s="44">
        <f t="shared" si="281"/>
        <v>6.5</v>
      </c>
      <c r="R514" s="49">
        <f t="shared" si="300"/>
        <v>7380.4423438187796</v>
      </c>
      <c r="S514" s="49">
        <f t="shared" si="300"/>
        <v>5904.3538750550233</v>
      </c>
      <c r="T514" s="49">
        <f t="shared" si="300"/>
        <v>5248.3145556044656</v>
      </c>
      <c r="U514" s="49">
        <f t="shared" si="300"/>
        <v>5248.3145556044656</v>
      </c>
      <c r="V514" s="49">
        <f t="shared" si="300"/>
        <v>5248.3145556044656</v>
      </c>
      <c r="X514" s="49">
        <f t="shared" si="301"/>
        <v>630.80703793322914</v>
      </c>
      <c r="Y514" s="49">
        <f t="shared" si="301"/>
        <v>630.80703793322903</v>
      </c>
      <c r="Z514" s="49">
        <f t="shared" si="301"/>
        <v>630.80703793322903</v>
      </c>
      <c r="AA514" s="49">
        <f t="shared" si="301"/>
        <v>630.80703793322903</v>
      </c>
      <c r="AB514" s="49">
        <f t="shared" si="301"/>
        <v>630.80703793322903</v>
      </c>
      <c r="AD514" s="49">
        <f t="shared" si="291"/>
        <v>32991.208083907877</v>
      </c>
      <c r="AE514" s="49">
        <f t="shared" si="292"/>
        <v>26456.047170919628</v>
      </c>
      <c r="AF514" s="49">
        <f t="shared" si="293"/>
        <v>20576.925577381935</v>
      </c>
      <c r="AG514" s="49">
        <f t="shared" si="294"/>
        <v>14697.80398384424</v>
      </c>
      <c r="AH514" s="49">
        <f t="shared" si="295"/>
        <v>8818.6823903065451</v>
      </c>
      <c r="AJ514" s="49">
        <f t="shared" si="282"/>
        <v>9132.9504566048763</v>
      </c>
      <c r="AK514" s="49">
        <f t="shared" si="283"/>
        <v>7408.2104696286005</v>
      </c>
      <c r="AL514" s="49">
        <f t="shared" si="284"/>
        <v>6661.0447654782083</v>
      </c>
      <c r="AM514" s="49">
        <f t="shared" si="285"/>
        <v>6437.6381449237761</v>
      </c>
      <c r="AN514" s="49">
        <f t="shared" si="286"/>
        <v>6214.2315243693438</v>
      </c>
    </row>
    <row r="515" spans="2:40">
      <c r="B515" s="43" t="str">
        <f t="shared" si="279"/>
        <v>Asset 209</v>
      </c>
      <c r="F515" s="43" t="str">
        <f t="shared" ref="F515:L515" si="309">F267</f>
        <v>05 Wegen en terreinvoorzieningen</v>
      </c>
      <c r="G515" s="43">
        <f t="shared" si="309"/>
        <v>2018</v>
      </c>
      <c r="H515" s="58">
        <f t="shared" si="309"/>
        <v>70537.619152208252</v>
      </c>
      <c r="I515" s="43">
        <f t="shared" si="309"/>
        <v>2021</v>
      </c>
      <c r="J515" s="58">
        <f t="shared" si="309"/>
        <v>10</v>
      </c>
      <c r="K515" s="187">
        <f t="shared" si="309"/>
        <v>0</v>
      </c>
      <c r="L515" s="58">
        <f t="shared" si="309"/>
        <v>48367.733257897518</v>
      </c>
      <c r="N515" s="49">
        <f t="shared" si="290"/>
        <v>48367.733257897518</v>
      </c>
      <c r="P515" s="44">
        <f t="shared" si="281"/>
        <v>6.5</v>
      </c>
      <c r="R515" s="49">
        <f t="shared" si="300"/>
        <v>8706.1919864215542</v>
      </c>
      <c r="S515" s="49">
        <f t="shared" si="300"/>
        <v>6964.9535891372434</v>
      </c>
      <c r="T515" s="49">
        <f t="shared" si="300"/>
        <v>6191.0698570108834</v>
      </c>
      <c r="U515" s="49">
        <f t="shared" si="300"/>
        <v>6191.0698570108834</v>
      </c>
      <c r="V515" s="49">
        <f t="shared" si="300"/>
        <v>6191.0698570108834</v>
      </c>
      <c r="X515" s="49">
        <f t="shared" si="301"/>
        <v>744.11897319842342</v>
      </c>
      <c r="Y515" s="49">
        <f t="shared" si="301"/>
        <v>744.1189731984233</v>
      </c>
      <c r="Z515" s="49">
        <f t="shared" si="301"/>
        <v>744.1189731984233</v>
      </c>
      <c r="AA515" s="49">
        <f t="shared" si="301"/>
        <v>744.1189731984233</v>
      </c>
      <c r="AB515" s="49">
        <f t="shared" si="301"/>
        <v>744.1189731984233</v>
      </c>
      <c r="AD515" s="49">
        <f t="shared" si="291"/>
        <v>38917.422298277539</v>
      </c>
      <c r="AE515" s="49">
        <f t="shared" si="292"/>
        <v>31208.349735941872</v>
      </c>
      <c r="AF515" s="49">
        <f t="shared" si="293"/>
        <v>24273.160905732566</v>
      </c>
      <c r="AG515" s="49">
        <f t="shared" si="294"/>
        <v>17337.972075523259</v>
      </c>
      <c r="AH515" s="49">
        <f t="shared" si="295"/>
        <v>10402.783245313953</v>
      </c>
      <c r="AJ515" s="49">
        <f t="shared" si="282"/>
        <v>10773.503317761413</v>
      </c>
      <c r="AK515" s="49">
        <f t="shared" si="283"/>
        <v>8738.9481036217476</v>
      </c>
      <c r="AL515" s="49">
        <f t="shared" si="284"/>
        <v>7857.5689446271444</v>
      </c>
      <c r="AM515" s="49">
        <f t="shared" si="285"/>
        <v>7594.0317690791908</v>
      </c>
      <c r="AN515" s="49">
        <f t="shared" si="286"/>
        <v>7330.4945935312371</v>
      </c>
    </row>
    <row r="516" spans="2:40">
      <c r="B516" s="43" t="str">
        <f t="shared" si="279"/>
        <v>Asset 210</v>
      </c>
      <c r="F516" s="43" t="str">
        <f t="shared" ref="F516:L516" si="310">F268</f>
        <v>37 ICT middelen 1 (balancering)</v>
      </c>
      <c r="G516" s="43">
        <f t="shared" si="310"/>
        <v>2018</v>
      </c>
      <c r="H516" s="58">
        <f t="shared" si="310"/>
        <v>1033593</v>
      </c>
      <c r="I516" s="43">
        <f t="shared" si="310"/>
        <v>2021</v>
      </c>
      <c r="J516" s="58">
        <f t="shared" si="310"/>
        <v>5</v>
      </c>
      <c r="K516" s="187">
        <f t="shared" si="310"/>
        <v>0</v>
      </c>
      <c r="L516" s="58">
        <f t="shared" si="310"/>
        <v>327108.92617687664</v>
      </c>
      <c r="N516" s="49">
        <f t="shared" si="290"/>
        <v>327108.92617687664</v>
      </c>
      <c r="P516" s="44">
        <f t="shared" si="281"/>
        <v>1.5</v>
      </c>
      <c r="R516" s="49">
        <f t="shared" si="300"/>
        <v>255144.9624179638</v>
      </c>
      <c r="S516" s="49">
        <f t="shared" si="300"/>
        <v>39253.071141225199</v>
      </c>
      <c r="T516" s="49">
        <f t="shared" si="300"/>
        <v>0</v>
      </c>
      <c r="U516" s="49">
        <f t="shared" si="300"/>
        <v>0</v>
      </c>
      <c r="V516" s="49">
        <f t="shared" si="300"/>
        <v>0</v>
      </c>
      <c r="X516" s="49">
        <f t="shared" si="301"/>
        <v>21807.26174512511</v>
      </c>
      <c r="Y516" s="49">
        <f t="shared" si="301"/>
        <v>10903.630872562557</v>
      </c>
      <c r="Z516" s="49">
        <f t="shared" si="301"/>
        <v>0</v>
      </c>
      <c r="AA516" s="49">
        <f t="shared" si="301"/>
        <v>0</v>
      </c>
      <c r="AB516" s="49">
        <f t="shared" si="301"/>
        <v>0</v>
      </c>
      <c r="AD516" s="49">
        <f t="shared" si="291"/>
        <v>50156.702013787726</v>
      </c>
      <c r="AE516" s="49">
        <f t="shared" si="292"/>
        <v>-2.9103830456733704E-11</v>
      </c>
      <c r="AF516" s="49">
        <f t="shared" si="293"/>
        <v>0</v>
      </c>
      <c r="AG516" s="49">
        <f t="shared" si="294"/>
        <v>0</v>
      </c>
      <c r="AH516" s="49">
        <f t="shared" si="295"/>
        <v>0</v>
      </c>
      <c r="AJ516" s="49">
        <f t="shared" si="282"/>
        <v>278657.55203155766</v>
      </c>
      <c r="AK516" s="49">
        <f t="shared" si="283"/>
        <v>50156.702013787755</v>
      </c>
      <c r="AL516" s="49">
        <f t="shared" si="284"/>
        <v>0</v>
      </c>
      <c r="AM516" s="49">
        <f t="shared" si="285"/>
        <v>0</v>
      </c>
      <c r="AN516" s="49">
        <f t="shared" si="286"/>
        <v>0</v>
      </c>
    </row>
    <row r="517" spans="2:40">
      <c r="B517" s="43" t="str">
        <f t="shared" si="279"/>
        <v>Asset 211</v>
      </c>
      <c r="F517" s="43" t="str">
        <f t="shared" ref="F517:L517" si="311">F269</f>
        <v>37 ICT middelen 1</v>
      </c>
      <c r="G517" s="43">
        <f t="shared" si="311"/>
        <v>2019</v>
      </c>
      <c r="H517" s="58">
        <f t="shared" si="311"/>
        <v>7023542.7917365544</v>
      </c>
      <c r="I517" s="43">
        <f t="shared" si="311"/>
        <v>2021</v>
      </c>
      <c r="J517" s="58">
        <f t="shared" si="311"/>
        <v>5</v>
      </c>
      <c r="K517" s="187">
        <f t="shared" si="311"/>
        <v>1</v>
      </c>
      <c r="L517" s="58">
        <f t="shared" si="311"/>
        <v>3660726.6913954271</v>
      </c>
      <c r="N517" s="49">
        <f t="shared" si="290"/>
        <v>3660726.6913954271</v>
      </c>
      <c r="P517" s="44">
        <f t="shared" si="281"/>
        <v>2.5</v>
      </c>
      <c r="R517" s="49">
        <f t="shared" ref="R517:V526" si="312">IF(R$305&lt;=$G517+$J517,VDB($L517*(1-$F$25),0,$P517,R$305-2022,MIN(R$305-2021,$P517),$F$22),0)</f>
        <v>1713220.09157306</v>
      </c>
      <c r="S517" s="49">
        <f t="shared" si="312"/>
        <v>1054289.2871218829</v>
      </c>
      <c r="T517" s="49">
        <f t="shared" si="312"/>
        <v>527144.64356094145</v>
      </c>
      <c r="U517" s="49">
        <f t="shared" si="312"/>
        <v>0</v>
      </c>
      <c r="V517" s="49">
        <f t="shared" si="312"/>
        <v>0</v>
      </c>
      <c r="X517" s="49">
        <f t="shared" ref="X517:AB526" si="313">IF(X$305&lt;=$G517+$J517,VDB($L517*$F$25,0,$P517,X$305-2022,MIN(X$305-2021,$P517),1),0)</f>
        <v>146429.06765581711</v>
      </c>
      <c r="Y517" s="49">
        <f t="shared" si="313"/>
        <v>146429.06765581708</v>
      </c>
      <c r="Z517" s="49">
        <f t="shared" si="313"/>
        <v>73214.533827908541</v>
      </c>
      <c r="AA517" s="49">
        <f t="shared" si="313"/>
        <v>0</v>
      </c>
      <c r="AB517" s="49">
        <f t="shared" si="313"/>
        <v>0</v>
      </c>
      <c r="AD517" s="49">
        <f t="shared" si="291"/>
        <v>1801077.5321665499</v>
      </c>
      <c r="AE517" s="49">
        <f t="shared" si="292"/>
        <v>600359.1773888499</v>
      </c>
      <c r="AF517" s="49">
        <f t="shared" si="293"/>
        <v>-8.7311491370201111E-11</v>
      </c>
      <c r="AG517" s="49">
        <f t="shared" si="294"/>
        <v>0</v>
      </c>
      <c r="AH517" s="49">
        <f t="shared" si="295"/>
        <v>0</v>
      </c>
      <c r="AJ517" s="49">
        <f t="shared" si="282"/>
        <v>1920885.7953225398</v>
      </c>
      <c r="AK517" s="49">
        <f t="shared" si="283"/>
        <v>1220530.2076315321</v>
      </c>
      <c r="AL517" s="49">
        <f t="shared" si="284"/>
        <v>600359.17738885002</v>
      </c>
      <c r="AM517" s="49">
        <f t="shared" si="285"/>
        <v>0</v>
      </c>
      <c r="AN517" s="49">
        <f t="shared" si="286"/>
        <v>0</v>
      </c>
    </row>
    <row r="518" spans="2:40">
      <c r="B518" s="43" t="str">
        <f t="shared" si="279"/>
        <v>Asset 212</v>
      </c>
      <c r="F518" s="43" t="str">
        <f t="shared" ref="F518:L518" si="314">F270</f>
        <v>14 Overig rollend materieel</v>
      </c>
      <c r="G518" s="43">
        <f t="shared" si="314"/>
        <v>2019</v>
      </c>
      <c r="H518" s="58">
        <f t="shared" si="314"/>
        <v>857388.09237261105</v>
      </c>
      <c r="I518" s="43">
        <f t="shared" si="314"/>
        <v>2021</v>
      </c>
      <c r="J518" s="58">
        <f t="shared" si="314"/>
        <v>10</v>
      </c>
      <c r="K518" s="187">
        <f t="shared" si="314"/>
        <v>1</v>
      </c>
      <c r="L518" s="58">
        <f t="shared" si="314"/>
        <v>670316.29927401594</v>
      </c>
      <c r="N518" s="49">
        <f t="shared" si="290"/>
        <v>670316.29927401594</v>
      </c>
      <c r="P518" s="44">
        <f t="shared" si="281"/>
        <v>7.5</v>
      </c>
      <c r="R518" s="49">
        <f t="shared" si="312"/>
        <v>104569.3426867465</v>
      </c>
      <c r="S518" s="49">
        <f t="shared" si="312"/>
        <v>86443.989954377103</v>
      </c>
      <c r="T518" s="49">
        <f t="shared" si="312"/>
        <v>74958.424855543781</v>
      </c>
      <c r="U518" s="49">
        <f t="shared" si="312"/>
        <v>74958.424855543781</v>
      </c>
      <c r="V518" s="49">
        <f t="shared" si="312"/>
        <v>74958.424855543781</v>
      </c>
      <c r="X518" s="49">
        <f t="shared" si="313"/>
        <v>8937.5506569868794</v>
      </c>
      <c r="Y518" s="49">
        <f t="shared" si="313"/>
        <v>8937.5506569868776</v>
      </c>
      <c r="Z518" s="49">
        <f t="shared" si="313"/>
        <v>8937.5506569868776</v>
      </c>
      <c r="AA518" s="49">
        <f t="shared" si="313"/>
        <v>8937.5506569868776</v>
      </c>
      <c r="AB518" s="49">
        <f t="shared" si="313"/>
        <v>8937.5506569868776</v>
      </c>
      <c r="AD518" s="49">
        <f t="shared" si="291"/>
        <v>556809.40593028255</v>
      </c>
      <c r="AE518" s="49">
        <f t="shared" si="292"/>
        <v>461427.86531891854</v>
      </c>
      <c r="AF518" s="49">
        <f t="shared" si="293"/>
        <v>377531.88980638789</v>
      </c>
      <c r="AG518" s="49">
        <f t="shared" si="294"/>
        <v>293635.91429385723</v>
      </c>
      <c r="AH518" s="49">
        <f t="shared" si="295"/>
        <v>209739.93878132658</v>
      </c>
      <c r="AJ518" s="49">
        <f t="shared" si="282"/>
        <v>132438.41314536298</v>
      </c>
      <c r="AK518" s="49">
        <f t="shared" si="283"/>
        <v>110608.66016688829</v>
      </c>
      <c r="AL518" s="49">
        <f t="shared" si="284"/>
        <v>98242.187325173392</v>
      </c>
      <c r="AM518" s="49">
        <f t="shared" si="285"/>
        <v>95054.140255697232</v>
      </c>
      <c r="AN518" s="49">
        <f t="shared" si="286"/>
        <v>91866.093186221071</v>
      </c>
    </row>
    <row r="519" spans="2:40">
      <c r="B519" s="43" t="str">
        <f t="shared" si="279"/>
        <v>Asset 213</v>
      </c>
      <c r="F519" s="43" t="str">
        <f t="shared" ref="F519:L519" si="315">F271</f>
        <v>08 Inrichting gebouwen</v>
      </c>
      <c r="G519" s="43">
        <f t="shared" si="315"/>
        <v>2019</v>
      </c>
      <c r="H519" s="58">
        <f t="shared" si="315"/>
        <v>460067.29247706069</v>
      </c>
      <c r="I519" s="43">
        <f t="shared" si="315"/>
        <v>2021</v>
      </c>
      <c r="J519" s="58">
        <f t="shared" si="315"/>
        <v>10</v>
      </c>
      <c r="K519" s="187">
        <f t="shared" si="315"/>
        <v>0</v>
      </c>
      <c r="L519" s="58">
        <f t="shared" si="315"/>
        <v>359686.13006607577</v>
      </c>
      <c r="N519" s="49">
        <f t="shared" si="290"/>
        <v>359686.13006607577</v>
      </c>
      <c r="P519" s="44">
        <f t="shared" si="281"/>
        <v>7.5</v>
      </c>
      <c r="R519" s="49">
        <f t="shared" si="312"/>
        <v>56111.03629030782</v>
      </c>
      <c r="S519" s="49">
        <f t="shared" si="312"/>
        <v>46385.123333321135</v>
      </c>
      <c r="T519" s="49">
        <f t="shared" si="312"/>
        <v>40222.064988334409</v>
      </c>
      <c r="U519" s="49">
        <f t="shared" si="312"/>
        <v>40222.064988334409</v>
      </c>
      <c r="V519" s="49">
        <f t="shared" si="312"/>
        <v>40222.064988334409</v>
      </c>
      <c r="X519" s="49">
        <f t="shared" si="313"/>
        <v>4795.8150675476772</v>
      </c>
      <c r="Y519" s="49">
        <f t="shared" si="313"/>
        <v>4795.8150675476772</v>
      </c>
      <c r="Z519" s="49">
        <f t="shared" si="313"/>
        <v>4795.8150675476772</v>
      </c>
      <c r="AA519" s="49">
        <f t="shared" si="313"/>
        <v>4795.8150675476772</v>
      </c>
      <c r="AB519" s="49">
        <f t="shared" si="313"/>
        <v>4795.8150675476772</v>
      </c>
      <c r="AD519" s="49">
        <f t="shared" si="291"/>
        <v>298779.27870822028</v>
      </c>
      <c r="AE519" s="49">
        <f t="shared" si="292"/>
        <v>247598.34030735149</v>
      </c>
      <c r="AF519" s="49">
        <f t="shared" si="293"/>
        <v>202580.46025146943</v>
      </c>
      <c r="AG519" s="49">
        <f t="shared" si="294"/>
        <v>157562.58019558736</v>
      </c>
      <c r="AH519" s="49">
        <f t="shared" si="295"/>
        <v>112544.70013970528</v>
      </c>
      <c r="AJ519" s="49">
        <f t="shared" si="282"/>
        <v>71065.346833934993</v>
      </c>
      <c r="AK519" s="49">
        <f t="shared" si="283"/>
        <v>59351.683631011416</v>
      </c>
      <c r="AL519" s="49">
        <f t="shared" si="284"/>
        <v>52715.937545437926</v>
      </c>
      <c r="AM519" s="49">
        <f t="shared" si="285"/>
        <v>51005.258103314409</v>
      </c>
      <c r="AN519" s="49">
        <f t="shared" si="286"/>
        <v>49294.578661190884</v>
      </c>
    </row>
    <row r="520" spans="2:40">
      <c r="B520" s="43" t="str">
        <f t="shared" si="279"/>
        <v>Asset 214</v>
      </c>
      <c r="F520" s="43" t="str">
        <f t="shared" ref="F520:L520" si="316">F272</f>
        <v>37 ICT middelen 1 (KC)</v>
      </c>
      <c r="G520" s="43">
        <f t="shared" si="316"/>
        <v>2019</v>
      </c>
      <c r="H520" s="58">
        <f t="shared" si="316"/>
        <v>119060</v>
      </c>
      <c r="I520" s="43">
        <f t="shared" si="316"/>
        <v>2021</v>
      </c>
      <c r="J520" s="58">
        <f t="shared" si="316"/>
        <v>5</v>
      </c>
      <c r="K520" s="187">
        <f t="shared" si="316"/>
        <v>0</v>
      </c>
      <c r="L520" s="58">
        <f t="shared" si="316"/>
        <v>62055.024479999985</v>
      </c>
      <c r="N520" s="49">
        <f t="shared" si="290"/>
        <v>62055.024479999985</v>
      </c>
      <c r="P520" s="44">
        <f t="shared" si="281"/>
        <v>2.5</v>
      </c>
      <c r="R520" s="49">
        <f t="shared" si="312"/>
        <v>29041.751456639995</v>
      </c>
      <c r="S520" s="49">
        <f t="shared" si="312"/>
        <v>17871.847050239994</v>
      </c>
      <c r="T520" s="49">
        <f t="shared" si="312"/>
        <v>8935.9235251199971</v>
      </c>
      <c r="U520" s="49">
        <f t="shared" si="312"/>
        <v>0</v>
      </c>
      <c r="V520" s="49">
        <f t="shared" si="312"/>
        <v>0</v>
      </c>
      <c r="X520" s="49">
        <f t="shared" si="313"/>
        <v>2482.2009791999999</v>
      </c>
      <c r="Y520" s="49">
        <f t="shared" si="313"/>
        <v>2482.2009791999994</v>
      </c>
      <c r="Z520" s="49">
        <f t="shared" si="313"/>
        <v>1241.1004895999997</v>
      </c>
      <c r="AA520" s="49">
        <f t="shared" si="313"/>
        <v>0</v>
      </c>
      <c r="AB520" s="49">
        <f t="shared" si="313"/>
        <v>0</v>
      </c>
      <c r="AD520" s="49">
        <f t="shared" si="291"/>
        <v>30531.072044159988</v>
      </c>
      <c r="AE520" s="49">
        <f t="shared" si="292"/>
        <v>10177.024014719995</v>
      </c>
      <c r="AF520" s="49">
        <f t="shared" si="293"/>
        <v>-2.0463630789890885E-12</v>
      </c>
      <c r="AG520" s="49">
        <f t="shared" si="294"/>
        <v>0</v>
      </c>
      <c r="AH520" s="49">
        <f t="shared" si="295"/>
        <v>0</v>
      </c>
      <c r="AJ520" s="49">
        <f t="shared" si="282"/>
        <v>32562.008885341435</v>
      </c>
      <c r="AK520" s="49">
        <f t="shared" si="283"/>
        <v>20689.889821925753</v>
      </c>
      <c r="AL520" s="49">
        <f t="shared" si="284"/>
        <v>10177.024014719997</v>
      </c>
      <c r="AM520" s="49">
        <f t="shared" si="285"/>
        <v>0</v>
      </c>
      <c r="AN520" s="49">
        <f t="shared" si="286"/>
        <v>0</v>
      </c>
    </row>
    <row r="521" spans="2:40">
      <c r="B521" s="43" t="str">
        <f t="shared" si="279"/>
        <v>Asset 215</v>
      </c>
      <c r="F521" s="43" t="str">
        <f t="shared" ref="F521:L521" si="317">F273</f>
        <v>11 Werktuigen</v>
      </c>
      <c r="G521" s="43">
        <f t="shared" si="317"/>
        <v>2019</v>
      </c>
      <c r="H521" s="58">
        <f t="shared" si="317"/>
        <v>288666.6970011855</v>
      </c>
      <c r="I521" s="43">
        <f t="shared" si="317"/>
        <v>2021</v>
      </c>
      <c r="J521" s="58">
        <f t="shared" si="317"/>
        <v>10</v>
      </c>
      <c r="K521" s="187">
        <f t="shared" si="317"/>
        <v>1</v>
      </c>
      <c r="L521" s="58">
        <f t="shared" si="317"/>
        <v>225683.08771589081</v>
      </c>
      <c r="N521" s="49">
        <f t="shared" si="290"/>
        <v>225683.08771589081</v>
      </c>
      <c r="P521" s="44">
        <f t="shared" si="281"/>
        <v>7.5</v>
      </c>
      <c r="R521" s="49">
        <f t="shared" si="312"/>
        <v>35206.56168367897</v>
      </c>
      <c r="S521" s="49">
        <f t="shared" si="312"/>
        <v>29104.09099184128</v>
      </c>
      <c r="T521" s="49">
        <f t="shared" si="312"/>
        <v>25237.113867051179</v>
      </c>
      <c r="U521" s="49">
        <f t="shared" si="312"/>
        <v>25237.113867051179</v>
      </c>
      <c r="V521" s="49">
        <f t="shared" si="312"/>
        <v>25237.113867051179</v>
      </c>
      <c r="X521" s="49">
        <f t="shared" si="313"/>
        <v>3009.1078362118778</v>
      </c>
      <c r="Y521" s="49">
        <f t="shared" si="313"/>
        <v>3009.1078362118778</v>
      </c>
      <c r="Z521" s="49">
        <f t="shared" si="313"/>
        <v>3009.1078362118778</v>
      </c>
      <c r="AA521" s="49">
        <f t="shared" si="313"/>
        <v>3009.1078362118778</v>
      </c>
      <c r="AB521" s="49">
        <f t="shared" si="313"/>
        <v>3009.1078362118778</v>
      </c>
      <c r="AD521" s="49">
        <f t="shared" si="291"/>
        <v>187467.41819599996</v>
      </c>
      <c r="AE521" s="49">
        <f t="shared" si="292"/>
        <v>155354.21936794679</v>
      </c>
      <c r="AF521" s="49">
        <f t="shared" si="293"/>
        <v>127107.99766468375</v>
      </c>
      <c r="AG521" s="49">
        <f t="shared" si="294"/>
        <v>98861.775961420688</v>
      </c>
      <c r="AH521" s="49">
        <f t="shared" si="295"/>
        <v>70615.55425815763</v>
      </c>
      <c r="AJ521" s="49">
        <f t="shared" si="282"/>
        <v>44589.561738554847</v>
      </c>
      <c r="AK521" s="49">
        <f t="shared" si="283"/>
        <v>37239.888067195403</v>
      </c>
      <c r="AL521" s="49">
        <f t="shared" si="284"/>
        <v>33076.32561452104</v>
      </c>
      <c r="AM521" s="49">
        <f t="shared" si="285"/>
        <v>32002.969189797044</v>
      </c>
      <c r="AN521" s="49">
        <f t="shared" si="286"/>
        <v>30929.612765073049</v>
      </c>
    </row>
    <row r="522" spans="2:40">
      <c r="B522" s="43" t="str">
        <f t="shared" si="279"/>
        <v>Asset 216</v>
      </c>
      <c r="F522" s="43" t="str">
        <f t="shared" ref="F522:L522" si="318">F274</f>
        <v>20 Kantoorgebouwen</v>
      </c>
      <c r="G522" s="43">
        <f t="shared" si="318"/>
        <v>2019</v>
      </c>
      <c r="H522" s="58">
        <f t="shared" si="318"/>
        <v>1170372.8470650064</v>
      </c>
      <c r="I522" s="43">
        <f t="shared" si="318"/>
        <v>2021</v>
      </c>
      <c r="J522" s="58">
        <f t="shared" si="318"/>
        <v>30</v>
      </c>
      <c r="K522" s="187">
        <f t="shared" si="318"/>
        <v>0</v>
      </c>
      <c r="L522" s="58">
        <f t="shared" si="318"/>
        <v>1118347.433267273</v>
      </c>
      <c r="N522" s="49">
        <f t="shared" si="290"/>
        <v>1118347.433267273</v>
      </c>
      <c r="P522" s="44">
        <f t="shared" si="281"/>
        <v>27.5</v>
      </c>
      <c r="R522" s="49">
        <f t="shared" si="312"/>
        <v>47580.599888098521</v>
      </c>
      <c r="S522" s="49">
        <f t="shared" si="312"/>
        <v>45331.335166115685</v>
      </c>
      <c r="T522" s="49">
        <f t="shared" si="312"/>
        <v>43188.399321899306</v>
      </c>
      <c r="U522" s="49">
        <f t="shared" si="312"/>
        <v>41146.765899409525</v>
      </c>
      <c r="V522" s="49">
        <f t="shared" si="312"/>
        <v>39201.646056891979</v>
      </c>
      <c r="X522" s="49">
        <f t="shared" si="313"/>
        <v>4066.7179391537202</v>
      </c>
      <c r="Y522" s="49">
        <f t="shared" si="313"/>
        <v>4066.7179391537202</v>
      </c>
      <c r="Z522" s="49">
        <f t="shared" si="313"/>
        <v>4066.7179391537202</v>
      </c>
      <c r="AA522" s="49">
        <f t="shared" si="313"/>
        <v>4066.7179391537202</v>
      </c>
      <c r="AB522" s="49">
        <f t="shared" si="313"/>
        <v>4066.7179391537202</v>
      </c>
      <c r="AD522" s="49">
        <f t="shared" si="291"/>
        <v>1066700.1154400208</v>
      </c>
      <c r="AE522" s="49">
        <f t="shared" si="292"/>
        <v>1017302.0623347515</v>
      </c>
      <c r="AF522" s="49">
        <f t="shared" si="293"/>
        <v>970046.94507369853</v>
      </c>
      <c r="AG522" s="49">
        <f t="shared" si="294"/>
        <v>924833.46123513533</v>
      </c>
      <c r="AH522" s="49">
        <f t="shared" si="295"/>
        <v>881565.09723908966</v>
      </c>
      <c r="AJ522" s="49">
        <f t="shared" si="282"/>
        <v>87915.121752212959</v>
      </c>
      <c r="AK522" s="49">
        <f t="shared" si="283"/>
        <v>82969.021162316203</v>
      </c>
      <c r="AL522" s="49">
        <f t="shared" si="284"/>
        <v>84116.901173853577</v>
      </c>
      <c r="AM522" s="49">
        <f t="shared" si="285"/>
        <v>80357.155365498387</v>
      </c>
      <c r="AN522" s="49">
        <f t="shared" si="286"/>
        <v>76767.837691131106</v>
      </c>
    </row>
    <row r="523" spans="2:40">
      <c r="B523" s="43" t="str">
        <f t="shared" si="279"/>
        <v>Asset 217</v>
      </c>
      <c r="F523" s="43" t="str">
        <f t="shared" ref="F523:L523" si="319">F275</f>
        <v>37 ICT middelen 1 (balancering)</v>
      </c>
      <c r="G523" s="43">
        <f t="shared" si="319"/>
        <v>2019</v>
      </c>
      <c r="H523" s="58">
        <f t="shared" si="319"/>
        <v>73704</v>
      </c>
      <c r="I523" s="43">
        <f t="shared" si="319"/>
        <v>2021</v>
      </c>
      <c r="J523" s="58">
        <f t="shared" si="319"/>
        <v>5</v>
      </c>
      <c r="K523" s="187">
        <f t="shared" si="319"/>
        <v>0</v>
      </c>
      <c r="L523" s="58">
        <f t="shared" si="319"/>
        <v>38415.114431999995</v>
      </c>
      <c r="N523" s="49">
        <f t="shared" si="290"/>
        <v>38415.114431999995</v>
      </c>
      <c r="P523" s="44">
        <f t="shared" si="281"/>
        <v>2.5</v>
      </c>
      <c r="R523" s="49">
        <f t="shared" si="312"/>
        <v>17978.273554175998</v>
      </c>
      <c r="S523" s="49">
        <f t="shared" si="312"/>
        <v>11063.552956416001</v>
      </c>
      <c r="T523" s="49">
        <f t="shared" si="312"/>
        <v>5531.7764782080003</v>
      </c>
      <c r="U523" s="49">
        <f t="shared" si="312"/>
        <v>0</v>
      </c>
      <c r="V523" s="49">
        <f t="shared" si="312"/>
        <v>0</v>
      </c>
      <c r="X523" s="49">
        <f t="shared" si="313"/>
        <v>1536.6045772799998</v>
      </c>
      <c r="Y523" s="49">
        <f t="shared" si="313"/>
        <v>1536.6045772799998</v>
      </c>
      <c r="Z523" s="49">
        <f t="shared" si="313"/>
        <v>768.30228863999992</v>
      </c>
      <c r="AA523" s="49">
        <f t="shared" si="313"/>
        <v>0</v>
      </c>
      <c r="AB523" s="49">
        <f t="shared" si="313"/>
        <v>0</v>
      </c>
      <c r="AD523" s="49">
        <f t="shared" si="291"/>
        <v>18900.236300543998</v>
      </c>
      <c r="AE523" s="49">
        <f t="shared" si="292"/>
        <v>6300.0787668479979</v>
      </c>
      <c r="AF523" s="49">
        <f t="shared" si="293"/>
        <v>-2.2737367544323206E-12</v>
      </c>
      <c r="AG523" s="49">
        <f t="shared" si="294"/>
        <v>0</v>
      </c>
      <c r="AH523" s="49">
        <f t="shared" si="295"/>
        <v>0</v>
      </c>
      <c r="AJ523" s="49">
        <f t="shared" si="282"/>
        <v>20157.486165674491</v>
      </c>
      <c r="AK523" s="49">
        <f t="shared" si="283"/>
        <v>12808.060133001985</v>
      </c>
      <c r="AL523" s="49">
        <f t="shared" si="284"/>
        <v>6300.0787668480007</v>
      </c>
      <c r="AM523" s="49">
        <f t="shared" si="285"/>
        <v>0</v>
      </c>
      <c r="AN523" s="49">
        <f t="shared" si="286"/>
        <v>0</v>
      </c>
    </row>
    <row r="524" spans="2:40">
      <c r="B524" s="43" t="str">
        <f t="shared" si="279"/>
        <v>Asset 218</v>
      </c>
      <c r="F524" s="43" t="str">
        <f t="shared" ref="F524:L524" si="320">F276</f>
        <v>37 ICT middelen 1 (gaschromatografen en comptabele meting)</v>
      </c>
      <c r="G524" s="43">
        <f t="shared" si="320"/>
        <v>2019</v>
      </c>
      <c r="H524" s="58">
        <f t="shared" si="320"/>
        <v>138775.45971332947</v>
      </c>
      <c r="I524" s="43">
        <f t="shared" si="320"/>
        <v>2021</v>
      </c>
      <c r="J524" s="58">
        <f t="shared" si="320"/>
        <v>5</v>
      </c>
      <c r="K524" s="187">
        <f t="shared" si="320"/>
        <v>0</v>
      </c>
      <c r="L524" s="58">
        <f t="shared" si="320"/>
        <v>72330.879806265031</v>
      </c>
      <c r="N524" s="49">
        <f t="shared" si="290"/>
        <v>72330.879806265031</v>
      </c>
      <c r="P524" s="44">
        <f t="shared" si="281"/>
        <v>2.5</v>
      </c>
      <c r="R524" s="49">
        <f t="shared" si="312"/>
        <v>33850.85174933204</v>
      </c>
      <c r="S524" s="49">
        <f t="shared" si="312"/>
        <v>20831.293384204328</v>
      </c>
      <c r="T524" s="49">
        <f t="shared" si="312"/>
        <v>10415.646692102164</v>
      </c>
      <c r="U524" s="49">
        <f t="shared" si="312"/>
        <v>0</v>
      </c>
      <c r="V524" s="49">
        <f t="shared" si="312"/>
        <v>0</v>
      </c>
      <c r="X524" s="49">
        <f t="shared" si="313"/>
        <v>2893.2351922506018</v>
      </c>
      <c r="Y524" s="49">
        <f t="shared" si="313"/>
        <v>2893.2351922506009</v>
      </c>
      <c r="Z524" s="49">
        <f t="shared" si="313"/>
        <v>1446.6175961253005</v>
      </c>
      <c r="AA524" s="49">
        <f t="shared" si="313"/>
        <v>0</v>
      </c>
      <c r="AB524" s="49">
        <f t="shared" si="313"/>
        <v>0</v>
      </c>
      <c r="AD524" s="49">
        <f t="shared" si="291"/>
        <v>35586.792864682393</v>
      </c>
      <c r="AE524" s="49">
        <f t="shared" si="292"/>
        <v>11862.264288227465</v>
      </c>
      <c r="AF524" s="49">
        <f t="shared" si="293"/>
        <v>6.8212102632969618E-13</v>
      </c>
      <c r="AG524" s="49">
        <f t="shared" si="294"/>
        <v>0</v>
      </c>
      <c r="AH524" s="49">
        <f t="shared" si="295"/>
        <v>0</v>
      </c>
      <c r="AJ524" s="49">
        <f t="shared" si="282"/>
        <v>37954.037898981842</v>
      </c>
      <c r="AK524" s="49">
        <f t="shared" si="283"/>
        <v>24115.983297966435</v>
      </c>
      <c r="AL524" s="49">
        <f t="shared" si="284"/>
        <v>11862.264288227465</v>
      </c>
      <c r="AM524" s="49">
        <f t="shared" si="285"/>
        <v>0</v>
      </c>
      <c r="AN524" s="49">
        <f t="shared" si="286"/>
        <v>0</v>
      </c>
    </row>
    <row r="525" spans="2:40">
      <c r="B525" s="43" t="str">
        <f t="shared" si="279"/>
        <v>Asset 219</v>
      </c>
      <c r="F525" s="43" t="str">
        <f t="shared" ref="F525:L525" si="321">F277</f>
        <v>10 Gereedschap</v>
      </c>
      <c r="G525" s="43">
        <f t="shared" si="321"/>
        <v>2019</v>
      </c>
      <c r="H525" s="58">
        <f t="shared" si="321"/>
        <v>142771.1801450084</v>
      </c>
      <c r="I525" s="43">
        <f t="shared" si="321"/>
        <v>2021</v>
      </c>
      <c r="J525" s="58">
        <f t="shared" si="321"/>
        <v>10</v>
      </c>
      <c r="K525" s="187">
        <f t="shared" si="321"/>
        <v>1</v>
      </c>
      <c r="L525" s="58">
        <f t="shared" si="321"/>
        <v>111620.22189152931</v>
      </c>
      <c r="N525" s="49">
        <f t="shared" si="290"/>
        <v>111620.22189152931</v>
      </c>
      <c r="P525" s="44">
        <f t="shared" si="281"/>
        <v>7.5</v>
      </c>
      <c r="R525" s="49">
        <f t="shared" si="312"/>
        <v>17412.754615078575</v>
      </c>
      <c r="S525" s="49">
        <f t="shared" si="312"/>
        <v>14394.543815131619</v>
      </c>
      <c r="T525" s="49">
        <f t="shared" si="312"/>
        <v>12481.982049484761</v>
      </c>
      <c r="U525" s="49">
        <f t="shared" si="312"/>
        <v>12481.982049484761</v>
      </c>
      <c r="V525" s="49">
        <f t="shared" si="312"/>
        <v>12481.982049484761</v>
      </c>
      <c r="X525" s="49">
        <f t="shared" si="313"/>
        <v>1488.2696252203907</v>
      </c>
      <c r="Y525" s="49">
        <f t="shared" si="313"/>
        <v>1488.2696252203907</v>
      </c>
      <c r="Z525" s="49">
        <f t="shared" si="313"/>
        <v>1488.2696252203907</v>
      </c>
      <c r="AA525" s="49">
        <f t="shared" si="313"/>
        <v>1488.2696252203907</v>
      </c>
      <c r="AB525" s="49">
        <f t="shared" si="313"/>
        <v>1488.2696252203907</v>
      </c>
      <c r="AD525" s="49">
        <f t="shared" si="291"/>
        <v>92719.197651230337</v>
      </c>
      <c r="AE525" s="49">
        <f t="shared" si="292"/>
        <v>76836.384210878328</v>
      </c>
      <c r="AF525" s="49">
        <f t="shared" si="293"/>
        <v>62866.13253617318</v>
      </c>
      <c r="AG525" s="49">
        <f t="shared" si="294"/>
        <v>48895.880861468031</v>
      </c>
      <c r="AH525" s="49">
        <f t="shared" si="295"/>
        <v>34925.629186762882</v>
      </c>
      <c r="AJ525" s="49">
        <f t="shared" si="282"/>
        <v>22053.476960440796</v>
      </c>
      <c r="AK525" s="49">
        <f t="shared" si="283"/>
        <v>18418.414119310997</v>
      </c>
      <c r="AL525" s="49">
        <f t="shared" si="284"/>
        <v>16359.164711079733</v>
      </c>
      <c r="AM525" s="49">
        <f t="shared" si="285"/>
        <v>15828.295147440938</v>
      </c>
      <c r="AN525" s="49">
        <f t="shared" si="286"/>
        <v>15297.425583802142</v>
      </c>
    </row>
    <row r="526" spans="2:40">
      <c r="B526" s="43" t="str">
        <f t="shared" si="279"/>
        <v>Asset 220</v>
      </c>
      <c r="F526" s="43" t="str">
        <f t="shared" ref="F526:L526" si="322">F278</f>
        <v>39 ICT middelen 3</v>
      </c>
      <c r="G526" s="43">
        <f t="shared" si="322"/>
        <v>2018</v>
      </c>
      <c r="H526" s="58">
        <f t="shared" si="322"/>
        <v>66462443.599999994</v>
      </c>
      <c r="I526" s="43">
        <f t="shared" si="322"/>
        <v>2021</v>
      </c>
      <c r="J526" s="58">
        <f t="shared" si="322"/>
        <v>15</v>
      </c>
      <c r="K526" s="187">
        <f t="shared" si="322"/>
        <v>1</v>
      </c>
      <c r="L526" s="58">
        <f t="shared" si="322"/>
        <v>53753217.800323352</v>
      </c>
      <c r="N526" s="49">
        <f t="shared" si="290"/>
        <v>53753217.800323352</v>
      </c>
      <c r="P526" s="44">
        <f t="shared" si="281"/>
        <v>11.5</v>
      </c>
      <c r="R526" s="49">
        <f t="shared" si="312"/>
        <v>5468805.637076376</v>
      </c>
      <c r="S526" s="49">
        <f t="shared" si="312"/>
        <v>4850592.8259286107</v>
      </c>
      <c r="T526" s="49">
        <f t="shared" si="312"/>
        <v>4302264.9412584202</v>
      </c>
      <c r="U526" s="49">
        <f t="shared" si="312"/>
        <v>3971321.4842385412</v>
      </c>
      <c r="V526" s="49">
        <f t="shared" si="312"/>
        <v>3971321.4842385412</v>
      </c>
      <c r="X526" s="49">
        <f t="shared" si="313"/>
        <v>467419.28522020311</v>
      </c>
      <c r="Y526" s="49">
        <f t="shared" si="313"/>
        <v>467419.28522020311</v>
      </c>
      <c r="Z526" s="49">
        <f t="shared" si="313"/>
        <v>467419.28522020311</v>
      </c>
      <c r="AA526" s="49">
        <f t="shared" si="313"/>
        <v>467419.28522020311</v>
      </c>
      <c r="AB526" s="49">
        <f t="shared" si="313"/>
        <v>467419.28522020311</v>
      </c>
      <c r="AD526" s="49">
        <f t="shared" si="291"/>
        <v>47816992.878026769</v>
      </c>
      <c r="AE526" s="49">
        <f t="shared" si="292"/>
        <v>42498980.766877949</v>
      </c>
      <c r="AF526" s="49">
        <f t="shared" si="293"/>
        <v>37729296.54039932</v>
      </c>
      <c r="AG526" s="49">
        <f t="shared" si="294"/>
        <v>33290555.770940576</v>
      </c>
      <c r="AH526" s="49">
        <f t="shared" si="295"/>
        <v>28851815.001481831</v>
      </c>
      <c r="AJ526" s="49">
        <f t="shared" si="282"/>
        <v>7562002.6801494891</v>
      </c>
      <c r="AK526" s="49">
        <f t="shared" si="283"/>
        <v>6720478.4764557863</v>
      </c>
      <c r="AL526" s="49">
        <f t="shared" si="284"/>
        <v>6203397.4950137977</v>
      </c>
      <c r="AM526" s="49">
        <f t="shared" si="285"/>
        <v>5703781.888754487</v>
      </c>
      <c r="AN526" s="49">
        <f t="shared" si="286"/>
        <v>5535109.739515054</v>
      </c>
    </row>
    <row r="527" spans="2:40">
      <c r="B527" s="43" t="str">
        <f t="shared" si="279"/>
        <v>Asset 221</v>
      </c>
      <c r="F527" s="43" t="str">
        <f t="shared" ref="F527:L527" si="323">F279</f>
        <v>39 ICT middelen 3 (balancering)</v>
      </c>
      <c r="G527" s="43">
        <f t="shared" si="323"/>
        <v>2018</v>
      </c>
      <c r="H527" s="58">
        <f t="shared" si="323"/>
        <v>13091088</v>
      </c>
      <c r="I527" s="43">
        <f t="shared" si="323"/>
        <v>2021</v>
      </c>
      <c r="J527" s="58">
        <f t="shared" si="323"/>
        <v>15</v>
      </c>
      <c r="K527" s="187">
        <f t="shared" si="323"/>
        <v>0</v>
      </c>
      <c r="L527" s="58">
        <f t="shared" si="323"/>
        <v>10587755.526147995</v>
      </c>
      <c r="N527" s="49">
        <f t="shared" si="290"/>
        <v>10587755.526147995</v>
      </c>
      <c r="P527" s="44">
        <f t="shared" si="281"/>
        <v>11.5</v>
      </c>
      <c r="R527" s="49">
        <f t="shared" ref="R527:V536" si="324">IF(R$305&lt;=$G527+$J527,VDB($L527*(1-$F$25),0,$P527,R$305-2022,MIN(R$305-2021,$P527),$F$22),0)</f>
        <v>1077189.0404863614</v>
      </c>
      <c r="S527" s="49">
        <f t="shared" si="324"/>
        <v>955419.84460529429</v>
      </c>
      <c r="T527" s="49">
        <f t="shared" si="324"/>
        <v>847415.86217165238</v>
      </c>
      <c r="U527" s="49">
        <f t="shared" si="324"/>
        <v>782230.02661998675</v>
      </c>
      <c r="V527" s="49">
        <f t="shared" si="324"/>
        <v>782230.02661998675</v>
      </c>
      <c r="X527" s="49">
        <f t="shared" ref="X527:AB536" si="325">IF(X$305&lt;=$G527+$J527,VDB($L527*$F$25,0,$P527,X$305-2022,MIN(X$305-2021,$P527),1),0)</f>
        <v>92067.439357808646</v>
      </c>
      <c r="Y527" s="49">
        <f t="shared" si="325"/>
        <v>92067.439357808646</v>
      </c>
      <c r="Z527" s="49">
        <f t="shared" si="325"/>
        <v>92067.439357808646</v>
      </c>
      <c r="AA527" s="49">
        <f t="shared" si="325"/>
        <v>92067.439357808646</v>
      </c>
      <c r="AB527" s="49">
        <f t="shared" si="325"/>
        <v>92067.439357808646</v>
      </c>
      <c r="AD527" s="49">
        <f t="shared" si="291"/>
        <v>9418499.0463038255</v>
      </c>
      <c r="AE527" s="49">
        <f t="shared" si="292"/>
        <v>8371011.7623407217</v>
      </c>
      <c r="AF527" s="49">
        <f t="shared" si="293"/>
        <v>7431528.4608112602</v>
      </c>
      <c r="AG527" s="49">
        <f t="shared" si="294"/>
        <v>6557230.9948334647</v>
      </c>
      <c r="AH527" s="49">
        <f t="shared" si="295"/>
        <v>5682933.5288556693</v>
      </c>
      <c r="AJ527" s="49">
        <f t="shared" si="282"/>
        <v>1489485.4474185</v>
      </c>
      <c r="AK527" s="49">
        <f t="shared" si="283"/>
        <v>1323730.6721203467</v>
      </c>
      <c r="AL527" s="49">
        <f t="shared" si="284"/>
        <v>1221881.3830402889</v>
      </c>
      <c r="AM527" s="49">
        <f t="shared" si="285"/>
        <v>1123472.243781467</v>
      </c>
      <c r="AN527" s="49">
        <f t="shared" si="286"/>
        <v>1090248.9400743109</v>
      </c>
    </row>
    <row r="528" spans="2:40">
      <c r="B528" s="43" t="str">
        <f t="shared" si="279"/>
        <v>Asset 222</v>
      </c>
      <c r="F528" s="43" t="str">
        <f t="shared" ref="F528:L528" si="326">F280</f>
        <v>39 ICT middelen 3 (KC)</v>
      </c>
      <c r="G528" s="43">
        <f t="shared" si="326"/>
        <v>2019</v>
      </c>
      <c r="H528" s="58">
        <f t="shared" si="326"/>
        <v>510273.00000000006</v>
      </c>
      <c r="I528" s="43">
        <f t="shared" si="326"/>
        <v>2021</v>
      </c>
      <c r="J528" s="58">
        <f t="shared" si="326"/>
        <v>15</v>
      </c>
      <c r="K528" s="187">
        <f t="shared" si="326"/>
        <v>0</v>
      </c>
      <c r="L528" s="58">
        <f t="shared" si="326"/>
        <v>443263.94964000006</v>
      </c>
      <c r="N528" s="49">
        <f t="shared" si="290"/>
        <v>443263.94964000006</v>
      </c>
      <c r="P528" s="44">
        <f t="shared" si="281"/>
        <v>12.5</v>
      </c>
      <c r="R528" s="49">
        <f t="shared" si="324"/>
        <v>41489.505686304015</v>
      </c>
      <c r="S528" s="49">
        <f t="shared" si="324"/>
        <v>37174.597094928395</v>
      </c>
      <c r="T528" s="49">
        <f t="shared" si="324"/>
        <v>33308.43899705584</v>
      </c>
      <c r="U528" s="49">
        <f t="shared" si="324"/>
        <v>30206.843462917033</v>
      </c>
      <c r="V528" s="49">
        <f t="shared" si="324"/>
        <v>30206.843462917033</v>
      </c>
      <c r="X528" s="49">
        <f t="shared" si="325"/>
        <v>3546.1115971200006</v>
      </c>
      <c r="Y528" s="49">
        <f t="shared" si="325"/>
        <v>3546.1115971200006</v>
      </c>
      <c r="Z528" s="49">
        <f t="shared" si="325"/>
        <v>3546.1115971200006</v>
      </c>
      <c r="AA528" s="49">
        <f t="shared" si="325"/>
        <v>3546.1115971200006</v>
      </c>
      <c r="AB528" s="49">
        <f t="shared" si="325"/>
        <v>3546.1115971200006</v>
      </c>
      <c r="AD528" s="49">
        <f t="shared" si="291"/>
        <v>398228.33235657605</v>
      </c>
      <c r="AE528" s="49">
        <f t="shared" si="292"/>
        <v>357507.62366452767</v>
      </c>
      <c r="AF528" s="49">
        <f t="shared" si="293"/>
        <v>320653.07307035179</v>
      </c>
      <c r="AG528" s="49">
        <f t="shared" si="294"/>
        <v>286900.11801031476</v>
      </c>
      <c r="AH528" s="49">
        <f t="shared" si="295"/>
        <v>253147.16295027774</v>
      </c>
      <c r="AJ528" s="49">
        <f t="shared" si="282"/>
        <v>58575.380583547601</v>
      </c>
      <c r="AK528" s="49">
        <f t="shared" si="283"/>
        <v>52518.460272977805</v>
      </c>
      <c r="AL528" s="49">
        <f t="shared" si="284"/>
        <v>49039.367370849206</v>
      </c>
      <c r="AM528" s="49">
        <f t="shared" si="285"/>
        <v>44655.159544429</v>
      </c>
      <c r="AN528" s="49">
        <f t="shared" si="286"/>
        <v>43372.547252147589</v>
      </c>
    </row>
    <row r="529" spans="2:40">
      <c r="B529" s="43" t="str">
        <f t="shared" si="279"/>
        <v>Asset 223</v>
      </c>
      <c r="F529" s="43" t="str">
        <f t="shared" ref="F529:L529" si="327">F281</f>
        <v>37 ICT middelen 1</v>
      </c>
      <c r="G529" s="43">
        <f t="shared" si="327"/>
        <v>2020</v>
      </c>
      <c r="H529" s="58">
        <f t="shared" si="327"/>
        <v>4054436.8604233577</v>
      </c>
      <c r="I529" s="43">
        <f t="shared" si="327"/>
        <v>2021</v>
      </c>
      <c r="J529" s="58">
        <f t="shared" si="327"/>
        <v>5</v>
      </c>
      <c r="K529" s="187">
        <f t="shared" si="327"/>
        <v>1</v>
      </c>
      <c r="L529" s="58">
        <f t="shared" si="327"/>
        <v>2883515.4951330922</v>
      </c>
      <c r="N529" s="49">
        <f t="shared" si="290"/>
        <v>2883515.4951330922</v>
      </c>
      <c r="P529" s="44">
        <f t="shared" si="281"/>
        <v>3.5</v>
      </c>
      <c r="R529" s="49">
        <f t="shared" si="324"/>
        <v>963918.03694449086</v>
      </c>
      <c r="S529" s="49">
        <f t="shared" si="324"/>
        <v>652498.36347011686</v>
      </c>
      <c r="T529" s="49">
        <f t="shared" si="324"/>
        <v>652498.36347011686</v>
      </c>
      <c r="U529" s="49">
        <f t="shared" si="324"/>
        <v>326249.18173505843</v>
      </c>
      <c r="V529" s="49">
        <f t="shared" si="324"/>
        <v>0</v>
      </c>
      <c r="X529" s="49">
        <f t="shared" si="325"/>
        <v>82386.157003802626</v>
      </c>
      <c r="Y529" s="49">
        <f t="shared" si="325"/>
        <v>82386.157003802626</v>
      </c>
      <c r="Z529" s="49">
        <f t="shared" si="325"/>
        <v>82386.157003802626</v>
      </c>
      <c r="AA529" s="49">
        <f t="shared" si="325"/>
        <v>41193.078501901313</v>
      </c>
      <c r="AB529" s="49">
        <f t="shared" si="325"/>
        <v>0</v>
      </c>
      <c r="AD529" s="49">
        <f t="shared" si="291"/>
        <v>1837211.3011847986</v>
      </c>
      <c r="AE529" s="49">
        <f t="shared" si="292"/>
        <v>1102326.780710879</v>
      </c>
      <c r="AF529" s="49">
        <f t="shared" si="293"/>
        <v>367442.26023695956</v>
      </c>
      <c r="AG529" s="49">
        <f t="shared" si="294"/>
        <v>-1.8917489796876907E-10</v>
      </c>
      <c r="AH529" s="49">
        <f t="shared" si="295"/>
        <v>0</v>
      </c>
      <c r="AJ529" s="49">
        <f t="shared" si="282"/>
        <v>1108769.3781885765</v>
      </c>
      <c r="AK529" s="49">
        <f t="shared" si="283"/>
        <v>771261.30423737853</v>
      </c>
      <c r="AL529" s="49">
        <f t="shared" si="284"/>
        <v>748847.32636292395</v>
      </c>
      <c r="AM529" s="49">
        <f t="shared" si="285"/>
        <v>367442.26023695973</v>
      </c>
      <c r="AN529" s="49">
        <f t="shared" si="286"/>
        <v>0</v>
      </c>
    </row>
    <row r="530" spans="2:40">
      <c r="B530" s="43" t="str">
        <f t="shared" si="279"/>
        <v>Asset 224</v>
      </c>
      <c r="F530" s="43" t="str">
        <f t="shared" ref="F530:L530" si="328">F282</f>
        <v>11 Werktuigen</v>
      </c>
      <c r="G530" s="43">
        <f t="shared" si="328"/>
        <v>2021</v>
      </c>
      <c r="H530" s="58">
        <f t="shared" si="328"/>
        <v>2667062.5363170211</v>
      </c>
      <c r="I530" s="43">
        <f t="shared" si="328"/>
        <v>2021</v>
      </c>
      <c r="J530" s="58">
        <f t="shared" si="328"/>
        <v>10</v>
      </c>
      <c r="K530" s="187">
        <f t="shared" si="328"/>
        <v>1</v>
      </c>
      <c r="L530" s="58">
        <f t="shared" si="328"/>
        <v>2533709.4095011703</v>
      </c>
      <c r="N530" s="49">
        <f t="shared" si="290"/>
        <v>2533709.4095011703</v>
      </c>
      <c r="P530" s="44">
        <f t="shared" si="281"/>
        <v>9.5</v>
      </c>
      <c r="R530" s="49">
        <f t="shared" si="324"/>
        <v>312046.31674909149</v>
      </c>
      <c r="S530" s="49">
        <f t="shared" si="324"/>
        <v>269345.24182553164</v>
      </c>
      <c r="T530" s="49">
        <f t="shared" si="324"/>
        <v>232487.47189151149</v>
      </c>
      <c r="U530" s="49">
        <f t="shared" si="324"/>
        <v>225609.14432075669</v>
      </c>
      <c r="V530" s="49">
        <f t="shared" si="324"/>
        <v>225609.14432075669</v>
      </c>
      <c r="X530" s="49">
        <f t="shared" si="325"/>
        <v>26670.625363170217</v>
      </c>
      <c r="Y530" s="49">
        <f t="shared" si="325"/>
        <v>26670.625363170217</v>
      </c>
      <c r="Z530" s="49">
        <f t="shared" si="325"/>
        <v>26670.625363170217</v>
      </c>
      <c r="AA530" s="49">
        <f t="shared" si="325"/>
        <v>26670.625363170217</v>
      </c>
      <c r="AB530" s="49">
        <f t="shared" si="325"/>
        <v>26670.625363170217</v>
      </c>
      <c r="AD530" s="49">
        <f t="shared" si="291"/>
        <v>2194992.4673889084</v>
      </c>
      <c r="AE530" s="49">
        <f t="shared" si="292"/>
        <v>1898976.6002002065</v>
      </c>
      <c r="AF530" s="49">
        <f t="shared" si="293"/>
        <v>1639818.5029455249</v>
      </c>
      <c r="AG530" s="49">
        <f t="shared" si="294"/>
        <v>1387538.733261598</v>
      </c>
      <c r="AH530" s="49">
        <f t="shared" si="295"/>
        <v>1135258.9635776712</v>
      </c>
      <c r="AJ530" s="49">
        <f t="shared" si="282"/>
        <v>413346.68600348465</v>
      </c>
      <c r="AK530" s="49">
        <f t="shared" si="283"/>
        <v>358682.09499530867</v>
      </c>
      <c r="AL530" s="49">
        <f t="shared" si="284"/>
        <v>321471.20036661165</v>
      </c>
      <c r="AM530" s="49">
        <f t="shared" si="285"/>
        <v>305006.24154786766</v>
      </c>
      <c r="AN530" s="49">
        <f t="shared" si="286"/>
        <v>295419.6102998784</v>
      </c>
    </row>
    <row r="531" spans="2:40">
      <c r="B531" s="43" t="str">
        <f t="shared" si="279"/>
        <v>Asset 225</v>
      </c>
      <c r="F531" s="43" t="str">
        <f t="shared" ref="F531:L531" si="329">F283</f>
        <v>10 Gereedschap</v>
      </c>
      <c r="G531" s="43">
        <f t="shared" si="329"/>
        <v>2021</v>
      </c>
      <c r="H531" s="58">
        <f t="shared" si="329"/>
        <v>467492.45719026914</v>
      </c>
      <c r="I531" s="43">
        <f t="shared" si="329"/>
        <v>2021</v>
      </c>
      <c r="J531" s="58">
        <f t="shared" si="329"/>
        <v>10</v>
      </c>
      <c r="K531" s="187">
        <f t="shared" si="329"/>
        <v>1</v>
      </c>
      <c r="L531" s="58">
        <f t="shared" si="329"/>
        <v>444117.83433075569</v>
      </c>
      <c r="N531" s="49">
        <f t="shared" si="290"/>
        <v>444117.83433075569</v>
      </c>
      <c r="P531" s="44">
        <f t="shared" si="281"/>
        <v>9.5</v>
      </c>
      <c r="R531" s="49">
        <f t="shared" si="324"/>
        <v>54696.617491261495</v>
      </c>
      <c r="S531" s="49">
        <f t="shared" si="324"/>
        <v>47211.817202983599</v>
      </c>
      <c r="T531" s="49">
        <f t="shared" si="324"/>
        <v>40751.252743627949</v>
      </c>
      <c r="U531" s="49">
        <f t="shared" si="324"/>
        <v>39545.594378431859</v>
      </c>
      <c r="V531" s="49">
        <f t="shared" si="324"/>
        <v>39545.594378431859</v>
      </c>
      <c r="X531" s="49">
        <f t="shared" si="325"/>
        <v>4674.9245719026922</v>
      </c>
      <c r="Y531" s="49">
        <f t="shared" si="325"/>
        <v>4674.9245719026922</v>
      </c>
      <c r="Z531" s="49">
        <f t="shared" si="325"/>
        <v>4674.9245719026922</v>
      </c>
      <c r="AA531" s="49">
        <f t="shared" si="325"/>
        <v>4674.9245719026922</v>
      </c>
      <c r="AB531" s="49">
        <f t="shared" si="325"/>
        <v>4674.9245719026922</v>
      </c>
      <c r="AD531" s="49">
        <f t="shared" si="291"/>
        <v>384746.29226759152</v>
      </c>
      <c r="AE531" s="49">
        <f t="shared" si="292"/>
        <v>332859.55049270525</v>
      </c>
      <c r="AF531" s="49">
        <f t="shared" si="293"/>
        <v>287433.37317717465</v>
      </c>
      <c r="AG531" s="49">
        <f t="shared" si="294"/>
        <v>243212.85422684011</v>
      </c>
      <c r="AH531" s="49">
        <f t="shared" si="295"/>
        <v>198992.33527650556</v>
      </c>
      <c r="AJ531" s="49">
        <f t="shared" si="282"/>
        <v>72452.91600026231</v>
      </c>
      <c r="AK531" s="49">
        <f t="shared" si="283"/>
        <v>62871.106941145568</v>
      </c>
      <c r="AL531" s="49">
        <f t="shared" si="284"/>
        <v>56348.645496263278</v>
      </c>
      <c r="AM531" s="49">
        <f t="shared" si="285"/>
        <v>53462.607410954479</v>
      </c>
      <c r="AN531" s="49">
        <f t="shared" si="286"/>
        <v>51782.227690841763</v>
      </c>
    </row>
    <row r="532" spans="2:40">
      <c r="B532" s="43" t="str">
        <f t="shared" si="279"/>
        <v>Asset 226</v>
      </c>
      <c r="F532" s="43" t="str">
        <f t="shared" ref="F532:L532" si="330">F284</f>
        <v>38 ICT middelen 2</v>
      </c>
      <c r="G532" s="43">
        <f t="shared" si="330"/>
        <v>2021</v>
      </c>
      <c r="H532" s="58">
        <f t="shared" si="330"/>
        <v>3432262.7310020467</v>
      </c>
      <c r="I532" s="43">
        <f t="shared" si="330"/>
        <v>2021</v>
      </c>
      <c r="J532" s="58">
        <f t="shared" si="330"/>
        <v>10</v>
      </c>
      <c r="K532" s="187">
        <f t="shared" si="330"/>
        <v>1</v>
      </c>
      <c r="L532" s="58">
        <f t="shared" si="330"/>
        <v>3260649.5944519443</v>
      </c>
      <c r="N532" s="49">
        <f t="shared" si="290"/>
        <v>3260649.5944519443</v>
      </c>
      <c r="P532" s="44">
        <f t="shared" si="281"/>
        <v>9.5</v>
      </c>
      <c r="R532" s="49">
        <f t="shared" si="324"/>
        <v>401574.73952723952</v>
      </c>
      <c r="S532" s="49">
        <f t="shared" si="324"/>
        <v>346622.40674982779</v>
      </c>
      <c r="T532" s="49">
        <f t="shared" si="324"/>
        <v>299189.8668787987</v>
      </c>
      <c r="U532" s="49">
        <f t="shared" si="324"/>
        <v>290338.09566936677</v>
      </c>
      <c r="V532" s="49">
        <f t="shared" si="324"/>
        <v>290338.09566936677</v>
      </c>
      <c r="X532" s="49">
        <f t="shared" si="325"/>
        <v>34322.627310020471</v>
      </c>
      <c r="Y532" s="49">
        <f t="shared" si="325"/>
        <v>34322.627310020463</v>
      </c>
      <c r="Z532" s="49">
        <f t="shared" si="325"/>
        <v>34322.627310020463</v>
      </c>
      <c r="AA532" s="49">
        <f t="shared" si="325"/>
        <v>34322.627310020463</v>
      </c>
      <c r="AB532" s="49">
        <f t="shared" si="325"/>
        <v>34322.627310020463</v>
      </c>
      <c r="AD532" s="49">
        <f t="shared" si="291"/>
        <v>2824752.2276146845</v>
      </c>
      <c r="AE532" s="49">
        <f t="shared" si="292"/>
        <v>2443807.1935548363</v>
      </c>
      <c r="AF532" s="49">
        <f t="shared" si="293"/>
        <v>2110294.6993660172</v>
      </c>
      <c r="AG532" s="49">
        <f t="shared" si="294"/>
        <v>1785633.97638663</v>
      </c>
      <c r="AH532" s="49">
        <f t="shared" si="295"/>
        <v>1460973.2534072427</v>
      </c>
      <c r="AJ532" s="49">
        <f t="shared" si="282"/>
        <v>531938.94257615926</v>
      </c>
      <c r="AK532" s="49">
        <f t="shared" si="283"/>
        <v>461590.67144715786</v>
      </c>
      <c r="AL532" s="49">
        <f t="shared" si="284"/>
        <v>413703.69276472781</v>
      </c>
      <c r="AM532" s="49">
        <f t="shared" si="285"/>
        <v>392514.81408207916</v>
      </c>
      <c r="AN532" s="49">
        <f t="shared" si="286"/>
        <v>380177.70660886244</v>
      </c>
    </row>
    <row r="533" spans="2:40">
      <c r="B533" s="43" t="str">
        <f t="shared" si="279"/>
        <v>Asset 227</v>
      </c>
      <c r="F533" s="43" t="str">
        <f t="shared" ref="F533:L533" si="331">F285</f>
        <v>37 ICT middelen 1</v>
      </c>
      <c r="G533" s="43">
        <f t="shared" si="331"/>
        <v>2021</v>
      </c>
      <c r="H533" s="58">
        <f t="shared" si="331"/>
        <v>8176022.700880779</v>
      </c>
      <c r="I533" s="43">
        <f t="shared" si="331"/>
        <v>2021</v>
      </c>
      <c r="J533" s="58">
        <f t="shared" si="331"/>
        <v>5</v>
      </c>
      <c r="K533" s="187">
        <f t="shared" si="331"/>
        <v>1</v>
      </c>
      <c r="L533" s="58">
        <f t="shared" si="331"/>
        <v>7358420.4307927005</v>
      </c>
      <c r="N533" s="49">
        <f t="shared" si="290"/>
        <v>7358420.4307927005</v>
      </c>
      <c r="P533" s="44">
        <f t="shared" si="281"/>
        <v>4.5</v>
      </c>
      <c r="R533" s="49">
        <f t="shared" si="324"/>
        <v>1913189.3120061024</v>
      </c>
      <c r="S533" s="49">
        <f t="shared" si="324"/>
        <v>1360490.1774265615</v>
      </c>
      <c r="T533" s="49">
        <f t="shared" si="324"/>
        <v>1339559.5593123063</v>
      </c>
      <c r="U533" s="49">
        <f t="shared" si="324"/>
        <v>1339559.5593123063</v>
      </c>
      <c r="V533" s="49">
        <f t="shared" si="324"/>
        <v>669779.77965615317</v>
      </c>
      <c r="X533" s="49">
        <f t="shared" si="325"/>
        <v>163520.45401761556</v>
      </c>
      <c r="Y533" s="49">
        <f t="shared" si="325"/>
        <v>163520.45401761559</v>
      </c>
      <c r="Z533" s="49">
        <f t="shared" si="325"/>
        <v>163520.45401761559</v>
      </c>
      <c r="AA533" s="49">
        <f t="shared" si="325"/>
        <v>163520.45401761559</v>
      </c>
      <c r="AB533" s="49">
        <f t="shared" si="325"/>
        <v>81760.227008807793</v>
      </c>
      <c r="AD533" s="49">
        <f t="shared" si="291"/>
        <v>5281710.6647689817</v>
      </c>
      <c r="AE533" s="49">
        <f t="shared" si="292"/>
        <v>3757700.0333248046</v>
      </c>
      <c r="AF533" s="49">
        <f t="shared" si="293"/>
        <v>2254620.0199948829</v>
      </c>
      <c r="AG533" s="49">
        <f t="shared" si="294"/>
        <v>751540.00666496088</v>
      </c>
      <c r="AH533" s="49">
        <f t="shared" si="295"/>
        <v>-8.7311491370201111E-11</v>
      </c>
      <c r="AJ533" s="49">
        <f t="shared" si="282"/>
        <v>2256287.9286258635</v>
      </c>
      <c r="AK533" s="49">
        <f t="shared" si="283"/>
        <v>1648014.7325438957</v>
      </c>
      <c r="AL533" s="49">
        <f t="shared" si="284"/>
        <v>1588755.5740897276</v>
      </c>
      <c r="AM533" s="49">
        <f t="shared" si="285"/>
        <v>1531638.5335831905</v>
      </c>
      <c r="AN533" s="49">
        <f t="shared" si="286"/>
        <v>751540.00666496099</v>
      </c>
    </row>
    <row r="534" spans="2:40">
      <c r="B534" s="43" t="str">
        <f t="shared" si="279"/>
        <v>Asset 228</v>
      </c>
      <c r="F534" s="43" t="str">
        <f t="shared" ref="F534:L534" si="332">F286</f>
        <v>39 ICT middelen 3</v>
      </c>
      <c r="G534" s="43">
        <f t="shared" si="332"/>
        <v>2019</v>
      </c>
      <c r="H534" s="58">
        <f t="shared" si="332"/>
        <v>1603714.1720507673</v>
      </c>
      <c r="I534" s="43">
        <f t="shared" si="332"/>
        <v>2021</v>
      </c>
      <c r="J534" s="58">
        <f t="shared" si="332"/>
        <v>15</v>
      </c>
      <c r="K534" s="187">
        <f t="shared" si="332"/>
        <v>1</v>
      </c>
      <c r="L534" s="58">
        <f t="shared" si="332"/>
        <v>1393114.426977061</v>
      </c>
      <c r="N534" s="49">
        <f t="shared" si="290"/>
        <v>1393114.426977061</v>
      </c>
      <c r="P534" s="44">
        <f t="shared" si="281"/>
        <v>12.5</v>
      </c>
      <c r="R534" s="49">
        <f t="shared" si="324"/>
        <v>130395.51036505291</v>
      </c>
      <c r="S534" s="49">
        <f t="shared" si="324"/>
        <v>116834.37728708741</v>
      </c>
      <c r="T534" s="49">
        <f t="shared" si="324"/>
        <v>104683.60204923032</v>
      </c>
      <c r="U534" s="49">
        <f t="shared" si="324"/>
        <v>94935.736271366753</v>
      </c>
      <c r="V534" s="49">
        <f t="shared" si="324"/>
        <v>94935.736271366753</v>
      </c>
      <c r="X534" s="49">
        <f t="shared" si="325"/>
        <v>11144.915415816489</v>
      </c>
      <c r="Y534" s="49">
        <f t="shared" si="325"/>
        <v>11144.915415816489</v>
      </c>
      <c r="Z534" s="49">
        <f t="shared" si="325"/>
        <v>11144.915415816489</v>
      </c>
      <c r="AA534" s="49">
        <f t="shared" si="325"/>
        <v>11144.915415816489</v>
      </c>
      <c r="AB534" s="49">
        <f t="shared" si="325"/>
        <v>11144.915415816489</v>
      </c>
      <c r="AD534" s="49">
        <f t="shared" si="291"/>
        <v>1251574.0011961916</v>
      </c>
      <c r="AE534" s="49">
        <f t="shared" si="292"/>
        <v>1123594.7084932877</v>
      </c>
      <c r="AF534" s="49">
        <f t="shared" si="293"/>
        <v>1007766.1910282408</v>
      </c>
      <c r="AG534" s="49">
        <f t="shared" si="294"/>
        <v>901685.53934105765</v>
      </c>
      <c r="AH534" s="49">
        <f t="shared" si="295"/>
        <v>795604.88765387447</v>
      </c>
      <c r="AJ534" s="49">
        <f t="shared" si="282"/>
        <v>184093.94182153989</v>
      </c>
      <c r="AK534" s="49">
        <f t="shared" si="283"/>
        <v>165057.91808318239</v>
      </c>
      <c r="AL534" s="49">
        <f t="shared" si="284"/>
        <v>154123.63272411996</v>
      </c>
      <c r="AM534" s="49">
        <f t="shared" si="285"/>
        <v>140344.70218214343</v>
      </c>
      <c r="AN534" s="49">
        <f t="shared" si="286"/>
        <v>136313.63741803047</v>
      </c>
    </row>
    <row r="535" spans="2:40">
      <c r="B535" s="43" t="str">
        <f t="shared" si="279"/>
        <v>Asset 229</v>
      </c>
      <c r="F535" s="43" t="str">
        <f t="shared" ref="F535:L535" si="333">F287</f>
        <v>39 ICT middelen 3 (balancering)</v>
      </c>
      <c r="G535" s="43">
        <f t="shared" si="333"/>
        <v>2019</v>
      </c>
      <c r="H535" s="58">
        <f t="shared" si="333"/>
        <v>315883</v>
      </c>
      <c r="I535" s="43">
        <f t="shared" si="333"/>
        <v>2021</v>
      </c>
      <c r="J535" s="58">
        <f t="shared" si="333"/>
        <v>15</v>
      </c>
      <c r="K535" s="187">
        <f t="shared" si="333"/>
        <v>0</v>
      </c>
      <c r="L535" s="58">
        <f t="shared" si="333"/>
        <v>274401.24443999998</v>
      </c>
      <c r="N535" s="49">
        <f t="shared" si="290"/>
        <v>274401.24443999998</v>
      </c>
      <c r="P535" s="44">
        <f t="shared" si="281"/>
        <v>12.5</v>
      </c>
      <c r="R535" s="49">
        <f t="shared" si="324"/>
        <v>25683.956479584001</v>
      </c>
      <c r="S535" s="49">
        <f t="shared" si="324"/>
        <v>23012.825005707266</v>
      </c>
      <c r="T535" s="49">
        <f t="shared" si="324"/>
        <v>20619.491205113707</v>
      </c>
      <c r="U535" s="49">
        <f t="shared" si="324"/>
        <v>18699.457611115264</v>
      </c>
      <c r="V535" s="49">
        <f t="shared" si="324"/>
        <v>18699.457611115264</v>
      </c>
      <c r="X535" s="49">
        <f t="shared" si="325"/>
        <v>2195.2099555200002</v>
      </c>
      <c r="Y535" s="49">
        <f t="shared" si="325"/>
        <v>2195.2099555200002</v>
      </c>
      <c r="Z535" s="49">
        <f t="shared" si="325"/>
        <v>2195.2099555200002</v>
      </c>
      <c r="AA535" s="49">
        <f t="shared" si="325"/>
        <v>2195.2099555200002</v>
      </c>
      <c r="AB535" s="49">
        <f t="shared" si="325"/>
        <v>2195.2099555200002</v>
      </c>
      <c r="AD535" s="49">
        <f t="shared" si="291"/>
        <v>246522.07800489597</v>
      </c>
      <c r="AE535" s="49">
        <f t="shared" si="292"/>
        <v>221314.0430436687</v>
      </c>
      <c r="AF535" s="49">
        <f t="shared" si="293"/>
        <v>198499.341883035</v>
      </c>
      <c r="AG535" s="49">
        <f t="shared" si="294"/>
        <v>177604.67431639973</v>
      </c>
      <c r="AH535" s="49">
        <f t="shared" si="295"/>
        <v>156710.00674976446</v>
      </c>
      <c r="AJ535" s="49">
        <f t="shared" si="282"/>
        <v>36260.917087270464</v>
      </c>
      <c r="AK535" s="49">
        <f t="shared" si="283"/>
        <v>32511.398381668332</v>
      </c>
      <c r="AL535" s="49">
        <f t="shared" si="284"/>
        <v>30357.676152189037</v>
      </c>
      <c r="AM535" s="49">
        <f t="shared" si="285"/>
        <v>27643.645190658455</v>
      </c>
      <c r="AN535" s="49">
        <f t="shared" si="286"/>
        <v>26849.647823126314</v>
      </c>
    </row>
    <row r="536" spans="2:40">
      <c r="B536" s="43" t="str">
        <f t="shared" si="279"/>
        <v>Asset 230</v>
      </c>
      <c r="F536" s="43" t="str">
        <f t="shared" ref="F536:L536" si="334">F288</f>
        <v>39 ICT middelen 3</v>
      </c>
      <c r="G536" s="43">
        <f t="shared" si="334"/>
        <v>2020</v>
      </c>
      <c r="H536" s="58">
        <f t="shared" si="334"/>
        <v>437.7361508808076</v>
      </c>
      <c r="I536" s="43">
        <f t="shared" si="334"/>
        <v>2021</v>
      </c>
      <c r="J536" s="58">
        <f t="shared" si="334"/>
        <v>15</v>
      </c>
      <c r="K536" s="187">
        <f t="shared" si="334"/>
        <v>1</v>
      </c>
      <c r="L536" s="58">
        <f t="shared" si="334"/>
        <v>400.26593636541048</v>
      </c>
      <c r="N536" s="49">
        <f t="shared" si="290"/>
        <v>400.26593636541048</v>
      </c>
      <c r="P536" s="44">
        <f t="shared" si="281"/>
        <v>13.5</v>
      </c>
      <c r="R536" s="49">
        <f t="shared" si="324"/>
        <v>34.689714485002241</v>
      </c>
      <c r="S536" s="49">
        <f t="shared" si="324"/>
        <v>31.349223460520545</v>
      </c>
      <c r="T536" s="49">
        <f t="shared" si="324"/>
        <v>28.330409349507455</v>
      </c>
      <c r="U536" s="49">
        <f t="shared" si="324"/>
        <v>25.602295856591919</v>
      </c>
      <c r="V536" s="49">
        <f t="shared" si="324"/>
        <v>25.291336797604973</v>
      </c>
      <c r="X536" s="49">
        <f t="shared" si="325"/>
        <v>2.9649328619660036</v>
      </c>
      <c r="Y536" s="49">
        <f t="shared" si="325"/>
        <v>2.9649328619660036</v>
      </c>
      <c r="Z536" s="49">
        <f t="shared" si="325"/>
        <v>2.9649328619660036</v>
      </c>
      <c r="AA536" s="49">
        <f t="shared" si="325"/>
        <v>2.9649328619660036</v>
      </c>
      <c r="AB536" s="49">
        <f t="shared" si="325"/>
        <v>2.9649328619660036</v>
      </c>
      <c r="AD536" s="49">
        <f t="shared" si="291"/>
        <v>362.61128901844222</v>
      </c>
      <c r="AE536" s="49">
        <f t="shared" si="292"/>
        <v>328.29713269595567</v>
      </c>
      <c r="AF536" s="49">
        <f t="shared" si="293"/>
        <v>297.00179048448217</v>
      </c>
      <c r="AG536" s="49">
        <f t="shared" si="294"/>
        <v>268.43456176592423</v>
      </c>
      <c r="AH536" s="49">
        <f t="shared" si="295"/>
        <v>240.17829210635327</v>
      </c>
      <c r="AJ536" s="49">
        <f t="shared" si="282"/>
        <v>49.983431173595285</v>
      </c>
      <c r="AK536" s="49">
        <f t="shared" si="283"/>
        <v>45.147961701453085</v>
      </c>
      <c r="AL536" s="49">
        <f t="shared" si="284"/>
        <v>42.581410249883781</v>
      </c>
      <c r="AM536" s="49">
        <f t="shared" si="285"/>
        <v>38.767742065663043</v>
      </c>
      <c r="AN536" s="49">
        <f t="shared" si="286"/>
        <v>37.383044759612403</v>
      </c>
    </row>
    <row r="537" spans="2:40">
      <c r="B537" s="43" t="str">
        <f t="shared" si="279"/>
        <v>Asset 231</v>
      </c>
      <c r="F537" s="43" t="str">
        <f t="shared" ref="F537:L537" si="335">F289</f>
        <v>05 Wegen en terreinvoorzieningen</v>
      </c>
      <c r="G537" s="43">
        <f t="shared" si="335"/>
        <v>2020</v>
      </c>
      <c r="H537" s="58">
        <f t="shared" si="335"/>
        <v>274981.09053004743</v>
      </c>
      <c r="I537" s="43">
        <f t="shared" si="335"/>
        <v>2021</v>
      </c>
      <c r="J537" s="58">
        <f t="shared" si="335"/>
        <v>10</v>
      </c>
      <c r="K537" s="187">
        <f t="shared" si="335"/>
        <v>0</v>
      </c>
      <c r="L537" s="58">
        <f t="shared" si="335"/>
        <v>237473.66978174893</v>
      </c>
      <c r="N537" s="49">
        <f t="shared" si="290"/>
        <v>237473.66978174893</v>
      </c>
      <c r="P537" s="44">
        <f t="shared" si="281"/>
        <v>8.5</v>
      </c>
      <c r="R537" s="49">
        <f t="shared" ref="R537:V549" si="336">IF(R$305&lt;=$G537+$J537,VDB($L537*(1-$F$25),0,$P537,R$305-2022,MIN(R$305-2021,$P537),$F$22),0)</f>
        <v>32687.552193487798</v>
      </c>
      <c r="S537" s="49">
        <f t="shared" si="336"/>
        <v>27688.279505072016</v>
      </c>
      <c r="T537" s="49">
        <f t="shared" si="336"/>
        <v>23592.38017000219</v>
      </c>
      <c r="U537" s="49">
        <f t="shared" si="336"/>
        <v>23592.38017000219</v>
      </c>
      <c r="V537" s="49">
        <f t="shared" si="336"/>
        <v>23592.38017000219</v>
      </c>
      <c r="X537" s="49">
        <f t="shared" ref="X537:AB549" si="337">IF(X$305&lt;=$G537+$J537,VDB($L537*$F$25,0,$P537,X$305-2022,MIN(X$305-2021,$P537),1),0)</f>
        <v>2793.8078797852818</v>
      </c>
      <c r="Y537" s="49">
        <f t="shared" si="337"/>
        <v>2793.8078797852813</v>
      </c>
      <c r="Z537" s="49">
        <f t="shared" si="337"/>
        <v>2793.8078797852813</v>
      </c>
      <c r="AA537" s="49">
        <f t="shared" si="337"/>
        <v>2793.8078797852813</v>
      </c>
      <c r="AB537" s="49">
        <f t="shared" si="337"/>
        <v>2793.8078797852813</v>
      </c>
      <c r="AD537" s="49">
        <f t="shared" si="291"/>
        <v>201992.30970847586</v>
      </c>
      <c r="AE537" s="49">
        <f t="shared" si="292"/>
        <v>171510.22232361857</v>
      </c>
      <c r="AF537" s="49">
        <f t="shared" si="293"/>
        <v>145124.03427383109</v>
      </c>
      <c r="AG537" s="49">
        <f t="shared" si="294"/>
        <v>118737.84622404362</v>
      </c>
      <c r="AH537" s="49">
        <f t="shared" si="295"/>
        <v>92351.658174256154</v>
      </c>
      <c r="AJ537" s="49">
        <f t="shared" si="282"/>
        <v>42349.098603361257</v>
      </c>
      <c r="AK537" s="49">
        <f t="shared" si="283"/>
        <v>36141.924721536707</v>
      </c>
      <c r="AL537" s="49">
        <f t="shared" si="284"/>
        <v>31900.901352193054</v>
      </c>
      <c r="AM537" s="49">
        <f t="shared" si="285"/>
        <v>30898.226206301129</v>
      </c>
      <c r="AN537" s="49">
        <f t="shared" si="286"/>
        <v>29895.551060409209</v>
      </c>
    </row>
    <row r="538" spans="2:40">
      <c r="B538" s="43" t="str">
        <f t="shared" si="279"/>
        <v>Asset 232</v>
      </c>
      <c r="F538" s="43" t="str">
        <f t="shared" ref="F538:L538" si="338">F290</f>
        <v>04 Terreinen</v>
      </c>
      <c r="G538" s="43">
        <f t="shared" si="338"/>
        <v>2020</v>
      </c>
      <c r="H538" s="58">
        <f t="shared" si="338"/>
        <v>1155506.2616599156</v>
      </c>
      <c r="I538" s="43">
        <f t="shared" si="338"/>
        <v>2021</v>
      </c>
      <c r="J538" s="58">
        <f t="shared" si="338"/>
        <v>0</v>
      </c>
      <c r="K538" s="187">
        <f t="shared" si="338"/>
        <v>0</v>
      </c>
      <c r="L538" s="58">
        <f t="shared" si="338"/>
        <v>1173994.3618464742</v>
      </c>
      <c r="N538" s="49">
        <f t="shared" si="290"/>
        <v>1173994.3618464742</v>
      </c>
      <c r="P538" s="44">
        <f t="shared" si="281"/>
        <v>0</v>
      </c>
      <c r="R538" s="49">
        <f t="shared" si="336"/>
        <v>0</v>
      </c>
      <c r="S538" s="49">
        <f t="shared" si="336"/>
        <v>0</v>
      </c>
      <c r="T538" s="49">
        <f t="shared" si="336"/>
        <v>0</v>
      </c>
      <c r="U538" s="49">
        <f t="shared" si="336"/>
        <v>0</v>
      </c>
      <c r="V538" s="49">
        <f t="shared" si="336"/>
        <v>0</v>
      </c>
      <c r="X538" s="49">
        <f t="shared" si="337"/>
        <v>0</v>
      </c>
      <c r="Y538" s="49">
        <f t="shared" si="337"/>
        <v>0</v>
      </c>
      <c r="Z538" s="49">
        <f t="shared" si="337"/>
        <v>0</v>
      </c>
      <c r="AA538" s="49">
        <f t="shared" si="337"/>
        <v>0</v>
      </c>
      <c r="AB538" s="49">
        <f t="shared" si="337"/>
        <v>0</v>
      </c>
      <c r="AD538" s="49">
        <f t="shared" si="291"/>
        <v>1173994.3618464742</v>
      </c>
      <c r="AE538" s="49">
        <f t="shared" si="292"/>
        <v>1173994.3618464742</v>
      </c>
      <c r="AF538" s="49">
        <f t="shared" si="293"/>
        <v>1173994.3618464742</v>
      </c>
      <c r="AG538" s="49">
        <f t="shared" si="294"/>
        <v>1173994.3618464742</v>
      </c>
      <c r="AH538" s="49">
        <f t="shared" si="295"/>
        <v>1173994.3618464742</v>
      </c>
      <c r="AJ538" s="49">
        <f t="shared" si="282"/>
        <v>39915.808302780126</v>
      </c>
      <c r="AK538" s="49">
        <f t="shared" si="283"/>
        <v>38741.813940933651</v>
      </c>
      <c r="AL538" s="49">
        <f t="shared" si="284"/>
        <v>44611.785750166018</v>
      </c>
      <c r="AM538" s="49">
        <f t="shared" si="285"/>
        <v>44611.785750166018</v>
      </c>
      <c r="AN538" s="49">
        <f t="shared" si="286"/>
        <v>44611.785750166018</v>
      </c>
    </row>
    <row r="539" spans="2:40">
      <c r="B539" s="43" t="str">
        <f t="shared" si="279"/>
        <v>Asset 233</v>
      </c>
      <c r="F539" s="43" t="str">
        <f t="shared" ref="F539:L539" si="339">F291</f>
        <v>08 Inrichting gebouwen</v>
      </c>
      <c r="G539" s="43">
        <f t="shared" si="339"/>
        <v>2020</v>
      </c>
      <c r="H539" s="58">
        <f t="shared" si="339"/>
        <v>227204.18889764068</v>
      </c>
      <c r="I539" s="43">
        <f t="shared" si="339"/>
        <v>2021</v>
      </c>
      <c r="J539" s="58">
        <f t="shared" si="339"/>
        <v>10</v>
      </c>
      <c r="K539" s="187">
        <f t="shared" si="339"/>
        <v>0</v>
      </c>
      <c r="L539" s="58">
        <f t="shared" si="339"/>
        <v>196213.53753200249</v>
      </c>
      <c r="N539" s="49">
        <f t="shared" si="290"/>
        <v>196213.53753200249</v>
      </c>
      <c r="P539" s="44">
        <f t="shared" si="281"/>
        <v>8.5</v>
      </c>
      <c r="R539" s="49">
        <f t="shared" si="336"/>
        <v>27008.216342640346</v>
      </c>
      <c r="S539" s="49">
        <f t="shared" si="336"/>
        <v>22877.547960824766</v>
      </c>
      <c r="T539" s="49">
        <f t="shared" si="336"/>
        <v>19493.295303898023</v>
      </c>
      <c r="U539" s="49">
        <f t="shared" si="336"/>
        <v>19493.295303898023</v>
      </c>
      <c r="V539" s="49">
        <f t="shared" si="336"/>
        <v>19493.295303898023</v>
      </c>
      <c r="X539" s="49">
        <f t="shared" si="337"/>
        <v>2308.3945592000291</v>
      </c>
      <c r="Y539" s="49">
        <f t="shared" si="337"/>
        <v>2308.3945592000296</v>
      </c>
      <c r="Z539" s="49">
        <f t="shared" si="337"/>
        <v>2308.3945592000296</v>
      </c>
      <c r="AA539" s="49">
        <f t="shared" si="337"/>
        <v>2308.3945592000296</v>
      </c>
      <c r="AB539" s="49">
        <f t="shared" si="337"/>
        <v>2308.3945592000296</v>
      </c>
      <c r="AD539" s="49">
        <f t="shared" si="291"/>
        <v>166896.92663016211</v>
      </c>
      <c r="AE539" s="49">
        <f t="shared" si="292"/>
        <v>141710.9841101373</v>
      </c>
      <c r="AF539" s="49">
        <f t="shared" si="293"/>
        <v>119909.29424703926</v>
      </c>
      <c r="AG539" s="49">
        <f t="shared" si="294"/>
        <v>98107.604383941216</v>
      </c>
      <c r="AH539" s="49">
        <f t="shared" si="295"/>
        <v>76305.914520843173</v>
      </c>
      <c r="AJ539" s="49">
        <f t="shared" si="282"/>
        <v>34991.106407265885</v>
      </c>
      <c r="AK539" s="49">
        <f t="shared" si="283"/>
        <v>29862.40499565933</v>
      </c>
      <c r="AL539" s="49">
        <f t="shared" si="284"/>
        <v>26358.243044485545</v>
      </c>
      <c r="AM539" s="49">
        <f t="shared" si="285"/>
        <v>25529.778829687821</v>
      </c>
      <c r="AN539" s="49">
        <f t="shared" si="286"/>
        <v>24701.314614890096</v>
      </c>
    </row>
    <row r="540" spans="2:40">
      <c r="B540" s="43" t="str">
        <f t="shared" si="279"/>
        <v>Asset 234</v>
      </c>
      <c r="F540" s="43" t="str">
        <f t="shared" ref="F540:L540" si="340">F292</f>
        <v>11 Werktuigen</v>
      </c>
      <c r="G540" s="43">
        <f t="shared" si="340"/>
        <v>2020</v>
      </c>
      <c r="H540" s="58">
        <f t="shared" si="340"/>
        <v>880855.41897943604</v>
      </c>
      <c r="I540" s="43">
        <f t="shared" si="340"/>
        <v>2021</v>
      </c>
      <c r="J540" s="58">
        <f t="shared" si="340"/>
        <v>10</v>
      </c>
      <c r="K540" s="187">
        <f t="shared" si="340"/>
        <v>1</v>
      </c>
      <c r="L540" s="58">
        <f t="shared" si="340"/>
        <v>760706.73983064084</v>
      </c>
      <c r="N540" s="49">
        <f t="shared" si="290"/>
        <v>760706.73983064084</v>
      </c>
      <c r="P540" s="44">
        <f t="shared" si="281"/>
        <v>8.5</v>
      </c>
      <c r="R540" s="49">
        <f t="shared" si="336"/>
        <v>104709.04536492353</v>
      </c>
      <c r="S540" s="49">
        <f t="shared" si="336"/>
        <v>88694.720779699928</v>
      </c>
      <c r="T540" s="49">
        <f t="shared" si="336"/>
        <v>75574.199954300522</v>
      </c>
      <c r="U540" s="49">
        <f t="shared" si="336"/>
        <v>75574.199954300522</v>
      </c>
      <c r="V540" s="49">
        <f t="shared" si="336"/>
        <v>75574.199954300522</v>
      </c>
      <c r="X540" s="49">
        <f t="shared" si="337"/>
        <v>8949.4910568310697</v>
      </c>
      <c r="Y540" s="49">
        <f t="shared" si="337"/>
        <v>8949.4910568310679</v>
      </c>
      <c r="Z540" s="49">
        <f t="shared" si="337"/>
        <v>8949.4910568310679</v>
      </c>
      <c r="AA540" s="49">
        <f t="shared" si="337"/>
        <v>8949.4910568310679</v>
      </c>
      <c r="AB540" s="49">
        <f t="shared" si="337"/>
        <v>8949.4910568310679</v>
      </c>
      <c r="AD540" s="49">
        <f t="shared" si="291"/>
        <v>647048.20340888621</v>
      </c>
      <c r="AE540" s="49">
        <f t="shared" si="292"/>
        <v>549403.99157235515</v>
      </c>
      <c r="AF540" s="49">
        <f t="shared" si="293"/>
        <v>464880.30056122353</v>
      </c>
      <c r="AG540" s="49">
        <f t="shared" si="294"/>
        <v>380356.6095500919</v>
      </c>
      <c r="AH540" s="49">
        <f t="shared" si="295"/>
        <v>295832.91853896028</v>
      </c>
      <c r="AJ540" s="49">
        <f t="shared" si="282"/>
        <v>135658.17533765675</v>
      </c>
      <c r="AK540" s="49">
        <f t="shared" si="283"/>
        <v>115774.54355841872</v>
      </c>
      <c r="AL540" s="49">
        <f t="shared" si="284"/>
        <v>102189.14243245809</v>
      </c>
      <c r="AM540" s="49">
        <f t="shared" si="285"/>
        <v>98977.242174035084</v>
      </c>
      <c r="AN540" s="49">
        <f t="shared" si="286"/>
        <v>95765.34191561208</v>
      </c>
    </row>
    <row r="541" spans="2:40">
      <c r="B541" s="43" t="str">
        <f t="shared" si="279"/>
        <v>Asset 235</v>
      </c>
      <c r="F541" s="43" t="str">
        <f t="shared" ref="F541:L541" si="341">F293</f>
        <v>14 Overig rollend materieel</v>
      </c>
      <c r="G541" s="43">
        <f t="shared" si="341"/>
        <v>2020</v>
      </c>
      <c r="H541" s="58">
        <f t="shared" si="341"/>
        <v>111163.8757407683</v>
      </c>
      <c r="I541" s="43">
        <f t="shared" si="341"/>
        <v>2021</v>
      </c>
      <c r="J541" s="58">
        <f t="shared" si="341"/>
        <v>10</v>
      </c>
      <c r="K541" s="187">
        <f t="shared" si="341"/>
        <v>1</v>
      </c>
      <c r="L541" s="58">
        <f t="shared" si="341"/>
        <v>96001.123089727509</v>
      </c>
      <c r="N541" s="49">
        <f t="shared" si="290"/>
        <v>96001.123089727509</v>
      </c>
      <c r="P541" s="44">
        <f t="shared" si="281"/>
        <v>8.5</v>
      </c>
      <c r="R541" s="49">
        <f t="shared" si="336"/>
        <v>13214.272237056612</v>
      </c>
      <c r="S541" s="49">
        <f t="shared" si="336"/>
        <v>11193.265894918542</v>
      </c>
      <c r="T541" s="49">
        <f t="shared" si="336"/>
        <v>9537.4573305814793</v>
      </c>
      <c r="U541" s="49">
        <f t="shared" si="336"/>
        <v>9537.4573305814793</v>
      </c>
      <c r="V541" s="49">
        <f t="shared" si="336"/>
        <v>9537.4573305814793</v>
      </c>
      <c r="X541" s="49">
        <f t="shared" si="337"/>
        <v>1129.424977526206</v>
      </c>
      <c r="Y541" s="49">
        <f t="shared" si="337"/>
        <v>1129.424977526206</v>
      </c>
      <c r="Z541" s="49">
        <f t="shared" si="337"/>
        <v>1129.424977526206</v>
      </c>
      <c r="AA541" s="49">
        <f t="shared" si="337"/>
        <v>1129.424977526206</v>
      </c>
      <c r="AB541" s="49">
        <f t="shared" si="337"/>
        <v>1129.424977526206</v>
      </c>
      <c r="AD541" s="49">
        <f t="shared" si="291"/>
        <v>81657.425875144705</v>
      </c>
      <c r="AE541" s="49">
        <f t="shared" si="292"/>
        <v>69334.735002699963</v>
      </c>
      <c r="AF541" s="49">
        <f t="shared" si="293"/>
        <v>58667.852694592279</v>
      </c>
      <c r="AG541" s="49">
        <f t="shared" si="294"/>
        <v>48000.970386484594</v>
      </c>
      <c r="AH541" s="49">
        <f t="shared" si="295"/>
        <v>37334.08807837691</v>
      </c>
      <c r="AJ541" s="49">
        <f t="shared" si="282"/>
        <v>17120.04969433774</v>
      </c>
      <c r="AK541" s="49">
        <f t="shared" si="283"/>
        <v>14610.737127533848</v>
      </c>
      <c r="AL541" s="49">
        <f t="shared" si="284"/>
        <v>12896.260710502191</v>
      </c>
      <c r="AM541" s="49">
        <f t="shared" si="285"/>
        <v>12490.919182794099</v>
      </c>
      <c r="AN541" s="49">
        <f t="shared" si="286"/>
        <v>12085.577655086006</v>
      </c>
    </row>
    <row r="542" spans="2:40">
      <c r="B542" s="43" t="str">
        <f t="shared" si="279"/>
        <v>Asset 236</v>
      </c>
      <c r="F542" s="43" t="str">
        <f t="shared" ref="F542:L542" si="342">F294</f>
        <v>38 ICT middelen 2</v>
      </c>
      <c r="G542" s="43">
        <f t="shared" si="342"/>
        <v>2020</v>
      </c>
      <c r="H542" s="58">
        <f t="shared" si="342"/>
        <v>2253829.6322485749</v>
      </c>
      <c r="I542" s="43">
        <f t="shared" si="342"/>
        <v>2021</v>
      </c>
      <c r="J542" s="58">
        <f t="shared" si="342"/>
        <v>10</v>
      </c>
      <c r="K542" s="187">
        <f t="shared" si="342"/>
        <v>1</v>
      </c>
      <c r="L542" s="58">
        <f t="shared" si="342"/>
        <v>1946407.2704098693</v>
      </c>
      <c r="N542" s="49">
        <f t="shared" si="290"/>
        <v>1946407.2704098693</v>
      </c>
      <c r="P542" s="44">
        <f t="shared" si="281"/>
        <v>8.5</v>
      </c>
      <c r="R542" s="49">
        <f t="shared" si="336"/>
        <v>267917.23604465259</v>
      </c>
      <c r="S542" s="49">
        <f t="shared" si="336"/>
        <v>226941.65876723515</v>
      </c>
      <c r="T542" s="49">
        <f t="shared" si="336"/>
        <v>193370.40747030685</v>
      </c>
      <c r="U542" s="49">
        <f t="shared" si="336"/>
        <v>193370.40747030685</v>
      </c>
      <c r="V542" s="49">
        <f t="shared" si="336"/>
        <v>193370.40747030685</v>
      </c>
      <c r="X542" s="49">
        <f t="shared" si="337"/>
        <v>22898.909063645522</v>
      </c>
      <c r="Y542" s="49">
        <f t="shared" si="337"/>
        <v>22898.909063645522</v>
      </c>
      <c r="Z542" s="49">
        <f t="shared" si="337"/>
        <v>22898.909063645522</v>
      </c>
      <c r="AA542" s="49">
        <f t="shared" si="337"/>
        <v>22898.909063645522</v>
      </c>
      <c r="AB542" s="49">
        <f t="shared" si="337"/>
        <v>22898.909063645522</v>
      </c>
      <c r="AD542" s="49">
        <f t="shared" si="291"/>
        <v>1655591.1253015711</v>
      </c>
      <c r="AE542" s="49">
        <f t="shared" si="292"/>
        <v>1405750.5574706905</v>
      </c>
      <c r="AF542" s="49">
        <f t="shared" si="293"/>
        <v>1189481.240936738</v>
      </c>
      <c r="AG542" s="49">
        <f t="shared" si="294"/>
        <v>973211.9244027856</v>
      </c>
      <c r="AH542" s="49">
        <f t="shared" si="295"/>
        <v>756942.60786883323</v>
      </c>
      <c r="AJ542" s="49">
        <f t="shared" si="282"/>
        <v>347106.24336855154</v>
      </c>
      <c r="AK542" s="49">
        <f t="shared" si="283"/>
        <v>296230.33622741344</v>
      </c>
      <c r="AL542" s="49">
        <f t="shared" si="284"/>
        <v>261469.60368954841</v>
      </c>
      <c r="AM542" s="49">
        <f t="shared" si="285"/>
        <v>253251.36966125821</v>
      </c>
      <c r="AN542" s="49">
        <f t="shared" si="286"/>
        <v>245033.13563296804</v>
      </c>
    </row>
    <row r="543" spans="2:40">
      <c r="B543" s="43" t="str">
        <f t="shared" si="279"/>
        <v>Asset 237</v>
      </c>
      <c r="F543" s="43" t="str">
        <f t="shared" ref="F543:L543" si="343">F295</f>
        <v>20 Kantoorgebouwen</v>
      </c>
      <c r="G543" s="43">
        <f t="shared" si="343"/>
        <v>2020</v>
      </c>
      <c r="H543" s="58">
        <f t="shared" si="343"/>
        <v>715175.01653112471</v>
      </c>
      <c r="I543" s="43">
        <f t="shared" si="343"/>
        <v>2021</v>
      </c>
      <c r="J543" s="58">
        <f t="shared" si="343"/>
        <v>30</v>
      </c>
      <c r="K543" s="187">
        <f t="shared" si="343"/>
        <v>0</v>
      </c>
      <c r="L543" s="58">
        <f t="shared" si="343"/>
        <v>690286.92595584155</v>
      </c>
      <c r="N543" s="49">
        <f t="shared" si="290"/>
        <v>690286.92595584155</v>
      </c>
      <c r="P543" s="44">
        <f t="shared" si="281"/>
        <v>28.5</v>
      </c>
      <c r="R543" s="49">
        <f t="shared" si="336"/>
        <v>28338.094855029289</v>
      </c>
      <c r="S543" s="49">
        <f t="shared" si="336"/>
        <v>27045.480001992866</v>
      </c>
      <c r="T543" s="49">
        <f t="shared" si="336"/>
        <v>25811.826528217753</v>
      </c>
      <c r="U543" s="49">
        <f t="shared" si="336"/>
        <v>24634.444967281503</v>
      </c>
      <c r="V543" s="49">
        <f t="shared" si="336"/>
        <v>23510.768530177436</v>
      </c>
      <c r="X543" s="49">
        <f t="shared" si="337"/>
        <v>2422.0593893187424</v>
      </c>
      <c r="Y543" s="49">
        <f t="shared" si="337"/>
        <v>2422.0593893187424</v>
      </c>
      <c r="Z543" s="49">
        <f t="shared" si="337"/>
        <v>2422.0593893187424</v>
      </c>
      <c r="AA543" s="49">
        <f t="shared" si="337"/>
        <v>2422.0593893187424</v>
      </c>
      <c r="AB543" s="49">
        <f t="shared" si="337"/>
        <v>2422.0593893187424</v>
      </c>
      <c r="AD543" s="49">
        <f t="shared" si="291"/>
        <v>659526.77171149361</v>
      </c>
      <c r="AE543" s="49">
        <f t="shared" si="292"/>
        <v>630059.23232018203</v>
      </c>
      <c r="AF543" s="49">
        <f t="shared" si="293"/>
        <v>601825.34640264558</v>
      </c>
      <c r="AG543" s="49">
        <f t="shared" si="294"/>
        <v>574768.84204604535</v>
      </c>
      <c r="AH543" s="49">
        <f t="shared" si="295"/>
        <v>548836.01412654924</v>
      </c>
      <c r="AJ543" s="49">
        <f t="shared" si="282"/>
        <v>53184.064482538815</v>
      </c>
      <c r="AK543" s="49">
        <f t="shared" si="283"/>
        <v>50259.494057877615</v>
      </c>
      <c r="AL543" s="49">
        <f t="shared" si="284"/>
        <v>51103.249080837028</v>
      </c>
      <c r="AM543" s="49">
        <f t="shared" si="285"/>
        <v>48897.720354349964</v>
      </c>
      <c r="AN543" s="49">
        <f t="shared" si="286"/>
        <v>46788.596456305051</v>
      </c>
    </row>
    <row r="544" spans="2:40">
      <c r="B544" s="43" t="str">
        <f t="shared" si="279"/>
        <v>Asset 238</v>
      </c>
      <c r="F544" s="43" t="str">
        <f t="shared" ref="F544:L544" si="344">F296</f>
        <v>06 Utiliteitsgebouwen</v>
      </c>
      <c r="G544" s="43">
        <f t="shared" si="344"/>
        <v>2020</v>
      </c>
      <c r="H544" s="58">
        <f t="shared" si="344"/>
        <v>611310.12783119339</v>
      </c>
      <c r="I544" s="43">
        <f t="shared" si="344"/>
        <v>2021</v>
      </c>
      <c r="J544" s="58">
        <f t="shared" si="344"/>
        <v>30</v>
      </c>
      <c r="K544" s="187">
        <f t="shared" si="344"/>
        <v>0</v>
      </c>
      <c r="L544" s="58">
        <f t="shared" si="344"/>
        <v>590036.53538266791</v>
      </c>
      <c r="N544" s="49">
        <f t="shared" si="290"/>
        <v>590036.53538266791</v>
      </c>
      <c r="P544" s="44">
        <f t="shared" si="281"/>
        <v>28.5</v>
      </c>
      <c r="R544" s="49">
        <f t="shared" si="336"/>
        <v>24222.552505183212</v>
      </c>
      <c r="S544" s="49">
        <f t="shared" si="336"/>
        <v>23117.664145297662</v>
      </c>
      <c r="T544" s="49">
        <f t="shared" si="336"/>
        <v>22063.174201827944</v>
      </c>
      <c r="U544" s="49">
        <f t="shared" si="336"/>
        <v>21056.783799639299</v>
      </c>
      <c r="V544" s="49">
        <f t="shared" si="336"/>
        <v>20096.298924568033</v>
      </c>
      <c r="X544" s="49">
        <f t="shared" si="337"/>
        <v>2070.303632921642</v>
      </c>
      <c r="Y544" s="49">
        <f t="shared" si="337"/>
        <v>2070.303632921642</v>
      </c>
      <c r="Z544" s="49">
        <f t="shared" si="337"/>
        <v>2070.303632921642</v>
      </c>
      <c r="AA544" s="49">
        <f t="shared" si="337"/>
        <v>2070.303632921642</v>
      </c>
      <c r="AB544" s="49">
        <f t="shared" si="337"/>
        <v>2070.303632921642</v>
      </c>
      <c r="AD544" s="49">
        <f t="shared" si="291"/>
        <v>563743.67924456298</v>
      </c>
      <c r="AE544" s="49">
        <f t="shared" si="292"/>
        <v>538555.71146634372</v>
      </c>
      <c r="AF544" s="49">
        <f t="shared" si="293"/>
        <v>514422.23363159411</v>
      </c>
      <c r="AG544" s="49">
        <f t="shared" si="294"/>
        <v>491295.14619903313</v>
      </c>
      <c r="AH544" s="49">
        <f t="shared" si="295"/>
        <v>469128.54364154342</v>
      </c>
      <c r="AJ544" s="49">
        <f t="shared" si="282"/>
        <v>45460.141232419992</v>
      </c>
      <c r="AK544" s="49">
        <f t="shared" si="283"/>
        <v>42960.306256608645</v>
      </c>
      <c r="AL544" s="49">
        <f t="shared" si="284"/>
        <v>43681.522712750157</v>
      </c>
      <c r="AM544" s="49">
        <f t="shared" si="285"/>
        <v>41796.302988124196</v>
      </c>
      <c r="AN544" s="49">
        <f t="shared" si="286"/>
        <v>39993.487215868328</v>
      </c>
    </row>
    <row r="545" spans="2:40">
      <c r="B545" s="43" t="str">
        <f t="shared" si="279"/>
        <v>Asset 239</v>
      </c>
      <c r="F545" s="43" t="str">
        <f t="shared" ref="F545:L545" si="345">F297</f>
        <v>08 Inrichting gebouwen</v>
      </c>
      <c r="G545" s="43">
        <f t="shared" si="345"/>
        <v>2021</v>
      </c>
      <c r="H545" s="58">
        <f t="shared" si="345"/>
        <v>384242.51972392667</v>
      </c>
      <c r="I545" s="43">
        <f t="shared" si="345"/>
        <v>2021</v>
      </c>
      <c r="J545" s="58">
        <f t="shared" si="345"/>
        <v>10</v>
      </c>
      <c r="K545" s="187">
        <f t="shared" si="345"/>
        <v>0</v>
      </c>
      <c r="L545" s="58">
        <f t="shared" si="345"/>
        <v>365030.39373773034</v>
      </c>
      <c r="N545" s="49">
        <f t="shared" si="290"/>
        <v>365030.39373773034</v>
      </c>
      <c r="P545" s="44">
        <f t="shared" si="281"/>
        <v>9.5</v>
      </c>
      <c r="R545" s="49">
        <f t="shared" si="336"/>
        <v>44956.374807699423</v>
      </c>
      <c r="S545" s="49">
        <f t="shared" si="336"/>
        <v>38804.449834014238</v>
      </c>
      <c r="T545" s="49">
        <f t="shared" si="336"/>
        <v>33494.367225149137</v>
      </c>
      <c r="U545" s="49">
        <f t="shared" si="336"/>
        <v>32503.40961493762</v>
      </c>
      <c r="V545" s="49">
        <f t="shared" si="336"/>
        <v>32503.40961493762</v>
      </c>
      <c r="X545" s="49">
        <f t="shared" si="337"/>
        <v>3842.4251972392667</v>
      </c>
      <c r="Y545" s="49">
        <f t="shared" si="337"/>
        <v>3842.4251972392667</v>
      </c>
      <c r="Z545" s="49">
        <f t="shared" si="337"/>
        <v>3842.4251972392667</v>
      </c>
      <c r="AA545" s="49">
        <f t="shared" si="337"/>
        <v>3842.4251972392667</v>
      </c>
      <c r="AB545" s="49">
        <f t="shared" si="337"/>
        <v>3842.4251972392667</v>
      </c>
      <c r="AD545" s="49">
        <f t="shared" si="291"/>
        <v>316231.59373279166</v>
      </c>
      <c r="AE545" s="49">
        <f t="shared" si="292"/>
        <v>273584.71870153816</v>
      </c>
      <c r="AF545" s="49">
        <f t="shared" si="293"/>
        <v>236247.92627914977</v>
      </c>
      <c r="AG545" s="49">
        <f t="shared" si="294"/>
        <v>199902.0914669729</v>
      </c>
      <c r="AH545" s="49">
        <f t="shared" si="295"/>
        <v>163556.25665479602</v>
      </c>
      <c r="AJ545" s="49">
        <f t="shared" si="282"/>
        <v>59550.674191853606</v>
      </c>
      <c r="AK545" s="49">
        <f t="shared" si="283"/>
        <v>51675.170748404264</v>
      </c>
      <c r="AL545" s="49">
        <f t="shared" si="284"/>
        <v>46314.213620996095</v>
      </c>
      <c r="AM545" s="49">
        <f t="shared" si="285"/>
        <v>43942.114287921853</v>
      </c>
      <c r="AN545" s="49">
        <f t="shared" si="286"/>
        <v>42560.972565059135</v>
      </c>
    </row>
    <row r="546" spans="2:40">
      <c r="B546" s="43" t="str">
        <f t="shared" si="279"/>
        <v>Asset 240</v>
      </c>
      <c r="F546" s="43" t="str">
        <f t="shared" ref="F546:L546" si="346">F298</f>
        <v>20 Kantoorgebouwen</v>
      </c>
      <c r="G546" s="43">
        <f t="shared" si="346"/>
        <v>2021</v>
      </c>
      <c r="H546" s="58">
        <f t="shared" si="346"/>
        <v>1098657.1778898467</v>
      </c>
      <c r="I546" s="43">
        <f t="shared" si="346"/>
        <v>2021</v>
      </c>
      <c r="J546" s="58">
        <f t="shared" si="346"/>
        <v>30</v>
      </c>
      <c r="K546" s="187">
        <f t="shared" si="346"/>
        <v>0</v>
      </c>
      <c r="L546" s="58">
        <f t="shared" si="346"/>
        <v>1080346.2249250161</v>
      </c>
      <c r="N546" s="49">
        <f t="shared" si="290"/>
        <v>1080346.2249250161</v>
      </c>
      <c r="P546" s="44">
        <f t="shared" si="281"/>
        <v>29.5</v>
      </c>
      <c r="R546" s="49">
        <f t="shared" si="336"/>
        <v>42847.629937704027</v>
      </c>
      <c r="S546" s="49">
        <f t="shared" si="336"/>
        <v>40959.429296381473</v>
      </c>
      <c r="T546" s="49">
        <f t="shared" si="336"/>
        <v>39154.437496879917</v>
      </c>
      <c r="U546" s="49">
        <f t="shared" si="336"/>
        <v>37428.987708881818</v>
      </c>
      <c r="V546" s="49">
        <f t="shared" si="336"/>
        <v>35779.574691202281</v>
      </c>
      <c r="X546" s="49">
        <f t="shared" si="337"/>
        <v>3662.1905929661566</v>
      </c>
      <c r="Y546" s="49">
        <f t="shared" si="337"/>
        <v>3662.1905929661561</v>
      </c>
      <c r="Z546" s="49">
        <f t="shared" si="337"/>
        <v>3662.1905929661561</v>
      </c>
      <c r="AA546" s="49">
        <f t="shared" si="337"/>
        <v>3662.1905929661561</v>
      </c>
      <c r="AB546" s="49">
        <f t="shared" si="337"/>
        <v>3662.1905929661561</v>
      </c>
      <c r="AD546" s="49">
        <f t="shared" si="291"/>
        <v>1033836.4043943458</v>
      </c>
      <c r="AE546" s="49">
        <f t="shared" si="292"/>
        <v>989214.78450499824</v>
      </c>
      <c r="AF546" s="49">
        <f t="shared" si="293"/>
        <v>946398.15641515213</v>
      </c>
      <c r="AG546" s="49">
        <f t="shared" si="294"/>
        <v>905306.97811330413</v>
      </c>
      <c r="AH546" s="49">
        <f t="shared" si="295"/>
        <v>865865.21282913571</v>
      </c>
      <c r="AJ546" s="49">
        <f t="shared" si="282"/>
        <v>81660.258280077949</v>
      </c>
      <c r="AK546" s="49">
        <f t="shared" si="283"/>
        <v>77265.707778012584</v>
      </c>
      <c r="AL546" s="49">
        <f t="shared" si="284"/>
        <v>78779.758033621853</v>
      </c>
      <c r="AM546" s="49">
        <f t="shared" si="285"/>
        <v>75492.84347015353</v>
      </c>
      <c r="AN546" s="49">
        <f t="shared" si="286"/>
        <v>72344.6433716756</v>
      </c>
    </row>
    <row r="547" spans="2:40">
      <c r="B547" s="43" t="str">
        <f t="shared" si="279"/>
        <v>Asset 241</v>
      </c>
      <c r="F547" s="43" t="str">
        <f t="shared" ref="F547:L547" si="347">F299</f>
        <v>03 Verremeting</v>
      </c>
      <c r="G547" s="43">
        <f t="shared" si="347"/>
        <v>1993</v>
      </c>
      <c r="H547" s="58">
        <f t="shared" si="347"/>
        <v>27208128.690000001</v>
      </c>
      <c r="I547" s="43">
        <f t="shared" si="347"/>
        <v>2021</v>
      </c>
      <c r="J547" s="58">
        <f t="shared" si="347"/>
        <v>5</v>
      </c>
      <c r="K547" s="187">
        <f t="shared" si="347"/>
        <v>1</v>
      </c>
      <c r="L547" s="58">
        <f t="shared" si="347"/>
        <v>0</v>
      </c>
      <c r="N547" s="49">
        <f t="shared" si="290"/>
        <v>0</v>
      </c>
      <c r="P547" s="44">
        <f t="shared" si="281"/>
        <v>0</v>
      </c>
      <c r="R547" s="49">
        <f t="shared" si="336"/>
        <v>0</v>
      </c>
      <c r="S547" s="49">
        <f t="shared" si="336"/>
        <v>0</v>
      </c>
      <c r="T547" s="49">
        <f t="shared" si="336"/>
        <v>0</v>
      </c>
      <c r="U547" s="49">
        <f t="shared" si="336"/>
        <v>0</v>
      </c>
      <c r="V547" s="49">
        <f t="shared" si="336"/>
        <v>0</v>
      </c>
      <c r="X547" s="49">
        <f t="shared" si="337"/>
        <v>0</v>
      </c>
      <c r="Y547" s="49">
        <f t="shared" si="337"/>
        <v>0</v>
      </c>
      <c r="Z547" s="49">
        <f t="shared" si="337"/>
        <v>0</v>
      </c>
      <c r="AA547" s="49">
        <f t="shared" si="337"/>
        <v>0</v>
      </c>
      <c r="AB547" s="49">
        <f t="shared" si="337"/>
        <v>0</v>
      </c>
      <c r="AD547" s="49">
        <f t="shared" si="291"/>
        <v>0</v>
      </c>
      <c r="AE547" s="49">
        <f t="shared" si="292"/>
        <v>0</v>
      </c>
      <c r="AF547" s="49">
        <f t="shared" si="293"/>
        <v>0</v>
      </c>
      <c r="AG547" s="49">
        <f t="shared" si="294"/>
        <v>0</v>
      </c>
      <c r="AH547" s="49">
        <f t="shared" si="295"/>
        <v>0</v>
      </c>
      <c r="AJ547" s="49">
        <f t="shared" si="282"/>
        <v>0</v>
      </c>
      <c r="AK547" s="49">
        <f t="shared" si="283"/>
        <v>0</v>
      </c>
      <c r="AL547" s="49">
        <f t="shared" si="284"/>
        <v>0</v>
      </c>
      <c r="AM547" s="49">
        <f t="shared" si="285"/>
        <v>0</v>
      </c>
      <c r="AN547" s="49">
        <f t="shared" si="286"/>
        <v>0</v>
      </c>
    </row>
    <row r="548" spans="2:40">
      <c r="B548" s="43" t="str">
        <f t="shared" si="279"/>
        <v>Asset 242</v>
      </c>
      <c r="F548" s="43" t="str">
        <f t="shared" ref="F548:L548" si="348">F300</f>
        <v>06 Utiliteitsgebouwen</v>
      </c>
      <c r="G548" s="43">
        <f t="shared" si="348"/>
        <v>2021</v>
      </c>
      <c r="H548" s="58">
        <f t="shared" si="348"/>
        <v>114485.52709029273</v>
      </c>
      <c r="I548" s="43">
        <f t="shared" si="348"/>
        <v>2021</v>
      </c>
      <c r="J548" s="58">
        <f t="shared" si="348"/>
        <v>30</v>
      </c>
      <c r="K548" s="187">
        <f t="shared" si="348"/>
        <v>0</v>
      </c>
      <c r="L548" s="58">
        <f t="shared" si="348"/>
        <v>112577.43497212119</v>
      </c>
      <c r="N548" s="49">
        <f t="shared" si="290"/>
        <v>112577.43497212119</v>
      </c>
      <c r="P548" s="44">
        <f t="shared" si="281"/>
        <v>29.5</v>
      </c>
      <c r="R548" s="49">
        <f t="shared" si="336"/>
        <v>4464.9355565214173</v>
      </c>
      <c r="S548" s="49">
        <f t="shared" si="336"/>
        <v>4268.1756845391174</v>
      </c>
      <c r="T548" s="49">
        <f t="shared" si="336"/>
        <v>4080.0865865763762</v>
      </c>
      <c r="U548" s="49">
        <f t="shared" si="336"/>
        <v>3900.2861607272475</v>
      </c>
      <c r="V548" s="49">
        <f t="shared" si="336"/>
        <v>3728.4091434748602</v>
      </c>
      <c r="X548" s="49">
        <f t="shared" si="337"/>
        <v>381.61842363430912</v>
      </c>
      <c r="Y548" s="49">
        <f t="shared" si="337"/>
        <v>381.61842363430912</v>
      </c>
      <c r="Z548" s="49">
        <f t="shared" si="337"/>
        <v>381.61842363430912</v>
      </c>
      <c r="AA548" s="49">
        <f t="shared" si="337"/>
        <v>381.61842363430912</v>
      </c>
      <c r="AB548" s="49">
        <f t="shared" si="337"/>
        <v>381.61842363430912</v>
      </c>
      <c r="AD548" s="49">
        <f t="shared" si="291"/>
        <v>107730.88099196546</v>
      </c>
      <c r="AE548" s="49">
        <f t="shared" si="292"/>
        <v>103081.08688379203</v>
      </c>
      <c r="AF548" s="49">
        <f t="shared" si="293"/>
        <v>98619.38187358134</v>
      </c>
      <c r="AG548" s="49">
        <f t="shared" si="294"/>
        <v>94337.47728921978</v>
      </c>
      <c r="AH548" s="49">
        <f t="shared" si="295"/>
        <v>90227.449722110614</v>
      </c>
      <c r="AJ548" s="49">
        <f t="shared" si="282"/>
        <v>8509.4039338825514</v>
      </c>
      <c r="AK548" s="49">
        <f t="shared" si="283"/>
        <v>8051.469975338563</v>
      </c>
      <c r="AL548" s="49">
        <f t="shared" si="284"/>
        <v>8209.2415214067769</v>
      </c>
      <c r="AM548" s="49">
        <f t="shared" si="285"/>
        <v>7866.7287213519085</v>
      </c>
      <c r="AN548" s="49">
        <f t="shared" si="286"/>
        <v>7538.6706565493732</v>
      </c>
    </row>
    <row r="549" spans="2:40">
      <c r="B549" s="43" t="str">
        <f t="shared" si="279"/>
        <v>Asset 243</v>
      </c>
      <c r="F549" s="43" t="str">
        <f t="shared" ref="F549:L549" si="349">F301</f>
        <v>38 ICT middelen 2</v>
      </c>
      <c r="G549" s="43">
        <f t="shared" si="349"/>
        <v>2019</v>
      </c>
      <c r="H549" s="58">
        <f t="shared" si="349"/>
        <v>5155994.869123158</v>
      </c>
      <c r="I549" s="43">
        <f t="shared" si="349"/>
        <v>2021</v>
      </c>
      <c r="J549" s="58">
        <f t="shared" si="349"/>
        <v>10</v>
      </c>
      <c r="K549" s="187">
        <f t="shared" si="349"/>
        <v>1</v>
      </c>
      <c r="L549" s="58">
        <f t="shared" si="349"/>
        <v>4031018.6606189152</v>
      </c>
      <c r="N549" s="49">
        <f t="shared" si="290"/>
        <v>4031018.6606189152</v>
      </c>
      <c r="P549" s="44">
        <f t="shared" si="281"/>
        <v>7.5</v>
      </c>
      <c r="R549" s="49">
        <f t="shared" si="336"/>
        <v>628838.9110565508</v>
      </c>
      <c r="S549" s="49">
        <f t="shared" si="336"/>
        <v>519840.16647341533</v>
      </c>
      <c r="T549" s="49">
        <f t="shared" si="336"/>
        <v>450770.4940049196</v>
      </c>
      <c r="U549" s="49">
        <f t="shared" si="336"/>
        <v>450770.4940049196</v>
      </c>
      <c r="V549" s="49">
        <f t="shared" si="336"/>
        <v>450770.4940049196</v>
      </c>
      <c r="X549" s="49">
        <f t="shared" si="337"/>
        <v>53746.915474918875</v>
      </c>
      <c r="Y549" s="49">
        <f t="shared" si="337"/>
        <v>53746.915474918867</v>
      </c>
      <c r="Z549" s="49">
        <f t="shared" si="337"/>
        <v>53746.915474918867</v>
      </c>
      <c r="AA549" s="49">
        <f t="shared" si="337"/>
        <v>53746.915474918867</v>
      </c>
      <c r="AB549" s="49">
        <f t="shared" si="337"/>
        <v>53746.915474918867</v>
      </c>
      <c r="AD549" s="49">
        <f t="shared" si="291"/>
        <v>3348432.8340874459</v>
      </c>
      <c r="AE549" s="49">
        <f t="shared" si="292"/>
        <v>2774845.752139112</v>
      </c>
      <c r="AF549" s="49">
        <f t="shared" si="293"/>
        <v>2270328.3426592737</v>
      </c>
      <c r="AG549" s="49">
        <f t="shared" si="294"/>
        <v>1765810.9331794351</v>
      </c>
      <c r="AH549" s="49">
        <f t="shared" si="295"/>
        <v>1261293.5236995965</v>
      </c>
      <c r="AJ549" s="49">
        <f t="shared" si="282"/>
        <v>796432.54289044288</v>
      </c>
      <c r="AK549" s="49">
        <f t="shared" si="283"/>
        <v>665156.99176892499</v>
      </c>
      <c r="AL549" s="49">
        <f t="shared" si="284"/>
        <v>590789.88650089083</v>
      </c>
      <c r="AM549" s="49">
        <f t="shared" si="285"/>
        <v>571618.22494065692</v>
      </c>
      <c r="AN549" s="49">
        <f t="shared" si="286"/>
        <v>552446.56338042312</v>
      </c>
    </row>
    <row r="550" spans="2:40">
      <c r="AM550" s="97"/>
    </row>
    <row r="551" spans="2:40" s="39" customFormat="1">
      <c r="B551" s="39" t="s">
        <v>1027</v>
      </c>
    </row>
    <row r="552" spans="2:40" s="42" customFormat="1">
      <c r="P552" s="42" t="s">
        <v>1028</v>
      </c>
      <c r="V552" s="42" t="s">
        <v>865</v>
      </c>
      <c r="AB552" s="42" t="s">
        <v>866</v>
      </c>
    </row>
    <row r="553" spans="2:40" s="45" customFormat="1">
      <c r="B553" s="45" t="s">
        <v>1023</v>
      </c>
      <c r="F553" s="45" t="s">
        <v>871</v>
      </c>
      <c r="G553" s="45" t="s">
        <v>533</v>
      </c>
      <c r="H553" s="45" t="s">
        <v>1024</v>
      </c>
      <c r="I553" s="45" t="s">
        <v>1025</v>
      </c>
      <c r="J553" s="45" t="s">
        <v>282</v>
      </c>
      <c r="K553" s="45" t="s">
        <v>1020</v>
      </c>
      <c r="L553" s="45" t="s">
        <v>536</v>
      </c>
      <c r="N553" s="45" t="s">
        <v>907</v>
      </c>
      <c r="P553" s="51">
        <v>2022</v>
      </c>
      <c r="Q553" s="51">
        <v>2023</v>
      </c>
      <c r="R553" s="51">
        <v>2024</v>
      </c>
      <c r="S553" s="51">
        <v>2025</v>
      </c>
      <c r="T553" s="51">
        <v>2026</v>
      </c>
      <c r="V553" s="51">
        <v>2022</v>
      </c>
      <c r="W553" s="51">
        <v>2023</v>
      </c>
      <c r="X553" s="51">
        <v>2024</v>
      </c>
      <c r="Y553" s="51">
        <v>2025</v>
      </c>
      <c r="Z553" s="51">
        <v>2026</v>
      </c>
      <c r="AB553" s="51">
        <v>2022</v>
      </c>
      <c r="AC553" s="51">
        <v>2023</v>
      </c>
      <c r="AD553" s="51">
        <v>2024</v>
      </c>
      <c r="AE553" s="51">
        <v>2025</v>
      </c>
      <c r="AF553" s="51">
        <v>2026</v>
      </c>
    </row>
    <row r="555" spans="2:40">
      <c r="B555" s="43" t="str">
        <f>B59</f>
        <v>Asset 1</v>
      </c>
      <c r="F555" s="43" t="str">
        <f t="shared" ref="F555:L557" si="350">F59</f>
        <v>05 Wegen en terreinvoorzieningen</v>
      </c>
      <c r="G555" s="43">
        <f t="shared" si="350"/>
        <v>1971</v>
      </c>
      <c r="H555" s="48">
        <f t="shared" si="350"/>
        <v>47083.78</v>
      </c>
      <c r="I555" s="43">
        <f t="shared" si="350"/>
        <v>2021</v>
      </c>
      <c r="J555" s="43">
        <f t="shared" si="350"/>
        <v>10</v>
      </c>
      <c r="K555" s="43">
        <f t="shared" si="350"/>
        <v>0</v>
      </c>
      <c r="L555" s="48">
        <f t="shared" si="350"/>
        <v>0</v>
      </c>
      <c r="N555" s="44">
        <f>MAX(0,IF(G555&lt;=2021, J555-2021+G555-0.5,J555))</f>
        <v>0</v>
      </c>
      <c r="P555" s="49">
        <f>IF(P$553&lt;=$G555+$J555,VDB($L555,0,$N555,P$553-2022,MIN(P$553-2021,$N555),1),0)</f>
        <v>0</v>
      </c>
      <c r="Q555" s="49">
        <f t="shared" ref="Q555:T570" si="351">IF(Q$553&lt;=$G555+$J555,VDB($L555,0,$N555,Q$553-2022,MIN(Q$553-2021,$N555),1),0)</f>
        <v>0</v>
      </c>
      <c r="R555" s="49">
        <f t="shared" si="351"/>
        <v>0</v>
      </c>
      <c r="S555" s="49">
        <f t="shared" si="351"/>
        <v>0</v>
      </c>
      <c r="T555" s="49">
        <f t="shared" si="351"/>
        <v>0</v>
      </c>
      <c r="V555" s="53">
        <f>IF(OR(V$553&lt;=$G555+$J555,$J555=0),IF(U555=0,$L555,U555)-P555,0)</f>
        <v>0</v>
      </c>
      <c r="W555" s="53">
        <f t="shared" ref="W555:Z555" si="352">IF(OR(W$553&lt;=$G555+$J555,$J555=0),IF(V555=0,$L555,V555)-Q555,0)</f>
        <v>0</v>
      </c>
      <c r="X555" s="53">
        <f t="shared" si="352"/>
        <v>0</v>
      </c>
      <c r="Y555" s="53">
        <f t="shared" si="352"/>
        <v>0</v>
      </c>
      <c r="Z555" s="53">
        <f t="shared" si="352"/>
        <v>0</v>
      </c>
      <c r="AB555" s="53">
        <f>(P555+V555*I$16)*IF($K555=1,$F$19,1)</f>
        <v>0</v>
      </c>
      <c r="AC555" s="53">
        <f t="shared" ref="AC555:AF555" si="353">(Q555+W555*J$16)*IF($K555=1,$F$19,1)</f>
        <v>0</v>
      </c>
      <c r="AD555" s="53">
        <f t="shared" si="353"/>
        <v>0</v>
      </c>
      <c r="AE555" s="53">
        <f t="shared" si="353"/>
        <v>0</v>
      </c>
      <c r="AF555" s="53">
        <f t="shared" si="353"/>
        <v>0</v>
      </c>
    </row>
    <row r="556" spans="2:40">
      <c r="B556" s="43" t="str">
        <f t="shared" ref="B556:B619" si="354">B60</f>
        <v>Asset 2</v>
      </c>
      <c r="F556" s="43" t="str">
        <f t="shared" si="350"/>
        <v>06 Utiliteitsgebouwen</v>
      </c>
      <c r="G556" s="43">
        <f t="shared" si="350"/>
        <v>1961</v>
      </c>
      <c r="H556" s="48">
        <f t="shared" si="350"/>
        <v>50334.43</v>
      </c>
      <c r="I556" s="43">
        <f t="shared" si="350"/>
        <v>2021</v>
      </c>
      <c r="J556" s="43">
        <f t="shared" si="350"/>
        <v>30</v>
      </c>
      <c r="K556" s="43">
        <f t="shared" si="350"/>
        <v>0</v>
      </c>
      <c r="L556" s="48">
        <f t="shared" si="350"/>
        <v>0</v>
      </c>
      <c r="N556" s="44">
        <f t="shared" ref="N556:N619" si="355">MAX(0,IF(G556&lt;=2021, J556-2021+G556-0.5,J556))</f>
        <v>0</v>
      </c>
      <c r="P556" s="49">
        <f t="shared" ref="P556:T571" si="356">IF(P$553&lt;=$G556+$J556,VDB($L556,0,$N556,P$553-2022,MIN(P$553-2021,$N556),1),0)</f>
        <v>0</v>
      </c>
      <c r="Q556" s="49">
        <f t="shared" si="351"/>
        <v>0</v>
      </c>
      <c r="R556" s="49">
        <f t="shared" si="351"/>
        <v>0</v>
      </c>
      <c r="S556" s="49">
        <f t="shared" si="351"/>
        <v>0</v>
      </c>
      <c r="T556" s="49">
        <f t="shared" si="351"/>
        <v>0</v>
      </c>
      <c r="V556" s="53">
        <f t="shared" ref="V556:V558" si="357">IF(OR(V$553&lt;=$G556+$J556,$J556=0),IF(U556=0,$L556,U556)-P556,0)</f>
        <v>0</v>
      </c>
      <c r="W556" s="53">
        <f t="shared" ref="W556:W558" si="358">IF(OR(W$553&lt;=$G556+$J556,$J556=0),IF(V556=0,$L556,V556)-Q556,0)</f>
        <v>0</v>
      </c>
      <c r="X556" s="53">
        <f t="shared" ref="X556:X558" si="359">IF(OR(X$553&lt;=$G556+$J556,$J556=0),IF(W556=0,$L556,W556)-R556,0)</f>
        <v>0</v>
      </c>
      <c r="Y556" s="53">
        <f t="shared" ref="Y556:Y558" si="360">IF(OR(Y$553&lt;=$G556+$J556,$J556=0),IF(X556=0,$L556,X556)-S556,0)</f>
        <v>0</v>
      </c>
      <c r="Z556" s="53">
        <f t="shared" ref="Z556:Z558" si="361">IF(OR(Z$553&lt;=$G556+$J556,$J556=0),IF(Y556=0,$L556,Y556)-T556,0)</f>
        <v>0</v>
      </c>
      <c r="AB556" s="53">
        <f t="shared" ref="AB556:AB619" si="362">(P556+V556*I$16)*IF($K556=1,$F$19,1)</f>
        <v>0</v>
      </c>
      <c r="AC556" s="53">
        <f t="shared" ref="AC556:AC619" si="363">(Q556+W556*J$16)*IF($K556=1,$F$19,1)</f>
        <v>0</v>
      </c>
      <c r="AD556" s="53">
        <f t="shared" ref="AD556:AD619" si="364">(R556+X556*K$16)*IF($K556=1,$F$19,1)</f>
        <v>0</v>
      </c>
      <c r="AE556" s="53">
        <f t="shared" ref="AE556:AE619" si="365">(S556+Y556*L$16)*IF($K556=1,$F$19,1)</f>
        <v>0</v>
      </c>
      <c r="AF556" s="53">
        <f t="shared" ref="AF556:AF619" si="366">(T556+Z556*M$16)*IF($K556=1,$F$19,1)</f>
        <v>0</v>
      </c>
    </row>
    <row r="557" spans="2:40">
      <c r="B557" s="43" t="str">
        <f t="shared" si="354"/>
        <v>Asset 3</v>
      </c>
      <c r="F557" s="43" t="str">
        <f t="shared" si="350"/>
        <v>06 Utiliteitsgebouwen</v>
      </c>
      <c r="G557" s="43">
        <f t="shared" si="350"/>
        <v>1972</v>
      </c>
      <c r="H557" s="48">
        <f t="shared" si="350"/>
        <v>2621.49</v>
      </c>
      <c r="I557" s="43">
        <f t="shared" si="350"/>
        <v>2021</v>
      </c>
      <c r="J557" s="43">
        <f t="shared" si="350"/>
        <v>30</v>
      </c>
      <c r="K557" s="43">
        <f t="shared" si="350"/>
        <v>0</v>
      </c>
      <c r="L557" s="48">
        <f t="shared" si="350"/>
        <v>0</v>
      </c>
      <c r="N557" s="44">
        <f t="shared" si="355"/>
        <v>0</v>
      </c>
      <c r="P557" s="49">
        <f t="shared" si="356"/>
        <v>0</v>
      </c>
      <c r="Q557" s="49">
        <f t="shared" si="351"/>
        <v>0</v>
      </c>
      <c r="R557" s="49">
        <f t="shared" si="351"/>
        <v>0</v>
      </c>
      <c r="S557" s="49">
        <f t="shared" si="351"/>
        <v>0</v>
      </c>
      <c r="T557" s="49">
        <f t="shared" si="351"/>
        <v>0</v>
      </c>
      <c r="V557" s="53">
        <f t="shared" si="357"/>
        <v>0</v>
      </c>
      <c r="W557" s="53">
        <f t="shared" si="358"/>
        <v>0</v>
      </c>
      <c r="X557" s="53">
        <f t="shared" si="359"/>
        <v>0</v>
      </c>
      <c r="Y557" s="53">
        <f t="shared" si="360"/>
        <v>0</v>
      </c>
      <c r="Z557" s="53">
        <f t="shared" si="361"/>
        <v>0</v>
      </c>
      <c r="AB557" s="53">
        <f t="shared" si="362"/>
        <v>0</v>
      </c>
      <c r="AC557" s="53">
        <f t="shared" si="363"/>
        <v>0</v>
      </c>
      <c r="AD557" s="53">
        <f t="shared" si="364"/>
        <v>0</v>
      </c>
      <c r="AE557" s="53">
        <f t="shared" si="365"/>
        <v>0</v>
      </c>
      <c r="AF557" s="53">
        <f t="shared" si="366"/>
        <v>0</v>
      </c>
    </row>
    <row r="558" spans="2:40">
      <c r="B558" s="43" t="str">
        <f t="shared" si="354"/>
        <v>Asset 4</v>
      </c>
      <c r="F558" s="43" t="str">
        <f t="shared" ref="F558:L558" si="367">F62</f>
        <v>08 Inrichting gebouwen</v>
      </c>
      <c r="G558" s="43">
        <f t="shared" si="367"/>
        <v>1997</v>
      </c>
      <c r="H558" s="48">
        <f t="shared" si="367"/>
        <v>151227.48000000004</v>
      </c>
      <c r="I558" s="43">
        <f t="shared" si="367"/>
        <v>2021</v>
      </c>
      <c r="J558" s="43">
        <f t="shared" si="367"/>
        <v>10</v>
      </c>
      <c r="K558" s="43">
        <f t="shared" si="367"/>
        <v>0</v>
      </c>
      <c r="L558" s="48">
        <f t="shared" si="367"/>
        <v>0</v>
      </c>
      <c r="N558" s="44">
        <f t="shared" si="355"/>
        <v>0</v>
      </c>
      <c r="P558" s="49">
        <f t="shared" si="356"/>
        <v>0</v>
      </c>
      <c r="Q558" s="49">
        <f t="shared" si="351"/>
        <v>0</v>
      </c>
      <c r="R558" s="49">
        <f t="shared" si="351"/>
        <v>0</v>
      </c>
      <c r="S558" s="49">
        <f t="shared" si="351"/>
        <v>0</v>
      </c>
      <c r="T558" s="49">
        <f t="shared" si="351"/>
        <v>0</v>
      </c>
      <c r="V558" s="53">
        <f t="shared" si="357"/>
        <v>0</v>
      </c>
      <c r="W558" s="53">
        <f t="shared" si="358"/>
        <v>0</v>
      </c>
      <c r="X558" s="53">
        <f t="shared" si="359"/>
        <v>0</v>
      </c>
      <c r="Y558" s="53">
        <f t="shared" si="360"/>
        <v>0</v>
      </c>
      <c r="Z558" s="53">
        <f t="shared" si="361"/>
        <v>0</v>
      </c>
      <c r="AB558" s="53">
        <f t="shared" si="362"/>
        <v>0</v>
      </c>
      <c r="AC558" s="53">
        <f t="shared" si="363"/>
        <v>0</v>
      </c>
      <c r="AD558" s="53">
        <f t="shared" si="364"/>
        <v>0</v>
      </c>
      <c r="AE558" s="53">
        <f t="shared" si="365"/>
        <v>0</v>
      </c>
      <c r="AF558" s="53">
        <f t="shared" si="366"/>
        <v>0</v>
      </c>
    </row>
    <row r="559" spans="2:40">
      <c r="B559" s="43" t="str">
        <f t="shared" si="354"/>
        <v>Asset 5</v>
      </c>
      <c r="F559" s="43" t="str">
        <f t="shared" ref="F559:L559" si="368">F63</f>
        <v>11 Werktuigen</v>
      </c>
      <c r="G559" s="43">
        <f t="shared" si="368"/>
        <v>2009</v>
      </c>
      <c r="H559" s="48">
        <f t="shared" si="368"/>
        <v>1313895.18</v>
      </c>
      <c r="I559" s="43">
        <f t="shared" si="368"/>
        <v>2021</v>
      </c>
      <c r="J559" s="43">
        <f t="shared" si="368"/>
        <v>10</v>
      </c>
      <c r="K559" s="43">
        <f t="shared" si="368"/>
        <v>1</v>
      </c>
      <c r="L559" s="48">
        <f t="shared" si="368"/>
        <v>0</v>
      </c>
      <c r="N559" s="44">
        <f t="shared" si="355"/>
        <v>0</v>
      </c>
      <c r="P559" s="49">
        <f t="shared" si="356"/>
        <v>0</v>
      </c>
      <c r="Q559" s="49">
        <f t="shared" si="351"/>
        <v>0</v>
      </c>
      <c r="R559" s="49">
        <f t="shared" si="351"/>
        <v>0</v>
      </c>
      <c r="S559" s="49">
        <f t="shared" si="351"/>
        <v>0</v>
      </c>
      <c r="T559" s="49">
        <f t="shared" si="351"/>
        <v>0</v>
      </c>
      <c r="V559" s="53">
        <f t="shared" ref="V559:V622" si="369">IF(OR(V$553&lt;=$G559+$J559,$J559=0),IF(U559=0,$L559,U559)-P559,0)</f>
        <v>0</v>
      </c>
      <c r="W559" s="53">
        <f t="shared" ref="W559:W622" si="370">IF(OR(W$553&lt;=$G559+$J559,$J559=0),IF(V559=0,$L559,V559)-Q559,0)</f>
        <v>0</v>
      </c>
      <c r="X559" s="53">
        <f t="shared" ref="X559:X622" si="371">IF(OR(X$553&lt;=$G559+$J559,$J559=0),IF(W559=0,$L559,W559)-R559,0)</f>
        <v>0</v>
      </c>
      <c r="Y559" s="53">
        <f t="shared" ref="Y559:Y622" si="372">IF(OR(Y$553&lt;=$G559+$J559,$J559=0),IF(X559=0,$L559,X559)-S559,0)</f>
        <v>0</v>
      </c>
      <c r="Z559" s="53">
        <f t="shared" ref="Z559:Z622" si="373">IF(OR(Z$553&lt;=$G559+$J559,$J559=0),IF(Y559=0,$L559,Y559)-T559,0)</f>
        <v>0</v>
      </c>
      <c r="AB559" s="53">
        <f t="shared" si="362"/>
        <v>0</v>
      </c>
      <c r="AC559" s="53">
        <f t="shared" si="363"/>
        <v>0</v>
      </c>
      <c r="AD559" s="53">
        <f t="shared" si="364"/>
        <v>0</v>
      </c>
      <c r="AE559" s="53">
        <f t="shared" si="365"/>
        <v>0</v>
      </c>
      <c r="AF559" s="53">
        <f t="shared" si="366"/>
        <v>0</v>
      </c>
    </row>
    <row r="560" spans="2:40">
      <c r="B560" s="43" t="str">
        <f t="shared" si="354"/>
        <v>Asset 6</v>
      </c>
      <c r="F560" s="43" t="str">
        <f t="shared" ref="F560:L560" si="374">F64</f>
        <v>37 ICT middelen 1</v>
      </c>
      <c r="G560" s="43">
        <f t="shared" si="374"/>
        <v>2009</v>
      </c>
      <c r="H560" s="48">
        <f t="shared" si="374"/>
        <v>3658553.4539964925</v>
      </c>
      <c r="I560" s="43">
        <f t="shared" si="374"/>
        <v>2021</v>
      </c>
      <c r="J560" s="43">
        <f t="shared" si="374"/>
        <v>5</v>
      </c>
      <c r="K560" s="43">
        <f t="shared" si="374"/>
        <v>1</v>
      </c>
      <c r="L560" s="48">
        <f t="shared" si="374"/>
        <v>0</v>
      </c>
      <c r="N560" s="44">
        <f t="shared" si="355"/>
        <v>0</v>
      </c>
      <c r="P560" s="49">
        <f t="shared" si="356"/>
        <v>0</v>
      </c>
      <c r="Q560" s="49">
        <f t="shared" si="351"/>
        <v>0</v>
      </c>
      <c r="R560" s="49">
        <f t="shared" si="351"/>
        <v>0</v>
      </c>
      <c r="S560" s="49">
        <f t="shared" si="351"/>
        <v>0</v>
      </c>
      <c r="T560" s="49">
        <f t="shared" si="351"/>
        <v>0</v>
      </c>
      <c r="V560" s="53">
        <f t="shared" si="369"/>
        <v>0</v>
      </c>
      <c r="W560" s="53">
        <f t="shared" si="370"/>
        <v>0</v>
      </c>
      <c r="X560" s="53">
        <f t="shared" si="371"/>
        <v>0</v>
      </c>
      <c r="Y560" s="53">
        <f t="shared" si="372"/>
        <v>0</v>
      </c>
      <c r="Z560" s="53">
        <f t="shared" si="373"/>
        <v>0</v>
      </c>
      <c r="AB560" s="53">
        <f t="shared" si="362"/>
        <v>0</v>
      </c>
      <c r="AC560" s="53">
        <f t="shared" si="363"/>
        <v>0</v>
      </c>
      <c r="AD560" s="53">
        <f t="shared" si="364"/>
        <v>0</v>
      </c>
      <c r="AE560" s="53">
        <f t="shared" si="365"/>
        <v>0</v>
      </c>
      <c r="AF560" s="53">
        <f t="shared" si="366"/>
        <v>0</v>
      </c>
    </row>
    <row r="561" spans="2:32">
      <c r="B561" s="43" t="str">
        <f t="shared" si="354"/>
        <v>Asset 7</v>
      </c>
      <c r="F561" s="43" t="str">
        <f t="shared" ref="F561:L561" si="375">F65</f>
        <v>37 ICT middelen 1</v>
      </c>
      <c r="G561" s="43">
        <f t="shared" si="375"/>
        <v>2010</v>
      </c>
      <c r="H561" s="48">
        <f t="shared" si="375"/>
        <v>17379179.522018339</v>
      </c>
      <c r="I561" s="43">
        <f t="shared" si="375"/>
        <v>2021</v>
      </c>
      <c r="J561" s="43">
        <f t="shared" si="375"/>
        <v>5</v>
      </c>
      <c r="K561" s="43">
        <f t="shared" si="375"/>
        <v>1</v>
      </c>
      <c r="L561" s="48">
        <f t="shared" si="375"/>
        <v>0</v>
      </c>
      <c r="N561" s="44">
        <f t="shared" si="355"/>
        <v>0</v>
      </c>
      <c r="P561" s="49">
        <f t="shared" si="356"/>
        <v>0</v>
      </c>
      <c r="Q561" s="49">
        <f t="shared" si="351"/>
        <v>0</v>
      </c>
      <c r="R561" s="49">
        <f t="shared" si="351"/>
        <v>0</v>
      </c>
      <c r="S561" s="49">
        <f t="shared" si="351"/>
        <v>0</v>
      </c>
      <c r="T561" s="49">
        <f t="shared" si="351"/>
        <v>0</v>
      </c>
      <c r="V561" s="53">
        <f t="shared" si="369"/>
        <v>0</v>
      </c>
      <c r="W561" s="53">
        <f t="shared" si="370"/>
        <v>0</v>
      </c>
      <c r="X561" s="53">
        <f t="shared" si="371"/>
        <v>0</v>
      </c>
      <c r="Y561" s="53">
        <f t="shared" si="372"/>
        <v>0</v>
      </c>
      <c r="Z561" s="53">
        <f t="shared" si="373"/>
        <v>0</v>
      </c>
      <c r="AB561" s="53">
        <f t="shared" si="362"/>
        <v>0</v>
      </c>
      <c r="AC561" s="53">
        <f t="shared" si="363"/>
        <v>0</v>
      </c>
      <c r="AD561" s="53">
        <f t="shared" si="364"/>
        <v>0</v>
      </c>
      <c r="AE561" s="53">
        <f t="shared" si="365"/>
        <v>0</v>
      </c>
      <c r="AF561" s="53">
        <f t="shared" si="366"/>
        <v>0</v>
      </c>
    </row>
    <row r="562" spans="2:32">
      <c r="B562" s="43" t="str">
        <f t="shared" si="354"/>
        <v>Asset 8</v>
      </c>
      <c r="F562" s="43" t="str">
        <f t="shared" ref="F562:L562" si="376">F66</f>
        <v>10 Gereedschap</v>
      </c>
      <c r="G562" s="43">
        <f t="shared" si="376"/>
        <v>2010</v>
      </c>
      <c r="H562" s="48">
        <f t="shared" si="376"/>
        <v>2369604.1752097155</v>
      </c>
      <c r="I562" s="43">
        <f t="shared" si="376"/>
        <v>2021</v>
      </c>
      <c r="J562" s="43">
        <f t="shared" si="376"/>
        <v>10</v>
      </c>
      <c r="K562" s="43">
        <f t="shared" si="376"/>
        <v>1</v>
      </c>
      <c r="L562" s="48">
        <f t="shared" si="376"/>
        <v>0</v>
      </c>
      <c r="N562" s="44">
        <f t="shared" si="355"/>
        <v>0</v>
      </c>
      <c r="P562" s="49">
        <f t="shared" si="356"/>
        <v>0</v>
      </c>
      <c r="Q562" s="49">
        <f t="shared" si="351"/>
        <v>0</v>
      </c>
      <c r="R562" s="49">
        <f t="shared" si="351"/>
        <v>0</v>
      </c>
      <c r="S562" s="49">
        <f t="shared" si="351"/>
        <v>0</v>
      </c>
      <c r="T562" s="49">
        <f t="shared" si="351"/>
        <v>0</v>
      </c>
      <c r="V562" s="53">
        <f t="shared" si="369"/>
        <v>0</v>
      </c>
      <c r="W562" s="53">
        <f t="shared" si="370"/>
        <v>0</v>
      </c>
      <c r="X562" s="53">
        <f t="shared" si="371"/>
        <v>0</v>
      </c>
      <c r="Y562" s="53">
        <f t="shared" si="372"/>
        <v>0</v>
      </c>
      <c r="Z562" s="53">
        <f t="shared" si="373"/>
        <v>0</v>
      </c>
      <c r="AB562" s="53">
        <f t="shared" si="362"/>
        <v>0</v>
      </c>
      <c r="AC562" s="53">
        <f t="shared" si="363"/>
        <v>0</v>
      </c>
      <c r="AD562" s="53">
        <f t="shared" si="364"/>
        <v>0</v>
      </c>
      <c r="AE562" s="53">
        <f t="shared" si="365"/>
        <v>0</v>
      </c>
      <c r="AF562" s="53">
        <f t="shared" si="366"/>
        <v>0</v>
      </c>
    </row>
    <row r="563" spans="2:32">
      <c r="B563" s="43" t="str">
        <f t="shared" si="354"/>
        <v>Asset 9</v>
      </c>
      <c r="F563" s="43" t="str">
        <f t="shared" ref="F563:L563" si="377">F67</f>
        <v>37 ICT middelen 1 (transparency)</v>
      </c>
      <c r="G563" s="43">
        <f t="shared" si="377"/>
        <v>2010</v>
      </c>
      <c r="H563" s="48">
        <f t="shared" si="377"/>
        <v>137063.35897796138</v>
      </c>
      <c r="I563" s="43">
        <f t="shared" si="377"/>
        <v>2021</v>
      </c>
      <c r="J563" s="43">
        <f t="shared" si="377"/>
        <v>5</v>
      </c>
      <c r="K563" s="43">
        <f t="shared" si="377"/>
        <v>0</v>
      </c>
      <c r="L563" s="48">
        <f t="shared" si="377"/>
        <v>0</v>
      </c>
      <c r="N563" s="44">
        <f t="shared" si="355"/>
        <v>0</v>
      </c>
      <c r="P563" s="49">
        <f t="shared" si="356"/>
        <v>0</v>
      </c>
      <c r="Q563" s="49">
        <f t="shared" si="351"/>
        <v>0</v>
      </c>
      <c r="R563" s="49">
        <f t="shared" si="351"/>
        <v>0</v>
      </c>
      <c r="S563" s="49">
        <f t="shared" si="351"/>
        <v>0</v>
      </c>
      <c r="T563" s="49">
        <f t="shared" si="351"/>
        <v>0</v>
      </c>
      <c r="V563" s="53">
        <f t="shared" si="369"/>
        <v>0</v>
      </c>
      <c r="W563" s="53">
        <f t="shared" si="370"/>
        <v>0</v>
      </c>
      <c r="X563" s="53">
        <f t="shared" si="371"/>
        <v>0</v>
      </c>
      <c r="Y563" s="53">
        <f t="shared" si="372"/>
        <v>0</v>
      </c>
      <c r="Z563" s="53">
        <f t="shared" si="373"/>
        <v>0</v>
      </c>
      <c r="AB563" s="53">
        <f t="shared" si="362"/>
        <v>0</v>
      </c>
      <c r="AC563" s="53">
        <f t="shared" si="363"/>
        <v>0</v>
      </c>
      <c r="AD563" s="53">
        <f t="shared" si="364"/>
        <v>0</v>
      </c>
      <c r="AE563" s="53">
        <f t="shared" si="365"/>
        <v>0</v>
      </c>
      <c r="AF563" s="53">
        <f t="shared" si="366"/>
        <v>0</v>
      </c>
    </row>
    <row r="564" spans="2:32">
      <c r="B564" s="43" t="str">
        <f t="shared" si="354"/>
        <v>Asset 10</v>
      </c>
      <c r="F564" s="43" t="str">
        <f t="shared" ref="F564:L564" si="378">F68</f>
        <v>11 Werktuigen (gaschromatografen en comptabele meters)</v>
      </c>
      <c r="G564" s="43">
        <f t="shared" si="378"/>
        <v>2011</v>
      </c>
      <c r="H564" s="48">
        <f t="shared" si="378"/>
        <v>852201.48356837523</v>
      </c>
      <c r="I564" s="43">
        <f t="shared" si="378"/>
        <v>2021</v>
      </c>
      <c r="J564" s="43">
        <f t="shared" si="378"/>
        <v>10</v>
      </c>
      <c r="K564" s="43">
        <f t="shared" si="378"/>
        <v>0</v>
      </c>
      <c r="L564" s="48">
        <f t="shared" si="378"/>
        <v>0</v>
      </c>
      <c r="N564" s="44">
        <f t="shared" si="355"/>
        <v>0</v>
      </c>
      <c r="P564" s="49">
        <f t="shared" si="356"/>
        <v>0</v>
      </c>
      <c r="Q564" s="49">
        <f t="shared" si="351"/>
        <v>0</v>
      </c>
      <c r="R564" s="49">
        <f t="shared" si="351"/>
        <v>0</v>
      </c>
      <c r="S564" s="49">
        <f t="shared" si="351"/>
        <v>0</v>
      </c>
      <c r="T564" s="49">
        <f t="shared" si="351"/>
        <v>0</v>
      </c>
      <c r="V564" s="53">
        <f t="shared" si="369"/>
        <v>0</v>
      </c>
      <c r="W564" s="53">
        <f t="shared" si="370"/>
        <v>0</v>
      </c>
      <c r="X564" s="53">
        <f t="shared" si="371"/>
        <v>0</v>
      </c>
      <c r="Y564" s="53">
        <f t="shared" si="372"/>
        <v>0</v>
      </c>
      <c r="Z564" s="53">
        <f t="shared" si="373"/>
        <v>0</v>
      </c>
      <c r="AB564" s="53">
        <f t="shared" si="362"/>
        <v>0</v>
      </c>
      <c r="AC564" s="53">
        <f t="shared" si="363"/>
        <v>0</v>
      </c>
      <c r="AD564" s="53">
        <f t="shared" si="364"/>
        <v>0</v>
      </c>
      <c r="AE564" s="53">
        <f t="shared" si="365"/>
        <v>0</v>
      </c>
      <c r="AF564" s="53">
        <f t="shared" si="366"/>
        <v>0</v>
      </c>
    </row>
    <row r="565" spans="2:32">
      <c r="B565" s="43" t="str">
        <f t="shared" si="354"/>
        <v>Asset 11</v>
      </c>
      <c r="F565" s="43" t="str">
        <f t="shared" ref="F565:L565" si="379">F69</f>
        <v>20 Kantoorgebouwen</v>
      </c>
      <c r="G565" s="43">
        <f t="shared" si="379"/>
        <v>2011</v>
      </c>
      <c r="H565" s="48">
        <f t="shared" si="379"/>
        <v>3100554.2541983742</v>
      </c>
      <c r="I565" s="43">
        <f t="shared" si="379"/>
        <v>2021</v>
      </c>
      <c r="J565" s="43">
        <f t="shared" si="379"/>
        <v>30</v>
      </c>
      <c r="K565" s="43">
        <f t="shared" si="379"/>
        <v>0</v>
      </c>
      <c r="L565" s="48">
        <f t="shared" si="379"/>
        <v>2372891.9585730941</v>
      </c>
      <c r="N565" s="44">
        <f t="shared" si="355"/>
        <v>19.5</v>
      </c>
      <c r="P565" s="49">
        <f t="shared" si="356"/>
        <v>121686.76710631252</v>
      </c>
      <c r="Q565" s="49">
        <f t="shared" si="351"/>
        <v>121686.76710631253</v>
      </c>
      <c r="R565" s="49">
        <f t="shared" si="351"/>
        <v>121686.76710631253</v>
      </c>
      <c r="S565" s="49">
        <f t="shared" si="351"/>
        <v>121686.76710631253</v>
      </c>
      <c r="T565" s="49">
        <f t="shared" si="351"/>
        <v>121686.76710631253</v>
      </c>
      <c r="V565" s="53">
        <f t="shared" si="369"/>
        <v>2251205.1914667818</v>
      </c>
      <c r="W565" s="53">
        <f t="shared" si="370"/>
        <v>2129518.4243604694</v>
      </c>
      <c r="X565" s="53">
        <f t="shared" si="371"/>
        <v>2007831.6572541569</v>
      </c>
      <c r="Y565" s="53">
        <f t="shared" si="372"/>
        <v>1886144.8901478443</v>
      </c>
      <c r="Z565" s="53">
        <f t="shared" si="373"/>
        <v>1764458.1230415318</v>
      </c>
      <c r="AB565" s="53">
        <f t="shared" si="362"/>
        <v>198227.74361618311</v>
      </c>
      <c r="AC565" s="53">
        <f t="shared" si="363"/>
        <v>191960.87511020803</v>
      </c>
      <c r="AD565" s="53">
        <f t="shared" si="364"/>
        <v>197984.3700819705</v>
      </c>
      <c r="AE565" s="53">
        <f t="shared" si="365"/>
        <v>193360.27293193061</v>
      </c>
      <c r="AF565" s="53">
        <f t="shared" si="366"/>
        <v>188736.17578189075</v>
      </c>
    </row>
    <row r="566" spans="2:32">
      <c r="B566" s="43" t="str">
        <f t="shared" si="354"/>
        <v>Asset 12</v>
      </c>
      <c r="F566" s="43" t="str">
        <f t="shared" ref="F566:L566" si="380">F70</f>
        <v>37 ICT middelen 1</v>
      </c>
      <c r="G566" s="43">
        <f t="shared" si="380"/>
        <v>2011</v>
      </c>
      <c r="H566" s="48">
        <f t="shared" si="380"/>
        <v>30115806.268534236</v>
      </c>
      <c r="I566" s="43">
        <f t="shared" si="380"/>
        <v>2021</v>
      </c>
      <c r="J566" s="43">
        <f t="shared" si="380"/>
        <v>5</v>
      </c>
      <c r="K566" s="43">
        <f t="shared" si="380"/>
        <v>1</v>
      </c>
      <c r="L566" s="48">
        <f t="shared" si="380"/>
        <v>0</v>
      </c>
      <c r="N566" s="44">
        <f t="shared" si="355"/>
        <v>0</v>
      </c>
      <c r="P566" s="49">
        <f t="shared" si="356"/>
        <v>0</v>
      </c>
      <c r="Q566" s="49">
        <f t="shared" si="351"/>
        <v>0</v>
      </c>
      <c r="R566" s="49">
        <f t="shared" si="351"/>
        <v>0</v>
      </c>
      <c r="S566" s="49">
        <f t="shared" si="351"/>
        <v>0</v>
      </c>
      <c r="T566" s="49">
        <f t="shared" si="351"/>
        <v>0</v>
      </c>
      <c r="V566" s="53">
        <f t="shared" si="369"/>
        <v>0</v>
      </c>
      <c r="W566" s="53">
        <f t="shared" si="370"/>
        <v>0</v>
      </c>
      <c r="X566" s="53">
        <f t="shared" si="371"/>
        <v>0</v>
      </c>
      <c r="Y566" s="53">
        <f t="shared" si="372"/>
        <v>0</v>
      </c>
      <c r="Z566" s="53">
        <f t="shared" si="373"/>
        <v>0</v>
      </c>
      <c r="AB566" s="53">
        <f t="shared" si="362"/>
        <v>0</v>
      </c>
      <c r="AC566" s="53">
        <f t="shared" si="363"/>
        <v>0</v>
      </c>
      <c r="AD566" s="53">
        <f t="shared" si="364"/>
        <v>0</v>
      </c>
      <c r="AE566" s="53">
        <f t="shared" si="365"/>
        <v>0</v>
      </c>
      <c r="AF566" s="53">
        <f t="shared" si="366"/>
        <v>0</v>
      </c>
    </row>
    <row r="567" spans="2:32">
      <c r="B567" s="43" t="str">
        <f t="shared" si="354"/>
        <v>Asset 13</v>
      </c>
      <c r="F567" s="43" t="str">
        <f t="shared" ref="F567:L567" si="381">F71</f>
        <v>06 Utiliteitsgebouwen</v>
      </c>
      <c r="G567" s="43">
        <f t="shared" si="381"/>
        <v>2011</v>
      </c>
      <c r="H567" s="48">
        <f t="shared" si="381"/>
        <v>2437521.6070272112</v>
      </c>
      <c r="I567" s="43">
        <f t="shared" si="381"/>
        <v>2021</v>
      </c>
      <c r="J567" s="43">
        <f t="shared" si="381"/>
        <v>30</v>
      </c>
      <c r="K567" s="43">
        <f t="shared" si="381"/>
        <v>0</v>
      </c>
      <c r="L567" s="48">
        <f t="shared" si="381"/>
        <v>1865464.9930189459</v>
      </c>
      <c r="N567" s="44">
        <f t="shared" si="355"/>
        <v>19.5</v>
      </c>
      <c r="P567" s="49">
        <f t="shared" si="356"/>
        <v>95664.871436869027</v>
      </c>
      <c r="Q567" s="49">
        <f t="shared" si="351"/>
        <v>95664.871436869027</v>
      </c>
      <c r="R567" s="49">
        <f t="shared" si="351"/>
        <v>95664.871436869027</v>
      </c>
      <c r="S567" s="49">
        <f t="shared" si="351"/>
        <v>95664.871436869027</v>
      </c>
      <c r="T567" s="49">
        <f t="shared" si="351"/>
        <v>95664.871436869027</v>
      </c>
      <c r="V567" s="53">
        <f t="shared" si="369"/>
        <v>1769800.1215820769</v>
      </c>
      <c r="W567" s="53">
        <f t="shared" si="370"/>
        <v>1674135.2501452079</v>
      </c>
      <c r="X567" s="53">
        <f t="shared" si="371"/>
        <v>1578470.3787083388</v>
      </c>
      <c r="Y567" s="53">
        <f t="shared" si="372"/>
        <v>1482805.5072714698</v>
      </c>
      <c r="Z567" s="53">
        <f t="shared" si="373"/>
        <v>1387140.6358346008</v>
      </c>
      <c r="AB567" s="53">
        <f t="shared" si="362"/>
        <v>155838.07557065965</v>
      </c>
      <c r="AC567" s="53">
        <f t="shared" si="363"/>
        <v>150911.33469166089</v>
      </c>
      <c r="AD567" s="53">
        <f t="shared" si="364"/>
        <v>155646.7458277859</v>
      </c>
      <c r="AE567" s="53">
        <f t="shared" si="365"/>
        <v>152011.48071318486</v>
      </c>
      <c r="AF567" s="53">
        <f t="shared" si="366"/>
        <v>148376.21559858386</v>
      </c>
    </row>
    <row r="568" spans="2:32">
      <c r="B568" s="43" t="str">
        <f t="shared" si="354"/>
        <v>Asset 14</v>
      </c>
      <c r="F568" s="43" t="str">
        <f t="shared" ref="F568:L568" si="382">F72</f>
        <v>10 Gereedschap</v>
      </c>
      <c r="G568" s="43">
        <f t="shared" si="382"/>
        <v>2011</v>
      </c>
      <c r="H568" s="48">
        <f t="shared" si="382"/>
        <v>322323.48030063207</v>
      </c>
      <c r="I568" s="43">
        <f t="shared" si="382"/>
        <v>2021</v>
      </c>
      <c r="J568" s="43">
        <f t="shared" si="382"/>
        <v>10</v>
      </c>
      <c r="K568" s="43">
        <f t="shared" si="382"/>
        <v>1</v>
      </c>
      <c r="L568" s="48">
        <f t="shared" si="382"/>
        <v>0</v>
      </c>
      <c r="N568" s="44">
        <f t="shared" si="355"/>
        <v>0</v>
      </c>
      <c r="P568" s="49">
        <f t="shared" si="356"/>
        <v>0</v>
      </c>
      <c r="Q568" s="49">
        <f t="shared" si="351"/>
        <v>0</v>
      </c>
      <c r="R568" s="49">
        <f t="shared" si="351"/>
        <v>0</v>
      </c>
      <c r="S568" s="49">
        <f t="shared" si="351"/>
        <v>0</v>
      </c>
      <c r="T568" s="49">
        <f t="shared" si="351"/>
        <v>0</v>
      </c>
      <c r="V568" s="53">
        <f t="shared" si="369"/>
        <v>0</v>
      </c>
      <c r="W568" s="53">
        <f t="shared" si="370"/>
        <v>0</v>
      </c>
      <c r="X568" s="53">
        <f t="shared" si="371"/>
        <v>0</v>
      </c>
      <c r="Y568" s="53">
        <f t="shared" si="372"/>
        <v>0</v>
      </c>
      <c r="Z568" s="53">
        <f t="shared" si="373"/>
        <v>0</v>
      </c>
      <c r="AB568" s="53">
        <f t="shared" si="362"/>
        <v>0</v>
      </c>
      <c r="AC568" s="53">
        <f t="shared" si="363"/>
        <v>0</v>
      </c>
      <c r="AD568" s="53">
        <f t="shared" si="364"/>
        <v>0</v>
      </c>
      <c r="AE568" s="53">
        <f t="shared" si="365"/>
        <v>0</v>
      </c>
      <c r="AF568" s="53">
        <f t="shared" si="366"/>
        <v>0</v>
      </c>
    </row>
    <row r="569" spans="2:32">
      <c r="B569" s="43" t="str">
        <f t="shared" si="354"/>
        <v>Asset 15</v>
      </c>
      <c r="F569" s="43" t="str">
        <f t="shared" ref="F569:L569" si="383">F73</f>
        <v>14 Overig rollend materieel</v>
      </c>
      <c r="G569" s="43">
        <f t="shared" si="383"/>
        <v>2011</v>
      </c>
      <c r="H569" s="48">
        <f t="shared" si="383"/>
        <v>4126005.7948834877</v>
      </c>
      <c r="I569" s="43">
        <f t="shared" si="383"/>
        <v>2021</v>
      </c>
      <c r="J569" s="43">
        <f t="shared" si="383"/>
        <v>10</v>
      </c>
      <c r="K569" s="43">
        <f t="shared" si="383"/>
        <v>1</v>
      </c>
      <c r="L569" s="48">
        <f t="shared" si="383"/>
        <v>0</v>
      </c>
      <c r="N569" s="44">
        <f t="shared" si="355"/>
        <v>0</v>
      </c>
      <c r="P569" s="49">
        <f t="shared" si="356"/>
        <v>0</v>
      </c>
      <c r="Q569" s="49">
        <f t="shared" si="351"/>
        <v>0</v>
      </c>
      <c r="R569" s="49">
        <f t="shared" si="351"/>
        <v>0</v>
      </c>
      <c r="S569" s="49">
        <f t="shared" si="351"/>
        <v>0</v>
      </c>
      <c r="T569" s="49">
        <f t="shared" si="351"/>
        <v>0</v>
      </c>
      <c r="V569" s="53">
        <f t="shared" si="369"/>
        <v>0</v>
      </c>
      <c r="W569" s="53">
        <f t="shared" si="370"/>
        <v>0</v>
      </c>
      <c r="X569" s="53">
        <f t="shared" si="371"/>
        <v>0</v>
      </c>
      <c r="Y569" s="53">
        <f t="shared" si="372"/>
        <v>0</v>
      </c>
      <c r="Z569" s="53">
        <f t="shared" si="373"/>
        <v>0</v>
      </c>
      <c r="AB569" s="53">
        <f t="shared" si="362"/>
        <v>0</v>
      </c>
      <c r="AC569" s="53">
        <f t="shared" si="363"/>
        <v>0</v>
      </c>
      <c r="AD569" s="53">
        <f t="shared" si="364"/>
        <v>0</v>
      </c>
      <c r="AE569" s="53">
        <f t="shared" si="365"/>
        <v>0</v>
      </c>
      <c r="AF569" s="53">
        <f t="shared" si="366"/>
        <v>0</v>
      </c>
    </row>
    <row r="570" spans="2:32">
      <c r="B570" s="43" t="str">
        <f t="shared" si="354"/>
        <v>Asset 16</v>
      </c>
      <c r="F570" s="43" t="str">
        <f t="shared" ref="F570:L570" si="384">F74</f>
        <v>37 ICT middelen 1</v>
      </c>
      <c r="G570" s="43">
        <f t="shared" si="384"/>
        <v>2012</v>
      </c>
      <c r="H570" s="48">
        <f t="shared" si="384"/>
        <v>22695798.709637098</v>
      </c>
      <c r="I570" s="43">
        <f t="shared" si="384"/>
        <v>2021</v>
      </c>
      <c r="J570" s="43">
        <f t="shared" si="384"/>
        <v>5</v>
      </c>
      <c r="K570" s="43">
        <f t="shared" si="384"/>
        <v>1</v>
      </c>
      <c r="L570" s="48">
        <f t="shared" si="384"/>
        <v>0</v>
      </c>
      <c r="N570" s="44">
        <f t="shared" si="355"/>
        <v>0</v>
      </c>
      <c r="P570" s="49">
        <f t="shared" si="356"/>
        <v>0</v>
      </c>
      <c r="Q570" s="49">
        <f t="shared" si="351"/>
        <v>0</v>
      </c>
      <c r="R570" s="49">
        <f t="shared" si="351"/>
        <v>0</v>
      </c>
      <c r="S570" s="49">
        <f t="shared" si="351"/>
        <v>0</v>
      </c>
      <c r="T570" s="49">
        <f t="shared" si="351"/>
        <v>0</v>
      </c>
      <c r="V570" s="53">
        <f t="shared" si="369"/>
        <v>0</v>
      </c>
      <c r="W570" s="53">
        <f t="shared" si="370"/>
        <v>0</v>
      </c>
      <c r="X570" s="53">
        <f t="shared" si="371"/>
        <v>0</v>
      </c>
      <c r="Y570" s="53">
        <f t="shared" si="372"/>
        <v>0</v>
      </c>
      <c r="Z570" s="53">
        <f t="shared" si="373"/>
        <v>0</v>
      </c>
      <c r="AB570" s="53">
        <f t="shared" si="362"/>
        <v>0</v>
      </c>
      <c r="AC570" s="53">
        <f t="shared" si="363"/>
        <v>0</v>
      </c>
      <c r="AD570" s="53">
        <f t="shared" si="364"/>
        <v>0</v>
      </c>
      <c r="AE570" s="53">
        <f t="shared" si="365"/>
        <v>0</v>
      </c>
      <c r="AF570" s="53">
        <f t="shared" si="366"/>
        <v>0</v>
      </c>
    </row>
    <row r="571" spans="2:32">
      <c r="B571" s="43" t="str">
        <f t="shared" si="354"/>
        <v>Asset 17</v>
      </c>
      <c r="F571" s="43" t="str">
        <f t="shared" ref="F571:L571" si="385">F75</f>
        <v>37 ICT middelen 1</v>
      </c>
      <c r="G571" s="43">
        <f t="shared" si="385"/>
        <v>2013</v>
      </c>
      <c r="H571" s="48">
        <f t="shared" si="385"/>
        <v>18719949.80436749</v>
      </c>
      <c r="I571" s="43">
        <f t="shared" si="385"/>
        <v>2021</v>
      </c>
      <c r="J571" s="43">
        <f t="shared" si="385"/>
        <v>5</v>
      </c>
      <c r="K571" s="43">
        <f t="shared" si="385"/>
        <v>1</v>
      </c>
      <c r="L571" s="48">
        <f t="shared" si="385"/>
        <v>0</v>
      </c>
      <c r="N571" s="44">
        <f t="shared" si="355"/>
        <v>0</v>
      </c>
      <c r="P571" s="49">
        <f t="shared" si="356"/>
        <v>0</v>
      </c>
      <c r="Q571" s="49">
        <f t="shared" si="356"/>
        <v>0</v>
      </c>
      <c r="R571" s="49">
        <f t="shared" si="356"/>
        <v>0</v>
      </c>
      <c r="S571" s="49">
        <f t="shared" si="356"/>
        <v>0</v>
      </c>
      <c r="T571" s="49">
        <f t="shared" si="356"/>
        <v>0</v>
      </c>
      <c r="V571" s="53">
        <f t="shared" si="369"/>
        <v>0</v>
      </c>
      <c r="W571" s="53">
        <f t="shared" si="370"/>
        <v>0</v>
      </c>
      <c r="X571" s="53">
        <f t="shared" si="371"/>
        <v>0</v>
      </c>
      <c r="Y571" s="53">
        <f t="shared" si="372"/>
        <v>0</v>
      </c>
      <c r="Z571" s="53">
        <f t="shared" si="373"/>
        <v>0</v>
      </c>
      <c r="AB571" s="53">
        <f t="shared" si="362"/>
        <v>0</v>
      </c>
      <c r="AC571" s="53">
        <f t="shared" si="363"/>
        <v>0</v>
      </c>
      <c r="AD571" s="53">
        <f t="shared" si="364"/>
        <v>0</v>
      </c>
      <c r="AE571" s="53">
        <f t="shared" si="365"/>
        <v>0</v>
      </c>
      <c r="AF571" s="53">
        <f t="shared" si="366"/>
        <v>0</v>
      </c>
    </row>
    <row r="572" spans="2:32">
      <c r="B572" s="43" t="str">
        <f t="shared" si="354"/>
        <v>Asset 18</v>
      </c>
      <c r="F572" s="43" t="str">
        <f t="shared" ref="F572:L572" si="386">F76</f>
        <v>14 Overig rollend materieel</v>
      </c>
      <c r="G572" s="43">
        <f t="shared" si="386"/>
        <v>2013</v>
      </c>
      <c r="H572" s="48">
        <f t="shared" si="386"/>
        <v>14233.766853302437</v>
      </c>
      <c r="I572" s="43">
        <f t="shared" si="386"/>
        <v>2021</v>
      </c>
      <c r="J572" s="43">
        <f t="shared" si="386"/>
        <v>10</v>
      </c>
      <c r="K572" s="43">
        <f t="shared" si="386"/>
        <v>1</v>
      </c>
      <c r="L572" s="48">
        <f t="shared" si="386"/>
        <v>2395.0433871794298</v>
      </c>
      <c r="N572" s="44">
        <f t="shared" si="355"/>
        <v>1.5</v>
      </c>
      <c r="P572" s="49">
        <f t="shared" ref="P572:T622" si="387">IF(P$553&lt;=$G572+$J572,VDB($L572,0,$N572,P$553-2022,MIN(P$553-2021,$N572),1),0)</f>
        <v>1596.6955914529533</v>
      </c>
      <c r="Q572" s="49">
        <f t="shared" si="387"/>
        <v>798.34779572647665</v>
      </c>
      <c r="R572" s="49">
        <f t="shared" si="387"/>
        <v>0</v>
      </c>
      <c r="S572" s="49">
        <f t="shared" si="387"/>
        <v>0</v>
      </c>
      <c r="T572" s="49">
        <f t="shared" si="387"/>
        <v>0</v>
      </c>
      <c r="V572" s="53">
        <f t="shared" si="369"/>
        <v>798.34779572647653</v>
      </c>
      <c r="W572" s="53">
        <f t="shared" si="370"/>
        <v>-1.1368683772161603E-13</v>
      </c>
      <c r="X572" s="53">
        <f t="shared" si="371"/>
        <v>0</v>
      </c>
      <c r="Y572" s="53">
        <f t="shared" si="372"/>
        <v>0</v>
      </c>
      <c r="Z572" s="53">
        <f t="shared" si="373"/>
        <v>0</v>
      </c>
      <c r="AB572" s="53">
        <f t="shared" si="362"/>
        <v>1623.8394165076536</v>
      </c>
      <c r="AC572" s="53">
        <f t="shared" si="363"/>
        <v>798.34779572647665</v>
      </c>
      <c r="AD572" s="53">
        <f t="shared" si="364"/>
        <v>0</v>
      </c>
      <c r="AE572" s="53">
        <f t="shared" si="365"/>
        <v>0</v>
      </c>
      <c r="AF572" s="53">
        <f t="shared" si="366"/>
        <v>0</v>
      </c>
    </row>
    <row r="573" spans="2:32">
      <c r="B573" s="43" t="str">
        <f t="shared" si="354"/>
        <v>Asset 19</v>
      </c>
      <c r="F573" s="43" t="str">
        <f t="shared" ref="F573:L573" si="388">F77</f>
        <v>10 Gereedschap</v>
      </c>
      <c r="G573" s="43">
        <f t="shared" si="388"/>
        <v>2013</v>
      </c>
      <c r="H573" s="48">
        <f t="shared" si="388"/>
        <v>717715.3058753697</v>
      </c>
      <c r="I573" s="43">
        <f t="shared" si="388"/>
        <v>2021</v>
      </c>
      <c r="J573" s="43">
        <f t="shared" si="388"/>
        <v>10</v>
      </c>
      <c r="K573" s="43">
        <f t="shared" si="388"/>
        <v>1</v>
      </c>
      <c r="L573" s="48">
        <f t="shared" si="388"/>
        <v>120766.29573396736</v>
      </c>
      <c r="N573" s="44">
        <f t="shared" si="355"/>
        <v>1.5</v>
      </c>
      <c r="P573" s="49">
        <f t="shared" si="387"/>
        <v>80510.863822644911</v>
      </c>
      <c r="Q573" s="49">
        <f t="shared" si="387"/>
        <v>40255.431911322456</v>
      </c>
      <c r="R573" s="49">
        <f t="shared" si="387"/>
        <v>0</v>
      </c>
      <c r="S573" s="49">
        <f t="shared" si="387"/>
        <v>0</v>
      </c>
      <c r="T573" s="49">
        <f t="shared" si="387"/>
        <v>0</v>
      </c>
      <c r="V573" s="53">
        <f t="shared" si="369"/>
        <v>40255.431911322448</v>
      </c>
      <c r="W573" s="53">
        <f t="shared" si="370"/>
        <v>-7.2759576141834259E-12</v>
      </c>
      <c r="X573" s="53">
        <f t="shared" si="371"/>
        <v>0</v>
      </c>
      <c r="Y573" s="53">
        <f t="shared" si="372"/>
        <v>0</v>
      </c>
      <c r="Z573" s="53">
        <f t="shared" si="373"/>
        <v>0</v>
      </c>
      <c r="AB573" s="53">
        <f t="shared" si="362"/>
        <v>81879.548507629879</v>
      </c>
      <c r="AC573" s="53">
        <f t="shared" si="363"/>
        <v>40255.431911322456</v>
      </c>
      <c r="AD573" s="53">
        <f t="shared" si="364"/>
        <v>0</v>
      </c>
      <c r="AE573" s="53">
        <f t="shared" si="365"/>
        <v>0</v>
      </c>
      <c r="AF573" s="53">
        <f t="shared" si="366"/>
        <v>0</v>
      </c>
    </row>
    <row r="574" spans="2:32">
      <c r="B574" s="43" t="str">
        <f t="shared" si="354"/>
        <v>Asset 20</v>
      </c>
      <c r="F574" s="43" t="str">
        <f t="shared" ref="F574:L574" si="389">F78</f>
        <v>37 ICT middelen 1</v>
      </c>
      <c r="G574" s="43">
        <f t="shared" si="389"/>
        <v>2014</v>
      </c>
      <c r="H574" s="48">
        <f t="shared" si="389"/>
        <v>29278944.009914741</v>
      </c>
      <c r="I574" s="43">
        <f t="shared" si="389"/>
        <v>2021</v>
      </c>
      <c r="J574" s="43">
        <f t="shared" si="389"/>
        <v>5</v>
      </c>
      <c r="K574" s="43">
        <f t="shared" si="389"/>
        <v>1</v>
      </c>
      <c r="L574" s="48">
        <f t="shared" si="389"/>
        <v>0</v>
      </c>
      <c r="N574" s="44">
        <f t="shared" si="355"/>
        <v>0</v>
      </c>
      <c r="P574" s="49">
        <f t="shared" si="387"/>
        <v>0</v>
      </c>
      <c r="Q574" s="49">
        <f t="shared" si="387"/>
        <v>0</v>
      </c>
      <c r="R574" s="49">
        <f t="shared" si="387"/>
        <v>0</v>
      </c>
      <c r="S574" s="49">
        <f t="shared" si="387"/>
        <v>0</v>
      </c>
      <c r="T574" s="49">
        <f t="shared" si="387"/>
        <v>0</v>
      </c>
      <c r="V574" s="53">
        <f t="shared" si="369"/>
        <v>0</v>
      </c>
      <c r="W574" s="53">
        <f t="shared" si="370"/>
        <v>0</v>
      </c>
      <c r="X574" s="53">
        <f t="shared" si="371"/>
        <v>0</v>
      </c>
      <c r="Y574" s="53">
        <f t="shared" si="372"/>
        <v>0</v>
      </c>
      <c r="Z574" s="53">
        <f t="shared" si="373"/>
        <v>0</v>
      </c>
      <c r="AB574" s="53">
        <f t="shared" si="362"/>
        <v>0</v>
      </c>
      <c r="AC574" s="53">
        <f t="shared" si="363"/>
        <v>0</v>
      </c>
      <c r="AD574" s="53">
        <f t="shared" si="364"/>
        <v>0</v>
      </c>
      <c r="AE574" s="53">
        <f t="shared" si="365"/>
        <v>0</v>
      </c>
      <c r="AF574" s="53">
        <f t="shared" si="366"/>
        <v>0</v>
      </c>
    </row>
    <row r="575" spans="2:32">
      <c r="B575" s="43" t="str">
        <f t="shared" si="354"/>
        <v>Asset 21</v>
      </c>
      <c r="F575" s="43" t="str">
        <f t="shared" ref="F575:L575" si="390">F79</f>
        <v>38 ICT middelen 2</v>
      </c>
      <c r="G575" s="43">
        <f t="shared" si="390"/>
        <v>2014</v>
      </c>
      <c r="H575" s="48">
        <f t="shared" si="390"/>
        <v>149619.99545874962</v>
      </c>
      <c r="I575" s="43">
        <f t="shared" si="390"/>
        <v>2021</v>
      </c>
      <c r="J575" s="43">
        <f t="shared" si="390"/>
        <v>10</v>
      </c>
      <c r="K575" s="43">
        <f t="shared" si="390"/>
        <v>1</v>
      </c>
      <c r="L575" s="48">
        <f t="shared" si="390"/>
        <v>40816.786477904512</v>
      </c>
      <c r="N575" s="44">
        <f t="shared" si="355"/>
        <v>2.5</v>
      </c>
      <c r="P575" s="49">
        <f t="shared" si="387"/>
        <v>16326.714591161806</v>
      </c>
      <c r="Q575" s="49">
        <f t="shared" si="387"/>
        <v>16326.714591161804</v>
      </c>
      <c r="R575" s="49">
        <f t="shared" si="387"/>
        <v>8163.3572955809022</v>
      </c>
      <c r="S575" s="49">
        <f t="shared" si="387"/>
        <v>0</v>
      </c>
      <c r="T575" s="49">
        <f t="shared" si="387"/>
        <v>0</v>
      </c>
      <c r="V575" s="53">
        <f t="shared" si="369"/>
        <v>24490.071886742706</v>
      </c>
      <c r="W575" s="53">
        <f t="shared" si="370"/>
        <v>8163.3572955809013</v>
      </c>
      <c r="X575" s="53">
        <f t="shared" si="371"/>
        <v>-9.0949470177292824E-13</v>
      </c>
      <c r="Y575" s="53">
        <f t="shared" si="372"/>
        <v>0</v>
      </c>
      <c r="Z575" s="53">
        <f t="shared" si="373"/>
        <v>0</v>
      </c>
      <c r="AB575" s="53">
        <f t="shared" si="362"/>
        <v>17159.377035311059</v>
      </c>
      <c r="AC575" s="53">
        <f t="shared" si="363"/>
        <v>16596.105381915975</v>
      </c>
      <c r="AD575" s="53">
        <f t="shared" si="364"/>
        <v>8163.3572955809022</v>
      </c>
      <c r="AE575" s="53">
        <f t="shared" si="365"/>
        <v>0</v>
      </c>
      <c r="AF575" s="53">
        <f t="shared" si="366"/>
        <v>0</v>
      </c>
    </row>
    <row r="576" spans="2:32">
      <c r="B576" s="43" t="str">
        <f t="shared" si="354"/>
        <v>Asset 22</v>
      </c>
      <c r="F576" s="43" t="str">
        <f t="shared" ref="F576:L576" si="391">F80</f>
        <v>37 ICT middelen 1 (transparency)</v>
      </c>
      <c r="G576" s="43">
        <f t="shared" si="391"/>
        <v>2014</v>
      </c>
      <c r="H576" s="48">
        <f t="shared" si="391"/>
        <v>180341</v>
      </c>
      <c r="I576" s="43">
        <f t="shared" si="391"/>
        <v>2021</v>
      </c>
      <c r="J576" s="43">
        <f t="shared" si="391"/>
        <v>5</v>
      </c>
      <c r="K576" s="43">
        <f t="shared" si="391"/>
        <v>0</v>
      </c>
      <c r="L576" s="48">
        <f t="shared" si="391"/>
        <v>0</v>
      </c>
      <c r="N576" s="44">
        <f t="shared" si="355"/>
        <v>0</v>
      </c>
      <c r="P576" s="49">
        <f t="shared" si="387"/>
        <v>0</v>
      </c>
      <c r="Q576" s="49">
        <f t="shared" si="387"/>
        <v>0</v>
      </c>
      <c r="R576" s="49">
        <f t="shared" si="387"/>
        <v>0</v>
      </c>
      <c r="S576" s="49">
        <f t="shared" si="387"/>
        <v>0</v>
      </c>
      <c r="T576" s="49">
        <f t="shared" si="387"/>
        <v>0</v>
      </c>
      <c r="V576" s="53">
        <f t="shared" si="369"/>
        <v>0</v>
      </c>
      <c r="W576" s="53">
        <f t="shared" si="370"/>
        <v>0</v>
      </c>
      <c r="X576" s="53">
        <f t="shared" si="371"/>
        <v>0</v>
      </c>
      <c r="Y576" s="53">
        <f t="shared" si="372"/>
        <v>0</v>
      </c>
      <c r="Z576" s="53">
        <f t="shared" si="373"/>
        <v>0</v>
      </c>
      <c r="AB576" s="53">
        <f t="shared" si="362"/>
        <v>0</v>
      </c>
      <c r="AC576" s="53">
        <f t="shared" si="363"/>
        <v>0</v>
      </c>
      <c r="AD576" s="53">
        <f t="shared" si="364"/>
        <v>0</v>
      </c>
      <c r="AE576" s="53">
        <f t="shared" si="365"/>
        <v>0</v>
      </c>
      <c r="AF576" s="53">
        <f t="shared" si="366"/>
        <v>0</v>
      </c>
    </row>
    <row r="577" spans="2:32">
      <c r="B577" s="43" t="str">
        <f t="shared" si="354"/>
        <v>Asset 23</v>
      </c>
      <c r="F577" s="43" t="str">
        <f t="shared" ref="F577:L577" si="392">F81</f>
        <v>37 ICT middelen 1</v>
      </c>
      <c r="G577" s="43">
        <f t="shared" si="392"/>
        <v>2015</v>
      </c>
      <c r="H577" s="48">
        <f t="shared" si="392"/>
        <v>16219637.049707994</v>
      </c>
      <c r="I577" s="43">
        <f t="shared" si="392"/>
        <v>2021</v>
      </c>
      <c r="J577" s="43">
        <f t="shared" si="392"/>
        <v>5</v>
      </c>
      <c r="K577" s="43">
        <f t="shared" si="392"/>
        <v>1</v>
      </c>
      <c r="L577" s="48">
        <f t="shared" si="392"/>
        <v>0</v>
      </c>
      <c r="N577" s="44">
        <f t="shared" si="355"/>
        <v>0</v>
      </c>
      <c r="P577" s="49">
        <f t="shared" si="387"/>
        <v>0</v>
      </c>
      <c r="Q577" s="49">
        <f t="shared" si="387"/>
        <v>0</v>
      </c>
      <c r="R577" s="49">
        <f t="shared" si="387"/>
        <v>0</v>
      </c>
      <c r="S577" s="49">
        <f t="shared" si="387"/>
        <v>0</v>
      </c>
      <c r="T577" s="49">
        <f t="shared" si="387"/>
        <v>0</v>
      </c>
      <c r="V577" s="53">
        <f t="shared" si="369"/>
        <v>0</v>
      </c>
      <c r="W577" s="53">
        <f t="shared" si="370"/>
        <v>0</v>
      </c>
      <c r="X577" s="53">
        <f t="shared" si="371"/>
        <v>0</v>
      </c>
      <c r="Y577" s="53">
        <f t="shared" si="372"/>
        <v>0</v>
      </c>
      <c r="Z577" s="53">
        <f t="shared" si="373"/>
        <v>0</v>
      </c>
      <c r="AB577" s="53">
        <f t="shared" si="362"/>
        <v>0</v>
      </c>
      <c r="AC577" s="53">
        <f t="shared" si="363"/>
        <v>0</v>
      </c>
      <c r="AD577" s="53">
        <f t="shared" si="364"/>
        <v>0</v>
      </c>
      <c r="AE577" s="53">
        <f t="shared" si="365"/>
        <v>0</v>
      </c>
      <c r="AF577" s="53">
        <f t="shared" si="366"/>
        <v>0</v>
      </c>
    </row>
    <row r="578" spans="2:32">
      <c r="B578" s="43" t="str">
        <f t="shared" si="354"/>
        <v>Asset 24</v>
      </c>
      <c r="F578" s="43" t="str">
        <f t="shared" ref="F578:L578" si="393">F82</f>
        <v>14 Overig rollend materieel</v>
      </c>
      <c r="G578" s="43">
        <f t="shared" si="393"/>
        <v>2015</v>
      </c>
      <c r="H578" s="48">
        <f t="shared" si="393"/>
        <v>9111235.8707030155</v>
      </c>
      <c r="I578" s="43">
        <f t="shared" si="393"/>
        <v>2021</v>
      </c>
      <c r="J578" s="43">
        <f t="shared" si="393"/>
        <v>10</v>
      </c>
      <c r="K578" s="43">
        <f t="shared" si="393"/>
        <v>1</v>
      </c>
      <c r="L578" s="48">
        <f t="shared" si="393"/>
        <v>3445348.23215965</v>
      </c>
      <c r="N578" s="44">
        <f t="shared" si="355"/>
        <v>3.5</v>
      </c>
      <c r="P578" s="49">
        <f t="shared" si="387"/>
        <v>984385.20918847143</v>
      </c>
      <c r="Q578" s="49">
        <f t="shared" si="387"/>
        <v>984385.20918847143</v>
      </c>
      <c r="R578" s="49">
        <f t="shared" si="387"/>
        <v>984385.20918847143</v>
      </c>
      <c r="S578" s="49">
        <f t="shared" si="387"/>
        <v>492192.60459423572</v>
      </c>
      <c r="T578" s="49">
        <f t="shared" si="387"/>
        <v>0</v>
      </c>
      <c r="V578" s="53">
        <f t="shared" si="369"/>
        <v>2460963.0229711784</v>
      </c>
      <c r="W578" s="53">
        <f t="shared" si="370"/>
        <v>1476577.8137827069</v>
      </c>
      <c r="X578" s="53">
        <f t="shared" si="371"/>
        <v>492192.60459423542</v>
      </c>
      <c r="Y578" s="53">
        <f t="shared" si="372"/>
        <v>-2.9103830456733704E-10</v>
      </c>
      <c r="Z578" s="53">
        <f t="shared" si="373"/>
        <v>0</v>
      </c>
      <c r="AB578" s="53">
        <f t="shared" si="362"/>
        <v>1068057.9519694916</v>
      </c>
      <c r="AC578" s="53">
        <f t="shared" si="363"/>
        <v>1033112.2770433008</v>
      </c>
      <c r="AD578" s="53">
        <f t="shared" si="364"/>
        <v>1003088.5281630524</v>
      </c>
      <c r="AE578" s="53">
        <f t="shared" si="365"/>
        <v>492192.60459423572</v>
      </c>
      <c r="AF578" s="53">
        <f t="shared" si="366"/>
        <v>0</v>
      </c>
    </row>
    <row r="579" spans="2:32">
      <c r="B579" s="43" t="str">
        <f t="shared" si="354"/>
        <v>Asset 25</v>
      </c>
      <c r="F579" s="43" t="str">
        <f t="shared" ref="F579:L579" si="394">F83</f>
        <v>10 Gereedschap</v>
      </c>
      <c r="G579" s="43">
        <f t="shared" si="394"/>
        <v>2015</v>
      </c>
      <c r="H579" s="48">
        <f t="shared" si="394"/>
        <v>1215996.3265953835</v>
      </c>
      <c r="I579" s="43">
        <f t="shared" si="394"/>
        <v>2021</v>
      </c>
      <c r="J579" s="43">
        <f t="shared" si="394"/>
        <v>10</v>
      </c>
      <c r="K579" s="43">
        <f t="shared" si="394"/>
        <v>1</v>
      </c>
      <c r="L579" s="48">
        <f t="shared" si="394"/>
        <v>459820.25420057232</v>
      </c>
      <c r="N579" s="44">
        <f t="shared" si="355"/>
        <v>3.5</v>
      </c>
      <c r="P579" s="49">
        <f t="shared" si="387"/>
        <v>131377.21548587779</v>
      </c>
      <c r="Q579" s="49">
        <f t="shared" si="387"/>
        <v>131377.21548587782</v>
      </c>
      <c r="R579" s="49">
        <f t="shared" si="387"/>
        <v>131377.21548587782</v>
      </c>
      <c r="S579" s="49">
        <f t="shared" si="387"/>
        <v>65688.607742938912</v>
      </c>
      <c r="T579" s="49">
        <f t="shared" si="387"/>
        <v>0</v>
      </c>
      <c r="V579" s="53">
        <f t="shared" si="369"/>
        <v>328443.03871469456</v>
      </c>
      <c r="W579" s="53">
        <f t="shared" si="370"/>
        <v>197065.82322881673</v>
      </c>
      <c r="X579" s="53">
        <f t="shared" si="371"/>
        <v>65688.607742938912</v>
      </c>
      <c r="Y579" s="53">
        <f t="shared" si="372"/>
        <v>0</v>
      </c>
      <c r="Z579" s="53">
        <f t="shared" si="373"/>
        <v>0</v>
      </c>
      <c r="AB579" s="53">
        <f t="shared" si="362"/>
        <v>142544.2788021774</v>
      </c>
      <c r="AC579" s="53">
        <f t="shared" si="363"/>
        <v>137880.38765242876</v>
      </c>
      <c r="AD579" s="53">
        <f t="shared" si="364"/>
        <v>133873.38258010949</v>
      </c>
      <c r="AE579" s="53">
        <f t="shared" si="365"/>
        <v>65688.607742938912</v>
      </c>
      <c r="AF579" s="53">
        <f t="shared" si="366"/>
        <v>0</v>
      </c>
    </row>
    <row r="580" spans="2:32">
      <c r="B580" s="43" t="str">
        <f t="shared" si="354"/>
        <v>Asset 26</v>
      </c>
      <c r="F580" s="43" t="str">
        <f t="shared" ref="F580:L580" si="395">F84</f>
        <v>13 Aanhangwagens (gaschromatografen en comptabele meters)</v>
      </c>
      <c r="G580" s="43">
        <f t="shared" si="395"/>
        <v>2015</v>
      </c>
      <c r="H580" s="48">
        <f t="shared" si="395"/>
        <v>7968.6502792695001</v>
      </c>
      <c r="I580" s="43">
        <f t="shared" si="395"/>
        <v>2021</v>
      </c>
      <c r="J580" s="43">
        <f t="shared" si="395"/>
        <v>10</v>
      </c>
      <c r="K580" s="43">
        <f t="shared" si="395"/>
        <v>0</v>
      </c>
      <c r="L580" s="48">
        <f t="shared" si="395"/>
        <v>3013.2877188110033</v>
      </c>
      <c r="N580" s="44">
        <f t="shared" si="355"/>
        <v>3.5</v>
      </c>
      <c r="P580" s="49">
        <f t="shared" si="387"/>
        <v>860.93934823171526</v>
      </c>
      <c r="Q580" s="49">
        <f t="shared" si="387"/>
        <v>860.93934823171526</v>
      </c>
      <c r="R580" s="49">
        <f t="shared" si="387"/>
        <v>860.93934823171526</v>
      </c>
      <c r="S580" s="49">
        <f t="shared" si="387"/>
        <v>430.46967411585763</v>
      </c>
      <c r="T580" s="49">
        <f t="shared" si="387"/>
        <v>0</v>
      </c>
      <c r="V580" s="53">
        <f t="shared" si="369"/>
        <v>2152.3483705792878</v>
      </c>
      <c r="W580" s="53">
        <f t="shared" si="370"/>
        <v>1291.4090223475725</v>
      </c>
      <c r="X580" s="53">
        <f t="shared" si="371"/>
        <v>430.46967411585729</v>
      </c>
      <c r="Y580" s="53">
        <f t="shared" si="372"/>
        <v>-3.4106051316484809E-13</v>
      </c>
      <c r="Z580" s="53">
        <f t="shared" si="373"/>
        <v>0</v>
      </c>
      <c r="AB580" s="53">
        <f t="shared" si="362"/>
        <v>934.11919283141106</v>
      </c>
      <c r="AC580" s="53">
        <f t="shared" si="363"/>
        <v>903.55584596918516</v>
      </c>
      <c r="AD580" s="53">
        <f t="shared" si="364"/>
        <v>877.29719584811778</v>
      </c>
      <c r="AE580" s="53">
        <f t="shared" si="365"/>
        <v>430.46967411585763</v>
      </c>
      <c r="AF580" s="53">
        <f t="shared" si="366"/>
        <v>0</v>
      </c>
    </row>
    <row r="581" spans="2:32">
      <c r="B581" s="43" t="str">
        <f t="shared" si="354"/>
        <v>Asset 27</v>
      </c>
      <c r="F581" s="43" t="str">
        <f t="shared" ref="F581:L581" si="396">F85</f>
        <v>37 ICT middelen 1</v>
      </c>
      <c r="G581" s="43">
        <f t="shared" si="396"/>
        <v>2016</v>
      </c>
      <c r="H581" s="48">
        <f t="shared" si="396"/>
        <v>15289349.60564645</v>
      </c>
      <c r="I581" s="43">
        <f t="shared" si="396"/>
        <v>2021</v>
      </c>
      <c r="J581" s="43">
        <f t="shared" si="396"/>
        <v>5</v>
      </c>
      <c r="K581" s="43">
        <f t="shared" si="396"/>
        <v>1</v>
      </c>
      <c r="L581" s="48">
        <f t="shared" si="396"/>
        <v>0</v>
      </c>
      <c r="N581" s="44">
        <f t="shared" si="355"/>
        <v>0</v>
      </c>
      <c r="P581" s="49">
        <f t="shared" si="387"/>
        <v>0</v>
      </c>
      <c r="Q581" s="49">
        <f t="shared" si="387"/>
        <v>0</v>
      </c>
      <c r="R581" s="49">
        <f t="shared" si="387"/>
        <v>0</v>
      </c>
      <c r="S581" s="49">
        <f t="shared" si="387"/>
        <v>0</v>
      </c>
      <c r="T581" s="49">
        <f t="shared" si="387"/>
        <v>0</v>
      </c>
      <c r="V581" s="53">
        <f t="shared" si="369"/>
        <v>0</v>
      </c>
      <c r="W581" s="53">
        <f t="shared" si="370"/>
        <v>0</v>
      </c>
      <c r="X581" s="53">
        <f t="shared" si="371"/>
        <v>0</v>
      </c>
      <c r="Y581" s="53">
        <f t="shared" si="372"/>
        <v>0</v>
      </c>
      <c r="Z581" s="53">
        <f t="shared" si="373"/>
        <v>0</v>
      </c>
      <c r="AB581" s="53">
        <f t="shared" si="362"/>
        <v>0</v>
      </c>
      <c r="AC581" s="53">
        <f t="shared" si="363"/>
        <v>0</v>
      </c>
      <c r="AD581" s="53">
        <f t="shared" si="364"/>
        <v>0</v>
      </c>
      <c r="AE581" s="53">
        <f t="shared" si="365"/>
        <v>0</v>
      </c>
      <c r="AF581" s="53">
        <f t="shared" si="366"/>
        <v>0</v>
      </c>
    </row>
    <row r="582" spans="2:32">
      <c r="B582" s="43" t="str">
        <f t="shared" si="354"/>
        <v>Asset 28</v>
      </c>
      <c r="F582" s="43" t="str">
        <f t="shared" ref="F582:L582" si="397">F86</f>
        <v>11 Werktuigen</v>
      </c>
      <c r="G582" s="43">
        <f t="shared" si="397"/>
        <v>2016</v>
      </c>
      <c r="H582" s="48">
        <f t="shared" si="397"/>
        <v>1481397.6896878041</v>
      </c>
      <c r="I582" s="43">
        <f t="shared" si="397"/>
        <v>2021</v>
      </c>
      <c r="J582" s="43">
        <f t="shared" si="397"/>
        <v>10</v>
      </c>
      <c r="K582" s="43">
        <f t="shared" si="397"/>
        <v>1</v>
      </c>
      <c r="L582" s="48">
        <f t="shared" si="397"/>
        <v>714515.13830443297</v>
      </c>
      <c r="N582" s="44">
        <f t="shared" si="355"/>
        <v>4.5</v>
      </c>
      <c r="P582" s="49">
        <f>IF(P$553&lt;=$G582+$J582,VDB($L582,0,$N582,P$553-2022,MIN(P$553-2021,$N582),1),0)</f>
        <v>158781.14184542955</v>
      </c>
      <c r="Q582" s="49">
        <f t="shared" si="387"/>
        <v>158781.14184542955</v>
      </c>
      <c r="R582" s="49">
        <f t="shared" si="387"/>
        <v>158781.14184542955</v>
      </c>
      <c r="S582" s="49">
        <f t="shared" si="387"/>
        <v>158781.14184542955</v>
      </c>
      <c r="T582" s="49">
        <f t="shared" si="387"/>
        <v>79390.570922714774</v>
      </c>
      <c r="V582" s="53">
        <f t="shared" si="369"/>
        <v>555733.99645900342</v>
      </c>
      <c r="W582" s="53">
        <f t="shared" si="370"/>
        <v>396952.85461357387</v>
      </c>
      <c r="X582" s="53">
        <f t="shared" si="371"/>
        <v>238171.71276814432</v>
      </c>
      <c r="Y582" s="53">
        <f t="shared" si="372"/>
        <v>79390.570922714774</v>
      </c>
      <c r="Z582" s="53">
        <f t="shared" si="373"/>
        <v>0</v>
      </c>
      <c r="AB582" s="53">
        <f t="shared" si="362"/>
        <v>177676.09772503568</v>
      </c>
      <c r="AC582" s="53">
        <f t="shared" si="363"/>
        <v>171880.5860476775</v>
      </c>
      <c r="AD582" s="53">
        <f t="shared" si="364"/>
        <v>167831.66693061905</v>
      </c>
      <c r="AE582" s="53">
        <f t="shared" si="365"/>
        <v>161797.98354049271</v>
      </c>
      <c r="AF582" s="53">
        <f t="shared" si="366"/>
        <v>79390.570922714774</v>
      </c>
    </row>
    <row r="583" spans="2:32">
      <c r="B583" s="43" t="str">
        <f t="shared" si="354"/>
        <v>Asset 29</v>
      </c>
      <c r="F583" s="43" t="str">
        <f t="shared" ref="F583:L583" si="398">F87</f>
        <v>14 Overig rollend materieel</v>
      </c>
      <c r="G583" s="43">
        <f t="shared" si="398"/>
        <v>2016</v>
      </c>
      <c r="H583" s="48">
        <f t="shared" si="398"/>
        <v>5338260.5379699524</v>
      </c>
      <c r="I583" s="43">
        <f t="shared" si="398"/>
        <v>2021</v>
      </c>
      <c r="J583" s="43">
        <f t="shared" si="398"/>
        <v>10</v>
      </c>
      <c r="K583" s="43">
        <f t="shared" si="398"/>
        <v>1</v>
      </c>
      <c r="L583" s="48">
        <f t="shared" si="398"/>
        <v>2574776.5054207225</v>
      </c>
      <c r="N583" s="44">
        <f t="shared" si="355"/>
        <v>4.5</v>
      </c>
      <c r="P583" s="49">
        <f t="shared" si="387"/>
        <v>572172.5567601606</v>
      </c>
      <c r="Q583" s="49">
        <f t="shared" si="387"/>
        <v>572172.5567601606</v>
      </c>
      <c r="R583" s="49">
        <f t="shared" si="387"/>
        <v>572172.5567601606</v>
      </c>
      <c r="S583" s="49">
        <f t="shared" si="387"/>
        <v>572172.5567601606</v>
      </c>
      <c r="T583" s="49">
        <f t="shared" si="387"/>
        <v>286086.2783800803</v>
      </c>
      <c r="V583" s="53">
        <f t="shared" si="369"/>
        <v>2002603.9486605618</v>
      </c>
      <c r="W583" s="53">
        <f t="shared" si="370"/>
        <v>1430431.3919004011</v>
      </c>
      <c r="X583" s="53">
        <f t="shared" si="371"/>
        <v>858258.8351402405</v>
      </c>
      <c r="Y583" s="53">
        <f t="shared" si="372"/>
        <v>286086.27838007989</v>
      </c>
      <c r="Z583" s="53">
        <f t="shared" si="373"/>
        <v>-4.0745362639427185E-10</v>
      </c>
      <c r="AB583" s="53">
        <f t="shared" si="362"/>
        <v>640261.09101461968</v>
      </c>
      <c r="AC583" s="53">
        <f t="shared" si="363"/>
        <v>619376.79269287386</v>
      </c>
      <c r="AD583" s="53">
        <f t="shared" si="364"/>
        <v>604786.3924954898</v>
      </c>
      <c r="AE583" s="53">
        <f t="shared" si="365"/>
        <v>583043.83533860359</v>
      </c>
      <c r="AF583" s="53">
        <f t="shared" si="366"/>
        <v>286086.2783800803</v>
      </c>
    </row>
    <row r="584" spans="2:32">
      <c r="B584" s="43" t="str">
        <f t="shared" si="354"/>
        <v>Asset 30</v>
      </c>
      <c r="F584" s="43" t="str">
        <f t="shared" ref="F584:L584" si="399">F88</f>
        <v>37 ICT middelen 1</v>
      </c>
      <c r="G584" s="43">
        <f t="shared" si="399"/>
        <v>2017</v>
      </c>
      <c r="H584" s="48">
        <f t="shared" si="399"/>
        <v>17348227.126304951</v>
      </c>
      <c r="I584" s="43">
        <f t="shared" si="399"/>
        <v>2021</v>
      </c>
      <c r="J584" s="43">
        <f t="shared" si="399"/>
        <v>5</v>
      </c>
      <c r="K584" s="43">
        <f t="shared" si="399"/>
        <v>1</v>
      </c>
      <c r="L584" s="48">
        <f t="shared" si="399"/>
        <v>1855729.3459505453</v>
      </c>
      <c r="N584" s="44">
        <f t="shared" si="355"/>
        <v>0.5</v>
      </c>
      <c r="P584" s="49">
        <f t="shared" si="387"/>
        <v>1855729.3459505453</v>
      </c>
      <c r="Q584" s="49">
        <f t="shared" si="387"/>
        <v>0</v>
      </c>
      <c r="R584" s="49">
        <f t="shared" si="387"/>
        <v>0</v>
      </c>
      <c r="S584" s="49">
        <f t="shared" si="387"/>
        <v>0</v>
      </c>
      <c r="T584" s="49">
        <f t="shared" si="387"/>
        <v>0</v>
      </c>
      <c r="V584" s="53">
        <f t="shared" si="369"/>
        <v>0</v>
      </c>
      <c r="W584" s="53">
        <f t="shared" si="370"/>
        <v>0</v>
      </c>
      <c r="X584" s="53">
        <f t="shared" si="371"/>
        <v>0</v>
      </c>
      <c r="Y584" s="53">
        <f t="shared" si="372"/>
        <v>0</v>
      </c>
      <c r="Z584" s="53">
        <f t="shared" si="373"/>
        <v>0</v>
      </c>
      <c r="AB584" s="53">
        <f t="shared" si="362"/>
        <v>1855729.3459505453</v>
      </c>
      <c r="AC584" s="53">
        <f t="shared" si="363"/>
        <v>0</v>
      </c>
      <c r="AD584" s="53">
        <f t="shared" si="364"/>
        <v>0</v>
      </c>
      <c r="AE584" s="53">
        <f t="shared" si="365"/>
        <v>0</v>
      </c>
      <c r="AF584" s="53">
        <f t="shared" si="366"/>
        <v>0</v>
      </c>
    </row>
    <row r="585" spans="2:32">
      <c r="B585" s="43" t="str">
        <f t="shared" si="354"/>
        <v>Asset 31</v>
      </c>
      <c r="F585" s="43" t="str">
        <f t="shared" ref="F585:L585" si="400">F89</f>
        <v>05 Wegen en terreinvoorzieningen</v>
      </c>
      <c r="G585" s="43">
        <f t="shared" si="400"/>
        <v>2012</v>
      </c>
      <c r="H585" s="48">
        <f t="shared" si="400"/>
        <v>56189.23</v>
      </c>
      <c r="I585" s="43">
        <f t="shared" si="400"/>
        <v>2021</v>
      </c>
      <c r="J585" s="43">
        <f t="shared" si="400"/>
        <v>10</v>
      </c>
      <c r="K585" s="43">
        <f t="shared" si="400"/>
        <v>0</v>
      </c>
      <c r="L585" s="48">
        <f t="shared" si="400"/>
        <v>3224.0442736663617</v>
      </c>
      <c r="N585" s="44">
        <f t="shared" si="355"/>
        <v>0.5</v>
      </c>
      <c r="P585" s="49">
        <f t="shared" si="387"/>
        <v>3224.0442736663617</v>
      </c>
      <c r="Q585" s="49">
        <f t="shared" si="387"/>
        <v>0</v>
      </c>
      <c r="R585" s="49">
        <f t="shared" si="387"/>
        <v>0</v>
      </c>
      <c r="S585" s="49">
        <f t="shared" si="387"/>
        <v>0</v>
      </c>
      <c r="T585" s="49">
        <f t="shared" si="387"/>
        <v>0</v>
      </c>
      <c r="V585" s="53">
        <f t="shared" si="369"/>
        <v>0</v>
      </c>
      <c r="W585" s="53">
        <f t="shared" si="370"/>
        <v>0</v>
      </c>
      <c r="X585" s="53">
        <f t="shared" si="371"/>
        <v>0</v>
      </c>
      <c r="Y585" s="53">
        <f t="shared" si="372"/>
        <v>0</v>
      </c>
      <c r="Z585" s="53">
        <f t="shared" si="373"/>
        <v>0</v>
      </c>
      <c r="AB585" s="53">
        <f t="shared" si="362"/>
        <v>3224.0442736663617</v>
      </c>
      <c r="AC585" s="53">
        <f t="shared" si="363"/>
        <v>0</v>
      </c>
      <c r="AD585" s="53">
        <f t="shared" si="364"/>
        <v>0</v>
      </c>
      <c r="AE585" s="53">
        <f t="shared" si="365"/>
        <v>0</v>
      </c>
      <c r="AF585" s="53">
        <f t="shared" si="366"/>
        <v>0</v>
      </c>
    </row>
    <row r="586" spans="2:32">
      <c r="B586" s="43" t="str">
        <f t="shared" si="354"/>
        <v>Asset 32</v>
      </c>
      <c r="F586" s="43" t="str">
        <f t="shared" ref="F586:L586" si="401">F90</f>
        <v>37 ICT middelen 1</v>
      </c>
      <c r="G586" s="43">
        <f t="shared" si="401"/>
        <v>2018</v>
      </c>
      <c r="H586" s="48">
        <f t="shared" si="401"/>
        <v>20811887.293785572</v>
      </c>
      <c r="I586" s="43">
        <f t="shared" si="401"/>
        <v>2021</v>
      </c>
      <c r="J586" s="43">
        <f t="shared" si="401"/>
        <v>5</v>
      </c>
      <c r="K586" s="43">
        <f t="shared" si="401"/>
        <v>1</v>
      </c>
      <c r="L586" s="48">
        <f t="shared" si="401"/>
        <v>6586494.0110704908</v>
      </c>
      <c r="N586" s="44">
        <f t="shared" si="355"/>
        <v>1.5</v>
      </c>
      <c r="P586" s="49">
        <f t="shared" si="387"/>
        <v>4390996.0073803272</v>
      </c>
      <c r="Q586" s="49">
        <f t="shared" si="387"/>
        <v>2195498.0036901636</v>
      </c>
      <c r="R586" s="49">
        <f t="shared" si="387"/>
        <v>0</v>
      </c>
      <c r="S586" s="49">
        <f t="shared" si="387"/>
        <v>0</v>
      </c>
      <c r="T586" s="49">
        <f t="shared" si="387"/>
        <v>0</v>
      </c>
      <c r="V586" s="53">
        <f t="shared" si="369"/>
        <v>2195498.0036901636</v>
      </c>
      <c r="W586" s="53">
        <f t="shared" si="370"/>
        <v>0</v>
      </c>
      <c r="X586" s="53">
        <f t="shared" si="371"/>
        <v>0</v>
      </c>
      <c r="Y586" s="53">
        <f t="shared" si="372"/>
        <v>0</v>
      </c>
      <c r="Z586" s="53">
        <f t="shared" si="373"/>
        <v>0</v>
      </c>
      <c r="AB586" s="53">
        <f t="shared" si="362"/>
        <v>4465642.9395057932</v>
      </c>
      <c r="AC586" s="53">
        <f t="shared" si="363"/>
        <v>2195498.0036901636</v>
      </c>
      <c r="AD586" s="53">
        <f t="shared" si="364"/>
        <v>0</v>
      </c>
      <c r="AE586" s="53">
        <f t="shared" si="365"/>
        <v>0</v>
      </c>
      <c r="AF586" s="53">
        <f t="shared" si="366"/>
        <v>0</v>
      </c>
    </row>
    <row r="587" spans="2:32">
      <c r="B587" s="43" t="str">
        <f t="shared" si="354"/>
        <v>Asset 33</v>
      </c>
      <c r="F587" s="43" t="str">
        <f t="shared" ref="F587:L587" si="402">F91</f>
        <v>37 ICT middelen 1</v>
      </c>
      <c r="G587" s="43">
        <f t="shared" si="402"/>
        <v>2005</v>
      </c>
      <c r="H587" s="48">
        <f t="shared" si="402"/>
        <v>3284081.86</v>
      </c>
      <c r="I587" s="43">
        <f t="shared" si="402"/>
        <v>2021</v>
      </c>
      <c r="J587" s="43">
        <f t="shared" si="402"/>
        <v>5</v>
      </c>
      <c r="K587" s="43">
        <f t="shared" si="402"/>
        <v>1</v>
      </c>
      <c r="L587" s="48">
        <f t="shared" si="402"/>
        <v>0</v>
      </c>
      <c r="N587" s="44">
        <f t="shared" si="355"/>
        <v>0</v>
      </c>
      <c r="P587" s="49">
        <f t="shared" si="387"/>
        <v>0</v>
      </c>
      <c r="Q587" s="49">
        <f t="shared" si="387"/>
        <v>0</v>
      </c>
      <c r="R587" s="49">
        <f t="shared" si="387"/>
        <v>0</v>
      </c>
      <c r="S587" s="49">
        <f t="shared" si="387"/>
        <v>0</v>
      </c>
      <c r="T587" s="49">
        <f t="shared" si="387"/>
        <v>0</v>
      </c>
      <c r="V587" s="53">
        <f t="shared" si="369"/>
        <v>0</v>
      </c>
      <c r="W587" s="53">
        <f t="shared" si="370"/>
        <v>0</v>
      </c>
      <c r="X587" s="53">
        <f t="shared" si="371"/>
        <v>0</v>
      </c>
      <c r="Y587" s="53">
        <f t="shared" si="372"/>
        <v>0</v>
      </c>
      <c r="Z587" s="53">
        <f t="shared" si="373"/>
        <v>0</v>
      </c>
      <c r="AB587" s="53">
        <f t="shared" si="362"/>
        <v>0</v>
      </c>
      <c r="AC587" s="53">
        <f t="shared" si="363"/>
        <v>0</v>
      </c>
      <c r="AD587" s="53">
        <f t="shared" si="364"/>
        <v>0</v>
      </c>
      <c r="AE587" s="53">
        <f t="shared" si="365"/>
        <v>0</v>
      </c>
      <c r="AF587" s="53">
        <f t="shared" si="366"/>
        <v>0</v>
      </c>
    </row>
    <row r="588" spans="2:32">
      <c r="B588" s="43" t="str">
        <f t="shared" si="354"/>
        <v>Asset 34</v>
      </c>
      <c r="F588" s="43" t="str">
        <f t="shared" ref="F588:L588" si="403">F92</f>
        <v>14 Overig rollend materieel</v>
      </c>
      <c r="G588" s="43">
        <f t="shared" si="403"/>
        <v>2005</v>
      </c>
      <c r="H588" s="48">
        <f t="shared" si="403"/>
        <v>1438517.3199999998</v>
      </c>
      <c r="I588" s="43">
        <f t="shared" si="403"/>
        <v>2021</v>
      </c>
      <c r="J588" s="43">
        <f t="shared" si="403"/>
        <v>10</v>
      </c>
      <c r="K588" s="43">
        <f t="shared" si="403"/>
        <v>1</v>
      </c>
      <c r="L588" s="48">
        <f t="shared" si="403"/>
        <v>0</v>
      </c>
      <c r="N588" s="44">
        <f t="shared" si="355"/>
        <v>0</v>
      </c>
      <c r="P588" s="49">
        <f t="shared" si="387"/>
        <v>0</v>
      </c>
      <c r="Q588" s="49">
        <f t="shared" si="387"/>
        <v>0</v>
      </c>
      <c r="R588" s="49">
        <f t="shared" si="387"/>
        <v>0</v>
      </c>
      <c r="S588" s="49">
        <f t="shared" si="387"/>
        <v>0</v>
      </c>
      <c r="T588" s="49">
        <f t="shared" si="387"/>
        <v>0</v>
      </c>
      <c r="V588" s="53">
        <f t="shared" si="369"/>
        <v>0</v>
      </c>
      <c r="W588" s="53">
        <f t="shared" si="370"/>
        <v>0</v>
      </c>
      <c r="X588" s="53">
        <f t="shared" si="371"/>
        <v>0</v>
      </c>
      <c r="Y588" s="53">
        <f t="shared" si="372"/>
        <v>0</v>
      </c>
      <c r="Z588" s="53">
        <f t="shared" si="373"/>
        <v>0</v>
      </c>
      <c r="AB588" s="53">
        <f t="shared" si="362"/>
        <v>0</v>
      </c>
      <c r="AC588" s="53">
        <f t="shared" si="363"/>
        <v>0</v>
      </c>
      <c r="AD588" s="53">
        <f t="shared" si="364"/>
        <v>0</v>
      </c>
      <c r="AE588" s="53">
        <f t="shared" si="365"/>
        <v>0</v>
      </c>
      <c r="AF588" s="53">
        <f t="shared" si="366"/>
        <v>0</v>
      </c>
    </row>
    <row r="589" spans="2:32">
      <c r="B589" s="43" t="str">
        <f t="shared" si="354"/>
        <v>Asset 35</v>
      </c>
      <c r="F589" s="43" t="str">
        <f t="shared" ref="F589:L589" si="404">F93</f>
        <v>11 Werktuigen</v>
      </c>
      <c r="G589" s="43">
        <f t="shared" si="404"/>
        <v>2005</v>
      </c>
      <c r="H589" s="48">
        <f t="shared" si="404"/>
        <v>499809.02999999997</v>
      </c>
      <c r="I589" s="43">
        <f t="shared" si="404"/>
        <v>2021</v>
      </c>
      <c r="J589" s="43">
        <f t="shared" si="404"/>
        <v>10</v>
      </c>
      <c r="K589" s="43">
        <f t="shared" si="404"/>
        <v>1</v>
      </c>
      <c r="L589" s="48">
        <f t="shared" si="404"/>
        <v>0</v>
      </c>
      <c r="N589" s="44">
        <f t="shared" si="355"/>
        <v>0</v>
      </c>
      <c r="P589" s="49">
        <f t="shared" si="387"/>
        <v>0</v>
      </c>
      <c r="Q589" s="49">
        <f t="shared" si="387"/>
        <v>0</v>
      </c>
      <c r="R589" s="49">
        <f t="shared" si="387"/>
        <v>0</v>
      </c>
      <c r="S589" s="49">
        <f t="shared" si="387"/>
        <v>0</v>
      </c>
      <c r="T589" s="49">
        <f t="shared" si="387"/>
        <v>0</v>
      </c>
      <c r="V589" s="53">
        <f t="shared" si="369"/>
        <v>0</v>
      </c>
      <c r="W589" s="53">
        <f t="shared" si="370"/>
        <v>0</v>
      </c>
      <c r="X589" s="53">
        <f t="shared" si="371"/>
        <v>0</v>
      </c>
      <c r="Y589" s="53">
        <f t="shared" si="372"/>
        <v>0</v>
      </c>
      <c r="Z589" s="53">
        <f t="shared" si="373"/>
        <v>0</v>
      </c>
      <c r="AB589" s="53">
        <f t="shared" si="362"/>
        <v>0</v>
      </c>
      <c r="AC589" s="53">
        <f t="shared" si="363"/>
        <v>0</v>
      </c>
      <c r="AD589" s="53">
        <f t="shared" si="364"/>
        <v>0</v>
      </c>
      <c r="AE589" s="53">
        <f t="shared" si="365"/>
        <v>0</v>
      </c>
      <c r="AF589" s="53">
        <f t="shared" si="366"/>
        <v>0</v>
      </c>
    </row>
    <row r="590" spans="2:32">
      <c r="B590" s="43" t="str">
        <f t="shared" si="354"/>
        <v>Asset 36</v>
      </c>
      <c r="F590" s="43" t="str">
        <f t="shared" ref="F590:L590" si="405">F94</f>
        <v>14 Overig rollend materieel (odorisatie)</v>
      </c>
      <c r="G590" s="43">
        <f t="shared" si="405"/>
        <v>2005</v>
      </c>
      <c r="H590" s="48">
        <f t="shared" si="405"/>
        <v>245809.3</v>
      </c>
      <c r="I590" s="43">
        <f t="shared" si="405"/>
        <v>2021</v>
      </c>
      <c r="J590" s="43">
        <f t="shared" si="405"/>
        <v>10</v>
      </c>
      <c r="K590" s="43">
        <f t="shared" si="405"/>
        <v>0</v>
      </c>
      <c r="L590" s="48">
        <f t="shared" si="405"/>
        <v>0</v>
      </c>
      <c r="N590" s="44">
        <f t="shared" si="355"/>
        <v>0</v>
      </c>
      <c r="P590" s="49">
        <f t="shared" si="387"/>
        <v>0</v>
      </c>
      <c r="Q590" s="49">
        <f t="shared" si="387"/>
        <v>0</v>
      </c>
      <c r="R590" s="49">
        <f t="shared" si="387"/>
        <v>0</v>
      </c>
      <c r="S590" s="49">
        <f t="shared" si="387"/>
        <v>0</v>
      </c>
      <c r="T590" s="49">
        <f t="shared" si="387"/>
        <v>0</v>
      </c>
      <c r="V590" s="53">
        <f t="shared" si="369"/>
        <v>0</v>
      </c>
      <c r="W590" s="53">
        <f t="shared" si="370"/>
        <v>0</v>
      </c>
      <c r="X590" s="53">
        <f t="shared" si="371"/>
        <v>0</v>
      </c>
      <c r="Y590" s="53">
        <f t="shared" si="372"/>
        <v>0</v>
      </c>
      <c r="Z590" s="53">
        <f t="shared" si="373"/>
        <v>0</v>
      </c>
      <c r="AB590" s="53">
        <f t="shared" si="362"/>
        <v>0</v>
      </c>
      <c r="AC590" s="53">
        <f t="shared" si="363"/>
        <v>0</v>
      </c>
      <c r="AD590" s="53">
        <f t="shared" si="364"/>
        <v>0</v>
      </c>
      <c r="AE590" s="53">
        <f t="shared" si="365"/>
        <v>0</v>
      </c>
      <c r="AF590" s="53">
        <f t="shared" si="366"/>
        <v>0</v>
      </c>
    </row>
    <row r="591" spans="2:32">
      <c r="B591" s="43" t="str">
        <f t="shared" si="354"/>
        <v>Asset 37</v>
      </c>
      <c r="F591" s="43" t="str">
        <f t="shared" ref="F591:L591" si="406">F95</f>
        <v>10 Gereedschap</v>
      </c>
      <c r="G591" s="43">
        <f t="shared" si="406"/>
        <v>2005</v>
      </c>
      <c r="H591" s="48">
        <f t="shared" si="406"/>
        <v>58217.59</v>
      </c>
      <c r="I591" s="43">
        <f t="shared" si="406"/>
        <v>2021</v>
      </c>
      <c r="J591" s="43">
        <f t="shared" si="406"/>
        <v>10</v>
      </c>
      <c r="K591" s="43">
        <f t="shared" si="406"/>
        <v>1</v>
      </c>
      <c r="L591" s="48">
        <f t="shared" si="406"/>
        <v>0</v>
      </c>
      <c r="N591" s="44">
        <f t="shared" si="355"/>
        <v>0</v>
      </c>
      <c r="P591" s="49">
        <f t="shared" si="387"/>
        <v>0</v>
      </c>
      <c r="Q591" s="49">
        <f t="shared" si="387"/>
        <v>0</v>
      </c>
      <c r="R591" s="49">
        <f t="shared" si="387"/>
        <v>0</v>
      </c>
      <c r="S591" s="49">
        <f t="shared" si="387"/>
        <v>0</v>
      </c>
      <c r="T591" s="49">
        <f t="shared" si="387"/>
        <v>0</v>
      </c>
      <c r="V591" s="53">
        <f t="shared" si="369"/>
        <v>0</v>
      </c>
      <c r="W591" s="53">
        <f t="shared" si="370"/>
        <v>0</v>
      </c>
      <c r="X591" s="53">
        <f t="shared" si="371"/>
        <v>0</v>
      </c>
      <c r="Y591" s="53">
        <f t="shared" si="372"/>
        <v>0</v>
      </c>
      <c r="Z591" s="53">
        <f t="shared" si="373"/>
        <v>0</v>
      </c>
      <c r="AB591" s="53">
        <f t="shared" si="362"/>
        <v>0</v>
      </c>
      <c r="AC591" s="53">
        <f t="shared" si="363"/>
        <v>0</v>
      </c>
      <c r="AD591" s="53">
        <f t="shared" si="364"/>
        <v>0</v>
      </c>
      <c r="AE591" s="53">
        <f t="shared" si="365"/>
        <v>0</v>
      </c>
      <c r="AF591" s="53">
        <f t="shared" si="366"/>
        <v>0</v>
      </c>
    </row>
    <row r="592" spans="2:32">
      <c r="B592" s="43" t="str">
        <f t="shared" si="354"/>
        <v>Asset 38</v>
      </c>
      <c r="F592" s="43" t="str">
        <f t="shared" ref="F592:L592" si="407">F96</f>
        <v>37 ICT middelen 1</v>
      </c>
      <c r="G592" s="43">
        <f t="shared" si="407"/>
        <v>2006</v>
      </c>
      <c r="H592" s="48">
        <f t="shared" si="407"/>
        <v>4639319.7116944697</v>
      </c>
      <c r="I592" s="43">
        <f t="shared" si="407"/>
        <v>2021</v>
      </c>
      <c r="J592" s="43">
        <f t="shared" si="407"/>
        <v>5</v>
      </c>
      <c r="K592" s="43">
        <f t="shared" si="407"/>
        <v>1</v>
      </c>
      <c r="L592" s="48">
        <f t="shared" si="407"/>
        <v>0</v>
      </c>
      <c r="N592" s="44">
        <f t="shared" si="355"/>
        <v>0</v>
      </c>
      <c r="P592" s="49">
        <f t="shared" si="387"/>
        <v>0</v>
      </c>
      <c r="Q592" s="49">
        <f t="shared" si="387"/>
        <v>0</v>
      </c>
      <c r="R592" s="49">
        <f t="shared" si="387"/>
        <v>0</v>
      </c>
      <c r="S592" s="49">
        <f t="shared" si="387"/>
        <v>0</v>
      </c>
      <c r="T592" s="49">
        <f t="shared" si="387"/>
        <v>0</v>
      </c>
      <c r="V592" s="53">
        <f t="shared" si="369"/>
        <v>0</v>
      </c>
      <c r="W592" s="53">
        <f t="shared" si="370"/>
        <v>0</v>
      </c>
      <c r="X592" s="53">
        <f t="shared" si="371"/>
        <v>0</v>
      </c>
      <c r="Y592" s="53">
        <f t="shared" si="372"/>
        <v>0</v>
      </c>
      <c r="Z592" s="53">
        <f t="shared" si="373"/>
        <v>0</v>
      </c>
      <c r="AB592" s="53">
        <f t="shared" si="362"/>
        <v>0</v>
      </c>
      <c r="AC592" s="53">
        <f t="shared" si="363"/>
        <v>0</v>
      </c>
      <c r="AD592" s="53">
        <f t="shared" si="364"/>
        <v>0</v>
      </c>
      <c r="AE592" s="53">
        <f t="shared" si="365"/>
        <v>0</v>
      </c>
      <c r="AF592" s="53">
        <f t="shared" si="366"/>
        <v>0</v>
      </c>
    </row>
    <row r="593" spans="2:32">
      <c r="B593" s="43" t="str">
        <f t="shared" si="354"/>
        <v>Asset 39</v>
      </c>
      <c r="F593" s="43" t="str">
        <f t="shared" ref="F593:L593" si="408">F97</f>
        <v>08 Inrichting gebouwen</v>
      </c>
      <c r="G593" s="43">
        <f t="shared" si="408"/>
        <v>2006</v>
      </c>
      <c r="H593" s="48">
        <f t="shared" si="408"/>
        <v>68586.959999999992</v>
      </c>
      <c r="I593" s="43">
        <f t="shared" si="408"/>
        <v>2021</v>
      </c>
      <c r="J593" s="43">
        <f t="shared" si="408"/>
        <v>10</v>
      </c>
      <c r="K593" s="43">
        <f t="shared" si="408"/>
        <v>0</v>
      </c>
      <c r="L593" s="48">
        <f t="shared" si="408"/>
        <v>0</v>
      </c>
      <c r="N593" s="44">
        <f t="shared" si="355"/>
        <v>0</v>
      </c>
      <c r="P593" s="49">
        <f t="shared" si="387"/>
        <v>0</v>
      </c>
      <c r="Q593" s="49">
        <f t="shared" si="387"/>
        <v>0</v>
      </c>
      <c r="R593" s="49">
        <f t="shared" si="387"/>
        <v>0</v>
      </c>
      <c r="S593" s="49">
        <f t="shared" si="387"/>
        <v>0</v>
      </c>
      <c r="T593" s="49">
        <f t="shared" si="387"/>
        <v>0</v>
      </c>
      <c r="V593" s="53">
        <f t="shared" si="369"/>
        <v>0</v>
      </c>
      <c r="W593" s="53">
        <f t="shared" si="370"/>
        <v>0</v>
      </c>
      <c r="X593" s="53">
        <f t="shared" si="371"/>
        <v>0</v>
      </c>
      <c r="Y593" s="53">
        <f t="shared" si="372"/>
        <v>0</v>
      </c>
      <c r="Z593" s="53">
        <f t="shared" si="373"/>
        <v>0</v>
      </c>
      <c r="AB593" s="53">
        <f t="shared" si="362"/>
        <v>0</v>
      </c>
      <c r="AC593" s="53">
        <f t="shared" si="363"/>
        <v>0</v>
      </c>
      <c r="AD593" s="53">
        <f t="shared" si="364"/>
        <v>0</v>
      </c>
      <c r="AE593" s="53">
        <f t="shared" si="365"/>
        <v>0</v>
      </c>
      <c r="AF593" s="53">
        <f t="shared" si="366"/>
        <v>0</v>
      </c>
    </row>
    <row r="594" spans="2:32">
      <c r="B594" s="43" t="str">
        <f t="shared" si="354"/>
        <v>Asset 40</v>
      </c>
      <c r="F594" s="43" t="str">
        <f t="shared" ref="F594:L594" si="409">F98</f>
        <v>20 Kantoorgebouwen</v>
      </c>
      <c r="G594" s="43">
        <f t="shared" si="409"/>
        <v>2006</v>
      </c>
      <c r="H594" s="48">
        <f t="shared" si="409"/>
        <v>104600</v>
      </c>
      <c r="I594" s="43">
        <f t="shared" si="409"/>
        <v>2021</v>
      </c>
      <c r="J594" s="43">
        <f t="shared" si="409"/>
        <v>30</v>
      </c>
      <c r="K594" s="43">
        <f t="shared" si="409"/>
        <v>0</v>
      </c>
      <c r="L594" s="48">
        <f t="shared" si="409"/>
        <v>64112.024048213396</v>
      </c>
      <c r="N594" s="44">
        <f t="shared" si="355"/>
        <v>14.5</v>
      </c>
      <c r="P594" s="49">
        <f t="shared" si="387"/>
        <v>4421.5188998767862</v>
      </c>
      <c r="Q594" s="49">
        <f t="shared" si="387"/>
        <v>4421.5188998767862</v>
      </c>
      <c r="R594" s="49">
        <f t="shared" si="387"/>
        <v>4421.5188998767862</v>
      </c>
      <c r="S594" s="49">
        <f t="shared" si="387"/>
        <v>4421.5188998767862</v>
      </c>
      <c r="T594" s="49">
        <f t="shared" si="387"/>
        <v>4421.5188998767862</v>
      </c>
      <c r="V594" s="53">
        <f t="shared" si="369"/>
        <v>59690.505148336611</v>
      </c>
      <c r="W594" s="53">
        <f t="shared" si="370"/>
        <v>55268.986248459827</v>
      </c>
      <c r="X594" s="53">
        <f t="shared" si="371"/>
        <v>50847.467348583043</v>
      </c>
      <c r="Y594" s="53">
        <f t="shared" si="372"/>
        <v>46425.948448706258</v>
      </c>
      <c r="Z594" s="53">
        <f t="shared" si="373"/>
        <v>42004.429548829474</v>
      </c>
      <c r="AB594" s="53">
        <f t="shared" si="362"/>
        <v>6450.996074920231</v>
      </c>
      <c r="AC594" s="53">
        <f t="shared" si="363"/>
        <v>6245.3954460759605</v>
      </c>
      <c r="AD594" s="53">
        <f t="shared" si="364"/>
        <v>6353.7226591229419</v>
      </c>
      <c r="AE594" s="53">
        <f t="shared" si="365"/>
        <v>6185.7049409276242</v>
      </c>
      <c r="AF594" s="53">
        <f t="shared" si="366"/>
        <v>6017.6872227323065</v>
      </c>
    </row>
    <row r="595" spans="2:32">
      <c r="B595" s="43" t="str">
        <f t="shared" si="354"/>
        <v>Asset 41</v>
      </c>
      <c r="F595" s="43" t="str">
        <f t="shared" ref="F595:L595" si="410">F99</f>
        <v>09 Bedrijfsinventaris</v>
      </c>
      <c r="G595" s="43">
        <f t="shared" si="410"/>
        <v>2006</v>
      </c>
      <c r="H595" s="48">
        <f t="shared" si="410"/>
        <v>243251.93</v>
      </c>
      <c r="I595" s="43">
        <f t="shared" si="410"/>
        <v>2021</v>
      </c>
      <c r="J595" s="43">
        <f t="shared" si="410"/>
        <v>10</v>
      </c>
      <c r="K595" s="43">
        <f t="shared" si="410"/>
        <v>1</v>
      </c>
      <c r="L595" s="48">
        <f t="shared" si="410"/>
        <v>0</v>
      </c>
      <c r="N595" s="44">
        <f t="shared" si="355"/>
        <v>0</v>
      </c>
      <c r="P595" s="49">
        <f t="shared" si="387"/>
        <v>0</v>
      </c>
      <c r="Q595" s="49">
        <f t="shared" si="387"/>
        <v>0</v>
      </c>
      <c r="R595" s="49">
        <f t="shared" si="387"/>
        <v>0</v>
      </c>
      <c r="S595" s="49">
        <f t="shared" si="387"/>
        <v>0</v>
      </c>
      <c r="T595" s="49">
        <f t="shared" si="387"/>
        <v>0</v>
      </c>
      <c r="V595" s="53">
        <f t="shared" si="369"/>
        <v>0</v>
      </c>
      <c r="W595" s="53">
        <f t="shared" si="370"/>
        <v>0</v>
      </c>
      <c r="X595" s="53">
        <f t="shared" si="371"/>
        <v>0</v>
      </c>
      <c r="Y595" s="53">
        <f t="shared" si="372"/>
        <v>0</v>
      </c>
      <c r="Z595" s="53">
        <f t="shared" si="373"/>
        <v>0</v>
      </c>
      <c r="AB595" s="53">
        <f t="shared" si="362"/>
        <v>0</v>
      </c>
      <c r="AC595" s="53">
        <f t="shared" si="363"/>
        <v>0</v>
      </c>
      <c r="AD595" s="53">
        <f t="shared" si="364"/>
        <v>0</v>
      </c>
      <c r="AE595" s="53">
        <f t="shared" si="365"/>
        <v>0</v>
      </c>
      <c r="AF595" s="53">
        <f t="shared" si="366"/>
        <v>0</v>
      </c>
    </row>
    <row r="596" spans="2:32">
      <c r="B596" s="43" t="str">
        <f t="shared" si="354"/>
        <v>Asset 42</v>
      </c>
      <c r="F596" s="43" t="str">
        <f t="shared" ref="F596:L596" si="411">F100</f>
        <v>10 Gereedschap</v>
      </c>
      <c r="G596" s="43">
        <f t="shared" si="411"/>
        <v>2006</v>
      </c>
      <c r="H596" s="48">
        <f t="shared" si="411"/>
        <v>585474.13</v>
      </c>
      <c r="I596" s="43">
        <f t="shared" si="411"/>
        <v>2021</v>
      </c>
      <c r="J596" s="43">
        <f t="shared" si="411"/>
        <v>10</v>
      </c>
      <c r="K596" s="43">
        <f t="shared" si="411"/>
        <v>1</v>
      </c>
      <c r="L596" s="48">
        <f t="shared" si="411"/>
        <v>0</v>
      </c>
      <c r="N596" s="44">
        <f t="shared" si="355"/>
        <v>0</v>
      </c>
      <c r="P596" s="49">
        <f t="shared" si="387"/>
        <v>0</v>
      </c>
      <c r="Q596" s="49">
        <f t="shared" si="387"/>
        <v>0</v>
      </c>
      <c r="R596" s="49">
        <f t="shared" si="387"/>
        <v>0</v>
      </c>
      <c r="S596" s="49">
        <f t="shared" si="387"/>
        <v>0</v>
      </c>
      <c r="T596" s="49">
        <f t="shared" si="387"/>
        <v>0</v>
      </c>
      <c r="V596" s="53">
        <f t="shared" si="369"/>
        <v>0</v>
      </c>
      <c r="W596" s="53">
        <f t="shared" si="370"/>
        <v>0</v>
      </c>
      <c r="X596" s="53">
        <f t="shared" si="371"/>
        <v>0</v>
      </c>
      <c r="Y596" s="53">
        <f t="shared" si="372"/>
        <v>0</v>
      </c>
      <c r="Z596" s="53">
        <f t="shared" si="373"/>
        <v>0</v>
      </c>
      <c r="AB596" s="53">
        <f t="shared" si="362"/>
        <v>0</v>
      </c>
      <c r="AC596" s="53">
        <f t="shared" si="363"/>
        <v>0</v>
      </c>
      <c r="AD596" s="53">
        <f t="shared" si="364"/>
        <v>0</v>
      </c>
      <c r="AE596" s="53">
        <f t="shared" si="365"/>
        <v>0</v>
      </c>
      <c r="AF596" s="53">
        <f t="shared" si="366"/>
        <v>0</v>
      </c>
    </row>
    <row r="597" spans="2:32">
      <c r="B597" s="43" t="str">
        <f t="shared" si="354"/>
        <v>Asset 43</v>
      </c>
      <c r="F597" s="43" t="str">
        <f t="shared" ref="F597:L597" si="412">F101</f>
        <v>08 Inrichting gebouwen</v>
      </c>
      <c r="G597" s="43">
        <f t="shared" si="412"/>
        <v>2007</v>
      </c>
      <c r="H597" s="48">
        <f t="shared" si="412"/>
        <v>332079.90999999997</v>
      </c>
      <c r="I597" s="43">
        <f t="shared" si="412"/>
        <v>2021</v>
      </c>
      <c r="J597" s="43">
        <f t="shared" si="412"/>
        <v>10</v>
      </c>
      <c r="K597" s="43">
        <f t="shared" si="412"/>
        <v>0</v>
      </c>
      <c r="L597" s="48">
        <f t="shared" si="412"/>
        <v>0</v>
      </c>
      <c r="N597" s="44">
        <f t="shared" si="355"/>
        <v>0</v>
      </c>
      <c r="P597" s="49">
        <f t="shared" si="387"/>
        <v>0</v>
      </c>
      <c r="Q597" s="49">
        <f t="shared" si="387"/>
        <v>0</v>
      </c>
      <c r="R597" s="49">
        <f t="shared" si="387"/>
        <v>0</v>
      </c>
      <c r="S597" s="49">
        <f t="shared" si="387"/>
        <v>0</v>
      </c>
      <c r="T597" s="49">
        <f t="shared" si="387"/>
        <v>0</v>
      </c>
      <c r="V597" s="53">
        <f t="shared" si="369"/>
        <v>0</v>
      </c>
      <c r="W597" s="53">
        <f t="shared" si="370"/>
        <v>0</v>
      </c>
      <c r="X597" s="53">
        <f t="shared" si="371"/>
        <v>0</v>
      </c>
      <c r="Y597" s="53">
        <f t="shared" si="372"/>
        <v>0</v>
      </c>
      <c r="Z597" s="53">
        <f t="shared" si="373"/>
        <v>0</v>
      </c>
      <c r="AB597" s="53">
        <f t="shared" si="362"/>
        <v>0</v>
      </c>
      <c r="AC597" s="53">
        <f t="shared" si="363"/>
        <v>0</v>
      </c>
      <c r="AD597" s="53">
        <f t="shared" si="364"/>
        <v>0</v>
      </c>
      <c r="AE597" s="53">
        <f t="shared" si="365"/>
        <v>0</v>
      </c>
      <c r="AF597" s="53">
        <f t="shared" si="366"/>
        <v>0</v>
      </c>
    </row>
    <row r="598" spans="2:32">
      <c r="B598" s="43" t="str">
        <f t="shared" si="354"/>
        <v>Asset 44</v>
      </c>
      <c r="F598" s="43" t="str">
        <f t="shared" ref="F598:L598" si="413">F102</f>
        <v>20 Kantoorgebouwen</v>
      </c>
      <c r="G598" s="43">
        <f t="shared" si="413"/>
        <v>2007</v>
      </c>
      <c r="H598" s="48">
        <f t="shared" si="413"/>
        <v>163550.16999999998</v>
      </c>
      <c r="I598" s="43">
        <f t="shared" si="413"/>
        <v>2021</v>
      </c>
      <c r="J598" s="43">
        <f t="shared" si="413"/>
        <v>30</v>
      </c>
      <c r="K598" s="43">
        <f t="shared" si="413"/>
        <v>0</v>
      </c>
      <c r="L598" s="48">
        <f t="shared" si="413"/>
        <v>105677.9899746046</v>
      </c>
      <c r="N598" s="44">
        <f t="shared" si="355"/>
        <v>15.5</v>
      </c>
      <c r="P598" s="49">
        <f t="shared" si="387"/>
        <v>6817.9348370712642</v>
      </c>
      <c r="Q598" s="49">
        <f t="shared" si="387"/>
        <v>6817.9348370712642</v>
      </c>
      <c r="R598" s="49">
        <f t="shared" si="387"/>
        <v>6817.9348370712642</v>
      </c>
      <c r="S598" s="49">
        <f t="shared" si="387"/>
        <v>6817.9348370712642</v>
      </c>
      <c r="T598" s="49">
        <f t="shared" si="387"/>
        <v>6817.9348370712642</v>
      </c>
      <c r="V598" s="53">
        <f t="shared" si="369"/>
        <v>98860.055137533331</v>
      </c>
      <c r="W598" s="53">
        <f t="shared" si="370"/>
        <v>92042.120300462062</v>
      </c>
      <c r="X598" s="53">
        <f t="shared" si="371"/>
        <v>85224.185463390793</v>
      </c>
      <c r="Y598" s="53">
        <f t="shared" si="372"/>
        <v>78406.250626319525</v>
      </c>
      <c r="Z598" s="53">
        <f t="shared" si="373"/>
        <v>71588.315789248256</v>
      </c>
      <c r="AB598" s="53">
        <f t="shared" si="362"/>
        <v>10179.176711747397</v>
      </c>
      <c r="AC598" s="53">
        <f t="shared" si="363"/>
        <v>9855.3248069865112</v>
      </c>
      <c r="AD598" s="53">
        <f t="shared" si="364"/>
        <v>10056.453884680115</v>
      </c>
      <c r="AE598" s="53">
        <f t="shared" si="365"/>
        <v>9797.3723608714063</v>
      </c>
      <c r="AF598" s="53">
        <f t="shared" si="366"/>
        <v>9538.2908370626974</v>
      </c>
    </row>
    <row r="599" spans="2:32">
      <c r="B599" s="43" t="str">
        <f t="shared" si="354"/>
        <v>Asset 45</v>
      </c>
      <c r="F599" s="43" t="str">
        <f t="shared" ref="F599:L599" si="414">F103</f>
        <v>37 ICT middelen 1</v>
      </c>
      <c r="G599" s="43">
        <f t="shared" si="414"/>
        <v>2007</v>
      </c>
      <c r="H599" s="48">
        <f t="shared" si="414"/>
        <v>21517730.71653875</v>
      </c>
      <c r="I599" s="43">
        <f t="shared" si="414"/>
        <v>2021</v>
      </c>
      <c r="J599" s="43">
        <f t="shared" si="414"/>
        <v>5</v>
      </c>
      <c r="K599" s="43">
        <f t="shared" si="414"/>
        <v>1</v>
      </c>
      <c r="L599" s="48">
        <f t="shared" si="414"/>
        <v>0</v>
      </c>
      <c r="N599" s="44">
        <f t="shared" si="355"/>
        <v>0</v>
      </c>
      <c r="P599" s="49">
        <f t="shared" si="387"/>
        <v>0</v>
      </c>
      <c r="Q599" s="49">
        <f t="shared" si="387"/>
        <v>0</v>
      </c>
      <c r="R599" s="49">
        <f t="shared" si="387"/>
        <v>0</v>
      </c>
      <c r="S599" s="49">
        <f t="shared" si="387"/>
        <v>0</v>
      </c>
      <c r="T599" s="49">
        <f t="shared" si="387"/>
        <v>0</v>
      </c>
      <c r="V599" s="53">
        <f t="shared" si="369"/>
        <v>0</v>
      </c>
      <c r="W599" s="53">
        <f t="shared" si="370"/>
        <v>0</v>
      </c>
      <c r="X599" s="53">
        <f t="shared" si="371"/>
        <v>0</v>
      </c>
      <c r="Y599" s="53">
        <f t="shared" si="372"/>
        <v>0</v>
      </c>
      <c r="Z599" s="53">
        <f t="shared" si="373"/>
        <v>0</v>
      </c>
      <c r="AB599" s="53">
        <f t="shared" si="362"/>
        <v>0</v>
      </c>
      <c r="AC599" s="53">
        <f t="shared" si="363"/>
        <v>0</v>
      </c>
      <c r="AD599" s="53">
        <f t="shared" si="364"/>
        <v>0</v>
      </c>
      <c r="AE599" s="53">
        <f t="shared" si="365"/>
        <v>0</v>
      </c>
      <c r="AF599" s="53">
        <f t="shared" si="366"/>
        <v>0</v>
      </c>
    </row>
    <row r="600" spans="2:32">
      <c r="B600" s="43" t="str">
        <f t="shared" si="354"/>
        <v>Asset 46</v>
      </c>
      <c r="F600" s="43" t="str">
        <f t="shared" ref="F600:L600" si="415">F104</f>
        <v>10 Gereedschap</v>
      </c>
      <c r="G600" s="43">
        <f t="shared" si="415"/>
        <v>2007</v>
      </c>
      <c r="H600" s="48">
        <f t="shared" si="415"/>
        <v>611283.49</v>
      </c>
      <c r="I600" s="43">
        <f t="shared" si="415"/>
        <v>2021</v>
      </c>
      <c r="J600" s="43">
        <f t="shared" si="415"/>
        <v>10</v>
      </c>
      <c r="K600" s="43">
        <f t="shared" si="415"/>
        <v>1</v>
      </c>
      <c r="L600" s="48">
        <f t="shared" si="415"/>
        <v>0</v>
      </c>
      <c r="N600" s="44">
        <f t="shared" si="355"/>
        <v>0</v>
      </c>
      <c r="P600" s="49">
        <f t="shared" si="387"/>
        <v>0</v>
      </c>
      <c r="Q600" s="49">
        <f t="shared" si="387"/>
        <v>0</v>
      </c>
      <c r="R600" s="49">
        <f t="shared" si="387"/>
        <v>0</v>
      </c>
      <c r="S600" s="49">
        <f t="shared" si="387"/>
        <v>0</v>
      </c>
      <c r="T600" s="49">
        <f t="shared" si="387"/>
        <v>0</v>
      </c>
      <c r="V600" s="53">
        <f t="shared" si="369"/>
        <v>0</v>
      </c>
      <c r="W600" s="53">
        <f t="shared" si="370"/>
        <v>0</v>
      </c>
      <c r="X600" s="53">
        <f t="shared" si="371"/>
        <v>0</v>
      </c>
      <c r="Y600" s="53">
        <f t="shared" si="372"/>
        <v>0</v>
      </c>
      <c r="Z600" s="53">
        <f t="shared" si="373"/>
        <v>0</v>
      </c>
      <c r="AB600" s="53">
        <f t="shared" si="362"/>
        <v>0</v>
      </c>
      <c r="AC600" s="53">
        <f t="shared" si="363"/>
        <v>0</v>
      </c>
      <c r="AD600" s="53">
        <f t="shared" si="364"/>
        <v>0</v>
      </c>
      <c r="AE600" s="53">
        <f t="shared" si="365"/>
        <v>0</v>
      </c>
      <c r="AF600" s="53">
        <f t="shared" si="366"/>
        <v>0</v>
      </c>
    </row>
    <row r="601" spans="2:32">
      <c r="B601" s="43" t="str">
        <f t="shared" si="354"/>
        <v>Asset 47</v>
      </c>
      <c r="F601" s="43" t="str">
        <f t="shared" ref="F601:L601" si="416">F105</f>
        <v>09 Bedrijfsinventaris</v>
      </c>
      <c r="G601" s="43">
        <f t="shared" si="416"/>
        <v>2007</v>
      </c>
      <c r="H601" s="48">
        <f t="shared" si="416"/>
        <v>87193.72</v>
      </c>
      <c r="I601" s="43">
        <f t="shared" si="416"/>
        <v>2021</v>
      </c>
      <c r="J601" s="43">
        <f t="shared" si="416"/>
        <v>10</v>
      </c>
      <c r="K601" s="43">
        <f t="shared" si="416"/>
        <v>1</v>
      </c>
      <c r="L601" s="48">
        <f t="shared" si="416"/>
        <v>0</v>
      </c>
      <c r="N601" s="44">
        <f t="shared" si="355"/>
        <v>0</v>
      </c>
      <c r="P601" s="49">
        <f t="shared" si="387"/>
        <v>0</v>
      </c>
      <c r="Q601" s="49">
        <f t="shared" si="387"/>
        <v>0</v>
      </c>
      <c r="R601" s="49">
        <f t="shared" si="387"/>
        <v>0</v>
      </c>
      <c r="S601" s="49">
        <f t="shared" si="387"/>
        <v>0</v>
      </c>
      <c r="T601" s="49">
        <f t="shared" si="387"/>
        <v>0</v>
      </c>
      <c r="V601" s="53">
        <f t="shared" si="369"/>
        <v>0</v>
      </c>
      <c r="W601" s="53">
        <f t="shared" si="370"/>
        <v>0</v>
      </c>
      <c r="X601" s="53">
        <f t="shared" si="371"/>
        <v>0</v>
      </c>
      <c r="Y601" s="53">
        <f t="shared" si="372"/>
        <v>0</v>
      </c>
      <c r="Z601" s="53">
        <f t="shared" si="373"/>
        <v>0</v>
      </c>
      <c r="AB601" s="53">
        <f t="shared" si="362"/>
        <v>0</v>
      </c>
      <c r="AC601" s="53">
        <f t="shared" si="363"/>
        <v>0</v>
      </c>
      <c r="AD601" s="53">
        <f t="shared" si="364"/>
        <v>0</v>
      </c>
      <c r="AE601" s="53">
        <f t="shared" si="365"/>
        <v>0</v>
      </c>
      <c r="AF601" s="53">
        <f t="shared" si="366"/>
        <v>0</v>
      </c>
    </row>
    <row r="602" spans="2:32">
      <c r="B602" s="43" t="str">
        <f t="shared" si="354"/>
        <v>Asset 48</v>
      </c>
      <c r="F602" s="43" t="str">
        <f t="shared" ref="F602:L602" si="417">F106</f>
        <v>13 Aanhangwagens</v>
      </c>
      <c r="G602" s="43">
        <f t="shared" si="417"/>
        <v>2007</v>
      </c>
      <c r="H602" s="48">
        <f t="shared" si="417"/>
        <v>25760.58</v>
      </c>
      <c r="I602" s="43">
        <f t="shared" si="417"/>
        <v>2021</v>
      </c>
      <c r="J602" s="43">
        <f t="shared" si="417"/>
        <v>10</v>
      </c>
      <c r="K602" s="43">
        <f t="shared" si="417"/>
        <v>1</v>
      </c>
      <c r="L602" s="48">
        <f t="shared" si="417"/>
        <v>0</v>
      </c>
      <c r="N602" s="44">
        <f t="shared" si="355"/>
        <v>0</v>
      </c>
      <c r="P602" s="49">
        <f t="shared" si="387"/>
        <v>0</v>
      </c>
      <c r="Q602" s="49">
        <f t="shared" si="387"/>
        <v>0</v>
      </c>
      <c r="R602" s="49">
        <f t="shared" si="387"/>
        <v>0</v>
      </c>
      <c r="S602" s="49">
        <f t="shared" si="387"/>
        <v>0</v>
      </c>
      <c r="T602" s="49">
        <f t="shared" si="387"/>
        <v>0</v>
      </c>
      <c r="V602" s="53">
        <f t="shared" si="369"/>
        <v>0</v>
      </c>
      <c r="W602" s="53">
        <f t="shared" si="370"/>
        <v>0</v>
      </c>
      <c r="X602" s="53">
        <f t="shared" si="371"/>
        <v>0</v>
      </c>
      <c r="Y602" s="53">
        <f t="shared" si="372"/>
        <v>0</v>
      </c>
      <c r="Z602" s="53">
        <f t="shared" si="373"/>
        <v>0</v>
      </c>
      <c r="AB602" s="53">
        <f t="shared" si="362"/>
        <v>0</v>
      </c>
      <c r="AC602" s="53">
        <f t="shared" si="363"/>
        <v>0</v>
      </c>
      <c r="AD602" s="53">
        <f t="shared" si="364"/>
        <v>0</v>
      </c>
      <c r="AE602" s="53">
        <f t="shared" si="365"/>
        <v>0</v>
      </c>
      <c r="AF602" s="53">
        <f t="shared" si="366"/>
        <v>0</v>
      </c>
    </row>
    <row r="603" spans="2:32">
      <c r="B603" s="43" t="str">
        <f t="shared" si="354"/>
        <v>Asset 49</v>
      </c>
      <c r="F603" s="43" t="str">
        <f t="shared" ref="F603:L603" si="418">F107</f>
        <v>37 ICT middelen 1 (gaschromatografen en comptabele meting)</v>
      </c>
      <c r="G603" s="43">
        <f t="shared" si="418"/>
        <v>2007</v>
      </c>
      <c r="H603" s="48">
        <f t="shared" si="418"/>
        <v>140047.50693888956</v>
      </c>
      <c r="I603" s="43">
        <f t="shared" si="418"/>
        <v>2021</v>
      </c>
      <c r="J603" s="43">
        <f t="shared" si="418"/>
        <v>5</v>
      </c>
      <c r="K603" s="43">
        <f t="shared" si="418"/>
        <v>0</v>
      </c>
      <c r="L603" s="48">
        <f t="shared" si="418"/>
        <v>0</v>
      </c>
      <c r="N603" s="44">
        <f t="shared" si="355"/>
        <v>0</v>
      </c>
      <c r="P603" s="49">
        <f t="shared" si="387"/>
        <v>0</v>
      </c>
      <c r="Q603" s="49">
        <f t="shared" si="387"/>
        <v>0</v>
      </c>
      <c r="R603" s="49">
        <f t="shared" si="387"/>
        <v>0</v>
      </c>
      <c r="S603" s="49">
        <f t="shared" si="387"/>
        <v>0</v>
      </c>
      <c r="T603" s="49">
        <f t="shared" si="387"/>
        <v>0</v>
      </c>
      <c r="V603" s="53">
        <f t="shared" si="369"/>
        <v>0</v>
      </c>
      <c r="W603" s="53">
        <f t="shared" si="370"/>
        <v>0</v>
      </c>
      <c r="X603" s="53">
        <f t="shared" si="371"/>
        <v>0</v>
      </c>
      <c r="Y603" s="53">
        <f t="shared" si="372"/>
        <v>0</v>
      </c>
      <c r="Z603" s="53">
        <f t="shared" si="373"/>
        <v>0</v>
      </c>
      <c r="AB603" s="53">
        <f t="shared" si="362"/>
        <v>0</v>
      </c>
      <c r="AC603" s="53">
        <f t="shared" si="363"/>
        <v>0</v>
      </c>
      <c r="AD603" s="53">
        <f t="shared" si="364"/>
        <v>0</v>
      </c>
      <c r="AE603" s="53">
        <f t="shared" si="365"/>
        <v>0</v>
      </c>
      <c r="AF603" s="53">
        <f t="shared" si="366"/>
        <v>0</v>
      </c>
    </row>
    <row r="604" spans="2:32">
      <c r="B604" s="43" t="str">
        <f t="shared" si="354"/>
        <v>Asset 50</v>
      </c>
      <c r="F604" s="43" t="str">
        <f t="shared" ref="F604:L604" si="419">F108</f>
        <v>37 ICT middelen 1</v>
      </c>
      <c r="G604" s="43">
        <f t="shared" si="419"/>
        <v>2008</v>
      </c>
      <c r="H604" s="48">
        <f t="shared" si="419"/>
        <v>1405801.5634173665</v>
      </c>
      <c r="I604" s="43">
        <f t="shared" si="419"/>
        <v>2021</v>
      </c>
      <c r="J604" s="43">
        <f t="shared" si="419"/>
        <v>5</v>
      </c>
      <c r="K604" s="43">
        <f t="shared" si="419"/>
        <v>1</v>
      </c>
      <c r="L604" s="48">
        <f t="shared" si="419"/>
        <v>0</v>
      </c>
      <c r="N604" s="44">
        <f t="shared" si="355"/>
        <v>0</v>
      </c>
      <c r="P604" s="49">
        <f t="shared" si="387"/>
        <v>0</v>
      </c>
      <c r="Q604" s="49">
        <f t="shared" si="387"/>
        <v>0</v>
      </c>
      <c r="R604" s="49">
        <f t="shared" si="387"/>
        <v>0</v>
      </c>
      <c r="S604" s="49">
        <f t="shared" si="387"/>
        <v>0</v>
      </c>
      <c r="T604" s="49">
        <f t="shared" si="387"/>
        <v>0</v>
      </c>
      <c r="V604" s="53">
        <f t="shared" si="369"/>
        <v>0</v>
      </c>
      <c r="W604" s="53">
        <f t="shared" si="370"/>
        <v>0</v>
      </c>
      <c r="X604" s="53">
        <f t="shared" si="371"/>
        <v>0</v>
      </c>
      <c r="Y604" s="53">
        <f t="shared" si="372"/>
        <v>0</v>
      </c>
      <c r="Z604" s="53">
        <f t="shared" si="373"/>
        <v>0</v>
      </c>
      <c r="AB604" s="53">
        <f t="shared" si="362"/>
        <v>0</v>
      </c>
      <c r="AC604" s="53">
        <f t="shared" si="363"/>
        <v>0</v>
      </c>
      <c r="AD604" s="53">
        <f t="shared" si="364"/>
        <v>0</v>
      </c>
      <c r="AE604" s="53">
        <f t="shared" si="365"/>
        <v>0</v>
      </c>
      <c r="AF604" s="53">
        <f t="shared" si="366"/>
        <v>0</v>
      </c>
    </row>
    <row r="605" spans="2:32">
      <c r="B605" s="43" t="str">
        <f t="shared" si="354"/>
        <v>Asset 51</v>
      </c>
      <c r="F605" s="43" t="str">
        <f t="shared" ref="F605:L605" si="420">F109</f>
        <v>13 Aanhangwagens</v>
      </c>
      <c r="G605" s="43">
        <f t="shared" si="420"/>
        <v>2008</v>
      </c>
      <c r="H605" s="48">
        <f t="shared" si="420"/>
        <v>6485.6</v>
      </c>
      <c r="I605" s="43">
        <f t="shared" si="420"/>
        <v>2021</v>
      </c>
      <c r="J605" s="43">
        <f t="shared" si="420"/>
        <v>10</v>
      </c>
      <c r="K605" s="43">
        <f t="shared" si="420"/>
        <v>1</v>
      </c>
      <c r="L605" s="48">
        <f t="shared" si="420"/>
        <v>0</v>
      </c>
      <c r="N605" s="44">
        <f t="shared" si="355"/>
        <v>0</v>
      </c>
      <c r="P605" s="49">
        <f t="shared" si="387"/>
        <v>0</v>
      </c>
      <c r="Q605" s="49">
        <f t="shared" si="387"/>
        <v>0</v>
      </c>
      <c r="R605" s="49">
        <f t="shared" si="387"/>
        <v>0</v>
      </c>
      <c r="S605" s="49">
        <f t="shared" si="387"/>
        <v>0</v>
      </c>
      <c r="T605" s="49">
        <f t="shared" si="387"/>
        <v>0</v>
      </c>
      <c r="V605" s="53">
        <f t="shared" si="369"/>
        <v>0</v>
      </c>
      <c r="W605" s="53">
        <f t="shared" si="370"/>
        <v>0</v>
      </c>
      <c r="X605" s="53">
        <f t="shared" si="371"/>
        <v>0</v>
      </c>
      <c r="Y605" s="53">
        <f t="shared" si="372"/>
        <v>0</v>
      </c>
      <c r="Z605" s="53">
        <f t="shared" si="373"/>
        <v>0</v>
      </c>
      <c r="AB605" s="53">
        <f t="shared" si="362"/>
        <v>0</v>
      </c>
      <c r="AC605" s="53">
        <f t="shared" si="363"/>
        <v>0</v>
      </c>
      <c r="AD605" s="53">
        <f t="shared" si="364"/>
        <v>0</v>
      </c>
      <c r="AE605" s="53">
        <f t="shared" si="365"/>
        <v>0</v>
      </c>
      <c r="AF605" s="53">
        <f t="shared" si="366"/>
        <v>0</v>
      </c>
    </row>
    <row r="606" spans="2:32">
      <c r="B606" s="43" t="str">
        <f t="shared" si="354"/>
        <v>Asset 52</v>
      </c>
      <c r="F606" s="43" t="str">
        <f t="shared" ref="F606:L606" si="421">F110</f>
        <v>04 Terreinen</v>
      </c>
      <c r="G606" s="43">
        <f t="shared" si="421"/>
        <v>1956</v>
      </c>
      <c r="H606" s="48">
        <f t="shared" si="421"/>
        <v>32433.599999999999</v>
      </c>
      <c r="I606" s="43">
        <f t="shared" si="421"/>
        <v>2021</v>
      </c>
      <c r="J606" s="43">
        <f t="shared" si="421"/>
        <v>0</v>
      </c>
      <c r="K606" s="43">
        <f t="shared" si="421"/>
        <v>0</v>
      </c>
      <c r="L606" s="48">
        <f t="shared" si="421"/>
        <v>275057.7098199001</v>
      </c>
      <c r="N606" s="44">
        <f t="shared" si="355"/>
        <v>0</v>
      </c>
      <c r="P606" s="49">
        <f t="shared" si="387"/>
        <v>0</v>
      </c>
      <c r="Q606" s="49">
        <f t="shared" si="387"/>
        <v>0</v>
      </c>
      <c r="R606" s="49">
        <f t="shared" si="387"/>
        <v>0</v>
      </c>
      <c r="S606" s="49">
        <f t="shared" si="387"/>
        <v>0</v>
      </c>
      <c r="T606" s="49">
        <f t="shared" si="387"/>
        <v>0</v>
      </c>
      <c r="V606" s="53">
        <f t="shared" si="369"/>
        <v>275057.7098199001</v>
      </c>
      <c r="W606" s="53">
        <f t="shared" si="370"/>
        <v>275057.7098199001</v>
      </c>
      <c r="X606" s="53">
        <f t="shared" si="371"/>
        <v>275057.7098199001</v>
      </c>
      <c r="Y606" s="53">
        <f t="shared" si="372"/>
        <v>275057.7098199001</v>
      </c>
      <c r="Z606" s="53">
        <f t="shared" si="373"/>
        <v>275057.7098199001</v>
      </c>
      <c r="AB606" s="53">
        <f t="shared" si="362"/>
        <v>9351.9621338766046</v>
      </c>
      <c r="AC606" s="53">
        <f t="shared" si="363"/>
        <v>9076.9044240567036</v>
      </c>
      <c r="AD606" s="53">
        <f t="shared" si="364"/>
        <v>10452.192973156203</v>
      </c>
      <c r="AE606" s="53">
        <f t="shared" si="365"/>
        <v>10452.192973156203</v>
      </c>
      <c r="AF606" s="53">
        <f t="shared" si="366"/>
        <v>10452.192973156203</v>
      </c>
    </row>
    <row r="607" spans="2:32">
      <c r="B607" s="43" t="str">
        <f t="shared" si="354"/>
        <v>Asset 53</v>
      </c>
      <c r="F607" s="43" t="str">
        <f t="shared" ref="F607:L607" si="422">F111</f>
        <v>04 Terreinen</v>
      </c>
      <c r="G607" s="43">
        <f t="shared" si="422"/>
        <v>1968</v>
      </c>
      <c r="H607" s="48">
        <f t="shared" si="422"/>
        <v>219516.18</v>
      </c>
      <c r="I607" s="43">
        <f t="shared" si="422"/>
        <v>2021</v>
      </c>
      <c r="J607" s="43">
        <f t="shared" si="422"/>
        <v>0</v>
      </c>
      <c r="K607" s="43">
        <f t="shared" si="422"/>
        <v>0</v>
      </c>
      <c r="L607" s="48">
        <f t="shared" si="422"/>
        <v>1219692.8562955547</v>
      </c>
      <c r="N607" s="44">
        <f t="shared" si="355"/>
        <v>0</v>
      </c>
      <c r="P607" s="49">
        <f t="shared" si="387"/>
        <v>0</v>
      </c>
      <c r="Q607" s="49">
        <f t="shared" si="387"/>
        <v>0</v>
      </c>
      <c r="R607" s="49">
        <f t="shared" si="387"/>
        <v>0</v>
      </c>
      <c r="S607" s="49">
        <f t="shared" si="387"/>
        <v>0</v>
      </c>
      <c r="T607" s="49">
        <f t="shared" si="387"/>
        <v>0</v>
      </c>
      <c r="V607" s="53">
        <f t="shared" si="369"/>
        <v>1219692.8562955547</v>
      </c>
      <c r="W607" s="53">
        <f t="shared" si="370"/>
        <v>1219692.8562955547</v>
      </c>
      <c r="X607" s="53">
        <f t="shared" si="371"/>
        <v>1219692.8562955547</v>
      </c>
      <c r="Y607" s="53">
        <f t="shared" si="372"/>
        <v>1219692.8562955547</v>
      </c>
      <c r="Z607" s="53">
        <f t="shared" si="373"/>
        <v>1219692.8562955547</v>
      </c>
      <c r="AB607" s="53">
        <f t="shared" si="362"/>
        <v>41469.557114048861</v>
      </c>
      <c r="AC607" s="53">
        <f t="shared" si="363"/>
        <v>40249.864257753303</v>
      </c>
      <c r="AD607" s="53">
        <f t="shared" si="364"/>
        <v>46348.328539231079</v>
      </c>
      <c r="AE607" s="53">
        <f t="shared" si="365"/>
        <v>46348.328539231079</v>
      </c>
      <c r="AF607" s="53">
        <f t="shared" si="366"/>
        <v>46348.328539231079</v>
      </c>
    </row>
    <row r="608" spans="2:32">
      <c r="B608" s="43" t="str">
        <f t="shared" si="354"/>
        <v>Asset 54</v>
      </c>
      <c r="F608" s="43" t="str">
        <f t="shared" ref="F608:L608" si="423">F112</f>
        <v>04 Terreinen</v>
      </c>
      <c r="G608" s="43">
        <f t="shared" si="423"/>
        <v>1972</v>
      </c>
      <c r="H608" s="48">
        <f t="shared" si="423"/>
        <v>411128.51</v>
      </c>
      <c r="I608" s="43">
        <f t="shared" si="423"/>
        <v>2021</v>
      </c>
      <c r="J608" s="43">
        <f t="shared" si="423"/>
        <v>0</v>
      </c>
      <c r="K608" s="43">
        <f t="shared" si="423"/>
        <v>0</v>
      </c>
      <c r="L608" s="48">
        <f t="shared" si="423"/>
        <v>1824024.3386379536</v>
      </c>
      <c r="N608" s="44">
        <f t="shared" si="355"/>
        <v>0</v>
      </c>
      <c r="P608" s="49">
        <f t="shared" si="387"/>
        <v>0</v>
      </c>
      <c r="Q608" s="49">
        <f t="shared" si="387"/>
        <v>0</v>
      </c>
      <c r="R608" s="49">
        <f t="shared" si="387"/>
        <v>0</v>
      </c>
      <c r="S608" s="49">
        <f t="shared" si="387"/>
        <v>0</v>
      </c>
      <c r="T608" s="49">
        <f t="shared" si="387"/>
        <v>0</v>
      </c>
      <c r="V608" s="53">
        <f t="shared" si="369"/>
        <v>1824024.3386379536</v>
      </c>
      <c r="W608" s="53">
        <f t="shared" si="370"/>
        <v>1824024.3386379536</v>
      </c>
      <c r="X608" s="53">
        <f t="shared" si="371"/>
        <v>1824024.3386379536</v>
      </c>
      <c r="Y608" s="53">
        <f t="shared" si="372"/>
        <v>1824024.3386379536</v>
      </c>
      <c r="Z608" s="53">
        <f t="shared" si="373"/>
        <v>1824024.3386379536</v>
      </c>
      <c r="AB608" s="53">
        <f t="shared" si="362"/>
        <v>62016.827513690427</v>
      </c>
      <c r="AC608" s="53">
        <f t="shared" si="363"/>
        <v>60192.803175052475</v>
      </c>
      <c r="AD608" s="53">
        <f t="shared" si="364"/>
        <v>69312.924868242233</v>
      </c>
      <c r="AE608" s="53">
        <f t="shared" si="365"/>
        <v>69312.924868242233</v>
      </c>
      <c r="AF608" s="53">
        <f t="shared" si="366"/>
        <v>69312.924868242233</v>
      </c>
    </row>
    <row r="609" spans="2:32">
      <c r="B609" s="43" t="str">
        <f t="shared" si="354"/>
        <v>Asset 55</v>
      </c>
      <c r="F609" s="43" t="str">
        <f t="shared" ref="F609:L609" si="424">F113</f>
        <v>05 Wegen en terreinvoorzieningen</v>
      </c>
      <c r="G609" s="43">
        <f t="shared" si="424"/>
        <v>1970</v>
      </c>
      <c r="H609" s="48">
        <f t="shared" si="424"/>
        <v>65342.54</v>
      </c>
      <c r="I609" s="43">
        <f t="shared" si="424"/>
        <v>2021</v>
      </c>
      <c r="J609" s="43">
        <f t="shared" si="424"/>
        <v>10</v>
      </c>
      <c r="K609" s="43">
        <f t="shared" si="424"/>
        <v>0</v>
      </c>
      <c r="L609" s="48">
        <f t="shared" si="424"/>
        <v>0</v>
      </c>
      <c r="N609" s="44">
        <f t="shared" si="355"/>
        <v>0</v>
      </c>
      <c r="P609" s="49">
        <f t="shared" si="387"/>
        <v>0</v>
      </c>
      <c r="Q609" s="49">
        <f t="shared" si="387"/>
        <v>0</v>
      </c>
      <c r="R609" s="49">
        <f t="shared" si="387"/>
        <v>0</v>
      </c>
      <c r="S609" s="49">
        <f t="shared" si="387"/>
        <v>0</v>
      </c>
      <c r="T609" s="49">
        <f t="shared" si="387"/>
        <v>0</v>
      </c>
      <c r="V609" s="53">
        <f t="shared" si="369"/>
        <v>0</v>
      </c>
      <c r="W609" s="53">
        <f t="shared" si="370"/>
        <v>0</v>
      </c>
      <c r="X609" s="53">
        <f t="shared" si="371"/>
        <v>0</v>
      </c>
      <c r="Y609" s="53">
        <f t="shared" si="372"/>
        <v>0</v>
      </c>
      <c r="Z609" s="53">
        <f t="shared" si="373"/>
        <v>0</v>
      </c>
      <c r="AB609" s="53">
        <f t="shared" si="362"/>
        <v>0</v>
      </c>
      <c r="AC609" s="53">
        <f t="shared" si="363"/>
        <v>0</v>
      </c>
      <c r="AD609" s="53">
        <f t="shared" si="364"/>
        <v>0</v>
      </c>
      <c r="AE609" s="53">
        <f t="shared" si="365"/>
        <v>0</v>
      </c>
      <c r="AF609" s="53">
        <f t="shared" si="366"/>
        <v>0</v>
      </c>
    </row>
    <row r="610" spans="2:32">
      <c r="B610" s="43" t="str">
        <f t="shared" si="354"/>
        <v>Asset 56</v>
      </c>
      <c r="F610" s="43" t="str">
        <f t="shared" ref="F610:L610" si="425">F114</f>
        <v>06 Utiliteitsgebouwen</v>
      </c>
      <c r="G610" s="43">
        <f t="shared" si="425"/>
        <v>1980</v>
      </c>
      <c r="H610" s="48">
        <f t="shared" si="425"/>
        <v>1188787.02</v>
      </c>
      <c r="I610" s="43">
        <f t="shared" si="425"/>
        <v>2021</v>
      </c>
      <c r="J610" s="43">
        <f t="shared" si="425"/>
        <v>30</v>
      </c>
      <c r="K610" s="43">
        <f t="shared" si="425"/>
        <v>0</v>
      </c>
      <c r="L610" s="48">
        <f t="shared" si="425"/>
        <v>0</v>
      </c>
      <c r="N610" s="44">
        <f t="shared" si="355"/>
        <v>0</v>
      </c>
      <c r="P610" s="49">
        <f t="shared" si="387"/>
        <v>0</v>
      </c>
      <c r="Q610" s="49">
        <f t="shared" si="387"/>
        <v>0</v>
      </c>
      <c r="R610" s="49">
        <f t="shared" si="387"/>
        <v>0</v>
      </c>
      <c r="S610" s="49">
        <f t="shared" si="387"/>
        <v>0</v>
      </c>
      <c r="T610" s="49">
        <f t="shared" si="387"/>
        <v>0</v>
      </c>
      <c r="V610" s="53">
        <f t="shared" si="369"/>
        <v>0</v>
      </c>
      <c r="W610" s="53">
        <f t="shared" si="370"/>
        <v>0</v>
      </c>
      <c r="X610" s="53">
        <f t="shared" si="371"/>
        <v>0</v>
      </c>
      <c r="Y610" s="53">
        <f t="shared" si="372"/>
        <v>0</v>
      </c>
      <c r="Z610" s="53">
        <f t="shared" si="373"/>
        <v>0</v>
      </c>
      <c r="AB610" s="53">
        <f t="shared" si="362"/>
        <v>0</v>
      </c>
      <c r="AC610" s="53">
        <f t="shared" si="363"/>
        <v>0</v>
      </c>
      <c r="AD610" s="53">
        <f t="shared" si="364"/>
        <v>0</v>
      </c>
      <c r="AE610" s="53">
        <f t="shared" si="365"/>
        <v>0</v>
      </c>
      <c r="AF610" s="53">
        <f t="shared" si="366"/>
        <v>0</v>
      </c>
    </row>
    <row r="611" spans="2:32">
      <c r="B611" s="43" t="str">
        <f t="shared" si="354"/>
        <v>Asset 57</v>
      </c>
      <c r="F611" s="43" t="str">
        <f t="shared" ref="F611:L611" si="426">F115</f>
        <v>06 Utiliteitsgebouwen</v>
      </c>
      <c r="G611" s="43">
        <f t="shared" si="426"/>
        <v>1971</v>
      </c>
      <c r="H611" s="48">
        <f t="shared" si="426"/>
        <v>1287617.6299999999</v>
      </c>
      <c r="I611" s="43">
        <f t="shared" si="426"/>
        <v>2021</v>
      </c>
      <c r="J611" s="43">
        <f t="shared" si="426"/>
        <v>30</v>
      </c>
      <c r="K611" s="43">
        <f t="shared" si="426"/>
        <v>0</v>
      </c>
      <c r="L611" s="48">
        <f t="shared" si="426"/>
        <v>0</v>
      </c>
      <c r="N611" s="44">
        <f t="shared" si="355"/>
        <v>0</v>
      </c>
      <c r="P611" s="49">
        <f t="shared" si="387"/>
        <v>0</v>
      </c>
      <c r="Q611" s="49">
        <f t="shared" si="387"/>
        <v>0</v>
      </c>
      <c r="R611" s="49">
        <f t="shared" si="387"/>
        <v>0</v>
      </c>
      <c r="S611" s="49">
        <f t="shared" si="387"/>
        <v>0</v>
      </c>
      <c r="T611" s="49">
        <f t="shared" si="387"/>
        <v>0</v>
      </c>
      <c r="V611" s="53">
        <f t="shared" si="369"/>
        <v>0</v>
      </c>
      <c r="W611" s="53">
        <f t="shared" si="370"/>
        <v>0</v>
      </c>
      <c r="X611" s="53">
        <f t="shared" si="371"/>
        <v>0</v>
      </c>
      <c r="Y611" s="53">
        <f t="shared" si="372"/>
        <v>0</v>
      </c>
      <c r="Z611" s="53">
        <f t="shared" si="373"/>
        <v>0</v>
      </c>
      <c r="AB611" s="53">
        <f t="shared" si="362"/>
        <v>0</v>
      </c>
      <c r="AC611" s="53">
        <f t="shared" si="363"/>
        <v>0</v>
      </c>
      <c r="AD611" s="53">
        <f t="shared" si="364"/>
        <v>0</v>
      </c>
      <c r="AE611" s="53">
        <f t="shared" si="365"/>
        <v>0</v>
      </c>
      <c r="AF611" s="53">
        <f t="shared" si="366"/>
        <v>0</v>
      </c>
    </row>
    <row r="612" spans="2:32">
      <c r="B612" s="43" t="str">
        <f t="shared" si="354"/>
        <v>Asset 58</v>
      </c>
      <c r="F612" s="43" t="str">
        <f t="shared" ref="F612:L612" si="427">F116</f>
        <v>06 Utiliteitsgebouwen</v>
      </c>
      <c r="G612" s="43">
        <f t="shared" si="427"/>
        <v>1986</v>
      </c>
      <c r="H612" s="48">
        <f t="shared" si="427"/>
        <v>986052.31</v>
      </c>
      <c r="I612" s="43">
        <f t="shared" si="427"/>
        <v>2021</v>
      </c>
      <c r="J612" s="43">
        <f t="shared" si="427"/>
        <v>30</v>
      </c>
      <c r="K612" s="43">
        <f t="shared" si="427"/>
        <v>0</v>
      </c>
      <c r="L612" s="48">
        <f t="shared" si="427"/>
        <v>0</v>
      </c>
      <c r="N612" s="44">
        <f t="shared" si="355"/>
        <v>0</v>
      </c>
      <c r="P612" s="49">
        <f t="shared" si="387"/>
        <v>0</v>
      </c>
      <c r="Q612" s="49">
        <f t="shared" si="387"/>
        <v>0</v>
      </c>
      <c r="R612" s="49">
        <f t="shared" si="387"/>
        <v>0</v>
      </c>
      <c r="S612" s="49">
        <f t="shared" si="387"/>
        <v>0</v>
      </c>
      <c r="T612" s="49">
        <f t="shared" si="387"/>
        <v>0</v>
      </c>
      <c r="V612" s="53">
        <f t="shared" si="369"/>
        <v>0</v>
      </c>
      <c r="W612" s="53">
        <f t="shared" si="370"/>
        <v>0</v>
      </c>
      <c r="X612" s="53">
        <f t="shared" si="371"/>
        <v>0</v>
      </c>
      <c r="Y612" s="53">
        <f t="shared" si="372"/>
        <v>0</v>
      </c>
      <c r="Z612" s="53">
        <f t="shared" si="373"/>
        <v>0</v>
      </c>
      <c r="AB612" s="53">
        <f t="shared" si="362"/>
        <v>0</v>
      </c>
      <c r="AC612" s="53">
        <f t="shared" si="363"/>
        <v>0</v>
      </c>
      <c r="AD612" s="53">
        <f t="shared" si="364"/>
        <v>0</v>
      </c>
      <c r="AE612" s="53">
        <f t="shared" si="365"/>
        <v>0</v>
      </c>
      <c r="AF612" s="53">
        <f t="shared" si="366"/>
        <v>0</v>
      </c>
    </row>
    <row r="613" spans="2:32">
      <c r="B613" s="43" t="str">
        <f t="shared" si="354"/>
        <v>Asset 59</v>
      </c>
      <c r="F613" s="43" t="str">
        <f t="shared" ref="F613:L613" si="428">F117</f>
        <v>06 Utiliteitsgebouwen</v>
      </c>
      <c r="G613" s="43">
        <f t="shared" si="428"/>
        <v>1988</v>
      </c>
      <c r="H613" s="48">
        <f t="shared" si="428"/>
        <v>45049.48</v>
      </c>
      <c r="I613" s="43">
        <f t="shared" si="428"/>
        <v>2021</v>
      </c>
      <c r="J613" s="43">
        <f t="shared" si="428"/>
        <v>30</v>
      </c>
      <c r="K613" s="43">
        <f t="shared" si="428"/>
        <v>0</v>
      </c>
      <c r="L613" s="48">
        <f t="shared" si="428"/>
        <v>0</v>
      </c>
      <c r="N613" s="44">
        <f t="shared" si="355"/>
        <v>0</v>
      </c>
      <c r="P613" s="49">
        <f t="shared" si="387"/>
        <v>0</v>
      </c>
      <c r="Q613" s="49">
        <f t="shared" si="387"/>
        <v>0</v>
      </c>
      <c r="R613" s="49">
        <f t="shared" si="387"/>
        <v>0</v>
      </c>
      <c r="S613" s="49">
        <f t="shared" si="387"/>
        <v>0</v>
      </c>
      <c r="T613" s="49">
        <f t="shared" si="387"/>
        <v>0</v>
      </c>
      <c r="V613" s="53">
        <f t="shared" si="369"/>
        <v>0</v>
      </c>
      <c r="W613" s="53">
        <f t="shared" si="370"/>
        <v>0</v>
      </c>
      <c r="X613" s="53">
        <f t="shared" si="371"/>
        <v>0</v>
      </c>
      <c r="Y613" s="53">
        <f t="shared" si="372"/>
        <v>0</v>
      </c>
      <c r="Z613" s="53">
        <f t="shared" si="373"/>
        <v>0</v>
      </c>
      <c r="AB613" s="53">
        <f t="shared" si="362"/>
        <v>0</v>
      </c>
      <c r="AC613" s="53">
        <f t="shared" si="363"/>
        <v>0</v>
      </c>
      <c r="AD613" s="53">
        <f t="shared" si="364"/>
        <v>0</v>
      </c>
      <c r="AE613" s="53">
        <f t="shared" si="365"/>
        <v>0</v>
      </c>
      <c r="AF613" s="53">
        <f t="shared" si="366"/>
        <v>0</v>
      </c>
    </row>
    <row r="614" spans="2:32">
      <c r="B614" s="43" t="str">
        <f t="shared" si="354"/>
        <v>Asset 60</v>
      </c>
      <c r="F614" s="43" t="str">
        <f t="shared" ref="F614:L614" si="429">F118</f>
        <v>04 Terreinen</v>
      </c>
      <c r="G614" s="43">
        <f t="shared" si="429"/>
        <v>1969</v>
      </c>
      <c r="H614" s="48">
        <f t="shared" si="429"/>
        <v>35732.019999999997</v>
      </c>
      <c r="I614" s="43">
        <f t="shared" si="429"/>
        <v>2021</v>
      </c>
      <c r="J614" s="43">
        <f t="shared" si="429"/>
        <v>0</v>
      </c>
      <c r="K614" s="43">
        <f t="shared" si="429"/>
        <v>0</v>
      </c>
      <c r="L614" s="48">
        <f t="shared" si="429"/>
        <v>192194.60406110552</v>
      </c>
      <c r="N614" s="44">
        <f t="shared" si="355"/>
        <v>0</v>
      </c>
      <c r="P614" s="49">
        <f t="shared" si="387"/>
        <v>0</v>
      </c>
      <c r="Q614" s="49">
        <f t="shared" si="387"/>
        <v>0</v>
      </c>
      <c r="R614" s="49">
        <f t="shared" si="387"/>
        <v>0</v>
      </c>
      <c r="S614" s="49">
        <f t="shared" si="387"/>
        <v>0</v>
      </c>
      <c r="T614" s="49">
        <f t="shared" si="387"/>
        <v>0</v>
      </c>
      <c r="V614" s="53">
        <f t="shared" si="369"/>
        <v>192194.60406110552</v>
      </c>
      <c r="W614" s="53">
        <f t="shared" si="370"/>
        <v>192194.60406110552</v>
      </c>
      <c r="X614" s="53">
        <f t="shared" si="371"/>
        <v>192194.60406110552</v>
      </c>
      <c r="Y614" s="53">
        <f t="shared" si="372"/>
        <v>192194.60406110552</v>
      </c>
      <c r="Z614" s="53">
        <f t="shared" si="373"/>
        <v>192194.60406110552</v>
      </c>
      <c r="AB614" s="53">
        <f t="shared" si="362"/>
        <v>6534.6165380775883</v>
      </c>
      <c r="AC614" s="53">
        <f t="shared" si="363"/>
        <v>6342.4219340164827</v>
      </c>
      <c r="AD614" s="53">
        <f t="shared" si="364"/>
        <v>7303.3949543220097</v>
      </c>
      <c r="AE614" s="53">
        <f t="shared" si="365"/>
        <v>7303.3949543220097</v>
      </c>
      <c r="AF614" s="53">
        <f t="shared" si="366"/>
        <v>7303.3949543220097</v>
      </c>
    </row>
    <row r="615" spans="2:32">
      <c r="B615" s="43" t="str">
        <f t="shared" si="354"/>
        <v>Asset 61</v>
      </c>
      <c r="F615" s="43" t="str">
        <f t="shared" ref="F615:L615" si="430">F119</f>
        <v>06 Utiliteitsgebouwen</v>
      </c>
      <c r="G615" s="43">
        <f t="shared" si="430"/>
        <v>1993</v>
      </c>
      <c r="H615" s="48">
        <f t="shared" si="430"/>
        <v>4915025</v>
      </c>
      <c r="I615" s="43">
        <f t="shared" si="430"/>
        <v>2021</v>
      </c>
      <c r="J615" s="43">
        <f t="shared" si="430"/>
        <v>30</v>
      </c>
      <c r="K615" s="43">
        <f t="shared" si="430"/>
        <v>0</v>
      </c>
      <c r="L615" s="48">
        <f t="shared" si="430"/>
        <v>420683.7813984917</v>
      </c>
      <c r="N615" s="44">
        <f t="shared" si="355"/>
        <v>1.5</v>
      </c>
      <c r="P615" s="49">
        <f t="shared" si="387"/>
        <v>280455.85426566115</v>
      </c>
      <c r="Q615" s="49">
        <f t="shared" si="387"/>
        <v>140227.92713283058</v>
      </c>
      <c r="R615" s="49">
        <f t="shared" si="387"/>
        <v>0</v>
      </c>
      <c r="S615" s="49">
        <f t="shared" si="387"/>
        <v>0</v>
      </c>
      <c r="T615" s="49">
        <f t="shared" si="387"/>
        <v>0</v>
      </c>
      <c r="V615" s="53">
        <f t="shared" si="369"/>
        <v>140227.92713283055</v>
      </c>
      <c r="W615" s="53">
        <f t="shared" si="370"/>
        <v>-2.9103830456733704E-11</v>
      </c>
      <c r="X615" s="53">
        <f t="shared" si="371"/>
        <v>0</v>
      </c>
      <c r="Y615" s="53">
        <f t="shared" si="372"/>
        <v>0</v>
      </c>
      <c r="Z615" s="53">
        <f t="shared" si="373"/>
        <v>0</v>
      </c>
      <c r="AB615" s="53">
        <f t="shared" si="362"/>
        <v>285223.60378817737</v>
      </c>
      <c r="AC615" s="53">
        <f t="shared" si="363"/>
        <v>140227.92713283058</v>
      </c>
      <c r="AD615" s="53">
        <f t="shared" si="364"/>
        <v>0</v>
      </c>
      <c r="AE615" s="53">
        <f t="shared" si="365"/>
        <v>0</v>
      </c>
      <c r="AF615" s="53">
        <f t="shared" si="366"/>
        <v>0</v>
      </c>
    </row>
    <row r="616" spans="2:32">
      <c r="B616" s="43" t="str">
        <f t="shared" si="354"/>
        <v>Asset 62</v>
      </c>
      <c r="F616" s="43" t="str">
        <f t="shared" ref="F616:L616" si="431">F120</f>
        <v>04 Terreinen</v>
      </c>
      <c r="G616" s="43">
        <f t="shared" si="431"/>
        <v>1990</v>
      </c>
      <c r="H616" s="48">
        <f t="shared" si="431"/>
        <v>4936129.59</v>
      </c>
      <c r="I616" s="43">
        <f t="shared" si="431"/>
        <v>2021</v>
      </c>
      <c r="J616" s="43">
        <f t="shared" si="431"/>
        <v>0</v>
      </c>
      <c r="K616" s="43">
        <f t="shared" si="431"/>
        <v>0</v>
      </c>
      <c r="L616" s="48">
        <f t="shared" si="431"/>
        <v>9367389.4688880406</v>
      </c>
      <c r="N616" s="44">
        <f t="shared" si="355"/>
        <v>0</v>
      </c>
      <c r="P616" s="49">
        <f t="shared" si="387"/>
        <v>0</v>
      </c>
      <c r="Q616" s="49">
        <f t="shared" si="387"/>
        <v>0</v>
      </c>
      <c r="R616" s="49">
        <f t="shared" si="387"/>
        <v>0</v>
      </c>
      <c r="S616" s="49">
        <f t="shared" si="387"/>
        <v>0</v>
      </c>
      <c r="T616" s="49">
        <f t="shared" si="387"/>
        <v>0</v>
      </c>
      <c r="V616" s="53">
        <f t="shared" si="369"/>
        <v>9367389.4688880406</v>
      </c>
      <c r="W616" s="53">
        <f t="shared" si="370"/>
        <v>9367389.4688880406</v>
      </c>
      <c r="X616" s="53">
        <f t="shared" si="371"/>
        <v>9367389.4688880406</v>
      </c>
      <c r="Y616" s="53">
        <f t="shared" si="372"/>
        <v>9367389.4688880406</v>
      </c>
      <c r="Z616" s="53">
        <f t="shared" si="373"/>
        <v>9367389.4688880406</v>
      </c>
      <c r="AB616" s="53">
        <f t="shared" si="362"/>
        <v>318491.24194219342</v>
      </c>
      <c r="AC616" s="53">
        <f t="shared" si="363"/>
        <v>309123.85247330536</v>
      </c>
      <c r="AD616" s="53">
        <f t="shared" si="364"/>
        <v>355960.79981774552</v>
      </c>
      <c r="AE616" s="53">
        <f t="shared" si="365"/>
        <v>355960.79981774552</v>
      </c>
      <c r="AF616" s="53">
        <f t="shared" si="366"/>
        <v>355960.79981774552</v>
      </c>
    </row>
    <row r="617" spans="2:32">
      <c r="B617" s="43" t="str">
        <f t="shared" si="354"/>
        <v>Asset 63</v>
      </c>
      <c r="F617" s="43" t="str">
        <f t="shared" ref="F617:L617" si="432">F121</f>
        <v>09 Bedrijfsinventaris</v>
      </c>
      <c r="G617" s="43">
        <f t="shared" si="432"/>
        <v>1994</v>
      </c>
      <c r="H617" s="48">
        <f t="shared" si="432"/>
        <v>5646696.2199999997</v>
      </c>
      <c r="I617" s="43">
        <f t="shared" si="432"/>
        <v>2021</v>
      </c>
      <c r="J617" s="43">
        <f t="shared" si="432"/>
        <v>10</v>
      </c>
      <c r="K617" s="43">
        <f t="shared" si="432"/>
        <v>1</v>
      </c>
      <c r="L617" s="48">
        <f t="shared" si="432"/>
        <v>0</v>
      </c>
      <c r="N617" s="44">
        <f t="shared" si="355"/>
        <v>0</v>
      </c>
      <c r="P617" s="49">
        <f t="shared" si="387"/>
        <v>0</v>
      </c>
      <c r="Q617" s="49">
        <f t="shared" si="387"/>
        <v>0</v>
      </c>
      <c r="R617" s="49">
        <f t="shared" si="387"/>
        <v>0</v>
      </c>
      <c r="S617" s="49">
        <f t="shared" si="387"/>
        <v>0</v>
      </c>
      <c r="T617" s="49">
        <f t="shared" si="387"/>
        <v>0</v>
      </c>
      <c r="V617" s="53">
        <f t="shared" si="369"/>
        <v>0</v>
      </c>
      <c r="W617" s="53">
        <f t="shared" si="370"/>
        <v>0</v>
      </c>
      <c r="X617" s="53">
        <f t="shared" si="371"/>
        <v>0</v>
      </c>
      <c r="Y617" s="53">
        <f t="shared" si="372"/>
        <v>0</v>
      </c>
      <c r="Z617" s="53">
        <f t="shared" si="373"/>
        <v>0</v>
      </c>
      <c r="AB617" s="53">
        <f t="shared" si="362"/>
        <v>0</v>
      </c>
      <c r="AC617" s="53">
        <f t="shared" si="363"/>
        <v>0</v>
      </c>
      <c r="AD617" s="53">
        <f t="shared" si="364"/>
        <v>0</v>
      </c>
      <c r="AE617" s="53">
        <f t="shared" si="365"/>
        <v>0</v>
      </c>
      <c r="AF617" s="53">
        <f t="shared" si="366"/>
        <v>0</v>
      </c>
    </row>
    <row r="618" spans="2:32">
      <c r="B618" s="43" t="str">
        <f t="shared" si="354"/>
        <v>Asset 64</v>
      </c>
      <c r="F618" s="43" t="str">
        <f t="shared" ref="F618:L618" si="433">F122</f>
        <v>06 Utiliteitsgebouwen</v>
      </c>
      <c r="G618" s="43">
        <f t="shared" si="433"/>
        <v>1994</v>
      </c>
      <c r="H618" s="48">
        <f t="shared" si="433"/>
        <v>326095.09000000003</v>
      </c>
      <c r="I618" s="43">
        <f t="shared" si="433"/>
        <v>2021</v>
      </c>
      <c r="J618" s="43">
        <f t="shared" si="433"/>
        <v>30</v>
      </c>
      <c r="K618" s="43">
        <f t="shared" si="433"/>
        <v>0</v>
      </c>
      <c r="L618" s="48">
        <f t="shared" si="433"/>
        <v>45606.0937185246</v>
      </c>
      <c r="N618" s="44">
        <f t="shared" si="355"/>
        <v>2.5</v>
      </c>
      <c r="P618" s="49">
        <f t="shared" si="387"/>
        <v>18242.437487409839</v>
      </c>
      <c r="Q618" s="49">
        <f t="shared" si="387"/>
        <v>18242.437487409839</v>
      </c>
      <c r="R618" s="49">
        <f t="shared" si="387"/>
        <v>9121.2187437049197</v>
      </c>
      <c r="S618" s="49">
        <f t="shared" si="387"/>
        <v>0</v>
      </c>
      <c r="T618" s="49">
        <f t="shared" si="387"/>
        <v>0</v>
      </c>
      <c r="V618" s="53">
        <f t="shared" si="369"/>
        <v>27363.656231114761</v>
      </c>
      <c r="W618" s="53">
        <f t="shared" si="370"/>
        <v>9121.2187437049215</v>
      </c>
      <c r="X618" s="53">
        <f t="shared" si="371"/>
        <v>1.8189894035458565E-12</v>
      </c>
      <c r="Y618" s="53">
        <f t="shared" si="372"/>
        <v>0</v>
      </c>
      <c r="Z618" s="53">
        <f t="shared" si="373"/>
        <v>0</v>
      </c>
      <c r="AB618" s="53">
        <f t="shared" si="362"/>
        <v>19172.801799267741</v>
      </c>
      <c r="AC618" s="53">
        <f t="shared" si="363"/>
        <v>18543.437705952103</v>
      </c>
      <c r="AD618" s="53">
        <f t="shared" si="364"/>
        <v>9121.2187437049197</v>
      </c>
      <c r="AE618" s="53">
        <f t="shared" si="365"/>
        <v>0</v>
      </c>
      <c r="AF618" s="53">
        <f t="shared" si="366"/>
        <v>0</v>
      </c>
    </row>
    <row r="619" spans="2:32">
      <c r="B619" s="43" t="str">
        <f t="shared" si="354"/>
        <v>Asset 65</v>
      </c>
      <c r="F619" s="43" t="str">
        <f t="shared" ref="F619:L619" si="434">F123</f>
        <v>05 Wegen en terreinvoorzieningen</v>
      </c>
      <c r="G619" s="43">
        <f t="shared" si="434"/>
        <v>1993</v>
      </c>
      <c r="H619" s="48">
        <f t="shared" si="434"/>
        <v>174007.47</v>
      </c>
      <c r="I619" s="43">
        <f t="shared" si="434"/>
        <v>2021</v>
      </c>
      <c r="J619" s="43">
        <f t="shared" si="434"/>
        <v>10</v>
      </c>
      <c r="K619" s="43">
        <f t="shared" si="434"/>
        <v>0</v>
      </c>
      <c r="L619" s="48">
        <f t="shared" si="434"/>
        <v>0</v>
      </c>
      <c r="N619" s="44">
        <f t="shared" si="355"/>
        <v>0</v>
      </c>
      <c r="P619" s="49">
        <f t="shared" si="387"/>
        <v>0</v>
      </c>
      <c r="Q619" s="49">
        <f t="shared" si="387"/>
        <v>0</v>
      </c>
      <c r="R619" s="49">
        <f t="shared" si="387"/>
        <v>0</v>
      </c>
      <c r="S619" s="49">
        <f t="shared" si="387"/>
        <v>0</v>
      </c>
      <c r="T619" s="49">
        <f t="shared" si="387"/>
        <v>0</v>
      </c>
      <c r="V619" s="53">
        <f t="shared" si="369"/>
        <v>0</v>
      </c>
      <c r="W619" s="53">
        <f t="shared" si="370"/>
        <v>0</v>
      </c>
      <c r="X619" s="53">
        <f t="shared" si="371"/>
        <v>0</v>
      </c>
      <c r="Y619" s="53">
        <f t="shared" si="372"/>
        <v>0</v>
      </c>
      <c r="Z619" s="53">
        <f t="shared" si="373"/>
        <v>0</v>
      </c>
      <c r="AB619" s="53">
        <f t="shared" si="362"/>
        <v>0</v>
      </c>
      <c r="AC619" s="53">
        <f t="shared" si="363"/>
        <v>0</v>
      </c>
      <c r="AD619" s="53">
        <f t="shared" si="364"/>
        <v>0</v>
      </c>
      <c r="AE619" s="53">
        <f t="shared" si="365"/>
        <v>0</v>
      </c>
      <c r="AF619" s="53">
        <f t="shared" si="366"/>
        <v>0</v>
      </c>
    </row>
    <row r="620" spans="2:32">
      <c r="B620" s="43" t="str">
        <f t="shared" ref="B620:B683" si="435">B124</f>
        <v>Asset 66</v>
      </c>
      <c r="F620" s="43" t="str">
        <f t="shared" ref="F620:L620" si="436">F124</f>
        <v>20 Kantoorgebouwen</v>
      </c>
      <c r="G620" s="43">
        <f t="shared" si="436"/>
        <v>1991</v>
      </c>
      <c r="H620" s="48">
        <f t="shared" si="436"/>
        <v>475302.12</v>
      </c>
      <c r="I620" s="43">
        <f t="shared" si="436"/>
        <v>2021</v>
      </c>
      <c r="J620" s="43">
        <f t="shared" si="436"/>
        <v>30</v>
      </c>
      <c r="K620" s="43">
        <f t="shared" si="436"/>
        <v>0</v>
      </c>
      <c r="L620" s="48">
        <f t="shared" si="436"/>
        <v>0</v>
      </c>
      <c r="N620" s="44">
        <f t="shared" ref="N620:N683" si="437">MAX(0,IF(G620&lt;=2021, J620-2021+G620-0.5,J620))</f>
        <v>0</v>
      </c>
      <c r="P620" s="49">
        <f t="shared" si="387"/>
        <v>0</v>
      </c>
      <c r="Q620" s="49">
        <f t="shared" si="387"/>
        <v>0</v>
      </c>
      <c r="R620" s="49">
        <f t="shared" si="387"/>
        <v>0</v>
      </c>
      <c r="S620" s="49">
        <f t="shared" si="387"/>
        <v>0</v>
      </c>
      <c r="T620" s="49">
        <f t="shared" si="387"/>
        <v>0</v>
      </c>
      <c r="V620" s="53">
        <f t="shared" si="369"/>
        <v>0</v>
      </c>
      <c r="W620" s="53">
        <f t="shared" si="370"/>
        <v>0</v>
      </c>
      <c r="X620" s="53">
        <f t="shared" si="371"/>
        <v>0</v>
      </c>
      <c r="Y620" s="53">
        <f t="shared" si="372"/>
        <v>0</v>
      </c>
      <c r="Z620" s="53">
        <f t="shared" si="373"/>
        <v>0</v>
      </c>
      <c r="AB620" s="53">
        <f t="shared" ref="AB620:AB683" si="438">(P620+V620*I$16)*IF($K620=1,$F$19,1)</f>
        <v>0</v>
      </c>
      <c r="AC620" s="53">
        <f t="shared" ref="AC620:AC683" si="439">(Q620+W620*J$16)*IF($K620=1,$F$19,1)</f>
        <v>0</v>
      </c>
      <c r="AD620" s="53">
        <f t="shared" ref="AD620:AD683" si="440">(R620+X620*K$16)*IF($K620=1,$F$19,1)</f>
        <v>0</v>
      </c>
      <c r="AE620" s="53">
        <f t="shared" ref="AE620:AE683" si="441">(S620+Y620*L$16)*IF($K620=1,$F$19,1)</f>
        <v>0</v>
      </c>
      <c r="AF620" s="53">
        <f t="shared" ref="AF620:AF683" si="442">(T620+Z620*M$16)*IF($K620=1,$F$19,1)</f>
        <v>0</v>
      </c>
    </row>
    <row r="621" spans="2:32">
      <c r="B621" s="43" t="str">
        <f t="shared" si="435"/>
        <v>Asset 67</v>
      </c>
      <c r="F621" s="43" t="str">
        <f t="shared" ref="F621:L621" si="443">F125</f>
        <v>08 Inrichting gebouwen</v>
      </c>
      <c r="G621" s="43">
        <f t="shared" si="443"/>
        <v>1995</v>
      </c>
      <c r="H621" s="48">
        <f t="shared" si="443"/>
        <v>365539.92999999993</v>
      </c>
      <c r="I621" s="43">
        <f t="shared" si="443"/>
        <v>2021</v>
      </c>
      <c r="J621" s="43">
        <f t="shared" si="443"/>
        <v>10</v>
      </c>
      <c r="K621" s="43">
        <f t="shared" si="443"/>
        <v>0</v>
      </c>
      <c r="L621" s="48">
        <f t="shared" si="443"/>
        <v>0</v>
      </c>
      <c r="N621" s="44">
        <f t="shared" si="437"/>
        <v>0</v>
      </c>
      <c r="P621" s="49">
        <f t="shared" si="387"/>
        <v>0</v>
      </c>
      <c r="Q621" s="49">
        <f t="shared" si="387"/>
        <v>0</v>
      </c>
      <c r="R621" s="49">
        <f t="shared" si="387"/>
        <v>0</v>
      </c>
      <c r="S621" s="49">
        <f t="shared" si="387"/>
        <v>0</v>
      </c>
      <c r="T621" s="49">
        <f t="shared" si="387"/>
        <v>0</v>
      </c>
      <c r="V621" s="53">
        <f t="shared" si="369"/>
        <v>0</v>
      </c>
      <c r="W621" s="53">
        <f t="shared" si="370"/>
        <v>0</v>
      </c>
      <c r="X621" s="53">
        <f t="shared" si="371"/>
        <v>0</v>
      </c>
      <c r="Y621" s="53">
        <f t="shared" si="372"/>
        <v>0</v>
      </c>
      <c r="Z621" s="53">
        <f t="shared" si="373"/>
        <v>0</v>
      </c>
      <c r="AB621" s="53">
        <f t="shared" si="438"/>
        <v>0</v>
      </c>
      <c r="AC621" s="53">
        <f t="shared" si="439"/>
        <v>0</v>
      </c>
      <c r="AD621" s="53">
        <f t="shared" si="440"/>
        <v>0</v>
      </c>
      <c r="AE621" s="53">
        <f t="shared" si="441"/>
        <v>0</v>
      </c>
      <c r="AF621" s="53">
        <f t="shared" si="442"/>
        <v>0</v>
      </c>
    </row>
    <row r="622" spans="2:32">
      <c r="B622" s="43" t="str">
        <f t="shared" si="435"/>
        <v>Asset 68</v>
      </c>
      <c r="F622" s="43" t="str">
        <f t="shared" ref="F622:L622" si="444">F126</f>
        <v>08 Inrichting gebouwen</v>
      </c>
      <c r="G622" s="43">
        <f t="shared" si="444"/>
        <v>1994</v>
      </c>
      <c r="H622" s="48">
        <f t="shared" si="444"/>
        <v>6615395.4499999993</v>
      </c>
      <c r="I622" s="43">
        <f t="shared" si="444"/>
        <v>2021</v>
      </c>
      <c r="J622" s="43">
        <f t="shared" si="444"/>
        <v>10</v>
      </c>
      <c r="K622" s="43">
        <f t="shared" si="444"/>
        <v>0</v>
      </c>
      <c r="L622" s="48">
        <f t="shared" si="444"/>
        <v>0</v>
      </c>
      <c r="N622" s="44">
        <f t="shared" si="437"/>
        <v>0</v>
      </c>
      <c r="P622" s="49">
        <f t="shared" si="387"/>
        <v>0</v>
      </c>
      <c r="Q622" s="49">
        <f t="shared" si="387"/>
        <v>0</v>
      </c>
      <c r="R622" s="49">
        <f t="shared" si="387"/>
        <v>0</v>
      </c>
      <c r="S622" s="49">
        <f t="shared" si="387"/>
        <v>0</v>
      </c>
      <c r="T622" s="49">
        <f t="shared" si="387"/>
        <v>0</v>
      </c>
      <c r="V622" s="53">
        <f t="shared" si="369"/>
        <v>0</v>
      </c>
      <c r="W622" s="53">
        <f t="shared" si="370"/>
        <v>0</v>
      </c>
      <c r="X622" s="53">
        <f t="shared" si="371"/>
        <v>0</v>
      </c>
      <c r="Y622" s="53">
        <f t="shared" si="372"/>
        <v>0</v>
      </c>
      <c r="Z622" s="53">
        <f t="shared" si="373"/>
        <v>0</v>
      </c>
      <c r="AB622" s="53">
        <f t="shared" si="438"/>
        <v>0</v>
      </c>
      <c r="AC622" s="53">
        <f t="shared" si="439"/>
        <v>0</v>
      </c>
      <c r="AD622" s="53">
        <f t="shared" si="440"/>
        <v>0</v>
      </c>
      <c r="AE622" s="53">
        <f t="shared" si="441"/>
        <v>0</v>
      </c>
      <c r="AF622" s="53">
        <f t="shared" si="442"/>
        <v>0</v>
      </c>
    </row>
    <row r="623" spans="2:32">
      <c r="B623" s="43" t="str">
        <f t="shared" si="435"/>
        <v>Asset 69</v>
      </c>
      <c r="F623" s="43" t="str">
        <f t="shared" ref="F623:L623" si="445">F127</f>
        <v>20 Kantoorgebouwen</v>
      </c>
      <c r="G623" s="43">
        <f t="shared" si="445"/>
        <v>1998</v>
      </c>
      <c r="H623" s="48">
        <f t="shared" si="445"/>
        <v>789493.11</v>
      </c>
      <c r="I623" s="43">
        <f t="shared" si="445"/>
        <v>2021</v>
      </c>
      <c r="J623" s="43">
        <f t="shared" si="445"/>
        <v>30</v>
      </c>
      <c r="K623" s="43">
        <f t="shared" si="445"/>
        <v>0</v>
      </c>
      <c r="L623" s="48">
        <f t="shared" si="445"/>
        <v>263672.8175889462</v>
      </c>
      <c r="N623" s="44">
        <f t="shared" si="437"/>
        <v>6.5</v>
      </c>
      <c r="P623" s="49">
        <f t="shared" ref="P623:T673" si="446">IF(P$553&lt;=$G623+$J623,VDB($L623,0,$N623,P$553-2022,MIN(P$553-2021,$N623),1),0)</f>
        <v>40565.04885983788</v>
      </c>
      <c r="Q623" s="49">
        <f t="shared" si="446"/>
        <v>40565.04885983788</v>
      </c>
      <c r="R623" s="49">
        <f t="shared" si="446"/>
        <v>40565.04885983788</v>
      </c>
      <c r="S623" s="49">
        <f t="shared" si="446"/>
        <v>40565.04885983788</v>
      </c>
      <c r="T623" s="49">
        <f t="shared" si="446"/>
        <v>40565.04885983788</v>
      </c>
      <c r="V623" s="53">
        <f t="shared" ref="V623:V686" si="447">IF(OR(V$553&lt;=$G623+$J623,$J623=0),IF(U623=0,$L623,U623)-P623,0)</f>
        <v>223107.76872910833</v>
      </c>
      <c r="W623" s="53">
        <f t="shared" ref="W623:W686" si="448">IF(OR(W$553&lt;=$G623+$J623,$J623=0),IF(V623=0,$L623,V623)-Q623,0)</f>
        <v>182542.71986927046</v>
      </c>
      <c r="X623" s="53">
        <f t="shared" ref="X623:X686" si="449">IF(OR(X$553&lt;=$G623+$J623,$J623=0),IF(W623=0,$L623,W623)-R623,0)</f>
        <v>141977.67100943258</v>
      </c>
      <c r="Y623" s="53">
        <f t="shared" ref="Y623:Y686" si="450">IF(OR(Y$553&lt;=$G623+$J623,$J623=0),IF(X623=0,$L623,X623)-S623,0)</f>
        <v>101412.62214959471</v>
      </c>
      <c r="Z623" s="53">
        <f t="shared" ref="Z623:Z686" si="451">IF(OR(Z$553&lt;=$G623+$J623,$J623=0),IF(Y623=0,$L623,Y623)-T623,0)</f>
        <v>60847.57328975683</v>
      </c>
      <c r="AB623" s="53">
        <f t="shared" si="438"/>
        <v>48150.712996627561</v>
      </c>
      <c r="AC623" s="53">
        <f t="shared" si="439"/>
        <v>46588.958615523807</v>
      </c>
      <c r="AD623" s="53">
        <f t="shared" si="440"/>
        <v>45960.200358196322</v>
      </c>
      <c r="AE623" s="53">
        <f t="shared" si="441"/>
        <v>44418.728501522477</v>
      </c>
      <c r="AF623" s="53">
        <f t="shared" si="442"/>
        <v>42877.25664484864</v>
      </c>
    </row>
    <row r="624" spans="2:32">
      <c r="B624" s="43" t="str">
        <f t="shared" si="435"/>
        <v>Asset 70</v>
      </c>
      <c r="F624" s="43" t="str">
        <f t="shared" ref="F624:L624" si="452">F128</f>
        <v>20 Kantoorgebouwen</v>
      </c>
      <c r="G624" s="43">
        <f t="shared" si="452"/>
        <v>1995</v>
      </c>
      <c r="H624" s="48">
        <f t="shared" si="452"/>
        <v>93310335.520000011</v>
      </c>
      <c r="I624" s="43">
        <f t="shared" si="452"/>
        <v>2021</v>
      </c>
      <c r="J624" s="43">
        <f t="shared" si="452"/>
        <v>30</v>
      </c>
      <c r="K624" s="43">
        <f t="shared" si="452"/>
        <v>0</v>
      </c>
      <c r="L624" s="48">
        <f t="shared" si="452"/>
        <v>17806929.596040629</v>
      </c>
      <c r="N624" s="44">
        <f t="shared" si="437"/>
        <v>3.5</v>
      </c>
      <c r="P624" s="49">
        <f t="shared" si="446"/>
        <v>5087694.1702973228</v>
      </c>
      <c r="Q624" s="49">
        <f t="shared" si="446"/>
        <v>5087694.1702973228</v>
      </c>
      <c r="R624" s="49">
        <f t="shared" si="446"/>
        <v>5087694.1702973228</v>
      </c>
      <c r="S624" s="49">
        <f t="shared" si="446"/>
        <v>2543847.0851486614</v>
      </c>
      <c r="T624" s="49">
        <f t="shared" si="446"/>
        <v>0</v>
      </c>
      <c r="V624" s="53">
        <f t="shared" si="447"/>
        <v>12719235.425743306</v>
      </c>
      <c r="W624" s="53">
        <f t="shared" si="448"/>
        <v>7631541.2554459833</v>
      </c>
      <c r="X624" s="53">
        <f t="shared" si="449"/>
        <v>2543847.0851486605</v>
      </c>
      <c r="Y624" s="53">
        <f t="shared" si="450"/>
        <v>-9.3132257461547852E-10</v>
      </c>
      <c r="Z624" s="53">
        <f t="shared" si="451"/>
        <v>0</v>
      </c>
      <c r="AB624" s="53">
        <f t="shared" si="438"/>
        <v>5520148.1747725951</v>
      </c>
      <c r="AC624" s="53">
        <f t="shared" si="439"/>
        <v>5339535.0317270402</v>
      </c>
      <c r="AD624" s="53">
        <f t="shared" si="440"/>
        <v>5184360.3595329719</v>
      </c>
      <c r="AE624" s="53">
        <f t="shared" si="441"/>
        <v>2543847.0851486614</v>
      </c>
      <c r="AF624" s="53">
        <f t="shared" si="442"/>
        <v>0</v>
      </c>
    </row>
    <row r="625" spans="2:32">
      <c r="B625" s="43" t="str">
        <f t="shared" si="435"/>
        <v>Asset 71</v>
      </c>
      <c r="F625" s="43" t="str">
        <f t="shared" ref="F625:L625" si="453">F129</f>
        <v>09 Bedrijfsinventaris</v>
      </c>
      <c r="G625" s="43">
        <f t="shared" si="453"/>
        <v>1997</v>
      </c>
      <c r="H625" s="48">
        <f t="shared" si="453"/>
        <v>3767.74</v>
      </c>
      <c r="I625" s="43">
        <f t="shared" si="453"/>
        <v>2021</v>
      </c>
      <c r="J625" s="43">
        <f t="shared" si="453"/>
        <v>10</v>
      </c>
      <c r="K625" s="43">
        <f t="shared" si="453"/>
        <v>1</v>
      </c>
      <c r="L625" s="48">
        <f t="shared" si="453"/>
        <v>0</v>
      </c>
      <c r="N625" s="44">
        <f t="shared" si="437"/>
        <v>0</v>
      </c>
      <c r="P625" s="49">
        <f t="shared" si="446"/>
        <v>0</v>
      </c>
      <c r="Q625" s="49">
        <f t="shared" si="446"/>
        <v>0</v>
      </c>
      <c r="R625" s="49">
        <f t="shared" si="446"/>
        <v>0</v>
      </c>
      <c r="S625" s="49">
        <f t="shared" si="446"/>
        <v>0</v>
      </c>
      <c r="T625" s="49">
        <f t="shared" si="446"/>
        <v>0</v>
      </c>
      <c r="V625" s="53">
        <f t="shared" si="447"/>
        <v>0</v>
      </c>
      <c r="W625" s="53">
        <f t="shared" si="448"/>
        <v>0</v>
      </c>
      <c r="X625" s="53">
        <f t="shared" si="449"/>
        <v>0</v>
      </c>
      <c r="Y625" s="53">
        <f t="shared" si="450"/>
        <v>0</v>
      </c>
      <c r="Z625" s="53">
        <f t="shared" si="451"/>
        <v>0</v>
      </c>
      <c r="AB625" s="53">
        <f t="shared" si="438"/>
        <v>0</v>
      </c>
      <c r="AC625" s="53">
        <f t="shared" si="439"/>
        <v>0</v>
      </c>
      <c r="AD625" s="53">
        <f t="shared" si="440"/>
        <v>0</v>
      </c>
      <c r="AE625" s="53">
        <f t="shared" si="441"/>
        <v>0</v>
      </c>
      <c r="AF625" s="53">
        <f t="shared" si="442"/>
        <v>0</v>
      </c>
    </row>
    <row r="626" spans="2:32">
      <c r="B626" s="43" t="str">
        <f t="shared" si="435"/>
        <v>Asset 72</v>
      </c>
      <c r="F626" s="43" t="str">
        <f t="shared" ref="F626:L626" si="454">F130</f>
        <v>08 Inrichting gebouwen</v>
      </c>
      <c r="G626" s="43">
        <f t="shared" si="454"/>
        <v>2002</v>
      </c>
      <c r="H626" s="48">
        <f t="shared" si="454"/>
        <v>257167.26</v>
      </c>
      <c r="I626" s="43">
        <f t="shared" si="454"/>
        <v>2021</v>
      </c>
      <c r="J626" s="43">
        <f t="shared" si="454"/>
        <v>10</v>
      </c>
      <c r="K626" s="43">
        <f t="shared" si="454"/>
        <v>0</v>
      </c>
      <c r="L626" s="48">
        <f t="shared" si="454"/>
        <v>0</v>
      </c>
      <c r="N626" s="44">
        <f t="shared" si="437"/>
        <v>0</v>
      </c>
      <c r="P626" s="49">
        <f t="shared" si="446"/>
        <v>0</v>
      </c>
      <c r="Q626" s="49">
        <f t="shared" si="446"/>
        <v>0</v>
      </c>
      <c r="R626" s="49">
        <f t="shared" si="446"/>
        <v>0</v>
      </c>
      <c r="S626" s="49">
        <f t="shared" si="446"/>
        <v>0</v>
      </c>
      <c r="T626" s="49">
        <f t="shared" si="446"/>
        <v>0</v>
      </c>
      <c r="V626" s="53">
        <f t="shared" si="447"/>
        <v>0</v>
      </c>
      <c r="W626" s="53">
        <f t="shared" si="448"/>
        <v>0</v>
      </c>
      <c r="X626" s="53">
        <f t="shared" si="449"/>
        <v>0</v>
      </c>
      <c r="Y626" s="53">
        <f t="shared" si="450"/>
        <v>0</v>
      </c>
      <c r="Z626" s="53">
        <f t="shared" si="451"/>
        <v>0</v>
      </c>
      <c r="AB626" s="53">
        <f t="shared" si="438"/>
        <v>0</v>
      </c>
      <c r="AC626" s="53">
        <f t="shared" si="439"/>
        <v>0</v>
      </c>
      <c r="AD626" s="53">
        <f t="shared" si="440"/>
        <v>0</v>
      </c>
      <c r="AE626" s="53">
        <f t="shared" si="441"/>
        <v>0</v>
      </c>
      <c r="AF626" s="53">
        <f t="shared" si="442"/>
        <v>0</v>
      </c>
    </row>
    <row r="627" spans="2:32">
      <c r="B627" s="43" t="str">
        <f t="shared" si="435"/>
        <v>Asset 73</v>
      </c>
      <c r="F627" s="43" t="str">
        <f t="shared" ref="F627:L627" si="455">F131</f>
        <v>20 Kantoorgebouwen</v>
      </c>
      <c r="G627" s="43">
        <f t="shared" si="455"/>
        <v>1997</v>
      </c>
      <c r="H627" s="48">
        <f t="shared" si="455"/>
        <v>9956.39</v>
      </c>
      <c r="I627" s="43">
        <f t="shared" si="455"/>
        <v>2021</v>
      </c>
      <c r="J627" s="43">
        <f t="shared" si="455"/>
        <v>30</v>
      </c>
      <c r="K627" s="43">
        <f t="shared" si="455"/>
        <v>0</v>
      </c>
      <c r="L627" s="48">
        <f t="shared" si="455"/>
        <v>2886.7927731398736</v>
      </c>
      <c r="N627" s="44">
        <f t="shared" si="437"/>
        <v>5.5</v>
      </c>
      <c r="P627" s="49">
        <f t="shared" si="446"/>
        <v>524.87141329815881</v>
      </c>
      <c r="Q627" s="49">
        <f t="shared" si="446"/>
        <v>524.87141329815881</v>
      </c>
      <c r="R627" s="49">
        <f t="shared" si="446"/>
        <v>524.87141329815881</v>
      </c>
      <c r="S627" s="49">
        <f t="shared" si="446"/>
        <v>524.87141329815881</v>
      </c>
      <c r="T627" s="49">
        <f t="shared" si="446"/>
        <v>524.87141329815881</v>
      </c>
      <c r="V627" s="53">
        <f t="shared" si="447"/>
        <v>2361.9213598417145</v>
      </c>
      <c r="W627" s="53">
        <f t="shared" si="448"/>
        <v>1837.0499465435557</v>
      </c>
      <c r="X627" s="53">
        <f t="shared" si="449"/>
        <v>1312.1785332453969</v>
      </c>
      <c r="Y627" s="53">
        <f t="shared" si="450"/>
        <v>787.30711994723811</v>
      </c>
      <c r="Z627" s="53">
        <f t="shared" si="451"/>
        <v>262.43570664907929</v>
      </c>
      <c r="AB627" s="53">
        <f t="shared" si="438"/>
        <v>605.17673953277711</v>
      </c>
      <c r="AC627" s="53">
        <f t="shared" si="439"/>
        <v>585.4940615340962</v>
      </c>
      <c r="AD627" s="53">
        <f t="shared" si="440"/>
        <v>574.73419756148394</v>
      </c>
      <c r="AE627" s="53">
        <f t="shared" si="441"/>
        <v>554.78908385615387</v>
      </c>
      <c r="AF627" s="53">
        <f t="shared" si="442"/>
        <v>534.84397015082379</v>
      </c>
    </row>
    <row r="628" spans="2:32">
      <c r="B628" s="43" t="str">
        <f t="shared" si="435"/>
        <v>Asset 74</v>
      </c>
      <c r="F628" s="43" t="str">
        <f t="shared" ref="F628:L628" si="456">F132</f>
        <v>09 Bedrijfsinventaris</v>
      </c>
      <c r="G628" s="43">
        <f t="shared" si="456"/>
        <v>2002</v>
      </c>
      <c r="H628" s="48">
        <f t="shared" si="456"/>
        <v>259859.76</v>
      </c>
      <c r="I628" s="43">
        <f t="shared" si="456"/>
        <v>2021</v>
      </c>
      <c r="J628" s="43">
        <f t="shared" si="456"/>
        <v>10</v>
      </c>
      <c r="K628" s="43">
        <f t="shared" si="456"/>
        <v>1</v>
      </c>
      <c r="L628" s="48">
        <f t="shared" si="456"/>
        <v>0</v>
      </c>
      <c r="N628" s="44">
        <f t="shared" si="437"/>
        <v>0</v>
      </c>
      <c r="P628" s="49">
        <f t="shared" si="446"/>
        <v>0</v>
      </c>
      <c r="Q628" s="49">
        <f t="shared" si="446"/>
        <v>0</v>
      </c>
      <c r="R628" s="49">
        <f t="shared" si="446"/>
        <v>0</v>
      </c>
      <c r="S628" s="49">
        <f t="shared" si="446"/>
        <v>0</v>
      </c>
      <c r="T628" s="49">
        <f t="shared" si="446"/>
        <v>0</v>
      </c>
      <c r="V628" s="53">
        <f t="shared" si="447"/>
        <v>0</v>
      </c>
      <c r="W628" s="53">
        <f t="shared" si="448"/>
        <v>0</v>
      </c>
      <c r="X628" s="53">
        <f t="shared" si="449"/>
        <v>0</v>
      </c>
      <c r="Y628" s="53">
        <f t="shared" si="450"/>
        <v>0</v>
      </c>
      <c r="Z628" s="53">
        <f t="shared" si="451"/>
        <v>0</v>
      </c>
      <c r="AB628" s="53">
        <f t="shared" si="438"/>
        <v>0</v>
      </c>
      <c r="AC628" s="53">
        <f t="shared" si="439"/>
        <v>0</v>
      </c>
      <c r="AD628" s="53">
        <f t="shared" si="440"/>
        <v>0</v>
      </c>
      <c r="AE628" s="53">
        <f t="shared" si="441"/>
        <v>0</v>
      </c>
      <c r="AF628" s="53">
        <f t="shared" si="442"/>
        <v>0</v>
      </c>
    </row>
    <row r="629" spans="2:32">
      <c r="B629" s="43" t="str">
        <f t="shared" si="435"/>
        <v>Asset 75</v>
      </c>
      <c r="F629" s="43" t="str">
        <f t="shared" ref="F629:L629" si="457">F133</f>
        <v>37 ICT middelen 1</v>
      </c>
      <c r="G629" s="43">
        <f t="shared" si="457"/>
        <v>1998</v>
      </c>
      <c r="H629" s="48">
        <f t="shared" si="457"/>
        <v>194674.43</v>
      </c>
      <c r="I629" s="43">
        <f t="shared" si="457"/>
        <v>2021</v>
      </c>
      <c r="J629" s="43">
        <f t="shared" si="457"/>
        <v>5</v>
      </c>
      <c r="K629" s="43">
        <f t="shared" si="457"/>
        <v>1</v>
      </c>
      <c r="L629" s="48">
        <f t="shared" si="457"/>
        <v>0</v>
      </c>
      <c r="N629" s="44">
        <f t="shared" si="437"/>
        <v>0</v>
      </c>
      <c r="P629" s="49">
        <f t="shared" si="446"/>
        <v>0</v>
      </c>
      <c r="Q629" s="49">
        <f t="shared" si="446"/>
        <v>0</v>
      </c>
      <c r="R629" s="49">
        <f t="shared" si="446"/>
        <v>0</v>
      </c>
      <c r="S629" s="49">
        <f t="shared" si="446"/>
        <v>0</v>
      </c>
      <c r="T629" s="49">
        <f t="shared" si="446"/>
        <v>0</v>
      </c>
      <c r="V629" s="53">
        <f t="shared" si="447"/>
        <v>0</v>
      </c>
      <c r="W629" s="53">
        <f t="shared" si="448"/>
        <v>0</v>
      </c>
      <c r="X629" s="53">
        <f t="shared" si="449"/>
        <v>0</v>
      </c>
      <c r="Y629" s="53">
        <f t="shared" si="450"/>
        <v>0</v>
      </c>
      <c r="Z629" s="53">
        <f t="shared" si="451"/>
        <v>0</v>
      </c>
      <c r="AB629" s="53">
        <f t="shared" si="438"/>
        <v>0</v>
      </c>
      <c r="AC629" s="53">
        <f t="shared" si="439"/>
        <v>0</v>
      </c>
      <c r="AD629" s="53">
        <f t="shared" si="440"/>
        <v>0</v>
      </c>
      <c r="AE629" s="53">
        <f t="shared" si="441"/>
        <v>0</v>
      </c>
      <c r="AF629" s="53">
        <f t="shared" si="442"/>
        <v>0</v>
      </c>
    </row>
    <row r="630" spans="2:32">
      <c r="B630" s="43" t="str">
        <f t="shared" si="435"/>
        <v>Asset 76</v>
      </c>
      <c r="F630" s="43" t="str">
        <f t="shared" ref="F630:L630" si="458">F134</f>
        <v>13 Aanhangwagens</v>
      </c>
      <c r="G630" s="43">
        <f t="shared" si="458"/>
        <v>2000</v>
      </c>
      <c r="H630" s="48">
        <f t="shared" si="458"/>
        <v>5437.76</v>
      </c>
      <c r="I630" s="43">
        <f t="shared" si="458"/>
        <v>2021</v>
      </c>
      <c r="J630" s="43">
        <f t="shared" si="458"/>
        <v>10</v>
      </c>
      <c r="K630" s="43">
        <f t="shared" si="458"/>
        <v>1</v>
      </c>
      <c r="L630" s="48">
        <f t="shared" si="458"/>
        <v>0</v>
      </c>
      <c r="N630" s="44">
        <f t="shared" si="437"/>
        <v>0</v>
      </c>
      <c r="P630" s="49">
        <f t="shared" si="446"/>
        <v>0</v>
      </c>
      <c r="Q630" s="49">
        <f t="shared" si="446"/>
        <v>0</v>
      </c>
      <c r="R630" s="49">
        <f t="shared" si="446"/>
        <v>0</v>
      </c>
      <c r="S630" s="49">
        <f t="shared" si="446"/>
        <v>0</v>
      </c>
      <c r="T630" s="49">
        <f t="shared" si="446"/>
        <v>0</v>
      </c>
      <c r="V630" s="53">
        <f t="shared" si="447"/>
        <v>0</v>
      </c>
      <c r="W630" s="53">
        <f t="shared" si="448"/>
        <v>0</v>
      </c>
      <c r="X630" s="53">
        <f t="shared" si="449"/>
        <v>0</v>
      </c>
      <c r="Y630" s="53">
        <f t="shared" si="450"/>
        <v>0</v>
      </c>
      <c r="Z630" s="53">
        <f t="shared" si="451"/>
        <v>0</v>
      </c>
      <c r="AB630" s="53">
        <f t="shared" si="438"/>
        <v>0</v>
      </c>
      <c r="AC630" s="53">
        <f t="shared" si="439"/>
        <v>0</v>
      </c>
      <c r="AD630" s="53">
        <f t="shared" si="440"/>
        <v>0</v>
      </c>
      <c r="AE630" s="53">
        <f t="shared" si="441"/>
        <v>0</v>
      </c>
      <c r="AF630" s="53">
        <f t="shared" si="442"/>
        <v>0</v>
      </c>
    </row>
    <row r="631" spans="2:32">
      <c r="B631" s="43" t="str">
        <f t="shared" si="435"/>
        <v>Asset 77</v>
      </c>
      <c r="F631" s="43" t="str">
        <f t="shared" ref="F631:L631" si="459">F135</f>
        <v>09 Bedrijfsinventaris</v>
      </c>
      <c r="G631" s="43">
        <f t="shared" si="459"/>
        <v>1998</v>
      </c>
      <c r="H631" s="48">
        <f t="shared" si="459"/>
        <v>159402.09</v>
      </c>
      <c r="I631" s="43">
        <f t="shared" si="459"/>
        <v>2021</v>
      </c>
      <c r="J631" s="43">
        <f t="shared" si="459"/>
        <v>10</v>
      </c>
      <c r="K631" s="43">
        <f t="shared" si="459"/>
        <v>1</v>
      </c>
      <c r="L631" s="48">
        <f t="shared" si="459"/>
        <v>0</v>
      </c>
      <c r="N631" s="44">
        <f t="shared" si="437"/>
        <v>0</v>
      </c>
      <c r="P631" s="49">
        <f t="shared" si="446"/>
        <v>0</v>
      </c>
      <c r="Q631" s="49">
        <f t="shared" si="446"/>
        <v>0</v>
      </c>
      <c r="R631" s="49">
        <f t="shared" si="446"/>
        <v>0</v>
      </c>
      <c r="S631" s="49">
        <f t="shared" si="446"/>
        <v>0</v>
      </c>
      <c r="T631" s="49">
        <f t="shared" si="446"/>
        <v>0</v>
      </c>
      <c r="V631" s="53">
        <f t="shared" si="447"/>
        <v>0</v>
      </c>
      <c r="W631" s="53">
        <f t="shared" si="448"/>
        <v>0</v>
      </c>
      <c r="X631" s="53">
        <f t="shared" si="449"/>
        <v>0</v>
      </c>
      <c r="Y631" s="53">
        <f t="shared" si="450"/>
        <v>0</v>
      </c>
      <c r="Z631" s="53">
        <f t="shared" si="451"/>
        <v>0</v>
      </c>
      <c r="AB631" s="53">
        <f t="shared" si="438"/>
        <v>0</v>
      </c>
      <c r="AC631" s="53">
        <f t="shared" si="439"/>
        <v>0</v>
      </c>
      <c r="AD631" s="53">
        <f t="shared" si="440"/>
        <v>0</v>
      </c>
      <c r="AE631" s="53">
        <f t="shared" si="441"/>
        <v>0</v>
      </c>
      <c r="AF631" s="53">
        <f t="shared" si="442"/>
        <v>0</v>
      </c>
    </row>
    <row r="632" spans="2:32">
      <c r="B632" s="43" t="str">
        <f t="shared" si="435"/>
        <v>Asset 78</v>
      </c>
      <c r="F632" s="43" t="str">
        <f t="shared" ref="F632:L632" si="460">F136</f>
        <v>08 Inrichting gebouwen</v>
      </c>
      <c r="G632" s="43">
        <f t="shared" si="460"/>
        <v>1998</v>
      </c>
      <c r="H632" s="48">
        <f t="shared" si="460"/>
        <v>120568.99000000002</v>
      </c>
      <c r="I632" s="43">
        <f t="shared" si="460"/>
        <v>2021</v>
      </c>
      <c r="J632" s="43">
        <f t="shared" si="460"/>
        <v>10</v>
      </c>
      <c r="K632" s="43">
        <f t="shared" si="460"/>
        <v>0</v>
      </c>
      <c r="L632" s="48">
        <f t="shared" si="460"/>
        <v>0</v>
      </c>
      <c r="N632" s="44">
        <f t="shared" si="437"/>
        <v>0</v>
      </c>
      <c r="P632" s="49">
        <f t="shared" si="446"/>
        <v>0</v>
      </c>
      <c r="Q632" s="49">
        <f t="shared" si="446"/>
        <v>0</v>
      </c>
      <c r="R632" s="49">
        <f t="shared" si="446"/>
        <v>0</v>
      </c>
      <c r="S632" s="49">
        <f t="shared" si="446"/>
        <v>0</v>
      </c>
      <c r="T632" s="49">
        <f t="shared" si="446"/>
        <v>0</v>
      </c>
      <c r="V632" s="53">
        <f t="shared" si="447"/>
        <v>0</v>
      </c>
      <c r="W632" s="53">
        <f t="shared" si="448"/>
        <v>0</v>
      </c>
      <c r="X632" s="53">
        <f t="shared" si="449"/>
        <v>0</v>
      </c>
      <c r="Y632" s="53">
        <f t="shared" si="450"/>
        <v>0</v>
      </c>
      <c r="Z632" s="53">
        <f t="shared" si="451"/>
        <v>0</v>
      </c>
      <c r="AB632" s="53">
        <f t="shared" si="438"/>
        <v>0</v>
      </c>
      <c r="AC632" s="53">
        <f t="shared" si="439"/>
        <v>0</v>
      </c>
      <c r="AD632" s="53">
        <f t="shared" si="440"/>
        <v>0</v>
      </c>
      <c r="AE632" s="53">
        <f t="shared" si="441"/>
        <v>0</v>
      </c>
      <c r="AF632" s="53">
        <f t="shared" si="442"/>
        <v>0</v>
      </c>
    </row>
    <row r="633" spans="2:32">
      <c r="B633" s="43" t="str">
        <f t="shared" si="435"/>
        <v>Asset 79</v>
      </c>
      <c r="F633" s="43" t="str">
        <f t="shared" ref="F633:L633" si="461">F137</f>
        <v>37 ICT middelen 1</v>
      </c>
      <c r="G633" s="43">
        <f t="shared" si="461"/>
        <v>2002</v>
      </c>
      <c r="H633" s="48">
        <f t="shared" si="461"/>
        <v>342396.39</v>
      </c>
      <c r="I633" s="43">
        <f t="shared" si="461"/>
        <v>2021</v>
      </c>
      <c r="J633" s="43">
        <f t="shared" si="461"/>
        <v>5</v>
      </c>
      <c r="K633" s="43">
        <f t="shared" si="461"/>
        <v>1</v>
      </c>
      <c r="L633" s="48">
        <f t="shared" si="461"/>
        <v>0</v>
      </c>
      <c r="N633" s="44">
        <f t="shared" si="437"/>
        <v>0</v>
      </c>
      <c r="P633" s="49">
        <f t="shared" si="446"/>
        <v>0</v>
      </c>
      <c r="Q633" s="49">
        <f t="shared" si="446"/>
        <v>0</v>
      </c>
      <c r="R633" s="49">
        <f t="shared" si="446"/>
        <v>0</v>
      </c>
      <c r="S633" s="49">
        <f t="shared" si="446"/>
        <v>0</v>
      </c>
      <c r="T633" s="49">
        <f t="shared" si="446"/>
        <v>0</v>
      </c>
      <c r="V633" s="53">
        <f t="shared" si="447"/>
        <v>0</v>
      </c>
      <c r="W633" s="53">
        <f t="shared" si="448"/>
        <v>0</v>
      </c>
      <c r="X633" s="53">
        <f t="shared" si="449"/>
        <v>0</v>
      </c>
      <c r="Y633" s="53">
        <f t="shared" si="450"/>
        <v>0</v>
      </c>
      <c r="Z633" s="53">
        <f t="shared" si="451"/>
        <v>0</v>
      </c>
      <c r="AB633" s="53">
        <f t="shared" si="438"/>
        <v>0</v>
      </c>
      <c r="AC633" s="53">
        <f t="shared" si="439"/>
        <v>0</v>
      </c>
      <c r="AD633" s="53">
        <f t="shared" si="440"/>
        <v>0</v>
      </c>
      <c r="AE633" s="53">
        <f t="shared" si="441"/>
        <v>0</v>
      </c>
      <c r="AF633" s="53">
        <f t="shared" si="442"/>
        <v>0</v>
      </c>
    </row>
    <row r="634" spans="2:32">
      <c r="B634" s="43" t="str">
        <f t="shared" si="435"/>
        <v>Asset 80</v>
      </c>
      <c r="F634" s="43" t="str">
        <f t="shared" ref="F634:L634" si="462">F138</f>
        <v>37 ICT middelen 1 (gaschromatografen en comptabele meting)</v>
      </c>
      <c r="G634" s="43">
        <f t="shared" si="462"/>
        <v>2000</v>
      </c>
      <c r="H634" s="48">
        <f t="shared" si="462"/>
        <v>717051.87</v>
      </c>
      <c r="I634" s="43">
        <f t="shared" si="462"/>
        <v>2021</v>
      </c>
      <c r="J634" s="43">
        <f t="shared" si="462"/>
        <v>5</v>
      </c>
      <c r="K634" s="43">
        <f t="shared" si="462"/>
        <v>0</v>
      </c>
      <c r="L634" s="48">
        <f t="shared" si="462"/>
        <v>0</v>
      </c>
      <c r="N634" s="44">
        <f t="shared" si="437"/>
        <v>0</v>
      </c>
      <c r="P634" s="49">
        <f t="shared" si="446"/>
        <v>0</v>
      </c>
      <c r="Q634" s="49">
        <f t="shared" si="446"/>
        <v>0</v>
      </c>
      <c r="R634" s="49">
        <f t="shared" si="446"/>
        <v>0</v>
      </c>
      <c r="S634" s="49">
        <f t="shared" si="446"/>
        <v>0</v>
      </c>
      <c r="T634" s="49">
        <f t="shared" si="446"/>
        <v>0</v>
      </c>
      <c r="V634" s="53">
        <f t="shared" si="447"/>
        <v>0</v>
      </c>
      <c r="W634" s="53">
        <f t="shared" si="448"/>
        <v>0</v>
      </c>
      <c r="X634" s="53">
        <f t="shared" si="449"/>
        <v>0</v>
      </c>
      <c r="Y634" s="53">
        <f t="shared" si="450"/>
        <v>0</v>
      </c>
      <c r="Z634" s="53">
        <f t="shared" si="451"/>
        <v>0</v>
      </c>
      <c r="AB634" s="53">
        <f t="shared" si="438"/>
        <v>0</v>
      </c>
      <c r="AC634" s="53">
        <f t="shared" si="439"/>
        <v>0</v>
      </c>
      <c r="AD634" s="53">
        <f t="shared" si="440"/>
        <v>0</v>
      </c>
      <c r="AE634" s="53">
        <f t="shared" si="441"/>
        <v>0</v>
      </c>
      <c r="AF634" s="53">
        <f t="shared" si="442"/>
        <v>0</v>
      </c>
    </row>
    <row r="635" spans="2:32">
      <c r="B635" s="43" t="str">
        <f t="shared" si="435"/>
        <v>Asset 81</v>
      </c>
      <c r="F635" s="43" t="str">
        <f t="shared" ref="F635:L635" si="463">F139</f>
        <v>09 Bedrijfsinventaris</v>
      </c>
      <c r="G635" s="43">
        <f t="shared" si="463"/>
        <v>1999</v>
      </c>
      <c r="H635" s="48">
        <f t="shared" si="463"/>
        <v>64305.72</v>
      </c>
      <c r="I635" s="43">
        <f t="shared" si="463"/>
        <v>2021</v>
      </c>
      <c r="J635" s="43">
        <f t="shared" si="463"/>
        <v>10</v>
      </c>
      <c r="K635" s="43">
        <f t="shared" si="463"/>
        <v>1</v>
      </c>
      <c r="L635" s="48">
        <f t="shared" si="463"/>
        <v>0</v>
      </c>
      <c r="N635" s="44">
        <f t="shared" si="437"/>
        <v>0</v>
      </c>
      <c r="P635" s="49">
        <f t="shared" si="446"/>
        <v>0</v>
      </c>
      <c r="Q635" s="49">
        <f t="shared" si="446"/>
        <v>0</v>
      </c>
      <c r="R635" s="49">
        <f t="shared" si="446"/>
        <v>0</v>
      </c>
      <c r="S635" s="49">
        <f t="shared" si="446"/>
        <v>0</v>
      </c>
      <c r="T635" s="49">
        <f t="shared" si="446"/>
        <v>0</v>
      </c>
      <c r="V635" s="53">
        <f t="shared" si="447"/>
        <v>0</v>
      </c>
      <c r="W635" s="53">
        <f t="shared" si="448"/>
        <v>0</v>
      </c>
      <c r="X635" s="53">
        <f t="shared" si="449"/>
        <v>0</v>
      </c>
      <c r="Y635" s="53">
        <f t="shared" si="450"/>
        <v>0</v>
      </c>
      <c r="Z635" s="53">
        <f t="shared" si="451"/>
        <v>0</v>
      </c>
      <c r="AB635" s="53">
        <f t="shared" si="438"/>
        <v>0</v>
      </c>
      <c r="AC635" s="53">
        <f t="shared" si="439"/>
        <v>0</v>
      </c>
      <c r="AD635" s="53">
        <f t="shared" si="440"/>
        <v>0</v>
      </c>
      <c r="AE635" s="53">
        <f t="shared" si="441"/>
        <v>0</v>
      </c>
      <c r="AF635" s="53">
        <f t="shared" si="442"/>
        <v>0</v>
      </c>
    </row>
    <row r="636" spans="2:32">
      <c r="B636" s="43" t="str">
        <f t="shared" si="435"/>
        <v>Asset 82</v>
      </c>
      <c r="F636" s="43" t="str">
        <f t="shared" ref="F636:L636" si="464">F140</f>
        <v>08 Inrichting gebouwen</v>
      </c>
      <c r="G636" s="43">
        <f t="shared" si="464"/>
        <v>1999</v>
      </c>
      <c r="H636" s="48">
        <f t="shared" si="464"/>
        <v>41263.56</v>
      </c>
      <c r="I636" s="43">
        <f t="shared" si="464"/>
        <v>2021</v>
      </c>
      <c r="J636" s="43">
        <f t="shared" si="464"/>
        <v>10</v>
      </c>
      <c r="K636" s="43">
        <f t="shared" si="464"/>
        <v>0</v>
      </c>
      <c r="L636" s="48">
        <f t="shared" si="464"/>
        <v>0</v>
      </c>
      <c r="N636" s="44">
        <f t="shared" si="437"/>
        <v>0</v>
      </c>
      <c r="P636" s="49">
        <f t="shared" si="446"/>
        <v>0</v>
      </c>
      <c r="Q636" s="49">
        <f t="shared" si="446"/>
        <v>0</v>
      </c>
      <c r="R636" s="49">
        <f t="shared" si="446"/>
        <v>0</v>
      </c>
      <c r="S636" s="49">
        <f t="shared" si="446"/>
        <v>0</v>
      </c>
      <c r="T636" s="49">
        <f t="shared" si="446"/>
        <v>0</v>
      </c>
      <c r="V636" s="53">
        <f t="shared" si="447"/>
        <v>0</v>
      </c>
      <c r="W636" s="53">
        <f t="shared" si="448"/>
        <v>0</v>
      </c>
      <c r="X636" s="53">
        <f t="shared" si="449"/>
        <v>0</v>
      </c>
      <c r="Y636" s="53">
        <f t="shared" si="450"/>
        <v>0</v>
      </c>
      <c r="Z636" s="53">
        <f t="shared" si="451"/>
        <v>0</v>
      </c>
      <c r="AB636" s="53">
        <f t="shared" si="438"/>
        <v>0</v>
      </c>
      <c r="AC636" s="53">
        <f t="shared" si="439"/>
        <v>0</v>
      </c>
      <c r="AD636" s="53">
        <f t="shared" si="440"/>
        <v>0</v>
      </c>
      <c r="AE636" s="53">
        <f t="shared" si="441"/>
        <v>0</v>
      </c>
      <c r="AF636" s="53">
        <f t="shared" si="442"/>
        <v>0</v>
      </c>
    </row>
    <row r="637" spans="2:32">
      <c r="B637" s="43" t="str">
        <f t="shared" si="435"/>
        <v>Asset 83</v>
      </c>
      <c r="F637" s="43" t="str">
        <f t="shared" ref="F637:L637" si="465">F141</f>
        <v>09 Bedrijfsinventaris</v>
      </c>
      <c r="G637" s="43">
        <f t="shared" si="465"/>
        <v>2000</v>
      </c>
      <c r="H637" s="48">
        <f t="shared" si="465"/>
        <v>5312.4</v>
      </c>
      <c r="I637" s="43">
        <f t="shared" si="465"/>
        <v>2021</v>
      </c>
      <c r="J637" s="43">
        <f t="shared" si="465"/>
        <v>10</v>
      </c>
      <c r="K637" s="43">
        <f t="shared" si="465"/>
        <v>1</v>
      </c>
      <c r="L637" s="48">
        <f t="shared" si="465"/>
        <v>0</v>
      </c>
      <c r="N637" s="44">
        <f t="shared" si="437"/>
        <v>0</v>
      </c>
      <c r="P637" s="49">
        <f t="shared" si="446"/>
        <v>0</v>
      </c>
      <c r="Q637" s="49">
        <f t="shared" si="446"/>
        <v>0</v>
      </c>
      <c r="R637" s="49">
        <f t="shared" si="446"/>
        <v>0</v>
      </c>
      <c r="S637" s="49">
        <f t="shared" si="446"/>
        <v>0</v>
      </c>
      <c r="T637" s="49">
        <f t="shared" si="446"/>
        <v>0</v>
      </c>
      <c r="V637" s="53">
        <f t="shared" si="447"/>
        <v>0</v>
      </c>
      <c r="W637" s="53">
        <f t="shared" si="448"/>
        <v>0</v>
      </c>
      <c r="X637" s="53">
        <f t="shared" si="449"/>
        <v>0</v>
      </c>
      <c r="Y637" s="53">
        <f t="shared" si="450"/>
        <v>0</v>
      </c>
      <c r="Z637" s="53">
        <f t="shared" si="451"/>
        <v>0</v>
      </c>
      <c r="AB637" s="53">
        <f t="shared" si="438"/>
        <v>0</v>
      </c>
      <c r="AC637" s="53">
        <f t="shared" si="439"/>
        <v>0</v>
      </c>
      <c r="AD637" s="53">
        <f t="shared" si="440"/>
        <v>0</v>
      </c>
      <c r="AE637" s="53">
        <f t="shared" si="441"/>
        <v>0</v>
      </c>
      <c r="AF637" s="53">
        <f t="shared" si="442"/>
        <v>0</v>
      </c>
    </row>
    <row r="638" spans="2:32">
      <c r="B638" s="43" t="str">
        <f t="shared" si="435"/>
        <v>Asset 84</v>
      </c>
      <c r="F638" s="43" t="str">
        <f t="shared" ref="F638:L638" si="466">F142</f>
        <v>37 ICT middelen 1</v>
      </c>
      <c r="G638" s="43">
        <f t="shared" si="466"/>
        <v>2001</v>
      </c>
      <c r="H638" s="48">
        <f t="shared" si="466"/>
        <v>1754908.7700000003</v>
      </c>
      <c r="I638" s="43">
        <f t="shared" si="466"/>
        <v>2021</v>
      </c>
      <c r="J638" s="43">
        <f t="shared" si="466"/>
        <v>5</v>
      </c>
      <c r="K638" s="43">
        <f t="shared" si="466"/>
        <v>1</v>
      </c>
      <c r="L638" s="48">
        <f t="shared" si="466"/>
        <v>0</v>
      </c>
      <c r="N638" s="44">
        <f t="shared" si="437"/>
        <v>0</v>
      </c>
      <c r="P638" s="49">
        <f t="shared" si="446"/>
        <v>0</v>
      </c>
      <c r="Q638" s="49">
        <f t="shared" si="446"/>
        <v>0</v>
      </c>
      <c r="R638" s="49">
        <f t="shared" si="446"/>
        <v>0</v>
      </c>
      <c r="S638" s="49">
        <f t="shared" si="446"/>
        <v>0</v>
      </c>
      <c r="T638" s="49">
        <f t="shared" si="446"/>
        <v>0</v>
      </c>
      <c r="V638" s="53">
        <f t="shared" si="447"/>
        <v>0</v>
      </c>
      <c r="W638" s="53">
        <f t="shared" si="448"/>
        <v>0</v>
      </c>
      <c r="X638" s="53">
        <f t="shared" si="449"/>
        <v>0</v>
      </c>
      <c r="Y638" s="53">
        <f t="shared" si="450"/>
        <v>0</v>
      </c>
      <c r="Z638" s="53">
        <f t="shared" si="451"/>
        <v>0</v>
      </c>
      <c r="AB638" s="53">
        <f t="shared" si="438"/>
        <v>0</v>
      </c>
      <c r="AC638" s="53">
        <f t="shared" si="439"/>
        <v>0</v>
      </c>
      <c r="AD638" s="53">
        <f t="shared" si="440"/>
        <v>0</v>
      </c>
      <c r="AE638" s="53">
        <f t="shared" si="441"/>
        <v>0</v>
      </c>
      <c r="AF638" s="53">
        <f t="shared" si="442"/>
        <v>0</v>
      </c>
    </row>
    <row r="639" spans="2:32">
      <c r="B639" s="43" t="str">
        <f t="shared" si="435"/>
        <v>Asset 85</v>
      </c>
      <c r="F639" s="43" t="str">
        <f t="shared" ref="F639:L639" si="467">F143</f>
        <v>11 Werktuigen</v>
      </c>
      <c r="G639" s="43">
        <f t="shared" si="467"/>
        <v>2000</v>
      </c>
      <c r="H639" s="48">
        <f t="shared" si="467"/>
        <v>86461.709999999992</v>
      </c>
      <c r="I639" s="43">
        <f t="shared" si="467"/>
        <v>2021</v>
      </c>
      <c r="J639" s="43">
        <f t="shared" si="467"/>
        <v>10</v>
      </c>
      <c r="K639" s="43">
        <f t="shared" si="467"/>
        <v>1</v>
      </c>
      <c r="L639" s="48">
        <f t="shared" si="467"/>
        <v>0</v>
      </c>
      <c r="N639" s="44">
        <f t="shared" si="437"/>
        <v>0</v>
      </c>
      <c r="P639" s="49">
        <f t="shared" si="446"/>
        <v>0</v>
      </c>
      <c r="Q639" s="49">
        <f t="shared" si="446"/>
        <v>0</v>
      </c>
      <c r="R639" s="49">
        <f t="shared" si="446"/>
        <v>0</v>
      </c>
      <c r="S639" s="49">
        <f t="shared" si="446"/>
        <v>0</v>
      </c>
      <c r="T639" s="49">
        <f t="shared" si="446"/>
        <v>0</v>
      </c>
      <c r="V639" s="53">
        <f t="shared" si="447"/>
        <v>0</v>
      </c>
      <c r="W639" s="53">
        <f t="shared" si="448"/>
        <v>0</v>
      </c>
      <c r="X639" s="53">
        <f t="shared" si="449"/>
        <v>0</v>
      </c>
      <c r="Y639" s="53">
        <f t="shared" si="450"/>
        <v>0</v>
      </c>
      <c r="Z639" s="53">
        <f t="shared" si="451"/>
        <v>0</v>
      </c>
      <c r="AB639" s="53">
        <f t="shared" si="438"/>
        <v>0</v>
      </c>
      <c r="AC639" s="53">
        <f t="shared" si="439"/>
        <v>0</v>
      </c>
      <c r="AD639" s="53">
        <f t="shared" si="440"/>
        <v>0</v>
      </c>
      <c r="AE639" s="53">
        <f t="shared" si="441"/>
        <v>0</v>
      </c>
      <c r="AF639" s="53">
        <f t="shared" si="442"/>
        <v>0</v>
      </c>
    </row>
    <row r="640" spans="2:32">
      <c r="B640" s="43" t="str">
        <f t="shared" si="435"/>
        <v>Asset 86</v>
      </c>
      <c r="F640" s="43" t="str">
        <f t="shared" ref="F640:L640" si="468">F144</f>
        <v>13 Aanhangwagens</v>
      </c>
      <c r="G640" s="43">
        <f t="shared" si="468"/>
        <v>1998</v>
      </c>
      <c r="H640" s="48">
        <f t="shared" si="468"/>
        <v>3630.24</v>
      </c>
      <c r="I640" s="43">
        <f t="shared" si="468"/>
        <v>2021</v>
      </c>
      <c r="J640" s="43">
        <f t="shared" si="468"/>
        <v>10</v>
      </c>
      <c r="K640" s="43">
        <f t="shared" si="468"/>
        <v>1</v>
      </c>
      <c r="L640" s="48">
        <f t="shared" si="468"/>
        <v>0</v>
      </c>
      <c r="N640" s="44">
        <f t="shared" si="437"/>
        <v>0</v>
      </c>
      <c r="P640" s="49">
        <f t="shared" si="446"/>
        <v>0</v>
      </c>
      <c r="Q640" s="49">
        <f t="shared" si="446"/>
        <v>0</v>
      </c>
      <c r="R640" s="49">
        <f t="shared" si="446"/>
        <v>0</v>
      </c>
      <c r="S640" s="49">
        <f t="shared" si="446"/>
        <v>0</v>
      </c>
      <c r="T640" s="49">
        <f t="shared" si="446"/>
        <v>0</v>
      </c>
      <c r="V640" s="53">
        <f t="shared" si="447"/>
        <v>0</v>
      </c>
      <c r="W640" s="53">
        <f t="shared" si="448"/>
        <v>0</v>
      </c>
      <c r="X640" s="53">
        <f t="shared" si="449"/>
        <v>0</v>
      </c>
      <c r="Y640" s="53">
        <f t="shared" si="450"/>
        <v>0</v>
      </c>
      <c r="Z640" s="53">
        <f t="shared" si="451"/>
        <v>0</v>
      </c>
      <c r="AB640" s="53">
        <f t="shared" si="438"/>
        <v>0</v>
      </c>
      <c r="AC640" s="53">
        <f t="shared" si="439"/>
        <v>0</v>
      </c>
      <c r="AD640" s="53">
        <f t="shared" si="440"/>
        <v>0</v>
      </c>
      <c r="AE640" s="53">
        <f t="shared" si="441"/>
        <v>0</v>
      </c>
      <c r="AF640" s="53">
        <f t="shared" si="442"/>
        <v>0</v>
      </c>
    </row>
    <row r="641" spans="2:32">
      <c r="B641" s="43" t="str">
        <f t="shared" si="435"/>
        <v>Asset 87</v>
      </c>
      <c r="F641" s="43" t="str">
        <f t="shared" ref="F641:L641" si="469">F145</f>
        <v>37 ICT middelen 1</v>
      </c>
      <c r="G641" s="43">
        <f t="shared" si="469"/>
        <v>2000</v>
      </c>
      <c r="H641" s="48">
        <f t="shared" si="469"/>
        <v>63690.75</v>
      </c>
      <c r="I641" s="43">
        <f t="shared" si="469"/>
        <v>2021</v>
      </c>
      <c r="J641" s="43">
        <f t="shared" si="469"/>
        <v>5</v>
      </c>
      <c r="K641" s="43">
        <f t="shared" si="469"/>
        <v>1</v>
      </c>
      <c r="L641" s="48">
        <f t="shared" si="469"/>
        <v>0</v>
      </c>
      <c r="N641" s="44">
        <f t="shared" si="437"/>
        <v>0</v>
      </c>
      <c r="P641" s="49">
        <f t="shared" si="446"/>
        <v>0</v>
      </c>
      <c r="Q641" s="49">
        <f t="shared" si="446"/>
        <v>0</v>
      </c>
      <c r="R641" s="49">
        <f t="shared" si="446"/>
        <v>0</v>
      </c>
      <c r="S641" s="49">
        <f t="shared" si="446"/>
        <v>0</v>
      </c>
      <c r="T641" s="49">
        <f t="shared" si="446"/>
        <v>0</v>
      </c>
      <c r="V641" s="53">
        <f t="shared" si="447"/>
        <v>0</v>
      </c>
      <c r="W641" s="53">
        <f t="shared" si="448"/>
        <v>0</v>
      </c>
      <c r="X641" s="53">
        <f t="shared" si="449"/>
        <v>0</v>
      </c>
      <c r="Y641" s="53">
        <f t="shared" si="450"/>
        <v>0</v>
      </c>
      <c r="Z641" s="53">
        <f t="shared" si="451"/>
        <v>0</v>
      </c>
      <c r="AB641" s="53">
        <f t="shared" si="438"/>
        <v>0</v>
      </c>
      <c r="AC641" s="53">
        <f t="shared" si="439"/>
        <v>0</v>
      </c>
      <c r="AD641" s="53">
        <f t="shared" si="440"/>
        <v>0</v>
      </c>
      <c r="AE641" s="53">
        <f t="shared" si="441"/>
        <v>0</v>
      </c>
      <c r="AF641" s="53">
        <f t="shared" si="442"/>
        <v>0</v>
      </c>
    </row>
    <row r="642" spans="2:32">
      <c r="B642" s="43" t="str">
        <f t="shared" si="435"/>
        <v>Asset 88</v>
      </c>
      <c r="F642" s="43" t="str">
        <f t="shared" ref="F642:L642" si="470">F146</f>
        <v>08 Inrichting gebouwen</v>
      </c>
      <c r="G642" s="43">
        <f t="shared" si="470"/>
        <v>2000</v>
      </c>
      <c r="H642" s="48">
        <f t="shared" si="470"/>
        <v>53314.77</v>
      </c>
      <c r="I642" s="43">
        <f t="shared" si="470"/>
        <v>2021</v>
      </c>
      <c r="J642" s="43">
        <f t="shared" si="470"/>
        <v>10</v>
      </c>
      <c r="K642" s="43">
        <f t="shared" si="470"/>
        <v>0</v>
      </c>
      <c r="L642" s="48">
        <f t="shared" si="470"/>
        <v>0</v>
      </c>
      <c r="N642" s="44">
        <f t="shared" si="437"/>
        <v>0</v>
      </c>
      <c r="P642" s="49">
        <f t="shared" si="446"/>
        <v>0</v>
      </c>
      <c r="Q642" s="49">
        <f t="shared" si="446"/>
        <v>0</v>
      </c>
      <c r="R642" s="49">
        <f t="shared" si="446"/>
        <v>0</v>
      </c>
      <c r="S642" s="49">
        <f t="shared" si="446"/>
        <v>0</v>
      </c>
      <c r="T642" s="49">
        <f t="shared" si="446"/>
        <v>0</v>
      </c>
      <c r="V642" s="53">
        <f t="shared" si="447"/>
        <v>0</v>
      </c>
      <c r="W642" s="53">
        <f t="shared" si="448"/>
        <v>0</v>
      </c>
      <c r="X642" s="53">
        <f t="shared" si="449"/>
        <v>0</v>
      </c>
      <c r="Y642" s="53">
        <f t="shared" si="450"/>
        <v>0</v>
      </c>
      <c r="Z642" s="53">
        <f t="shared" si="451"/>
        <v>0</v>
      </c>
      <c r="AB642" s="53">
        <f t="shared" si="438"/>
        <v>0</v>
      </c>
      <c r="AC642" s="53">
        <f t="shared" si="439"/>
        <v>0</v>
      </c>
      <c r="AD642" s="53">
        <f t="shared" si="440"/>
        <v>0</v>
      </c>
      <c r="AE642" s="53">
        <f t="shared" si="441"/>
        <v>0</v>
      </c>
      <c r="AF642" s="53">
        <f t="shared" si="442"/>
        <v>0</v>
      </c>
    </row>
    <row r="643" spans="2:32">
      <c r="B643" s="43" t="str">
        <f t="shared" si="435"/>
        <v>Asset 89</v>
      </c>
      <c r="F643" s="43" t="str">
        <f t="shared" ref="F643:L643" si="471">F147</f>
        <v>14 Overig rollend materieel</v>
      </c>
      <c r="G643" s="43">
        <f t="shared" si="471"/>
        <v>2000</v>
      </c>
      <c r="H643" s="48">
        <f t="shared" si="471"/>
        <v>36334.86</v>
      </c>
      <c r="I643" s="43">
        <f t="shared" si="471"/>
        <v>2021</v>
      </c>
      <c r="J643" s="43">
        <f t="shared" si="471"/>
        <v>10</v>
      </c>
      <c r="K643" s="43">
        <f t="shared" si="471"/>
        <v>1</v>
      </c>
      <c r="L643" s="48">
        <f t="shared" si="471"/>
        <v>0</v>
      </c>
      <c r="N643" s="44">
        <f t="shared" si="437"/>
        <v>0</v>
      </c>
      <c r="P643" s="49">
        <f t="shared" si="446"/>
        <v>0</v>
      </c>
      <c r="Q643" s="49">
        <f t="shared" si="446"/>
        <v>0</v>
      </c>
      <c r="R643" s="49">
        <f t="shared" si="446"/>
        <v>0</v>
      </c>
      <c r="S643" s="49">
        <f t="shared" si="446"/>
        <v>0</v>
      </c>
      <c r="T643" s="49">
        <f t="shared" si="446"/>
        <v>0</v>
      </c>
      <c r="V643" s="53">
        <f t="shared" si="447"/>
        <v>0</v>
      </c>
      <c r="W643" s="53">
        <f t="shared" si="448"/>
        <v>0</v>
      </c>
      <c r="X643" s="53">
        <f t="shared" si="449"/>
        <v>0</v>
      </c>
      <c r="Y643" s="53">
        <f t="shared" si="450"/>
        <v>0</v>
      </c>
      <c r="Z643" s="53">
        <f t="shared" si="451"/>
        <v>0</v>
      </c>
      <c r="AB643" s="53">
        <f t="shared" si="438"/>
        <v>0</v>
      </c>
      <c r="AC643" s="53">
        <f t="shared" si="439"/>
        <v>0</v>
      </c>
      <c r="AD643" s="53">
        <f t="shared" si="440"/>
        <v>0</v>
      </c>
      <c r="AE643" s="53">
        <f t="shared" si="441"/>
        <v>0</v>
      </c>
      <c r="AF643" s="53">
        <f t="shared" si="442"/>
        <v>0</v>
      </c>
    </row>
    <row r="644" spans="2:32">
      <c r="B644" s="43" t="str">
        <f t="shared" si="435"/>
        <v>Asset 90</v>
      </c>
      <c r="F644" s="43" t="str">
        <f t="shared" ref="F644:L644" si="472">F148</f>
        <v>06 Utiliteitsgebouwen</v>
      </c>
      <c r="G644" s="43">
        <f t="shared" si="472"/>
        <v>2000</v>
      </c>
      <c r="H644" s="48">
        <f t="shared" si="472"/>
        <v>61022.52</v>
      </c>
      <c r="I644" s="43">
        <f t="shared" si="472"/>
        <v>2021</v>
      </c>
      <c r="J644" s="43">
        <f t="shared" si="472"/>
        <v>30</v>
      </c>
      <c r="K644" s="43">
        <f t="shared" si="472"/>
        <v>0</v>
      </c>
      <c r="L644" s="48">
        <f t="shared" si="472"/>
        <v>25541.383007029126</v>
      </c>
      <c r="N644" s="44">
        <f t="shared" si="437"/>
        <v>8.5</v>
      </c>
      <c r="P644" s="49">
        <f t="shared" si="446"/>
        <v>3004.8685890622501</v>
      </c>
      <c r="Q644" s="49">
        <f t="shared" si="446"/>
        <v>3004.8685890622501</v>
      </c>
      <c r="R644" s="49">
        <f t="shared" si="446"/>
        <v>3004.8685890622501</v>
      </c>
      <c r="S644" s="49">
        <f t="shared" si="446"/>
        <v>3004.8685890622501</v>
      </c>
      <c r="T644" s="49">
        <f t="shared" si="446"/>
        <v>3004.8685890622501</v>
      </c>
      <c r="V644" s="53">
        <f t="shared" si="447"/>
        <v>22536.514417966875</v>
      </c>
      <c r="W644" s="53">
        <f t="shared" si="448"/>
        <v>19531.645828904624</v>
      </c>
      <c r="X644" s="53">
        <f t="shared" si="449"/>
        <v>16526.777239842373</v>
      </c>
      <c r="Y644" s="53">
        <f t="shared" si="450"/>
        <v>13521.908650780122</v>
      </c>
      <c r="Z644" s="53">
        <f t="shared" si="451"/>
        <v>10517.040061717871</v>
      </c>
      <c r="AB644" s="53">
        <f t="shared" si="438"/>
        <v>3771.110079273124</v>
      </c>
      <c r="AC644" s="53">
        <f t="shared" si="439"/>
        <v>3649.4129014161026</v>
      </c>
      <c r="AD644" s="53">
        <f t="shared" si="440"/>
        <v>3632.8861241762602</v>
      </c>
      <c r="AE644" s="53">
        <f t="shared" si="441"/>
        <v>3518.7011177918948</v>
      </c>
      <c r="AF644" s="53">
        <f t="shared" si="442"/>
        <v>3404.516111407529</v>
      </c>
    </row>
    <row r="645" spans="2:32">
      <c r="B645" s="43" t="str">
        <f t="shared" si="435"/>
        <v>Asset 91</v>
      </c>
      <c r="F645" s="43" t="str">
        <f t="shared" ref="F645:L645" si="473">F149</f>
        <v>11 Werktuigen</v>
      </c>
      <c r="G645" s="43">
        <f t="shared" si="473"/>
        <v>2001</v>
      </c>
      <c r="H645" s="48">
        <f t="shared" si="473"/>
        <v>11928.48</v>
      </c>
      <c r="I645" s="43">
        <f t="shared" si="473"/>
        <v>2021</v>
      </c>
      <c r="J645" s="43">
        <f t="shared" si="473"/>
        <v>10</v>
      </c>
      <c r="K645" s="43">
        <f t="shared" si="473"/>
        <v>1</v>
      </c>
      <c r="L645" s="48">
        <f t="shared" si="473"/>
        <v>0</v>
      </c>
      <c r="N645" s="44">
        <f t="shared" si="437"/>
        <v>0</v>
      </c>
      <c r="P645" s="49">
        <f t="shared" si="446"/>
        <v>0</v>
      </c>
      <c r="Q645" s="49">
        <f t="shared" si="446"/>
        <v>0</v>
      </c>
      <c r="R645" s="49">
        <f t="shared" si="446"/>
        <v>0</v>
      </c>
      <c r="S645" s="49">
        <f t="shared" si="446"/>
        <v>0</v>
      </c>
      <c r="T645" s="49">
        <f t="shared" si="446"/>
        <v>0</v>
      </c>
      <c r="V645" s="53">
        <f t="shared" si="447"/>
        <v>0</v>
      </c>
      <c r="W645" s="53">
        <f t="shared" si="448"/>
        <v>0</v>
      </c>
      <c r="X645" s="53">
        <f t="shared" si="449"/>
        <v>0</v>
      </c>
      <c r="Y645" s="53">
        <f t="shared" si="450"/>
        <v>0</v>
      </c>
      <c r="Z645" s="53">
        <f t="shared" si="451"/>
        <v>0</v>
      </c>
      <c r="AB645" s="53">
        <f t="shared" si="438"/>
        <v>0</v>
      </c>
      <c r="AC645" s="53">
        <f t="shared" si="439"/>
        <v>0</v>
      </c>
      <c r="AD645" s="53">
        <f t="shared" si="440"/>
        <v>0</v>
      </c>
      <c r="AE645" s="53">
        <f t="shared" si="441"/>
        <v>0</v>
      </c>
      <c r="AF645" s="53">
        <f t="shared" si="442"/>
        <v>0</v>
      </c>
    </row>
    <row r="646" spans="2:32">
      <c r="B646" s="43" t="str">
        <f t="shared" si="435"/>
        <v>Asset 92</v>
      </c>
      <c r="F646" s="43" t="str">
        <f t="shared" ref="F646:L646" si="474">F150</f>
        <v>14 Overig rollend materieel</v>
      </c>
      <c r="G646" s="43">
        <f t="shared" si="474"/>
        <v>2001</v>
      </c>
      <c r="H646" s="48">
        <f t="shared" si="474"/>
        <v>70639.289999999994</v>
      </c>
      <c r="I646" s="43">
        <f t="shared" si="474"/>
        <v>2021</v>
      </c>
      <c r="J646" s="43">
        <f t="shared" si="474"/>
        <v>10</v>
      </c>
      <c r="K646" s="43">
        <f t="shared" si="474"/>
        <v>1</v>
      </c>
      <c r="L646" s="48">
        <f t="shared" si="474"/>
        <v>0</v>
      </c>
      <c r="N646" s="44">
        <f t="shared" si="437"/>
        <v>0</v>
      </c>
      <c r="P646" s="49">
        <f t="shared" si="446"/>
        <v>0</v>
      </c>
      <c r="Q646" s="49">
        <f t="shared" si="446"/>
        <v>0</v>
      </c>
      <c r="R646" s="49">
        <f t="shared" si="446"/>
        <v>0</v>
      </c>
      <c r="S646" s="49">
        <f t="shared" si="446"/>
        <v>0</v>
      </c>
      <c r="T646" s="49">
        <f t="shared" si="446"/>
        <v>0</v>
      </c>
      <c r="V646" s="53">
        <f t="shared" si="447"/>
        <v>0</v>
      </c>
      <c r="W646" s="53">
        <f t="shared" si="448"/>
        <v>0</v>
      </c>
      <c r="X646" s="53">
        <f t="shared" si="449"/>
        <v>0</v>
      </c>
      <c r="Y646" s="53">
        <f t="shared" si="450"/>
        <v>0</v>
      </c>
      <c r="Z646" s="53">
        <f t="shared" si="451"/>
        <v>0</v>
      </c>
      <c r="AB646" s="53">
        <f t="shared" si="438"/>
        <v>0</v>
      </c>
      <c r="AC646" s="53">
        <f t="shared" si="439"/>
        <v>0</v>
      </c>
      <c r="AD646" s="53">
        <f t="shared" si="440"/>
        <v>0</v>
      </c>
      <c r="AE646" s="53">
        <f t="shared" si="441"/>
        <v>0</v>
      </c>
      <c r="AF646" s="53">
        <f t="shared" si="442"/>
        <v>0</v>
      </c>
    </row>
    <row r="647" spans="2:32">
      <c r="B647" s="43" t="str">
        <f t="shared" si="435"/>
        <v>Asset 93</v>
      </c>
      <c r="F647" s="43" t="str">
        <f t="shared" ref="F647:L647" si="475">F151</f>
        <v>09 Bedrijfsinventaris</v>
      </c>
      <c r="G647" s="43">
        <f t="shared" si="475"/>
        <v>2001</v>
      </c>
      <c r="H647" s="48">
        <f t="shared" si="475"/>
        <v>55051.729999999996</v>
      </c>
      <c r="I647" s="43">
        <f t="shared" si="475"/>
        <v>2021</v>
      </c>
      <c r="J647" s="43">
        <f t="shared" si="475"/>
        <v>10</v>
      </c>
      <c r="K647" s="43">
        <f t="shared" si="475"/>
        <v>1</v>
      </c>
      <c r="L647" s="48">
        <f t="shared" si="475"/>
        <v>0</v>
      </c>
      <c r="N647" s="44">
        <f t="shared" si="437"/>
        <v>0</v>
      </c>
      <c r="P647" s="49">
        <f t="shared" si="446"/>
        <v>0</v>
      </c>
      <c r="Q647" s="49">
        <f t="shared" si="446"/>
        <v>0</v>
      </c>
      <c r="R647" s="49">
        <f t="shared" si="446"/>
        <v>0</v>
      </c>
      <c r="S647" s="49">
        <f t="shared" si="446"/>
        <v>0</v>
      </c>
      <c r="T647" s="49">
        <f t="shared" si="446"/>
        <v>0</v>
      </c>
      <c r="V647" s="53">
        <f t="shared" si="447"/>
        <v>0</v>
      </c>
      <c r="W647" s="53">
        <f t="shared" si="448"/>
        <v>0</v>
      </c>
      <c r="X647" s="53">
        <f t="shared" si="449"/>
        <v>0</v>
      </c>
      <c r="Y647" s="53">
        <f t="shared" si="450"/>
        <v>0</v>
      </c>
      <c r="Z647" s="53">
        <f t="shared" si="451"/>
        <v>0</v>
      </c>
      <c r="AB647" s="53">
        <f t="shared" si="438"/>
        <v>0</v>
      </c>
      <c r="AC647" s="53">
        <f t="shared" si="439"/>
        <v>0</v>
      </c>
      <c r="AD647" s="53">
        <f t="shared" si="440"/>
        <v>0</v>
      </c>
      <c r="AE647" s="53">
        <f t="shared" si="441"/>
        <v>0</v>
      </c>
      <c r="AF647" s="53">
        <f t="shared" si="442"/>
        <v>0</v>
      </c>
    </row>
    <row r="648" spans="2:32">
      <c r="B648" s="43" t="str">
        <f t="shared" si="435"/>
        <v>Asset 94</v>
      </c>
      <c r="F648" s="43" t="str">
        <f t="shared" ref="F648:L648" si="476">F152</f>
        <v>10 Gereedschap</v>
      </c>
      <c r="G648" s="43">
        <f t="shared" si="476"/>
        <v>2002</v>
      </c>
      <c r="H648" s="48">
        <f t="shared" si="476"/>
        <v>26546</v>
      </c>
      <c r="I648" s="43">
        <f t="shared" si="476"/>
        <v>2021</v>
      </c>
      <c r="J648" s="43">
        <f t="shared" si="476"/>
        <v>10</v>
      </c>
      <c r="K648" s="43">
        <f t="shared" si="476"/>
        <v>1</v>
      </c>
      <c r="L648" s="48">
        <f t="shared" si="476"/>
        <v>0</v>
      </c>
      <c r="N648" s="44">
        <f t="shared" si="437"/>
        <v>0</v>
      </c>
      <c r="P648" s="49">
        <f t="shared" si="446"/>
        <v>0</v>
      </c>
      <c r="Q648" s="49">
        <f t="shared" si="446"/>
        <v>0</v>
      </c>
      <c r="R648" s="49">
        <f t="shared" si="446"/>
        <v>0</v>
      </c>
      <c r="S648" s="49">
        <f t="shared" si="446"/>
        <v>0</v>
      </c>
      <c r="T648" s="49">
        <f t="shared" si="446"/>
        <v>0</v>
      </c>
      <c r="V648" s="53">
        <f t="shared" si="447"/>
        <v>0</v>
      </c>
      <c r="W648" s="53">
        <f t="shared" si="448"/>
        <v>0</v>
      </c>
      <c r="X648" s="53">
        <f t="shared" si="449"/>
        <v>0</v>
      </c>
      <c r="Y648" s="53">
        <f t="shared" si="450"/>
        <v>0</v>
      </c>
      <c r="Z648" s="53">
        <f t="shared" si="451"/>
        <v>0</v>
      </c>
      <c r="AB648" s="53">
        <f t="shared" si="438"/>
        <v>0</v>
      </c>
      <c r="AC648" s="53">
        <f t="shared" si="439"/>
        <v>0</v>
      </c>
      <c r="AD648" s="53">
        <f t="shared" si="440"/>
        <v>0</v>
      </c>
      <c r="AE648" s="53">
        <f t="shared" si="441"/>
        <v>0</v>
      </c>
      <c r="AF648" s="53">
        <f t="shared" si="442"/>
        <v>0</v>
      </c>
    </row>
    <row r="649" spans="2:32">
      <c r="B649" s="43" t="str">
        <f t="shared" si="435"/>
        <v>Asset 95</v>
      </c>
      <c r="F649" s="43" t="str">
        <f t="shared" ref="F649:L649" si="477">F153</f>
        <v>03 Verremeting</v>
      </c>
      <c r="G649" s="43">
        <f t="shared" si="477"/>
        <v>2001</v>
      </c>
      <c r="H649" s="48">
        <f t="shared" si="477"/>
        <v>16968.61</v>
      </c>
      <c r="I649" s="43">
        <f t="shared" si="477"/>
        <v>2021</v>
      </c>
      <c r="J649" s="43">
        <f t="shared" si="477"/>
        <v>5</v>
      </c>
      <c r="K649" s="43">
        <f t="shared" si="477"/>
        <v>1</v>
      </c>
      <c r="L649" s="48">
        <f t="shared" si="477"/>
        <v>0</v>
      </c>
      <c r="N649" s="44">
        <f t="shared" si="437"/>
        <v>0</v>
      </c>
      <c r="P649" s="49">
        <f t="shared" si="446"/>
        <v>0</v>
      </c>
      <c r="Q649" s="49">
        <f t="shared" si="446"/>
        <v>0</v>
      </c>
      <c r="R649" s="49">
        <f t="shared" si="446"/>
        <v>0</v>
      </c>
      <c r="S649" s="49">
        <f t="shared" si="446"/>
        <v>0</v>
      </c>
      <c r="T649" s="49">
        <f t="shared" si="446"/>
        <v>0</v>
      </c>
      <c r="V649" s="53">
        <f t="shared" si="447"/>
        <v>0</v>
      </c>
      <c r="W649" s="53">
        <f t="shared" si="448"/>
        <v>0</v>
      </c>
      <c r="X649" s="53">
        <f t="shared" si="449"/>
        <v>0</v>
      </c>
      <c r="Y649" s="53">
        <f t="shared" si="450"/>
        <v>0</v>
      </c>
      <c r="Z649" s="53">
        <f t="shared" si="451"/>
        <v>0</v>
      </c>
      <c r="AB649" s="53">
        <f t="shared" si="438"/>
        <v>0</v>
      </c>
      <c r="AC649" s="53">
        <f t="shared" si="439"/>
        <v>0</v>
      </c>
      <c r="AD649" s="53">
        <f t="shared" si="440"/>
        <v>0</v>
      </c>
      <c r="AE649" s="53">
        <f t="shared" si="441"/>
        <v>0</v>
      </c>
      <c r="AF649" s="53">
        <f t="shared" si="442"/>
        <v>0</v>
      </c>
    </row>
    <row r="650" spans="2:32">
      <c r="B650" s="43" t="str">
        <f t="shared" si="435"/>
        <v>Asset 96</v>
      </c>
      <c r="F650" s="43" t="str">
        <f t="shared" ref="F650:L650" si="478">F154</f>
        <v>08 Inrichting gebouwen</v>
      </c>
      <c r="G650" s="43">
        <f t="shared" si="478"/>
        <v>2001</v>
      </c>
      <c r="H650" s="48">
        <f t="shared" si="478"/>
        <v>7752.83</v>
      </c>
      <c r="I650" s="43">
        <f t="shared" si="478"/>
        <v>2021</v>
      </c>
      <c r="J650" s="43">
        <f t="shared" si="478"/>
        <v>10</v>
      </c>
      <c r="K650" s="43">
        <f t="shared" si="478"/>
        <v>0</v>
      </c>
      <c r="L650" s="48">
        <f t="shared" si="478"/>
        <v>0</v>
      </c>
      <c r="N650" s="44">
        <f t="shared" si="437"/>
        <v>0</v>
      </c>
      <c r="P650" s="49">
        <f t="shared" si="446"/>
        <v>0</v>
      </c>
      <c r="Q650" s="49">
        <f t="shared" si="446"/>
        <v>0</v>
      </c>
      <c r="R650" s="49">
        <f t="shared" si="446"/>
        <v>0</v>
      </c>
      <c r="S650" s="49">
        <f t="shared" si="446"/>
        <v>0</v>
      </c>
      <c r="T650" s="49">
        <f t="shared" si="446"/>
        <v>0</v>
      </c>
      <c r="V650" s="53">
        <f t="shared" si="447"/>
        <v>0</v>
      </c>
      <c r="W650" s="53">
        <f t="shared" si="448"/>
        <v>0</v>
      </c>
      <c r="X650" s="53">
        <f t="shared" si="449"/>
        <v>0</v>
      </c>
      <c r="Y650" s="53">
        <f t="shared" si="450"/>
        <v>0</v>
      </c>
      <c r="Z650" s="53">
        <f t="shared" si="451"/>
        <v>0</v>
      </c>
      <c r="AB650" s="53">
        <f t="shared" si="438"/>
        <v>0</v>
      </c>
      <c r="AC650" s="53">
        <f t="shared" si="439"/>
        <v>0</v>
      </c>
      <c r="AD650" s="53">
        <f t="shared" si="440"/>
        <v>0</v>
      </c>
      <c r="AE650" s="53">
        <f t="shared" si="441"/>
        <v>0</v>
      </c>
      <c r="AF650" s="53">
        <f t="shared" si="442"/>
        <v>0</v>
      </c>
    </row>
    <row r="651" spans="2:32">
      <c r="B651" s="43" t="str">
        <f t="shared" si="435"/>
        <v>Asset 97</v>
      </c>
      <c r="F651" s="43" t="str">
        <f t="shared" ref="F651:L651" si="479">F155</f>
        <v>37 ICT middelen 1 (gaschromatografen en comptabele meting)</v>
      </c>
      <c r="G651" s="43">
        <f t="shared" si="479"/>
        <v>2001</v>
      </c>
      <c r="H651" s="48">
        <f t="shared" si="479"/>
        <v>757040.92</v>
      </c>
      <c r="I651" s="43">
        <f t="shared" si="479"/>
        <v>2021</v>
      </c>
      <c r="J651" s="43">
        <f t="shared" si="479"/>
        <v>5</v>
      </c>
      <c r="K651" s="43">
        <f t="shared" si="479"/>
        <v>0</v>
      </c>
      <c r="L651" s="48">
        <f t="shared" si="479"/>
        <v>0</v>
      </c>
      <c r="N651" s="44">
        <f t="shared" si="437"/>
        <v>0</v>
      </c>
      <c r="P651" s="49">
        <f t="shared" si="446"/>
        <v>0</v>
      </c>
      <c r="Q651" s="49">
        <f t="shared" si="446"/>
        <v>0</v>
      </c>
      <c r="R651" s="49">
        <f t="shared" si="446"/>
        <v>0</v>
      </c>
      <c r="S651" s="49">
        <f t="shared" si="446"/>
        <v>0</v>
      </c>
      <c r="T651" s="49">
        <f t="shared" si="446"/>
        <v>0</v>
      </c>
      <c r="V651" s="53">
        <f t="shared" si="447"/>
        <v>0</v>
      </c>
      <c r="W651" s="53">
        <f t="shared" si="448"/>
        <v>0</v>
      </c>
      <c r="X651" s="53">
        <f t="shared" si="449"/>
        <v>0</v>
      </c>
      <c r="Y651" s="53">
        <f t="shared" si="450"/>
        <v>0</v>
      </c>
      <c r="Z651" s="53">
        <f t="shared" si="451"/>
        <v>0</v>
      </c>
      <c r="AB651" s="53">
        <f t="shared" si="438"/>
        <v>0</v>
      </c>
      <c r="AC651" s="53">
        <f t="shared" si="439"/>
        <v>0</v>
      </c>
      <c r="AD651" s="53">
        <f t="shared" si="440"/>
        <v>0</v>
      </c>
      <c r="AE651" s="53">
        <f t="shared" si="441"/>
        <v>0</v>
      </c>
      <c r="AF651" s="53">
        <f t="shared" si="442"/>
        <v>0</v>
      </c>
    </row>
    <row r="652" spans="2:32">
      <c r="B652" s="43" t="str">
        <f t="shared" si="435"/>
        <v>Asset 98</v>
      </c>
      <c r="F652" s="43" t="str">
        <f t="shared" ref="F652:L652" si="480">F156</f>
        <v>13 Aanhangwagens</v>
      </c>
      <c r="G652" s="43">
        <f t="shared" si="480"/>
        <v>2001</v>
      </c>
      <c r="H652" s="48">
        <f t="shared" si="480"/>
        <v>2746.92</v>
      </c>
      <c r="I652" s="43">
        <f t="shared" si="480"/>
        <v>2021</v>
      </c>
      <c r="J652" s="43">
        <f t="shared" si="480"/>
        <v>10</v>
      </c>
      <c r="K652" s="43">
        <f t="shared" si="480"/>
        <v>1</v>
      </c>
      <c r="L652" s="48">
        <f t="shared" si="480"/>
        <v>0</v>
      </c>
      <c r="N652" s="44">
        <f t="shared" si="437"/>
        <v>0</v>
      </c>
      <c r="P652" s="49">
        <f t="shared" si="446"/>
        <v>0</v>
      </c>
      <c r="Q652" s="49">
        <f t="shared" si="446"/>
        <v>0</v>
      </c>
      <c r="R652" s="49">
        <f t="shared" si="446"/>
        <v>0</v>
      </c>
      <c r="S652" s="49">
        <f t="shared" si="446"/>
        <v>0</v>
      </c>
      <c r="T652" s="49">
        <f t="shared" si="446"/>
        <v>0</v>
      </c>
      <c r="V652" s="53">
        <f t="shared" si="447"/>
        <v>0</v>
      </c>
      <c r="W652" s="53">
        <f t="shared" si="448"/>
        <v>0</v>
      </c>
      <c r="X652" s="53">
        <f t="shared" si="449"/>
        <v>0</v>
      </c>
      <c r="Y652" s="53">
        <f t="shared" si="450"/>
        <v>0</v>
      </c>
      <c r="Z652" s="53">
        <f t="shared" si="451"/>
        <v>0</v>
      </c>
      <c r="AB652" s="53">
        <f t="shared" si="438"/>
        <v>0</v>
      </c>
      <c r="AC652" s="53">
        <f t="shared" si="439"/>
        <v>0</v>
      </c>
      <c r="AD652" s="53">
        <f t="shared" si="440"/>
        <v>0</v>
      </c>
      <c r="AE652" s="53">
        <f t="shared" si="441"/>
        <v>0</v>
      </c>
      <c r="AF652" s="53">
        <f t="shared" si="442"/>
        <v>0</v>
      </c>
    </row>
    <row r="653" spans="2:32">
      <c r="B653" s="43" t="str">
        <f t="shared" si="435"/>
        <v>Asset 99</v>
      </c>
      <c r="F653" s="43" t="str">
        <f t="shared" ref="F653:L653" si="481">F157</f>
        <v>11 Werktuigen</v>
      </c>
      <c r="G653" s="43">
        <f t="shared" si="481"/>
        <v>2002</v>
      </c>
      <c r="H653" s="48">
        <f t="shared" si="481"/>
        <v>108571.05</v>
      </c>
      <c r="I653" s="43">
        <f t="shared" si="481"/>
        <v>2021</v>
      </c>
      <c r="J653" s="43">
        <f t="shared" si="481"/>
        <v>10</v>
      </c>
      <c r="K653" s="43">
        <f t="shared" si="481"/>
        <v>1</v>
      </c>
      <c r="L653" s="48">
        <f t="shared" si="481"/>
        <v>0</v>
      </c>
      <c r="N653" s="44">
        <f t="shared" si="437"/>
        <v>0</v>
      </c>
      <c r="P653" s="49">
        <f t="shared" si="446"/>
        <v>0</v>
      </c>
      <c r="Q653" s="49">
        <f t="shared" si="446"/>
        <v>0</v>
      </c>
      <c r="R653" s="49">
        <f t="shared" si="446"/>
        <v>0</v>
      </c>
      <c r="S653" s="49">
        <f t="shared" si="446"/>
        <v>0</v>
      </c>
      <c r="T653" s="49">
        <f t="shared" si="446"/>
        <v>0</v>
      </c>
      <c r="V653" s="53">
        <f t="shared" si="447"/>
        <v>0</v>
      </c>
      <c r="W653" s="53">
        <f t="shared" si="448"/>
        <v>0</v>
      </c>
      <c r="X653" s="53">
        <f t="shared" si="449"/>
        <v>0</v>
      </c>
      <c r="Y653" s="53">
        <f t="shared" si="450"/>
        <v>0</v>
      </c>
      <c r="Z653" s="53">
        <f t="shared" si="451"/>
        <v>0</v>
      </c>
      <c r="AB653" s="53">
        <f t="shared" si="438"/>
        <v>0</v>
      </c>
      <c r="AC653" s="53">
        <f t="shared" si="439"/>
        <v>0</v>
      </c>
      <c r="AD653" s="53">
        <f t="shared" si="440"/>
        <v>0</v>
      </c>
      <c r="AE653" s="53">
        <f t="shared" si="441"/>
        <v>0</v>
      </c>
      <c r="AF653" s="53">
        <f t="shared" si="442"/>
        <v>0</v>
      </c>
    </row>
    <row r="654" spans="2:32">
      <c r="B654" s="43" t="str">
        <f t="shared" si="435"/>
        <v>Asset 100</v>
      </c>
      <c r="F654" s="43" t="str">
        <f t="shared" ref="F654:L654" si="482">F158</f>
        <v>37 ICT middelen 1 (gaschromatografen en comptabele meting)</v>
      </c>
      <c r="G654" s="43">
        <f t="shared" si="482"/>
        <v>2002</v>
      </c>
      <c r="H654" s="48">
        <f t="shared" si="482"/>
        <v>27589.78</v>
      </c>
      <c r="I654" s="43">
        <f t="shared" si="482"/>
        <v>2021</v>
      </c>
      <c r="J654" s="43">
        <f t="shared" si="482"/>
        <v>5</v>
      </c>
      <c r="K654" s="43">
        <f t="shared" si="482"/>
        <v>0</v>
      </c>
      <c r="L654" s="48">
        <f t="shared" si="482"/>
        <v>0</v>
      </c>
      <c r="N654" s="44">
        <f t="shared" si="437"/>
        <v>0</v>
      </c>
      <c r="P654" s="49">
        <f t="shared" si="446"/>
        <v>0</v>
      </c>
      <c r="Q654" s="49">
        <f t="shared" si="446"/>
        <v>0</v>
      </c>
      <c r="R654" s="49">
        <f t="shared" si="446"/>
        <v>0</v>
      </c>
      <c r="S654" s="49">
        <f t="shared" si="446"/>
        <v>0</v>
      </c>
      <c r="T654" s="49">
        <f t="shared" si="446"/>
        <v>0</v>
      </c>
      <c r="V654" s="53">
        <f t="shared" si="447"/>
        <v>0</v>
      </c>
      <c r="W654" s="53">
        <f t="shared" si="448"/>
        <v>0</v>
      </c>
      <c r="X654" s="53">
        <f t="shared" si="449"/>
        <v>0</v>
      </c>
      <c r="Y654" s="53">
        <f t="shared" si="450"/>
        <v>0</v>
      </c>
      <c r="Z654" s="53">
        <f t="shared" si="451"/>
        <v>0</v>
      </c>
      <c r="AB654" s="53">
        <f t="shared" si="438"/>
        <v>0</v>
      </c>
      <c r="AC654" s="53">
        <f t="shared" si="439"/>
        <v>0</v>
      </c>
      <c r="AD654" s="53">
        <f t="shared" si="440"/>
        <v>0</v>
      </c>
      <c r="AE654" s="53">
        <f t="shared" si="441"/>
        <v>0</v>
      </c>
      <c r="AF654" s="53">
        <f t="shared" si="442"/>
        <v>0</v>
      </c>
    </row>
    <row r="655" spans="2:32">
      <c r="B655" s="43" t="str">
        <f t="shared" si="435"/>
        <v>Asset 101</v>
      </c>
      <c r="F655" s="43" t="str">
        <f t="shared" ref="F655:L655" si="483">F159</f>
        <v>14 Overig rollend materieel</v>
      </c>
      <c r="G655" s="43">
        <f t="shared" si="483"/>
        <v>2002</v>
      </c>
      <c r="H655" s="48">
        <f t="shared" si="483"/>
        <v>7905</v>
      </c>
      <c r="I655" s="43">
        <f t="shared" si="483"/>
        <v>2021</v>
      </c>
      <c r="J655" s="43">
        <f t="shared" si="483"/>
        <v>10</v>
      </c>
      <c r="K655" s="43">
        <f t="shared" si="483"/>
        <v>1</v>
      </c>
      <c r="L655" s="48">
        <f t="shared" si="483"/>
        <v>0</v>
      </c>
      <c r="N655" s="44">
        <f t="shared" si="437"/>
        <v>0</v>
      </c>
      <c r="P655" s="49">
        <f t="shared" si="446"/>
        <v>0</v>
      </c>
      <c r="Q655" s="49">
        <f t="shared" si="446"/>
        <v>0</v>
      </c>
      <c r="R655" s="49">
        <f t="shared" si="446"/>
        <v>0</v>
      </c>
      <c r="S655" s="49">
        <f t="shared" si="446"/>
        <v>0</v>
      </c>
      <c r="T655" s="49">
        <f t="shared" si="446"/>
        <v>0</v>
      </c>
      <c r="V655" s="53">
        <f t="shared" si="447"/>
        <v>0</v>
      </c>
      <c r="W655" s="53">
        <f t="shared" si="448"/>
        <v>0</v>
      </c>
      <c r="X655" s="53">
        <f t="shared" si="449"/>
        <v>0</v>
      </c>
      <c r="Y655" s="53">
        <f t="shared" si="450"/>
        <v>0</v>
      </c>
      <c r="Z655" s="53">
        <f t="shared" si="451"/>
        <v>0</v>
      </c>
      <c r="AB655" s="53">
        <f t="shared" si="438"/>
        <v>0</v>
      </c>
      <c r="AC655" s="53">
        <f t="shared" si="439"/>
        <v>0</v>
      </c>
      <c r="AD655" s="53">
        <f t="shared" si="440"/>
        <v>0</v>
      </c>
      <c r="AE655" s="53">
        <f t="shared" si="441"/>
        <v>0</v>
      </c>
      <c r="AF655" s="53">
        <f t="shared" si="442"/>
        <v>0</v>
      </c>
    </row>
    <row r="656" spans="2:32">
      <c r="B656" s="43" t="str">
        <f t="shared" si="435"/>
        <v>Asset 102</v>
      </c>
      <c r="F656" s="43" t="str">
        <f t="shared" ref="F656:L656" si="484">F160</f>
        <v>13 Aanhangwagens</v>
      </c>
      <c r="G656" s="43">
        <f t="shared" si="484"/>
        <v>2002</v>
      </c>
      <c r="H656" s="48">
        <f t="shared" si="484"/>
        <v>1243</v>
      </c>
      <c r="I656" s="43">
        <f t="shared" si="484"/>
        <v>2021</v>
      </c>
      <c r="J656" s="43">
        <f t="shared" si="484"/>
        <v>10</v>
      </c>
      <c r="K656" s="43">
        <f t="shared" si="484"/>
        <v>1</v>
      </c>
      <c r="L656" s="48">
        <f t="shared" si="484"/>
        <v>0</v>
      </c>
      <c r="N656" s="44">
        <f t="shared" si="437"/>
        <v>0</v>
      </c>
      <c r="P656" s="49">
        <f t="shared" si="446"/>
        <v>0</v>
      </c>
      <c r="Q656" s="49">
        <f t="shared" si="446"/>
        <v>0</v>
      </c>
      <c r="R656" s="49">
        <f t="shared" si="446"/>
        <v>0</v>
      </c>
      <c r="S656" s="49">
        <f t="shared" si="446"/>
        <v>0</v>
      </c>
      <c r="T656" s="49">
        <f t="shared" si="446"/>
        <v>0</v>
      </c>
      <c r="V656" s="53">
        <f t="shared" si="447"/>
        <v>0</v>
      </c>
      <c r="W656" s="53">
        <f t="shared" si="448"/>
        <v>0</v>
      </c>
      <c r="X656" s="53">
        <f t="shared" si="449"/>
        <v>0</v>
      </c>
      <c r="Y656" s="53">
        <f t="shared" si="450"/>
        <v>0</v>
      </c>
      <c r="Z656" s="53">
        <f t="shared" si="451"/>
        <v>0</v>
      </c>
      <c r="AB656" s="53">
        <f t="shared" si="438"/>
        <v>0</v>
      </c>
      <c r="AC656" s="53">
        <f t="shared" si="439"/>
        <v>0</v>
      </c>
      <c r="AD656" s="53">
        <f t="shared" si="440"/>
        <v>0</v>
      </c>
      <c r="AE656" s="53">
        <f t="shared" si="441"/>
        <v>0</v>
      </c>
      <c r="AF656" s="53">
        <f t="shared" si="442"/>
        <v>0</v>
      </c>
    </row>
    <row r="657" spans="2:32">
      <c r="B657" s="43" t="str">
        <f t="shared" si="435"/>
        <v>Asset 103</v>
      </c>
      <c r="F657" s="43" t="str">
        <f t="shared" ref="F657:L657" si="485">F161</f>
        <v>06 Utiliteitsgebouwen</v>
      </c>
      <c r="G657" s="43">
        <f t="shared" si="485"/>
        <v>2002</v>
      </c>
      <c r="H657" s="48">
        <f t="shared" si="485"/>
        <v>68637.27</v>
      </c>
      <c r="I657" s="43">
        <f t="shared" si="485"/>
        <v>2021</v>
      </c>
      <c r="J657" s="43">
        <f t="shared" si="485"/>
        <v>30</v>
      </c>
      <c r="K657" s="43">
        <f t="shared" si="485"/>
        <v>0</v>
      </c>
      <c r="L657" s="48">
        <f t="shared" si="485"/>
        <v>33068.469795601901</v>
      </c>
      <c r="N657" s="44">
        <f t="shared" si="437"/>
        <v>10.5</v>
      </c>
      <c r="P657" s="49">
        <f t="shared" si="446"/>
        <v>3149.3780757716095</v>
      </c>
      <c r="Q657" s="49">
        <f t="shared" si="446"/>
        <v>3149.3780757716099</v>
      </c>
      <c r="R657" s="49">
        <f t="shared" si="446"/>
        <v>3149.3780757716099</v>
      </c>
      <c r="S657" s="49">
        <f t="shared" si="446"/>
        <v>3149.3780757716099</v>
      </c>
      <c r="T657" s="49">
        <f t="shared" si="446"/>
        <v>3149.3780757716099</v>
      </c>
      <c r="V657" s="53">
        <f t="shared" si="447"/>
        <v>29919.091719830292</v>
      </c>
      <c r="W657" s="53">
        <f t="shared" si="448"/>
        <v>26769.713644058684</v>
      </c>
      <c r="X657" s="53">
        <f t="shared" si="449"/>
        <v>23620.335568287075</v>
      </c>
      <c r="Y657" s="53">
        <f t="shared" si="450"/>
        <v>20470.957492515467</v>
      </c>
      <c r="Z657" s="53">
        <f t="shared" si="451"/>
        <v>17321.579416743858</v>
      </c>
      <c r="AB657" s="53">
        <f t="shared" si="438"/>
        <v>4166.6271942458397</v>
      </c>
      <c r="AC657" s="53">
        <f t="shared" si="439"/>
        <v>4032.7786260255466</v>
      </c>
      <c r="AD657" s="53">
        <f t="shared" si="440"/>
        <v>4046.9508273665188</v>
      </c>
      <c r="AE657" s="53">
        <f t="shared" si="441"/>
        <v>3927.2744604871978</v>
      </c>
      <c r="AF657" s="53">
        <f t="shared" si="442"/>
        <v>3807.5980936078768</v>
      </c>
    </row>
    <row r="658" spans="2:32">
      <c r="B658" s="43" t="str">
        <f t="shared" si="435"/>
        <v>Asset 104</v>
      </c>
      <c r="F658" s="43" t="str">
        <f t="shared" ref="F658:L658" si="486">F162</f>
        <v>09 Bedrijfsinventaris</v>
      </c>
      <c r="G658" s="43">
        <f t="shared" si="486"/>
        <v>2003</v>
      </c>
      <c r="H658" s="48">
        <f t="shared" si="486"/>
        <v>108222.26</v>
      </c>
      <c r="I658" s="43">
        <f t="shared" si="486"/>
        <v>2021</v>
      </c>
      <c r="J658" s="43">
        <f t="shared" si="486"/>
        <v>10</v>
      </c>
      <c r="K658" s="43">
        <f t="shared" si="486"/>
        <v>1</v>
      </c>
      <c r="L658" s="48">
        <f t="shared" si="486"/>
        <v>0</v>
      </c>
      <c r="N658" s="44">
        <f t="shared" si="437"/>
        <v>0</v>
      </c>
      <c r="P658" s="49">
        <f t="shared" si="446"/>
        <v>0</v>
      </c>
      <c r="Q658" s="49">
        <f t="shared" si="446"/>
        <v>0</v>
      </c>
      <c r="R658" s="49">
        <f t="shared" si="446"/>
        <v>0</v>
      </c>
      <c r="S658" s="49">
        <f t="shared" si="446"/>
        <v>0</v>
      </c>
      <c r="T658" s="49">
        <f t="shared" si="446"/>
        <v>0</v>
      </c>
      <c r="V658" s="53">
        <f t="shared" si="447"/>
        <v>0</v>
      </c>
      <c r="W658" s="53">
        <f t="shared" si="448"/>
        <v>0</v>
      </c>
      <c r="X658" s="53">
        <f t="shared" si="449"/>
        <v>0</v>
      </c>
      <c r="Y658" s="53">
        <f t="shared" si="450"/>
        <v>0</v>
      </c>
      <c r="Z658" s="53">
        <f t="shared" si="451"/>
        <v>0</v>
      </c>
      <c r="AB658" s="53">
        <f t="shared" si="438"/>
        <v>0</v>
      </c>
      <c r="AC658" s="53">
        <f t="shared" si="439"/>
        <v>0</v>
      </c>
      <c r="AD658" s="53">
        <f t="shared" si="440"/>
        <v>0</v>
      </c>
      <c r="AE658" s="53">
        <f t="shared" si="441"/>
        <v>0</v>
      </c>
      <c r="AF658" s="53">
        <f t="shared" si="442"/>
        <v>0</v>
      </c>
    </row>
    <row r="659" spans="2:32">
      <c r="B659" s="43" t="str">
        <f t="shared" si="435"/>
        <v>Asset 105</v>
      </c>
      <c r="F659" s="43" t="str">
        <f t="shared" ref="F659:L659" si="487">F163</f>
        <v>11 Werktuigen</v>
      </c>
      <c r="G659" s="43">
        <f t="shared" si="487"/>
        <v>2003</v>
      </c>
      <c r="H659" s="48">
        <f t="shared" si="487"/>
        <v>135681.9</v>
      </c>
      <c r="I659" s="43">
        <f t="shared" si="487"/>
        <v>2021</v>
      </c>
      <c r="J659" s="43">
        <f t="shared" si="487"/>
        <v>10</v>
      </c>
      <c r="K659" s="43">
        <f t="shared" si="487"/>
        <v>1</v>
      </c>
      <c r="L659" s="48">
        <f t="shared" si="487"/>
        <v>0</v>
      </c>
      <c r="N659" s="44">
        <f t="shared" si="437"/>
        <v>0</v>
      </c>
      <c r="P659" s="49">
        <f t="shared" si="446"/>
        <v>0</v>
      </c>
      <c r="Q659" s="49">
        <f t="shared" si="446"/>
        <v>0</v>
      </c>
      <c r="R659" s="49">
        <f t="shared" si="446"/>
        <v>0</v>
      </c>
      <c r="S659" s="49">
        <f t="shared" si="446"/>
        <v>0</v>
      </c>
      <c r="T659" s="49">
        <f t="shared" si="446"/>
        <v>0</v>
      </c>
      <c r="V659" s="53">
        <f t="shared" si="447"/>
        <v>0</v>
      </c>
      <c r="W659" s="53">
        <f t="shared" si="448"/>
        <v>0</v>
      </c>
      <c r="X659" s="53">
        <f t="shared" si="449"/>
        <v>0</v>
      </c>
      <c r="Y659" s="53">
        <f t="shared" si="450"/>
        <v>0</v>
      </c>
      <c r="Z659" s="53">
        <f t="shared" si="451"/>
        <v>0</v>
      </c>
      <c r="AB659" s="53">
        <f t="shared" si="438"/>
        <v>0</v>
      </c>
      <c r="AC659" s="53">
        <f t="shared" si="439"/>
        <v>0</v>
      </c>
      <c r="AD659" s="53">
        <f t="shared" si="440"/>
        <v>0</v>
      </c>
      <c r="AE659" s="53">
        <f t="shared" si="441"/>
        <v>0</v>
      </c>
      <c r="AF659" s="53">
        <f t="shared" si="442"/>
        <v>0</v>
      </c>
    </row>
    <row r="660" spans="2:32">
      <c r="B660" s="43" t="str">
        <f t="shared" si="435"/>
        <v>Asset 106</v>
      </c>
      <c r="F660" s="43" t="str">
        <f t="shared" ref="F660:L660" si="488">F164</f>
        <v>37 ICT middelen 1</v>
      </c>
      <c r="G660" s="43">
        <f t="shared" si="488"/>
        <v>2003</v>
      </c>
      <c r="H660" s="48">
        <f t="shared" si="488"/>
        <v>869353.66999999993</v>
      </c>
      <c r="I660" s="43">
        <f t="shared" si="488"/>
        <v>2021</v>
      </c>
      <c r="J660" s="43">
        <f t="shared" si="488"/>
        <v>5</v>
      </c>
      <c r="K660" s="43">
        <f t="shared" si="488"/>
        <v>1</v>
      </c>
      <c r="L660" s="48">
        <f t="shared" si="488"/>
        <v>0</v>
      </c>
      <c r="N660" s="44">
        <f t="shared" si="437"/>
        <v>0</v>
      </c>
      <c r="P660" s="49">
        <f t="shared" si="446"/>
        <v>0</v>
      </c>
      <c r="Q660" s="49">
        <f t="shared" si="446"/>
        <v>0</v>
      </c>
      <c r="R660" s="49">
        <f t="shared" si="446"/>
        <v>0</v>
      </c>
      <c r="S660" s="49">
        <f t="shared" si="446"/>
        <v>0</v>
      </c>
      <c r="T660" s="49">
        <f t="shared" si="446"/>
        <v>0</v>
      </c>
      <c r="V660" s="53">
        <f t="shared" si="447"/>
        <v>0</v>
      </c>
      <c r="W660" s="53">
        <f t="shared" si="448"/>
        <v>0</v>
      </c>
      <c r="X660" s="53">
        <f t="shared" si="449"/>
        <v>0</v>
      </c>
      <c r="Y660" s="53">
        <f t="shared" si="450"/>
        <v>0</v>
      </c>
      <c r="Z660" s="53">
        <f t="shared" si="451"/>
        <v>0</v>
      </c>
      <c r="AB660" s="53">
        <f t="shared" si="438"/>
        <v>0</v>
      </c>
      <c r="AC660" s="53">
        <f t="shared" si="439"/>
        <v>0</v>
      </c>
      <c r="AD660" s="53">
        <f t="shared" si="440"/>
        <v>0</v>
      </c>
      <c r="AE660" s="53">
        <f t="shared" si="441"/>
        <v>0</v>
      </c>
      <c r="AF660" s="53">
        <f t="shared" si="442"/>
        <v>0</v>
      </c>
    </row>
    <row r="661" spans="2:32">
      <c r="B661" s="43" t="str">
        <f t="shared" si="435"/>
        <v>Asset 107</v>
      </c>
      <c r="F661" s="43" t="str">
        <f t="shared" ref="F661:L661" si="489">F165</f>
        <v>37 ICT middelen 1 (gaschromatografen en comptabele meting)</v>
      </c>
      <c r="G661" s="43">
        <f t="shared" si="489"/>
        <v>2003</v>
      </c>
      <c r="H661" s="48">
        <f t="shared" si="489"/>
        <v>1210667.97</v>
      </c>
      <c r="I661" s="43">
        <f t="shared" si="489"/>
        <v>2021</v>
      </c>
      <c r="J661" s="43">
        <f t="shared" si="489"/>
        <v>5</v>
      </c>
      <c r="K661" s="43">
        <f t="shared" si="489"/>
        <v>0</v>
      </c>
      <c r="L661" s="48">
        <f t="shared" si="489"/>
        <v>0</v>
      </c>
      <c r="N661" s="44">
        <f t="shared" si="437"/>
        <v>0</v>
      </c>
      <c r="P661" s="49">
        <f t="shared" si="446"/>
        <v>0</v>
      </c>
      <c r="Q661" s="49">
        <f t="shared" si="446"/>
        <v>0</v>
      </c>
      <c r="R661" s="49">
        <f t="shared" si="446"/>
        <v>0</v>
      </c>
      <c r="S661" s="49">
        <f t="shared" si="446"/>
        <v>0</v>
      </c>
      <c r="T661" s="49">
        <f t="shared" si="446"/>
        <v>0</v>
      </c>
      <c r="V661" s="53">
        <f t="shared" si="447"/>
        <v>0</v>
      </c>
      <c r="W661" s="53">
        <f t="shared" si="448"/>
        <v>0</v>
      </c>
      <c r="X661" s="53">
        <f t="shared" si="449"/>
        <v>0</v>
      </c>
      <c r="Y661" s="53">
        <f t="shared" si="450"/>
        <v>0</v>
      </c>
      <c r="Z661" s="53">
        <f t="shared" si="451"/>
        <v>0</v>
      </c>
      <c r="AB661" s="53">
        <f t="shared" si="438"/>
        <v>0</v>
      </c>
      <c r="AC661" s="53">
        <f t="shared" si="439"/>
        <v>0</v>
      </c>
      <c r="AD661" s="53">
        <f t="shared" si="440"/>
        <v>0</v>
      </c>
      <c r="AE661" s="53">
        <f t="shared" si="441"/>
        <v>0</v>
      </c>
      <c r="AF661" s="53">
        <f t="shared" si="442"/>
        <v>0</v>
      </c>
    </row>
    <row r="662" spans="2:32">
      <c r="B662" s="43" t="str">
        <f t="shared" si="435"/>
        <v>Asset 108</v>
      </c>
      <c r="F662" s="43" t="str">
        <f t="shared" ref="F662:L662" si="490">F166</f>
        <v>10 Gereedschap</v>
      </c>
      <c r="G662" s="43">
        <f t="shared" si="490"/>
        <v>2003</v>
      </c>
      <c r="H662" s="48">
        <f t="shared" si="490"/>
        <v>62325</v>
      </c>
      <c r="I662" s="43">
        <f t="shared" si="490"/>
        <v>2021</v>
      </c>
      <c r="J662" s="43">
        <f t="shared" si="490"/>
        <v>10</v>
      </c>
      <c r="K662" s="43">
        <f t="shared" si="490"/>
        <v>1</v>
      </c>
      <c r="L662" s="48">
        <f t="shared" si="490"/>
        <v>0</v>
      </c>
      <c r="N662" s="44">
        <f t="shared" si="437"/>
        <v>0</v>
      </c>
      <c r="P662" s="49">
        <f t="shared" si="446"/>
        <v>0</v>
      </c>
      <c r="Q662" s="49">
        <f t="shared" si="446"/>
        <v>0</v>
      </c>
      <c r="R662" s="49">
        <f t="shared" si="446"/>
        <v>0</v>
      </c>
      <c r="S662" s="49">
        <f t="shared" si="446"/>
        <v>0</v>
      </c>
      <c r="T662" s="49">
        <f t="shared" si="446"/>
        <v>0</v>
      </c>
      <c r="V662" s="53">
        <f t="shared" si="447"/>
        <v>0</v>
      </c>
      <c r="W662" s="53">
        <f t="shared" si="448"/>
        <v>0</v>
      </c>
      <c r="X662" s="53">
        <f t="shared" si="449"/>
        <v>0</v>
      </c>
      <c r="Y662" s="53">
        <f t="shared" si="450"/>
        <v>0</v>
      </c>
      <c r="Z662" s="53">
        <f t="shared" si="451"/>
        <v>0</v>
      </c>
      <c r="AB662" s="53">
        <f t="shared" si="438"/>
        <v>0</v>
      </c>
      <c r="AC662" s="53">
        <f t="shared" si="439"/>
        <v>0</v>
      </c>
      <c r="AD662" s="53">
        <f t="shared" si="440"/>
        <v>0</v>
      </c>
      <c r="AE662" s="53">
        <f t="shared" si="441"/>
        <v>0</v>
      </c>
      <c r="AF662" s="53">
        <f t="shared" si="442"/>
        <v>0</v>
      </c>
    </row>
    <row r="663" spans="2:32">
      <c r="B663" s="43" t="str">
        <f t="shared" si="435"/>
        <v>Asset 109</v>
      </c>
      <c r="F663" s="43" t="str">
        <f t="shared" ref="F663:L663" si="491">F167</f>
        <v>06 Utiliteitsgebouwen</v>
      </c>
      <c r="G663" s="43">
        <f t="shared" si="491"/>
        <v>2003</v>
      </c>
      <c r="H663" s="48">
        <f t="shared" si="491"/>
        <v>206366.74</v>
      </c>
      <c r="I663" s="43">
        <f t="shared" si="491"/>
        <v>2021</v>
      </c>
      <c r="J663" s="43">
        <f t="shared" si="491"/>
        <v>30</v>
      </c>
      <c r="K663" s="43">
        <f t="shared" si="491"/>
        <v>0</v>
      </c>
      <c r="L663" s="48">
        <f t="shared" si="491"/>
        <v>105414.90479883776</v>
      </c>
      <c r="N663" s="44">
        <f t="shared" si="437"/>
        <v>11.5</v>
      </c>
      <c r="P663" s="49">
        <f t="shared" si="446"/>
        <v>9166.5134607685013</v>
      </c>
      <c r="Q663" s="49">
        <f t="shared" si="446"/>
        <v>9166.5134607685013</v>
      </c>
      <c r="R663" s="49">
        <f t="shared" si="446"/>
        <v>9166.5134607685013</v>
      </c>
      <c r="S663" s="49">
        <f t="shared" si="446"/>
        <v>9166.5134607685013</v>
      </c>
      <c r="T663" s="49">
        <f t="shared" si="446"/>
        <v>9166.5134607685013</v>
      </c>
      <c r="V663" s="53">
        <f t="shared" si="447"/>
        <v>96248.391338069254</v>
      </c>
      <c r="W663" s="53">
        <f t="shared" si="448"/>
        <v>87081.877877300751</v>
      </c>
      <c r="X663" s="53">
        <f t="shared" si="449"/>
        <v>77915.364416532248</v>
      </c>
      <c r="Y663" s="53">
        <f t="shared" si="450"/>
        <v>68748.850955763744</v>
      </c>
      <c r="Z663" s="53">
        <f t="shared" si="451"/>
        <v>59582.337494995241</v>
      </c>
      <c r="AB663" s="53">
        <f t="shared" si="438"/>
        <v>12438.958766262856</v>
      </c>
      <c r="AC663" s="53">
        <f t="shared" si="439"/>
        <v>12040.215430719427</v>
      </c>
      <c r="AD663" s="53">
        <f t="shared" si="440"/>
        <v>12127.297308596726</v>
      </c>
      <c r="AE663" s="53">
        <f t="shared" si="441"/>
        <v>11778.969797087524</v>
      </c>
      <c r="AF663" s="53">
        <f t="shared" si="442"/>
        <v>11430.64228557832</v>
      </c>
    </row>
    <row r="664" spans="2:32">
      <c r="B664" s="43" t="str">
        <f t="shared" si="435"/>
        <v>Asset 110</v>
      </c>
      <c r="F664" s="43" t="str">
        <f t="shared" ref="F664:L664" si="492">F168</f>
        <v>13 Aanhangwagens</v>
      </c>
      <c r="G664" s="43">
        <f t="shared" si="492"/>
        <v>2003</v>
      </c>
      <c r="H664" s="48">
        <f t="shared" si="492"/>
        <v>1830.54</v>
      </c>
      <c r="I664" s="43">
        <f t="shared" si="492"/>
        <v>2021</v>
      </c>
      <c r="J664" s="43">
        <f t="shared" si="492"/>
        <v>10</v>
      </c>
      <c r="K664" s="43">
        <f t="shared" si="492"/>
        <v>1</v>
      </c>
      <c r="L664" s="48">
        <f t="shared" si="492"/>
        <v>0</v>
      </c>
      <c r="N664" s="44">
        <f t="shared" si="437"/>
        <v>0</v>
      </c>
      <c r="P664" s="49">
        <f t="shared" si="446"/>
        <v>0</v>
      </c>
      <c r="Q664" s="49">
        <f t="shared" si="446"/>
        <v>0</v>
      </c>
      <c r="R664" s="49">
        <f t="shared" si="446"/>
        <v>0</v>
      </c>
      <c r="S664" s="49">
        <f t="shared" si="446"/>
        <v>0</v>
      </c>
      <c r="T664" s="49">
        <f t="shared" si="446"/>
        <v>0</v>
      </c>
      <c r="V664" s="53">
        <f t="shared" si="447"/>
        <v>0</v>
      </c>
      <c r="W664" s="53">
        <f t="shared" si="448"/>
        <v>0</v>
      </c>
      <c r="X664" s="53">
        <f t="shared" si="449"/>
        <v>0</v>
      </c>
      <c r="Y664" s="53">
        <f t="shared" si="450"/>
        <v>0</v>
      </c>
      <c r="Z664" s="53">
        <f t="shared" si="451"/>
        <v>0</v>
      </c>
      <c r="AB664" s="53">
        <f t="shared" si="438"/>
        <v>0</v>
      </c>
      <c r="AC664" s="53">
        <f t="shared" si="439"/>
        <v>0</v>
      </c>
      <c r="AD664" s="53">
        <f t="shared" si="440"/>
        <v>0</v>
      </c>
      <c r="AE664" s="53">
        <f t="shared" si="441"/>
        <v>0</v>
      </c>
      <c r="AF664" s="53">
        <f t="shared" si="442"/>
        <v>0</v>
      </c>
    </row>
    <row r="665" spans="2:32">
      <c r="B665" s="43" t="str">
        <f t="shared" si="435"/>
        <v>Asset 111</v>
      </c>
      <c r="F665" s="43" t="str">
        <f t="shared" ref="F665:L665" si="493">F169</f>
        <v>37 ICT middelen 1</v>
      </c>
      <c r="G665" s="43">
        <f t="shared" si="493"/>
        <v>2004</v>
      </c>
      <c r="H665" s="48">
        <f t="shared" si="493"/>
        <v>2583848.4300000002</v>
      </c>
      <c r="I665" s="43">
        <f t="shared" si="493"/>
        <v>2021</v>
      </c>
      <c r="J665" s="43">
        <f t="shared" si="493"/>
        <v>5</v>
      </c>
      <c r="K665" s="43">
        <f t="shared" si="493"/>
        <v>1</v>
      </c>
      <c r="L665" s="48">
        <f t="shared" si="493"/>
        <v>0</v>
      </c>
      <c r="N665" s="44">
        <f t="shared" si="437"/>
        <v>0</v>
      </c>
      <c r="P665" s="49">
        <f t="shared" si="446"/>
        <v>0</v>
      </c>
      <c r="Q665" s="49">
        <f t="shared" si="446"/>
        <v>0</v>
      </c>
      <c r="R665" s="49">
        <f t="shared" si="446"/>
        <v>0</v>
      </c>
      <c r="S665" s="49">
        <f t="shared" si="446"/>
        <v>0</v>
      </c>
      <c r="T665" s="49">
        <f t="shared" si="446"/>
        <v>0</v>
      </c>
      <c r="V665" s="53">
        <f t="shared" si="447"/>
        <v>0</v>
      </c>
      <c r="W665" s="53">
        <f t="shared" si="448"/>
        <v>0</v>
      </c>
      <c r="X665" s="53">
        <f t="shared" si="449"/>
        <v>0</v>
      </c>
      <c r="Y665" s="53">
        <f t="shared" si="450"/>
        <v>0</v>
      </c>
      <c r="Z665" s="53">
        <f t="shared" si="451"/>
        <v>0</v>
      </c>
      <c r="AB665" s="53">
        <f t="shared" si="438"/>
        <v>0</v>
      </c>
      <c r="AC665" s="53">
        <f t="shared" si="439"/>
        <v>0</v>
      </c>
      <c r="AD665" s="53">
        <f t="shared" si="440"/>
        <v>0</v>
      </c>
      <c r="AE665" s="53">
        <f t="shared" si="441"/>
        <v>0</v>
      </c>
      <c r="AF665" s="53">
        <f t="shared" si="442"/>
        <v>0</v>
      </c>
    </row>
    <row r="666" spans="2:32">
      <c r="B666" s="43" t="str">
        <f t="shared" si="435"/>
        <v>Asset 112</v>
      </c>
      <c r="F666" s="43" t="str">
        <f t="shared" ref="F666:L666" si="494">F170</f>
        <v>37 ICT middelen 1 (gaschromatografen en comptabele meting)</v>
      </c>
      <c r="G666" s="43">
        <f t="shared" si="494"/>
        <v>2004</v>
      </c>
      <c r="H666" s="48">
        <f t="shared" si="494"/>
        <v>263122.5</v>
      </c>
      <c r="I666" s="43">
        <f t="shared" si="494"/>
        <v>2021</v>
      </c>
      <c r="J666" s="43">
        <f t="shared" si="494"/>
        <v>5</v>
      </c>
      <c r="K666" s="43">
        <f t="shared" si="494"/>
        <v>0</v>
      </c>
      <c r="L666" s="48">
        <f t="shared" si="494"/>
        <v>0</v>
      </c>
      <c r="N666" s="44">
        <f t="shared" si="437"/>
        <v>0</v>
      </c>
      <c r="P666" s="49">
        <f t="shared" si="446"/>
        <v>0</v>
      </c>
      <c r="Q666" s="49">
        <f t="shared" si="446"/>
        <v>0</v>
      </c>
      <c r="R666" s="49">
        <f t="shared" si="446"/>
        <v>0</v>
      </c>
      <c r="S666" s="49">
        <f t="shared" si="446"/>
        <v>0</v>
      </c>
      <c r="T666" s="49">
        <f t="shared" si="446"/>
        <v>0</v>
      </c>
      <c r="V666" s="53">
        <f t="shared" si="447"/>
        <v>0</v>
      </c>
      <c r="W666" s="53">
        <f t="shared" si="448"/>
        <v>0</v>
      </c>
      <c r="X666" s="53">
        <f t="shared" si="449"/>
        <v>0</v>
      </c>
      <c r="Y666" s="53">
        <f t="shared" si="450"/>
        <v>0</v>
      </c>
      <c r="Z666" s="53">
        <f t="shared" si="451"/>
        <v>0</v>
      </c>
      <c r="AB666" s="53">
        <f t="shared" si="438"/>
        <v>0</v>
      </c>
      <c r="AC666" s="53">
        <f t="shared" si="439"/>
        <v>0</v>
      </c>
      <c r="AD666" s="53">
        <f t="shared" si="440"/>
        <v>0</v>
      </c>
      <c r="AE666" s="53">
        <f t="shared" si="441"/>
        <v>0</v>
      </c>
      <c r="AF666" s="53">
        <f t="shared" si="442"/>
        <v>0</v>
      </c>
    </row>
    <row r="667" spans="2:32">
      <c r="B667" s="43" t="str">
        <f t="shared" si="435"/>
        <v>Asset 113</v>
      </c>
      <c r="F667" s="43" t="str">
        <f t="shared" ref="F667:L667" si="495">F171</f>
        <v>09 Bedrijfsinventaris</v>
      </c>
      <c r="G667" s="43">
        <f t="shared" si="495"/>
        <v>2004</v>
      </c>
      <c r="H667" s="48">
        <f t="shared" si="495"/>
        <v>142655</v>
      </c>
      <c r="I667" s="43">
        <f t="shared" si="495"/>
        <v>2021</v>
      </c>
      <c r="J667" s="43">
        <f t="shared" si="495"/>
        <v>10</v>
      </c>
      <c r="K667" s="43">
        <f t="shared" si="495"/>
        <v>1</v>
      </c>
      <c r="L667" s="48">
        <f t="shared" si="495"/>
        <v>0</v>
      </c>
      <c r="N667" s="44">
        <f t="shared" si="437"/>
        <v>0</v>
      </c>
      <c r="P667" s="49">
        <f t="shared" si="446"/>
        <v>0</v>
      </c>
      <c r="Q667" s="49">
        <f t="shared" si="446"/>
        <v>0</v>
      </c>
      <c r="R667" s="49">
        <f t="shared" si="446"/>
        <v>0</v>
      </c>
      <c r="S667" s="49">
        <f t="shared" si="446"/>
        <v>0</v>
      </c>
      <c r="T667" s="49">
        <f t="shared" si="446"/>
        <v>0</v>
      </c>
      <c r="V667" s="53">
        <f t="shared" si="447"/>
        <v>0</v>
      </c>
      <c r="W667" s="53">
        <f t="shared" si="448"/>
        <v>0</v>
      </c>
      <c r="X667" s="53">
        <f t="shared" si="449"/>
        <v>0</v>
      </c>
      <c r="Y667" s="53">
        <f t="shared" si="450"/>
        <v>0</v>
      </c>
      <c r="Z667" s="53">
        <f t="shared" si="451"/>
        <v>0</v>
      </c>
      <c r="AB667" s="53">
        <f t="shared" si="438"/>
        <v>0</v>
      </c>
      <c r="AC667" s="53">
        <f t="shared" si="439"/>
        <v>0</v>
      </c>
      <c r="AD667" s="53">
        <f t="shared" si="440"/>
        <v>0</v>
      </c>
      <c r="AE667" s="53">
        <f t="shared" si="441"/>
        <v>0</v>
      </c>
      <c r="AF667" s="53">
        <f t="shared" si="442"/>
        <v>0</v>
      </c>
    </row>
    <row r="668" spans="2:32">
      <c r="B668" s="43" t="str">
        <f t="shared" si="435"/>
        <v>Asset 114</v>
      </c>
      <c r="F668" s="43" t="str">
        <f t="shared" ref="F668:L668" si="496">F172</f>
        <v>11 Werktuigen</v>
      </c>
      <c r="G668" s="43">
        <f t="shared" si="496"/>
        <v>2004</v>
      </c>
      <c r="H668" s="48">
        <f t="shared" si="496"/>
        <v>77020.09</v>
      </c>
      <c r="I668" s="43">
        <f t="shared" si="496"/>
        <v>2021</v>
      </c>
      <c r="J668" s="43">
        <f t="shared" si="496"/>
        <v>10</v>
      </c>
      <c r="K668" s="43">
        <f t="shared" si="496"/>
        <v>1</v>
      </c>
      <c r="L668" s="48">
        <f t="shared" si="496"/>
        <v>0</v>
      </c>
      <c r="N668" s="44">
        <f t="shared" si="437"/>
        <v>0</v>
      </c>
      <c r="P668" s="49">
        <f t="shared" si="446"/>
        <v>0</v>
      </c>
      <c r="Q668" s="49">
        <f t="shared" si="446"/>
        <v>0</v>
      </c>
      <c r="R668" s="49">
        <f t="shared" si="446"/>
        <v>0</v>
      </c>
      <c r="S668" s="49">
        <f t="shared" si="446"/>
        <v>0</v>
      </c>
      <c r="T668" s="49">
        <f t="shared" si="446"/>
        <v>0</v>
      </c>
      <c r="V668" s="53">
        <f t="shared" si="447"/>
        <v>0</v>
      </c>
      <c r="W668" s="53">
        <f t="shared" si="448"/>
        <v>0</v>
      </c>
      <c r="X668" s="53">
        <f t="shared" si="449"/>
        <v>0</v>
      </c>
      <c r="Y668" s="53">
        <f t="shared" si="450"/>
        <v>0</v>
      </c>
      <c r="Z668" s="53">
        <f t="shared" si="451"/>
        <v>0</v>
      </c>
      <c r="AB668" s="53">
        <f t="shared" si="438"/>
        <v>0</v>
      </c>
      <c r="AC668" s="53">
        <f t="shared" si="439"/>
        <v>0</v>
      </c>
      <c r="AD668" s="53">
        <f t="shared" si="440"/>
        <v>0</v>
      </c>
      <c r="AE668" s="53">
        <f t="shared" si="441"/>
        <v>0</v>
      </c>
      <c r="AF668" s="53">
        <f t="shared" si="442"/>
        <v>0</v>
      </c>
    </row>
    <row r="669" spans="2:32">
      <c r="B669" s="43" t="str">
        <f t="shared" si="435"/>
        <v>Asset 115</v>
      </c>
      <c r="F669" s="43" t="str">
        <f t="shared" ref="F669:L669" si="497">F173</f>
        <v>14 Overig rollend materieel</v>
      </c>
      <c r="G669" s="43">
        <f t="shared" si="497"/>
        <v>2004</v>
      </c>
      <c r="H669" s="48">
        <f t="shared" si="497"/>
        <v>195332.07</v>
      </c>
      <c r="I669" s="43">
        <f t="shared" si="497"/>
        <v>2021</v>
      </c>
      <c r="J669" s="43">
        <f t="shared" si="497"/>
        <v>10</v>
      </c>
      <c r="K669" s="43">
        <f t="shared" si="497"/>
        <v>1</v>
      </c>
      <c r="L669" s="48">
        <f t="shared" si="497"/>
        <v>0</v>
      </c>
      <c r="N669" s="44">
        <f t="shared" si="437"/>
        <v>0</v>
      </c>
      <c r="P669" s="49">
        <f t="shared" si="446"/>
        <v>0</v>
      </c>
      <c r="Q669" s="49">
        <f t="shared" si="446"/>
        <v>0</v>
      </c>
      <c r="R669" s="49">
        <f t="shared" si="446"/>
        <v>0</v>
      </c>
      <c r="S669" s="49">
        <f t="shared" si="446"/>
        <v>0</v>
      </c>
      <c r="T669" s="49">
        <f t="shared" si="446"/>
        <v>0</v>
      </c>
      <c r="V669" s="53">
        <f t="shared" si="447"/>
        <v>0</v>
      </c>
      <c r="W669" s="53">
        <f t="shared" si="448"/>
        <v>0</v>
      </c>
      <c r="X669" s="53">
        <f t="shared" si="449"/>
        <v>0</v>
      </c>
      <c r="Y669" s="53">
        <f t="shared" si="450"/>
        <v>0</v>
      </c>
      <c r="Z669" s="53">
        <f t="shared" si="451"/>
        <v>0</v>
      </c>
      <c r="AB669" s="53">
        <f t="shared" si="438"/>
        <v>0</v>
      </c>
      <c r="AC669" s="53">
        <f t="shared" si="439"/>
        <v>0</v>
      </c>
      <c r="AD669" s="53">
        <f t="shared" si="440"/>
        <v>0</v>
      </c>
      <c r="AE669" s="53">
        <f t="shared" si="441"/>
        <v>0</v>
      </c>
      <c r="AF669" s="53">
        <f t="shared" si="442"/>
        <v>0</v>
      </c>
    </row>
    <row r="670" spans="2:32">
      <c r="B670" s="43" t="str">
        <f t="shared" si="435"/>
        <v>Asset 116</v>
      </c>
      <c r="F670" s="43" t="str">
        <f t="shared" ref="F670:L670" si="498">F174</f>
        <v>13 Aanhangwagens</v>
      </c>
      <c r="G670" s="43">
        <f t="shared" si="498"/>
        <v>2004</v>
      </c>
      <c r="H670" s="48">
        <f t="shared" si="498"/>
        <v>1265</v>
      </c>
      <c r="I670" s="43">
        <f t="shared" si="498"/>
        <v>2021</v>
      </c>
      <c r="J670" s="43">
        <f t="shared" si="498"/>
        <v>10</v>
      </c>
      <c r="K670" s="43">
        <f t="shared" si="498"/>
        <v>1</v>
      </c>
      <c r="L670" s="48">
        <f t="shared" si="498"/>
        <v>0</v>
      </c>
      <c r="N670" s="44">
        <f t="shared" si="437"/>
        <v>0</v>
      </c>
      <c r="P670" s="49">
        <f t="shared" si="446"/>
        <v>0</v>
      </c>
      <c r="Q670" s="49">
        <f t="shared" si="446"/>
        <v>0</v>
      </c>
      <c r="R670" s="49">
        <f t="shared" si="446"/>
        <v>0</v>
      </c>
      <c r="S670" s="49">
        <f t="shared" si="446"/>
        <v>0</v>
      </c>
      <c r="T670" s="49">
        <f t="shared" si="446"/>
        <v>0</v>
      </c>
      <c r="V670" s="53">
        <f t="shared" si="447"/>
        <v>0</v>
      </c>
      <c r="W670" s="53">
        <f t="shared" si="448"/>
        <v>0</v>
      </c>
      <c r="X670" s="53">
        <f t="shared" si="449"/>
        <v>0</v>
      </c>
      <c r="Y670" s="53">
        <f t="shared" si="450"/>
        <v>0</v>
      </c>
      <c r="Z670" s="53">
        <f t="shared" si="451"/>
        <v>0</v>
      </c>
      <c r="AB670" s="53">
        <f t="shared" si="438"/>
        <v>0</v>
      </c>
      <c r="AC670" s="53">
        <f t="shared" si="439"/>
        <v>0</v>
      </c>
      <c r="AD670" s="53">
        <f t="shared" si="440"/>
        <v>0</v>
      </c>
      <c r="AE670" s="53">
        <f t="shared" si="441"/>
        <v>0</v>
      </c>
      <c r="AF670" s="53">
        <f t="shared" si="442"/>
        <v>0</v>
      </c>
    </row>
    <row r="671" spans="2:32">
      <c r="B671" s="43" t="str">
        <f t="shared" si="435"/>
        <v>Asset 117</v>
      </c>
      <c r="F671" s="43" t="str">
        <f t="shared" ref="F671:L671" si="499">F175</f>
        <v>08 Inrichting gebouwen</v>
      </c>
      <c r="G671" s="43">
        <f t="shared" si="499"/>
        <v>2004</v>
      </c>
      <c r="H671" s="48">
        <f t="shared" si="499"/>
        <v>62865.23</v>
      </c>
      <c r="I671" s="43">
        <f t="shared" si="499"/>
        <v>2021</v>
      </c>
      <c r="J671" s="43">
        <f t="shared" si="499"/>
        <v>10</v>
      </c>
      <c r="K671" s="43">
        <f t="shared" si="499"/>
        <v>0</v>
      </c>
      <c r="L671" s="48">
        <f t="shared" si="499"/>
        <v>0</v>
      </c>
      <c r="N671" s="44">
        <f t="shared" si="437"/>
        <v>0</v>
      </c>
      <c r="P671" s="49">
        <f t="shared" si="446"/>
        <v>0</v>
      </c>
      <c r="Q671" s="49">
        <f t="shared" si="446"/>
        <v>0</v>
      </c>
      <c r="R671" s="49">
        <f t="shared" si="446"/>
        <v>0</v>
      </c>
      <c r="S671" s="49">
        <f t="shared" si="446"/>
        <v>0</v>
      </c>
      <c r="T671" s="49">
        <f t="shared" si="446"/>
        <v>0</v>
      </c>
      <c r="V671" s="53">
        <f t="shared" si="447"/>
        <v>0</v>
      </c>
      <c r="W671" s="53">
        <f t="shared" si="448"/>
        <v>0</v>
      </c>
      <c r="X671" s="53">
        <f t="shared" si="449"/>
        <v>0</v>
      </c>
      <c r="Y671" s="53">
        <f t="shared" si="450"/>
        <v>0</v>
      </c>
      <c r="Z671" s="53">
        <f t="shared" si="451"/>
        <v>0</v>
      </c>
      <c r="AB671" s="53">
        <f t="shared" si="438"/>
        <v>0</v>
      </c>
      <c r="AC671" s="53">
        <f t="shared" si="439"/>
        <v>0</v>
      </c>
      <c r="AD671" s="53">
        <f t="shared" si="440"/>
        <v>0</v>
      </c>
      <c r="AE671" s="53">
        <f t="shared" si="441"/>
        <v>0</v>
      </c>
      <c r="AF671" s="53">
        <f t="shared" si="442"/>
        <v>0</v>
      </c>
    </row>
    <row r="672" spans="2:32">
      <c r="B672" s="43" t="str">
        <f t="shared" si="435"/>
        <v>Asset 118</v>
      </c>
      <c r="F672" s="43" t="str">
        <f t="shared" ref="F672:L672" si="500">F176</f>
        <v>12 Motorvoertuigen</v>
      </c>
      <c r="G672" s="43">
        <f t="shared" si="500"/>
        <v>2004</v>
      </c>
      <c r="H672" s="48">
        <f t="shared" si="500"/>
        <v>47369.03</v>
      </c>
      <c r="I672" s="43">
        <f t="shared" si="500"/>
        <v>2021</v>
      </c>
      <c r="J672" s="43">
        <f t="shared" si="500"/>
        <v>10</v>
      </c>
      <c r="K672" s="43">
        <f t="shared" si="500"/>
        <v>1</v>
      </c>
      <c r="L672" s="48">
        <f t="shared" si="500"/>
        <v>0</v>
      </c>
      <c r="N672" s="44">
        <f t="shared" si="437"/>
        <v>0</v>
      </c>
      <c r="P672" s="49">
        <f t="shared" si="446"/>
        <v>0</v>
      </c>
      <c r="Q672" s="49">
        <f t="shared" si="446"/>
        <v>0</v>
      </c>
      <c r="R672" s="49">
        <f t="shared" si="446"/>
        <v>0</v>
      </c>
      <c r="S672" s="49">
        <f t="shared" si="446"/>
        <v>0</v>
      </c>
      <c r="T672" s="49">
        <f t="shared" si="446"/>
        <v>0</v>
      </c>
      <c r="V672" s="53">
        <f t="shared" si="447"/>
        <v>0</v>
      </c>
      <c r="W672" s="53">
        <f t="shared" si="448"/>
        <v>0</v>
      </c>
      <c r="X672" s="53">
        <f t="shared" si="449"/>
        <v>0</v>
      </c>
      <c r="Y672" s="53">
        <f t="shared" si="450"/>
        <v>0</v>
      </c>
      <c r="Z672" s="53">
        <f t="shared" si="451"/>
        <v>0</v>
      </c>
      <c r="AB672" s="53">
        <f t="shared" si="438"/>
        <v>0</v>
      </c>
      <c r="AC672" s="53">
        <f t="shared" si="439"/>
        <v>0</v>
      </c>
      <c r="AD672" s="53">
        <f t="shared" si="440"/>
        <v>0</v>
      </c>
      <c r="AE672" s="53">
        <f t="shared" si="441"/>
        <v>0</v>
      </c>
      <c r="AF672" s="53">
        <f t="shared" si="442"/>
        <v>0</v>
      </c>
    </row>
    <row r="673" spans="2:32">
      <c r="B673" s="43" t="str">
        <f t="shared" si="435"/>
        <v>Asset 119</v>
      </c>
      <c r="F673" s="43" t="str">
        <f t="shared" ref="F673:L673" si="501">F177</f>
        <v>06 Utiliteitsgebouwen</v>
      </c>
      <c r="G673" s="43">
        <f t="shared" si="501"/>
        <v>2005</v>
      </c>
      <c r="H673" s="48">
        <f t="shared" si="501"/>
        <v>13716.41</v>
      </c>
      <c r="I673" s="43">
        <f t="shared" si="501"/>
        <v>2021</v>
      </c>
      <c r="J673" s="43">
        <f t="shared" si="501"/>
        <v>30</v>
      </c>
      <c r="K673" s="43">
        <f t="shared" si="501"/>
        <v>0</v>
      </c>
      <c r="L673" s="48">
        <f t="shared" si="501"/>
        <v>7968.2289834864932</v>
      </c>
      <c r="N673" s="44">
        <f t="shared" si="437"/>
        <v>13.5</v>
      </c>
      <c r="P673" s="49">
        <f t="shared" si="446"/>
        <v>590.23918396196245</v>
      </c>
      <c r="Q673" s="49">
        <f t="shared" si="446"/>
        <v>590.23918396196245</v>
      </c>
      <c r="R673" s="49">
        <f t="shared" si="446"/>
        <v>590.23918396196245</v>
      </c>
      <c r="S673" s="49">
        <f t="shared" si="446"/>
        <v>590.23918396196245</v>
      </c>
      <c r="T673" s="49">
        <f t="shared" si="446"/>
        <v>590.23918396196245</v>
      </c>
      <c r="V673" s="53">
        <f t="shared" si="447"/>
        <v>7377.989799524531</v>
      </c>
      <c r="W673" s="53">
        <f t="shared" si="448"/>
        <v>6787.7506155625688</v>
      </c>
      <c r="X673" s="53">
        <f t="shared" si="449"/>
        <v>6197.5114316006066</v>
      </c>
      <c r="Y673" s="53">
        <f t="shared" si="450"/>
        <v>5607.2722476386443</v>
      </c>
      <c r="Z673" s="53">
        <f t="shared" si="451"/>
        <v>5017.0330636766821</v>
      </c>
      <c r="AB673" s="53">
        <f t="shared" si="438"/>
        <v>841.09083714579651</v>
      </c>
      <c r="AC673" s="53">
        <f t="shared" si="439"/>
        <v>814.23495427552723</v>
      </c>
      <c r="AD673" s="53">
        <f t="shared" si="440"/>
        <v>825.74461836278556</v>
      </c>
      <c r="AE673" s="53">
        <f t="shared" si="441"/>
        <v>803.31552937223091</v>
      </c>
      <c r="AF673" s="53">
        <f t="shared" si="442"/>
        <v>780.88644038167638</v>
      </c>
    </row>
    <row r="674" spans="2:32">
      <c r="B674" s="43" t="str">
        <f t="shared" si="435"/>
        <v>Asset 120</v>
      </c>
      <c r="F674" s="43" t="str">
        <f t="shared" ref="F674:L674" si="502">F178</f>
        <v>13 Aanhangwagens</v>
      </c>
      <c r="G674" s="43">
        <f t="shared" si="502"/>
        <v>2005</v>
      </c>
      <c r="H674" s="48">
        <f t="shared" si="502"/>
        <v>5690.5</v>
      </c>
      <c r="I674" s="43">
        <f t="shared" si="502"/>
        <v>2021</v>
      </c>
      <c r="J674" s="43">
        <f t="shared" si="502"/>
        <v>10</v>
      </c>
      <c r="K674" s="43">
        <f t="shared" si="502"/>
        <v>1</v>
      </c>
      <c r="L674" s="48">
        <f t="shared" si="502"/>
        <v>0</v>
      </c>
      <c r="N674" s="44">
        <f t="shared" si="437"/>
        <v>0</v>
      </c>
      <c r="P674" s="49">
        <f t="shared" ref="P674:T724" si="503">IF(P$553&lt;=$G674+$J674,VDB($L674,0,$N674,P$553-2022,MIN(P$553-2021,$N674),1),0)</f>
        <v>0</v>
      </c>
      <c r="Q674" s="49">
        <f t="shared" si="503"/>
        <v>0</v>
      </c>
      <c r="R674" s="49">
        <f t="shared" si="503"/>
        <v>0</v>
      </c>
      <c r="S674" s="49">
        <f t="shared" si="503"/>
        <v>0</v>
      </c>
      <c r="T674" s="49">
        <f t="shared" si="503"/>
        <v>0</v>
      </c>
      <c r="V674" s="53">
        <f t="shared" si="447"/>
        <v>0</v>
      </c>
      <c r="W674" s="53">
        <f t="shared" si="448"/>
        <v>0</v>
      </c>
      <c r="X674" s="53">
        <f t="shared" si="449"/>
        <v>0</v>
      </c>
      <c r="Y674" s="53">
        <f t="shared" si="450"/>
        <v>0</v>
      </c>
      <c r="Z674" s="53">
        <f t="shared" si="451"/>
        <v>0</v>
      </c>
      <c r="AB674" s="53">
        <f t="shared" si="438"/>
        <v>0</v>
      </c>
      <c r="AC674" s="53">
        <f t="shared" si="439"/>
        <v>0</v>
      </c>
      <c r="AD674" s="53">
        <f t="shared" si="440"/>
        <v>0</v>
      </c>
      <c r="AE674" s="53">
        <f t="shared" si="441"/>
        <v>0</v>
      </c>
      <c r="AF674" s="53">
        <f t="shared" si="442"/>
        <v>0</v>
      </c>
    </row>
    <row r="675" spans="2:32">
      <c r="B675" s="43" t="str">
        <f t="shared" si="435"/>
        <v>Asset 121</v>
      </c>
      <c r="F675" s="43" t="str">
        <f t="shared" ref="F675:L675" si="504">F179</f>
        <v>08 Inrichting gebouwen</v>
      </c>
      <c r="G675" s="43">
        <f t="shared" si="504"/>
        <v>2005</v>
      </c>
      <c r="H675" s="48">
        <f t="shared" si="504"/>
        <v>149702.98000000001</v>
      </c>
      <c r="I675" s="43">
        <f t="shared" si="504"/>
        <v>2021</v>
      </c>
      <c r="J675" s="43">
        <f t="shared" si="504"/>
        <v>10</v>
      </c>
      <c r="K675" s="43">
        <f t="shared" si="504"/>
        <v>0</v>
      </c>
      <c r="L675" s="48">
        <f t="shared" si="504"/>
        <v>0</v>
      </c>
      <c r="N675" s="44">
        <f t="shared" si="437"/>
        <v>0</v>
      </c>
      <c r="P675" s="49">
        <f t="shared" si="503"/>
        <v>0</v>
      </c>
      <c r="Q675" s="49">
        <f t="shared" si="503"/>
        <v>0</v>
      </c>
      <c r="R675" s="49">
        <f t="shared" si="503"/>
        <v>0</v>
      </c>
      <c r="S675" s="49">
        <f t="shared" si="503"/>
        <v>0</v>
      </c>
      <c r="T675" s="49">
        <f t="shared" si="503"/>
        <v>0</v>
      </c>
      <c r="V675" s="53">
        <f t="shared" si="447"/>
        <v>0</v>
      </c>
      <c r="W675" s="53">
        <f t="shared" si="448"/>
        <v>0</v>
      </c>
      <c r="X675" s="53">
        <f t="shared" si="449"/>
        <v>0</v>
      </c>
      <c r="Y675" s="53">
        <f t="shared" si="450"/>
        <v>0</v>
      </c>
      <c r="Z675" s="53">
        <f t="shared" si="451"/>
        <v>0</v>
      </c>
      <c r="AB675" s="53">
        <f t="shared" si="438"/>
        <v>0</v>
      </c>
      <c r="AC675" s="53">
        <f t="shared" si="439"/>
        <v>0</v>
      </c>
      <c r="AD675" s="53">
        <f t="shared" si="440"/>
        <v>0</v>
      </c>
      <c r="AE675" s="53">
        <f t="shared" si="441"/>
        <v>0</v>
      </c>
      <c r="AF675" s="53">
        <f t="shared" si="442"/>
        <v>0</v>
      </c>
    </row>
    <row r="676" spans="2:32">
      <c r="B676" s="43" t="str">
        <f t="shared" si="435"/>
        <v>Asset 122</v>
      </c>
      <c r="F676" s="43" t="str">
        <f t="shared" ref="F676:L676" si="505">F180</f>
        <v>12 Motorvoertuigen</v>
      </c>
      <c r="G676" s="43">
        <f t="shared" si="505"/>
        <v>2005</v>
      </c>
      <c r="H676" s="48">
        <f t="shared" si="505"/>
        <v>144500</v>
      </c>
      <c r="I676" s="43">
        <f t="shared" si="505"/>
        <v>2021</v>
      </c>
      <c r="J676" s="43">
        <f t="shared" si="505"/>
        <v>10</v>
      </c>
      <c r="K676" s="43">
        <f t="shared" si="505"/>
        <v>1</v>
      </c>
      <c r="L676" s="48">
        <f t="shared" si="505"/>
        <v>0</v>
      </c>
      <c r="N676" s="44">
        <f t="shared" si="437"/>
        <v>0</v>
      </c>
      <c r="P676" s="49">
        <f t="shared" si="503"/>
        <v>0</v>
      </c>
      <c r="Q676" s="49">
        <f t="shared" si="503"/>
        <v>0</v>
      </c>
      <c r="R676" s="49">
        <f t="shared" si="503"/>
        <v>0</v>
      </c>
      <c r="S676" s="49">
        <f t="shared" si="503"/>
        <v>0</v>
      </c>
      <c r="T676" s="49">
        <f t="shared" si="503"/>
        <v>0</v>
      </c>
      <c r="V676" s="53">
        <f t="shared" si="447"/>
        <v>0</v>
      </c>
      <c r="W676" s="53">
        <f t="shared" si="448"/>
        <v>0</v>
      </c>
      <c r="X676" s="53">
        <f t="shared" si="449"/>
        <v>0</v>
      </c>
      <c r="Y676" s="53">
        <f t="shared" si="450"/>
        <v>0</v>
      </c>
      <c r="Z676" s="53">
        <f t="shared" si="451"/>
        <v>0</v>
      </c>
      <c r="AB676" s="53">
        <f t="shared" si="438"/>
        <v>0</v>
      </c>
      <c r="AC676" s="53">
        <f t="shared" si="439"/>
        <v>0</v>
      </c>
      <c r="AD676" s="53">
        <f t="shared" si="440"/>
        <v>0</v>
      </c>
      <c r="AE676" s="53">
        <f t="shared" si="441"/>
        <v>0</v>
      </c>
      <c r="AF676" s="53">
        <f t="shared" si="442"/>
        <v>0</v>
      </c>
    </row>
    <row r="677" spans="2:32">
      <c r="B677" s="43" t="str">
        <f t="shared" si="435"/>
        <v>Asset 123</v>
      </c>
      <c r="F677" s="43" t="str">
        <f t="shared" ref="F677:L677" si="506">F181</f>
        <v>09 Bedrijfsinventaris</v>
      </c>
      <c r="G677" s="43">
        <f t="shared" si="506"/>
        <v>2005</v>
      </c>
      <c r="H677" s="48">
        <f t="shared" si="506"/>
        <v>22500</v>
      </c>
      <c r="I677" s="43">
        <f t="shared" si="506"/>
        <v>2021</v>
      </c>
      <c r="J677" s="43">
        <f t="shared" si="506"/>
        <v>10</v>
      </c>
      <c r="K677" s="43">
        <f t="shared" si="506"/>
        <v>1</v>
      </c>
      <c r="L677" s="48">
        <f t="shared" si="506"/>
        <v>0</v>
      </c>
      <c r="N677" s="44">
        <f t="shared" si="437"/>
        <v>0</v>
      </c>
      <c r="P677" s="49">
        <f t="shared" si="503"/>
        <v>0</v>
      </c>
      <c r="Q677" s="49">
        <f t="shared" si="503"/>
        <v>0</v>
      </c>
      <c r="R677" s="49">
        <f t="shared" si="503"/>
        <v>0</v>
      </c>
      <c r="S677" s="49">
        <f t="shared" si="503"/>
        <v>0</v>
      </c>
      <c r="T677" s="49">
        <f t="shared" si="503"/>
        <v>0</v>
      </c>
      <c r="V677" s="53">
        <f t="shared" si="447"/>
        <v>0</v>
      </c>
      <c r="W677" s="53">
        <f t="shared" si="448"/>
        <v>0</v>
      </c>
      <c r="X677" s="53">
        <f t="shared" si="449"/>
        <v>0</v>
      </c>
      <c r="Y677" s="53">
        <f t="shared" si="450"/>
        <v>0</v>
      </c>
      <c r="Z677" s="53">
        <f t="shared" si="451"/>
        <v>0</v>
      </c>
      <c r="AB677" s="53">
        <f t="shared" si="438"/>
        <v>0</v>
      </c>
      <c r="AC677" s="53">
        <f t="shared" si="439"/>
        <v>0</v>
      </c>
      <c r="AD677" s="53">
        <f t="shared" si="440"/>
        <v>0</v>
      </c>
      <c r="AE677" s="53">
        <f t="shared" si="441"/>
        <v>0</v>
      </c>
      <c r="AF677" s="53">
        <f t="shared" si="442"/>
        <v>0</v>
      </c>
    </row>
    <row r="678" spans="2:32">
      <c r="B678" s="43" t="str">
        <f t="shared" si="435"/>
        <v>Asset 124</v>
      </c>
      <c r="F678" s="43" t="str">
        <f t="shared" ref="F678:L678" si="507">F182</f>
        <v>14 Overig rollend materieel</v>
      </c>
      <c r="G678" s="43">
        <f t="shared" si="507"/>
        <v>2006</v>
      </c>
      <c r="H678" s="48">
        <f t="shared" si="507"/>
        <v>23374</v>
      </c>
      <c r="I678" s="43">
        <f t="shared" si="507"/>
        <v>2021</v>
      </c>
      <c r="J678" s="43">
        <f t="shared" si="507"/>
        <v>10</v>
      </c>
      <c r="K678" s="43">
        <f t="shared" si="507"/>
        <v>1</v>
      </c>
      <c r="L678" s="48">
        <f t="shared" si="507"/>
        <v>0</v>
      </c>
      <c r="N678" s="44">
        <f t="shared" si="437"/>
        <v>0</v>
      </c>
      <c r="P678" s="49">
        <f t="shared" si="503"/>
        <v>0</v>
      </c>
      <c r="Q678" s="49">
        <f t="shared" si="503"/>
        <v>0</v>
      </c>
      <c r="R678" s="49">
        <f t="shared" si="503"/>
        <v>0</v>
      </c>
      <c r="S678" s="49">
        <f t="shared" si="503"/>
        <v>0</v>
      </c>
      <c r="T678" s="49">
        <f t="shared" si="503"/>
        <v>0</v>
      </c>
      <c r="V678" s="53">
        <f t="shared" si="447"/>
        <v>0</v>
      </c>
      <c r="W678" s="53">
        <f t="shared" si="448"/>
        <v>0</v>
      </c>
      <c r="X678" s="53">
        <f t="shared" si="449"/>
        <v>0</v>
      </c>
      <c r="Y678" s="53">
        <f t="shared" si="450"/>
        <v>0</v>
      </c>
      <c r="Z678" s="53">
        <f t="shared" si="451"/>
        <v>0</v>
      </c>
      <c r="AB678" s="53">
        <f t="shared" si="438"/>
        <v>0</v>
      </c>
      <c r="AC678" s="53">
        <f t="shared" si="439"/>
        <v>0</v>
      </c>
      <c r="AD678" s="53">
        <f t="shared" si="440"/>
        <v>0</v>
      </c>
      <c r="AE678" s="53">
        <f t="shared" si="441"/>
        <v>0</v>
      </c>
      <c r="AF678" s="53">
        <f t="shared" si="442"/>
        <v>0</v>
      </c>
    </row>
    <row r="679" spans="2:32">
      <c r="B679" s="43" t="str">
        <f t="shared" si="435"/>
        <v>Asset 125</v>
      </c>
      <c r="F679" s="43" t="str">
        <f t="shared" ref="F679:L679" si="508">F183</f>
        <v>06 Utiliteitsgebouwen</v>
      </c>
      <c r="G679" s="43">
        <f t="shared" si="508"/>
        <v>2006</v>
      </c>
      <c r="H679" s="48">
        <f t="shared" si="508"/>
        <v>216791.4</v>
      </c>
      <c r="I679" s="43">
        <f t="shared" si="508"/>
        <v>2021</v>
      </c>
      <c r="J679" s="43">
        <f t="shared" si="508"/>
        <v>30</v>
      </c>
      <c r="K679" s="43">
        <f t="shared" si="508"/>
        <v>0</v>
      </c>
      <c r="L679" s="48">
        <f t="shared" si="508"/>
        <v>132877.0119526372</v>
      </c>
      <c r="N679" s="44">
        <f t="shared" si="437"/>
        <v>14.5</v>
      </c>
      <c r="P679" s="49">
        <f t="shared" si="503"/>
        <v>9163.9318588025653</v>
      </c>
      <c r="Q679" s="49">
        <f t="shared" si="503"/>
        <v>9163.9318588025653</v>
      </c>
      <c r="R679" s="49">
        <f t="shared" si="503"/>
        <v>9163.9318588025653</v>
      </c>
      <c r="S679" s="49">
        <f t="shared" si="503"/>
        <v>9163.9318588025653</v>
      </c>
      <c r="T679" s="49">
        <f t="shared" si="503"/>
        <v>9163.9318588025653</v>
      </c>
      <c r="V679" s="53">
        <f t="shared" si="447"/>
        <v>123713.08009383464</v>
      </c>
      <c r="W679" s="53">
        <f t="shared" si="448"/>
        <v>114549.14823503207</v>
      </c>
      <c r="X679" s="53">
        <f t="shared" si="449"/>
        <v>105385.21637622951</v>
      </c>
      <c r="Y679" s="53">
        <f t="shared" si="450"/>
        <v>96221.284517426946</v>
      </c>
      <c r="Z679" s="53">
        <f t="shared" si="451"/>
        <v>87057.352658624382</v>
      </c>
      <c r="AB679" s="53">
        <f t="shared" si="438"/>
        <v>13370.176581992942</v>
      </c>
      <c r="AC679" s="53">
        <f t="shared" si="439"/>
        <v>12944.053750558624</v>
      </c>
      <c r="AD679" s="53">
        <f t="shared" si="440"/>
        <v>13168.570081099286</v>
      </c>
      <c r="AE679" s="53">
        <f t="shared" si="441"/>
        <v>12820.34067046479</v>
      </c>
      <c r="AF679" s="53">
        <f t="shared" si="442"/>
        <v>12472.111259830292</v>
      </c>
    </row>
    <row r="680" spans="2:32">
      <c r="B680" s="43" t="str">
        <f t="shared" si="435"/>
        <v>Asset 126</v>
      </c>
      <c r="F680" s="43" t="str">
        <f t="shared" ref="F680:L680" si="509">F184</f>
        <v>11 Werktuigen</v>
      </c>
      <c r="G680" s="43">
        <f t="shared" si="509"/>
        <v>2006</v>
      </c>
      <c r="H680" s="48">
        <f t="shared" si="509"/>
        <v>39984.959999999999</v>
      </c>
      <c r="I680" s="43">
        <f t="shared" si="509"/>
        <v>2021</v>
      </c>
      <c r="J680" s="43">
        <f t="shared" si="509"/>
        <v>10</v>
      </c>
      <c r="K680" s="43">
        <f t="shared" si="509"/>
        <v>1</v>
      </c>
      <c r="L680" s="48">
        <f t="shared" si="509"/>
        <v>0</v>
      </c>
      <c r="N680" s="44">
        <f t="shared" si="437"/>
        <v>0</v>
      </c>
      <c r="P680" s="49">
        <f t="shared" si="503"/>
        <v>0</v>
      </c>
      <c r="Q680" s="49">
        <f t="shared" si="503"/>
        <v>0</v>
      </c>
      <c r="R680" s="49">
        <f t="shared" si="503"/>
        <v>0</v>
      </c>
      <c r="S680" s="49">
        <f t="shared" si="503"/>
        <v>0</v>
      </c>
      <c r="T680" s="49">
        <f t="shared" si="503"/>
        <v>0</v>
      </c>
      <c r="V680" s="53">
        <f t="shared" si="447"/>
        <v>0</v>
      </c>
      <c r="W680" s="53">
        <f t="shared" si="448"/>
        <v>0</v>
      </c>
      <c r="X680" s="53">
        <f t="shared" si="449"/>
        <v>0</v>
      </c>
      <c r="Y680" s="53">
        <f t="shared" si="450"/>
        <v>0</v>
      </c>
      <c r="Z680" s="53">
        <f t="shared" si="451"/>
        <v>0</v>
      </c>
      <c r="AB680" s="53">
        <f t="shared" si="438"/>
        <v>0</v>
      </c>
      <c r="AC680" s="53">
        <f t="shared" si="439"/>
        <v>0</v>
      </c>
      <c r="AD680" s="53">
        <f t="shared" si="440"/>
        <v>0</v>
      </c>
      <c r="AE680" s="53">
        <f t="shared" si="441"/>
        <v>0</v>
      </c>
      <c r="AF680" s="53">
        <f t="shared" si="442"/>
        <v>0</v>
      </c>
    </row>
    <row r="681" spans="2:32">
      <c r="B681" s="43" t="str">
        <f t="shared" si="435"/>
        <v>Asset 127</v>
      </c>
      <c r="F681" s="43" t="str">
        <f t="shared" ref="F681:L681" si="510">F185</f>
        <v>06 Utiliteitsgebouwen</v>
      </c>
      <c r="G681" s="43">
        <f t="shared" si="510"/>
        <v>2007</v>
      </c>
      <c r="H681" s="48">
        <f t="shared" si="510"/>
        <v>25858.771191949236</v>
      </c>
      <c r="I681" s="43">
        <f t="shared" si="510"/>
        <v>2021</v>
      </c>
      <c r="J681" s="43">
        <f t="shared" si="510"/>
        <v>30</v>
      </c>
      <c r="K681" s="43">
        <f t="shared" si="510"/>
        <v>0</v>
      </c>
      <c r="L681" s="48">
        <f t="shared" si="510"/>
        <v>16708.652536273155</v>
      </c>
      <c r="N681" s="44">
        <f t="shared" si="437"/>
        <v>15.5</v>
      </c>
      <c r="P681" s="49">
        <f t="shared" si="503"/>
        <v>1077.977582985365</v>
      </c>
      <c r="Q681" s="49">
        <f t="shared" si="503"/>
        <v>1077.977582985365</v>
      </c>
      <c r="R681" s="49">
        <f t="shared" si="503"/>
        <v>1077.977582985365</v>
      </c>
      <c r="S681" s="49">
        <f t="shared" si="503"/>
        <v>1077.977582985365</v>
      </c>
      <c r="T681" s="49">
        <f t="shared" si="503"/>
        <v>1077.977582985365</v>
      </c>
      <c r="V681" s="53">
        <f t="shared" si="447"/>
        <v>15630.674953287791</v>
      </c>
      <c r="W681" s="53">
        <f t="shared" si="448"/>
        <v>14552.697370302427</v>
      </c>
      <c r="X681" s="53">
        <f t="shared" si="449"/>
        <v>13474.719787317063</v>
      </c>
      <c r="Y681" s="53">
        <f t="shared" si="450"/>
        <v>12396.742204331698</v>
      </c>
      <c r="Z681" s="53">
        <f t="shared" si="451"/>
        <v>11318.764621346334</v>
      </c>
      <c r="AB681" s="53">
        <f t="shared" si="438"/>
        <v>1609.4205313971499</v>
      </c>
      <c r="AC681" s="53">
        <f t="shared" si="439"/>
        <v>1558.216596205345</v>
      </c>
      <c r="AD681" s="53">
        <f t="shared" si="440"/>
        <v>1590.0169349034134</v>
      </c>
      <c r="AE681" s="53">
        <f t="shared" si="441"/>
        <v>1549.0537867499695</v>
      </c>
      <c r="AF681" s="53">
        <f t="shared" si="442"/>
        <v>1508.0906385965257</v>
      </c>
    </row>
    <row r="682" spans="2:32">
      <c r="B682" s="43" t="str">
        <f t="shared" si="435"/>
        <v>Asset 128</v>
      </c>
      <c r="F682" s="43" t="str">
        <f t="shared" ref="F682:L682" si="511">F186</f>
        <v>11 Werktuigen</v>
      </c>
      <c r="G682" s="43">
        <f t="shared" si="511"/>
        <v>2007</v>
      </c>
      <c r="H682" s="48">
        <f t="shared" si="511"/>
        <v>1088351.8199999998</v>
      </c>
      <c r="I682" s="43">
        <f t="shared" si="511"/>
        <v>2021</v>
      </c>
      <c r="J682" s="43">
        <f t="shared" si="511"/>
        <v>10</v>
      </c>
      <c r="K682" s="43">
        <f t="shared" si="511"/>
        <v>1</v>
      </c>
      <c r="L682" s="48">
        <f t="shared" si="511"/>
        <v>0</v>
      </c>
      <c r="N682" s="44">
        <f t="shared" si="437"/>
        <v>0</v>
      </c>
      <c r="P682" s="49">
        <f t="shared" si="503"/>
        <v>0</v>
      </c>
      <c r="Q682" s="49">
        <f t="shared" si="503"/>
        <v>0</v>
      </c>
      <c r="R682" s="49">
        <f t="shared" si="503"/>
        <v>0</v>
      </c>
      <c r="S682" s="49">
        <f t="shared" si="503"/>
        <v>0</v>
      </c>
      <c r="T682" s="49">
        <f t="shared" si="503"/>
        <v>0</v>
      </c>
      <c r="V682" s="53">
        <f t="shared" si="447"/>
        <v>0</v>
      </c>
      <c r="W682" s="53">
        <f t="shared" si="448"/>
        <v>0</v>
      </c>
      <c r="X682" s="53">
        <f t="shared" si="449"/>
        <v>0</v>
      </c>
      <c r="Y682" s="53">
        <f t="shared" si="450"/>
        <v>0</v>
      </c>
      <c r="Z682" s="53">
        <f t="shared" si="451"/>
        <v>0</v>
      </c>
      <c r="AB682" s="53">
        <f t="shared" si="438"/>
        <v>0</v>
      </c>
      <c r="AC682" s="53">
        <f t="shared" si="439"/>
        <v>0</v>
      </c>
      <c r="AD682" s="53">
        <f t="shared" si="440"/>
        <v>0</v>
      </c>
      <c r="AE682" s="53">
        <f t="shared" si="441"/>
        <v>0</v>
      </c>
      <c r="AF682" s="53">
        <f t="shared" si="442"/>
        <v>0</v>
      </c>
    </row>
    <row r="683" spans="2:32">
      <c r="B683" s="43" t="str">
        <f t="shared" si="435"/>
        <v>Asset 129</v>
      </c>
      <c r="F683" s="43" t="str">
        <f t="shared" ref="F683:L683" si="512">F187</f>
        <v>14 Overig rollend materieel</v>
      </c>
      <c r="G683" s="43">
        <f t="shared" si="512"/>
        <v>2007</v>
      </c>
      <c r="H683" s="48">
        <f t="shared" si="512"/>
        <v>661943.85</v>
      </c>
      <c r="I683" s="43">
        <f t="shared" si="512"/>
        <v>2021</v>
      </c>
      <c r="J683" s="43">
        <f t="shared" si="512"/>
        <v>10</v>
      </c>
      <c r="K683" s="43">
        <f t="shared" si="512"/>
        <v>1</v>
      </c>
      <c r="L683" s="48">
        <f t="shared" si="512"/>
        <v>0</v>
      </c>
      <c r="N683" s="44">
        <f t="shared" si="437"/>
        <v>0</v>
      </c>
      <c r="P683" s="49">
        <f t="shared" si="503"/>
        <v>0</v>
      </c>
      <c r="Q683" s="49">
        <f t="shared" si="503"/>
        <v>0</v>
      </c>
      <c r="R683" s="49">
        <f t="shared" si="503"/>
        <v>0</v>
      </c>
      <c r="S683" s="49">
        <f t="shared" si="503"/>
        <v>0</v>
      </c>
      <c r="T683" s="49">
        <f t="shared" si="503"/>
        <v>0</v>
      </c>
      <c r="V683" s="53">
        <f t="shared" si="447"/>
        <v>0</v>
      </c>
      <c r="W683" s="53">
        <f t="shared" si="448"/>
        <v>0</v>
      </c>
      <c r="X683" s="53">
        <f t="shared" si="449"/>
        <v>0</v>
      </c>
      <c r="Y683" s="53">
        <f t="shared" si="450"/>
        <v>0</v>
      </c>
      <c r="Z683" s="53">
        <f t="shared" si="451"/>
        <v>0</v>
      </c>
      <c r="AB683" s="53">
        <f t="shared" si="438"/>
        <v>0</v>
      </c>
      <c r="AC683" s="53">
        <f t="shared" si="439"/>
        <v>0</v>
      </c>
      <c r="AD683" s="53">
        <f t="shared" si="440"/>
        <v>0</v>
      </c>
      <c r="AE683" s="53">
        <f t="shared" si="441"/>
        <v>0</v>
      </c>
      <c r="AF683" s="53">
        <f t="shared" si="442"/>
        <v>0</v>
      </c>
    </row>
    <row r="684" spans="2:32">
      <c r="B684" s="43" t="str">
        <f t="shared" ref="B684:B747" si="513">B188</f>
        <v>Asset 130</v>
      </c>
      <c r="F684" s="43" t="str">
        <f t="shared" ref="F684:L684" si="514">F188</f>
        <v>12 Motorvoertuigen</v>
      </c>
      <c r="G684" s="43">
        <f t="shared" si="514"/>
        <v>2007</v>
      </c>
      <c r="H684" s="48">
        <f t="shared" si="514"/>
        <v>154091.65000000002</v>
      </c>
      <c r="I684" s="43">
        <f t="shared" si="514"/>
        <v>2021</v>
      </c>
      <c r="J684" s="43">
        <f t="shared" si="514"/>
        <v>10</v>
      </c>
      <c r="K684" s="43">
        <f t="shared" si="514"/>
        <v>1</v>
      </c>
      <c r="L684" s="48">
        <f t="shared" si="514"/>
        <v>0</v>
      </c>
      <c r="N684" s="44">
        <f t="shared" ref="N684:N747" si="515">MAX(0,IF(G684&lt;=2021, J684-2021+G684-0.5,J684))</f>
        <v>0</v>
      </c>
      <c r="P684" s="49">
        <f t="shared" si="503"/>
        <v>0</v>
      </c>
      <c r="Q684" s="49">
        <f t="shared" si="503"/>
        <v>0</v>
      </c>
      <c r="R684" s="49">
        <f t="shared" si="503"/>
        <v>0</v>
      </c>
      <c r="S684" s="49">
        <f t="shared" si="503"/>
        <v>0</v>
      </c>
      <c r="T684" s="49">
        <f t="shared" si="503"/>
        <v>0</v>
      </c>
      <c r="V684" s="53">
        <f t="shared" si="447"/>
        <v>0</v>
      </c>
      <c r="W684" s="53">
        <f t="shared" si="448"/>
        <v>0</v>
      </c>
      <c r="X684" s="53">
        <f t="shared" si="449"/>
        <v>0</v>
      </c>
      <c r="Y684" s="53">
        <f t="shared" si="450"/>
        <v>0</v>
      </c>
      <c r="Z684" s="53">
        <f t="shared" si="451"/>
        <v>0</v>
      </c>
      <c r="AB684" s="53">
        <f t="shared" ref="AB684:AB747" si="516">(P684+V684*I$16)*IF($K684=1,$F$19,1)</f>
        <v>0</v>
      </c>
      <c r="AC684" s="53">
        <f t="shared" ref="AC684:AC747" si="517">(Q684+W684*J$16)*IF($K684=1,$F$19,1)</f>
        <v>0</v>
      </c>
      <c r="AD684" s="53">
        <f t="shared" ref="AD684:AD747" si="518">(R684+X684*K$16)*IF($K684=1,$F$19,1)</f>
        <v>0</v>
      </c>
      <c r="AE684" s="53">
        <f t="shared" ref="AE684:AE747" si="519">(S684+Y684*L$16)*IF($K684=1,$F$19,1)</f>
        <v>0</v>
      </c>
      <c r="AF684" s="53">
        <f t="shared" ref="AF684:AF747" si="520">(T684+Z684*M$16)*IF($K684=1,$F$19,1)</f>
        <v>0</v>
      </c>
    </row>
    <row r="685" spans="2:32">
      <c r="B685" s="43" t="str">
        <f t="shared" si="513"/>
        <v>Asset 131</v>
      </c>
      <c r="F685" s="43" t="str">
        <f t="shared" ref="F685:L685" si="521">F189</f>
        <v>05 Wegen en terreinvoorzieningen</v>
      </c>
      <c r="G685" s="43">
        <f t="shared" si="521"/>
        <v>2007</v>
      </c>
      <c r="H685" s="48">
        <f t="shared" si="521"/>
        <v>79744.08</v>
      </c>
      <c r="I685" s="43">
        <f t="shared" si="521"/>
        <v>2021</v>
      </c>
      <c r="J685" s="43">
        <f t="shared" si="521"/>
        <v>10</v>
      </c>
      <c r="K685" s="43">
        <f t="shared" si="521"/>
        <v>0</v>
      </c>
      <c r="L685" s="48">
        <f t="shared" si="521"/>
        <v>0</v>
      </c>
      <c r="N685" s="44">
        <f t="shared" si="515"/>
        <v>0</v>
      </c>
      <c r="P685" s="49">
        <f t="shared" si="503"/>
        <v>0</v>
      </c>
      <c r="Q685" s="49">
        <f t="shared" si="503"/>
        <v>0</v>
      </c>
      <c r="R685" s="49">
        <f t="shared" si="503"/>
        <v>0</v>
      </c>
      <c r="S685" s="49">
        <f t="shared" si="503"/>
        <v>0</v>
      </c>
      <c r="T685" s="49">
        <f t="shared" si="503"/>
        <v>0</v>
      </c>
      <c r="V685" s="53">
        <f t="shared" si="447"/>
        <v>0</v>
      </c>
      <c r="W685" s="53">
        <f t="shared" si="448"/>
        <v>0</v>
      </c>
      <c r="X685" s="53">
        <f t="shared" si="449"/>
        <v>0</v>
      </c>
      <c r="Y685" s="53">
        <f t="shared" si="450"/>
        <v>0</v>
      </c>
      <c r="Z685" s="53">
        <f t="shared" si="451"/>
        <v>0</v>
      </c>
      <c r="AB685" s="53">
        <f t="shared" si="516"/>
        <v>0</v>
      </c>
      <c r="AC685" s="53">
        <f t="shared" si="517"/>
        <v>0</v>
      </c>
      <c r="AD685" s="53">
        <f t="shared" si="518"/>
        <v>0</v>
      </c>
      <c r="AE685" s="53">
        <f t="shared" si="519"/>
        <v>0</v>
      </c>
      <c r="AF685" s="53">
        <f t="shared" si="520"/>
        <v>0</v>
      </c>
    </row>
    <row r="686" spans="2:32">
      <c r="B686" s="43" t="str">
        <f t="shared" si="513"/>
        <v>Asset 132</v>
      </c>
      <c r="F686" s="43" t="str">
        <f t="shared" ref="F686:L686" si="522">F190</f>
        <v>20 Kantoorgebouwen</v>
      </c>
      <c r="G686" s="43">
        <f t="shared" si="522"/>
        <v>2008</v>
      </c>
      <c r="H686" s="48">
        <f t="shared" si="522"/>
        <v>4978200.5000000009</v>
      </c>
      <c r="I686" s="43">
        <f t="shared" si="522"/>
        <v>2021</v>
      </c>
      <c r="J686" s="43">
        <f t="shared" si="522"/>
        <v>30</v>
      </c>
      <c r="K686" s="43">
        <f t="shared" si="522"/>
        <v>0</v>
      </c>
      <c r="L686" s="48">
        <f t="shared" si="522"/>
        <v>3386936.2239016104</v>
      </c>
      <c r="N686" s="44">
        <f t="shared" si="515"/>
        <v>16.5</v>
      </c>
      <c r="P686" s="49">
        <f t="shared" si="503"/>
        <v>205268.86205464305</v>
      </c>
      <c r="Q686" s="49">
        <f t="shared" si="503"/>
        <v>205268.86205464305</v>
      </c>
      <c r="R686" s="49">
        <f t="shared" si="503"/>
        <v>205268.86205464305</v>
      </c>
      <c r="S686" s="49">
        <f t="shared" si="503"/>
        <v>205268.86205464305</v>
      </c>
      <c r="T686" s="49">
        <f t="shared" si="503"/>
        <v>205268.86205464305</v>
      </c>
      <c r="V686" s="53">
        <f t="shared" si="447"/>
        <v>3181667.3618469671</v>
      </c>
      <c r="W686" s="53">
        <f t="shared" si="448"/>
        <v>2976398.4997923239</v>
      </c>
      <c r="X686" s="53">
        <f t="shared" si="449"/>
        <v>2771129.6377376807</v>
      </c>
      <c r="Y686" s="53">
        <f t="shared" si="450"/>
        <v>2565860.7756830375</v>
      </c>
      <c r="Z686" s="53">
        <f t="shared" si="451"/>
        <v>2360591.9136283942</v>
      </c>
      <c r="AB686" s="53">
        <f t="shared" si="516"/>
        <v>313445.55235743994</v>
      </c>
      <c r="AC686" s="53">
        <f t="shared" si="517"/>
        <v>303490.01254778972</v>
      </c>
      <c r="AD686" s="53">
        <f t="shared" si="518"/>
        <v>310571.7882886749</v>
      </c>
      <c r="AE686" s="53">
        <f t="shared" si="519"/>
        <v>302771.57153059845</v>
      </c>
      <c r="AF686" s="53">
        <f t="shared" si="520"/>
        <v>294971.354772522</v>
      </c>
    </row>
    <row r="687" spans="2:32">
      <c r="B687" s="43" t="str">
        <f t="shared" si="513"/>
        <v>Asset 133</v>
      </c>
      <c r="F687" s="43" t="str">
        <f t="shared" ref="F687:L687" si="523">F191</f>
        <v>06 Utiliteitsgebouwen</v>
      </c>
      <c r="G687" s="43">
        <f t="shared" si="523"/>
        <v>2008</v>
      </c>
      <c r="H687" s="48">
        <f t="shared" si="523"/>
        <v>233293.04544821067</v>
      </c>
      <c r="I687" s="43">
        <f t="shared" si="523"/>
        <v>2021</v>
      </c>
      <c r="J687" s="43">
        <f t="shared" si="523"/>
        <v>30</v>
      </c>
      <c r="K687" s="43">
        <f t="shared" si="523"/>
        <v>0</v>
      </c>
      <c r="L687" s="48">
        <f t="shared" si="523"/>
        <v>158721.74421517763</v>
      </c>
      <c r="N687" s="44">
        <f t="shared" si="515"/>
        <v>16.5</v>
      </c>
      <c r="P687" s="49">
        <f t="shared" si="503"/>
        <v>9619.4996494047045</v>
      </c>
      <c r="Q687" s="49">
        <f t="shared" si="503"/>
        <v>9619.4996494047064</v>
      </c>
      <c r="R687" s="49">
        <f t="shared" si="503"/>
        <v>9619.4996494047064</v>
      </c>
      <c r="S687" s="49">
        <f t="shared" si="503"/>
        <v>9619.4996494047064</v>
      </c>
      <c r="T687" s="49">
        <f t="shared" si="503"/>
        <v>9619.4996494047064</v>
      </c>
      <c r="V687" s="53">
        <f t="shared" ref="V687:V750" si="524">IF(OR(V$553&lt;=$G687+$J687,$J687=0),IF(U687=0,$L687,U687)-P687,0)</f>
        <v>149102.24456577294</v>
      </c>
      <c r="W687" s="53">
        <f t="shared" ref="W687:W750" si="525">IF(OR(W$553&lt;=$G687+$J687,$J687=0),IF(V687=0,$L687,V687)-Q687,0)</f>
        <v>139482.74491636825</v>
      </c>
      <c r="X687" s="53">
        <f t="shared" ref="X687:X750" si="526">IF(OR(X$553&lt;=$G687+$J687,$J687=0),IF(W687=0,$L687,W687)-R687,0)</f>
        <v>129863.24526696354</v>
      </c>
      <c r="Y687" s="53">
        <f t="shared" ref="Y687:Y750" si="527">IF(OR(Y$553&lt;=$G687+$J687,$J687=0),IF(X687=0,$L687,X687)-S687,0)</f>
        <v>120243.74561755883</v>
      </c>
      <c r="Z687" s="53">
        <f t="shared" ref="Z687:Z750" si="528">IF(OR(Z$553&lt;=$G687+$J687,$J687=0),IF(Y687=0,$L687,Y687)-T687,0)</f>
        <v>110624.24596815412</v>
      </c>
      <c r="AB687" s="53">
        <f>(P687+V687*I$16)*IF($K687=1,$F$19,1)</f>
        <v>14688.975964640984</v>
      </c>
      <c r="AC687" s="53">
        <f t="shared" si="517"/>
        <v>14222.430231644859</v>
      </c>
      <c r="AD687" s="53">
        <f t="shared" si="518"/>
        <v>14554.302969549321</v>
      </c>
      <c r="AE687" s="53">
        <f t="shared" si="519"/>
        <v>14188.761982871942</v>
      </c>
      <c r="AF687" s="53">
        <f t="shared" si="520"/>
        <v>13823.220996194563</v>
      </c>
    </row>
    <row r="688" spans="2:32">
      <c r="B688" s="43" t="str">
        <f t="shared" si="513"/>
        <v>Asset 134</v>
      </c>
      <c r="F688" s="43" t="str">
        <f t="shared" ref="F688:L688" si="529">F192</f>
        <v>10 Gereedschap</v>
      </c>
      <c r="G688" s="43">
        <f t="shared" si="529"/>
        <v>2008</v>
      </c>
      <c r="H688" s="48">
        <f t="shared" si="529"/>
        <v>178157.88</v>
      </c>
      <c r="I688" s="43">
        <f t="shared" si="529"/>
        <v>2021</v>
      </c>
      <c r="J688" s="43">
        <f t="shared" si="529"/>
        <v>10</v>
      </c>
      <c r="K688" s="43">
        <f t="shared" si="529"/>
        <v>1</v>
      </c>
      <c r="L688" s="48">
        <f t="shared" si="529"/>
        <v>0</v>
      </c>
      <c r="N688" s="44">
        <f t="shared" si="515"/>
        <v>0</v>
      </c>
      <c r="P688" s="49">
        <f t="shared" si="503"/>
        <v>0</v>
      </c>
      <c r="Q688" s="49">
        <f t="shared" si="503"/>
        <v>0</v>
      </c>
      <c r="R688" s="49">
        <f t="shared" si="503"/>
        <v>0</v>
      </c>
      <c r="S688" s="49">
        <f t="shared" si="503"/>
        <v>0</v>
      </c>
      <c r="T688" s="49">
        <f t="shared" si="503"/>
        <v>0</v>
      </c>
      <c r="V688" s="53">
        <f t="shared" si="524"/>
        <v>0</v>
      </c>
      <c r="W688" s="53">
        <f t="shared" si="525"/>
        <v>0</v>
      </c>
      <c r="X688" s="53">
        <f t="shared" si="526"/>
        <v>0</v>
      </c>
      <c r="Y688" s="53">
        <f t="shared" si="527"/>
        <v>0</v>
      </c>
      <c r="Z688" s="53">
        <f t="shared" si="528"/>
        <v>0</v>
      </c>
      <c r="AB688" s="53">
        <f t="shared" si="516"/>
        <v>0</v>
      </c>
      <c r="AC688" s="53">
        <f t="shared" si="517"/>
        <v>0</v>
      </c>
      <c r="AD688" s="53">
        <f t="shared" si="518"/>
        <v>0</v>
      </c>
      <c r="AE688" s="53">
        <f t="shared" si="519"/>
        <v>0</v>
      </c>
      <c r="AF688" s="53">
        <f t="shared" si="520"/>
        <v>0</v>
      </c>
    </row>
    <row r="689" spans="2:32">
      <c r="B689" s="43" t="str">
        <f t="shared" si="513"/>
        <v>Asset 135</v>
      </c>
      <c r="F689" s="43" t="str">
        <f t="shared" ref="F689:L689" si="530">F193</f>
        <v>14 Overig rollend materieel</v>
      </c>
      <c r="G689" s="43">
        <f t="shared" si="530"/>
        <v>2008</v>
      </c>
      <c r="H689" s="48">
        <f t="shared" si="530"/>
        <v>1299449.8500000001</v>
      </c>
      <c r="I689" s="43">
        <f t="shared" si="530"/>
        <v>2021</v>
      </c>
      <c r="J689" s="43">
        <f t="shared" si="530"/>
        <v>10</v>
      </c>
      <c r="K689" s="43">
        <f t="shared" si="530"/>
        <v>1</v>
      </c>
      <c r="L689" s="48">
        <f t="shared" si="530"/>
        <v>0</v>
      </c>
      <c r="N689" s="44">
        <f t="shared" si="515"/>
        <v>0</v>
      </c>
      <c r="P689" s="49">
        <f t="shared" si="503"/>
        <v>0</v>
      </c>
      <c r="Q689" s="49">
        <f t="shared" si="503"/>
        <v>0</v>
      </c>
      <c r="R689" s="49">
        <f t="shared" si="503"/>
        <v>0</v>
      </c>
      <c r="S689" s="49">
        <f t="shared" si="503"/>
        <v>0</v>
      </c>
      <c r="T689" s="49">
        <f t="shared" si="503"/>
        <v>0</v>
      </c>
      <c r="V689" s="53">
        <f t="shared" si="524"/>
        <v>0</v>
      </c>
      <c r="W689" s="53">
        <f t="shared" si="525"/>
        <v>0</v>
      </c>
      <c r="X689" s="53">
        <f t="shared" si="526"/>
        <v>0</v>
      </c>
      <c r="Y689" s="53">
        <f t="shared" si="527"/>
        <v>0</v>
      </c>
      <c r="Z689" s="53">
        <f t="shared" si="528"/>
        <v>0</v>
      </c>
      <c r="AB689" s="53">
        <f t="shared" si="516"/>
        <v>0</v>
      </c>
      <c r="AC689" s="53">
        <f t="shared" si="517"/>
        <v>0</v>
      </c>
      <c r="AD689" s="53">
        <f t="shared" si="518"/>
        <v>0</v>
      </c>
      <c r="AE689" s="53">
        <f t="shared" si="519"/>
        <v>0</v>
      </c>
      <c r="AF689" s="53">
        <f t="shared" si="520"/>
        <v>0</v>
      </c>
    </row>
    <row r="690" spans="2:32">
      <c r="B690" s="43" t="str">
        <f t="shared" si="513"/>
        <v>Asset 136</v>
      </c>
      <c r="F690" s="43" t="str">
        <f t="shared" ref="F690:L690" si="531">F194</f>
        <v>37 ICT middelen 1 (gaschromatografen en comptabele meting)</v>
      </c>
      <c r="G690" s="43">
        <f t="shared" si="531"/>
        <v>2008</v>
      </c>
      <c r="H690" s="48">
        <f t="shared" si="531"/>
        <v>8310.1200000000008</v>
      </c>
      <c r="I690" s="43">
        <f t="shared" si="531"/>
        <v>2021</v>
      </c>
      <c r="J690" s="43">
        <f t="shared" si="531"/>
        <v>5</v>
      </c>
      <c r="K690" s="43">
        <f t="shared" si="531"/>
        <v>0</v>
      </c>
      <c r="L690" s="48">
        <f t="shared" si="531"/>
        <v>0</v>
      </c>
      <c r="N690" s="44">
        <f t="shared" si="515"/>
        <v>0</v>
      </c>
      <c r="P690" s="49">
        <f t="shared" si="503"/>
        <v>0</v>
      </c>
      <c r="Q690" s="49">
        <f t="shared" si="503"/>
        <v>0</v>
      </c>
      <c r="R690" s="49">
        <f t="shared" si="503"/>
        <v>0</v>
      </c>
      <c r="S690" s="49">
        <f t="shared" si="503"/>
        <v>0</v>
      </c>
      <c r="T690" s="49">
        <f t="shared" si="503"/>
        <v>0</v>
      </c>
      <c r="V690" s="53">
        <f t="shared" si="524"/>
        <v>0</v>
      </c>
      <c r="W690" s="53">
        <f t="shared" si="525"/>
        <v>0</v>
      </c>
      <c r="X690" s="53">
        <f t="shared" si="526"/>
        <v>0</v>
      </c>
      <c r="Y690" s="53">
        <f t="shared" si="527"/>
        <v>0</v>
      </c>
      <c r="Z690" s="53">
        <f t="shared" si="528"/>
        <v>0</v>
      </c>
      <c r="AB690" s="53">
        <f t="shared" si="516"/>
        <v>0</v>
      </c>
      <c r="AC690" s="53">
        <f t="shared" si="517"/>
        <v>0</v>
      </c>
      <c r="AD690" s="53">
        <f t="shared" si="518"/>
        <v>0</v>
      </c>
      <c r="AE690" s="53">
        <f t="shared" si="519"/>
        <v>0</v>
      </c>
      <c r="AF690" s="53">
        <f t="shared" si="520"/>
        <v>0</v>
      </c>
    </row>
    <row r="691" spans="2:32">
      <c r="B691" s="43" t="str">
        <f t="shared" si="513"/>
        <v>Asset 137</v>
      </c>
      <c r="F691" s="43" t="str">
        <f t="shared" ref="F691:L691" si="532">F195</f>
        <v>11 Werktuigen</v>
      </c>
      <c r="G691" s="43">
        <f t="shared" si="532"/>
        <v>2008</v>
      </c>
      <c r="H691" s="48">
        <f t="shared" si="532"/>
        <v>427546.18</v>
      </c>
      <c r="I691" s="43">
        <f t="shared" si="532"/>
        <v>2021</v>
      </c>
      <c r="J691" s="43">
        <f t="shared" si="532"/>
        <v>10</v>
      </c>
      <c r="K691" s="43">
        <f t="shared" si="532"/>
        <v>1</v>
      </c>
      <c r="L691" s="48">
        <f t="shared" si="532"/>
        <v>0</v>
      </c>
      <c r="N691" s="44">
        <f t="shared" si="515"/>
        <v>0</v>
      </c>
      <c r="P691" s="49">
        <f t="shared" si="503"/>
        <v>0</v>
      </c>
      <c r="Q691" s="49">
        <f t="shared" si="503"/>
        <v>0</v>
      </c>
      <c r="R691" s="49">
        <f t="shared" si="503"/>
        <v>0</v>
      </c>
      <c r="S691" s="49">
        <f t="shared" si="503"/>
        <v>0</v>
      </c>
      <c r="T691" s="49">
        <f t="shared" si="503"/>
        <v>0</v>
      </c>
      <c r="V691" s="53">
        <f t="shared" si="524"/>
        <v>0</v>
      </c>
      <c r="W691" s="53">
        <f t="shared" si="525"/>
        <v>0</v>
      </c>
      <c r="X691" s="53">
        <f t="shared" si="526"/>
        <v>0</v>
      </c>
      <c r="Y691" s="53">
        <f t="shared" si="527"/>
        <v>0</v>
      </c>
      <c r="Z691" s="53">
        <f t="shared" si="528"/>
        <v>0</v>
      </c>
      <c r="AB691" s="53">
        <f t="shared" si="516"/>
        <v>0</v>
      </c>
      <c r="AC691" s="53">
        <f t="shared" si="517"/>
        <v>0</v>
      </c>
      <c r="AD691" s="53">
        <f t="shared" si="518"/>
        <v>0</v>
      </c>
      <c r="AE691" s="53">
        <f t="shared" si="519"/>
        <v>0</v>
      </c>
      <c r="AF691" s="53">
        <f t="shared" si="520"/>
        <v>0</v>
      </c>
    </row>
    <row r="692" spans="2:32">
      <c r="B692" s="43" t="str">
        <f t="shared" si="513"/>
        <v>Asset 138</v>
      </c>
      <c r="F692" s="43" t="str">
        <f t="shared" ref="F692:L692" si="533">F196</f>
        <v>08 Inrichting gebouwen</v>
      </c>
      <c r="G692" s="43">
        <f t="shared" si="533"/>
        <v>2008</v>
      </c>
      <c r="H692" s="48">
        <f t="shared" si="533"/>
        <v>1194171.3899999999</v>
      </c>
      <c r="I692" s="43">
        <f t="shared" si="533"/>
        <v>2021</v>
      </c>
      <c r="J692" s="43">
        <f t="shared" si="533"/>
        <v>10</v>
      </c>
      <c r="K692" s="43">
        <f t="shared" si="533"/>
        <v>0</v>
      </c>
      <c r="L692" s="48">
        <f t="shared" si="533"/>
        <v>0</v>
      </c>
      <c r="N692" s="44">
        <f t="shared" si="515"/>
        <v>0</v>
      </c>
      <c r="P692" s="49">
        <f t="shared" si="503"/>
        <v>0</v>
      </c>
      <c r="Q692" s="49">
        <f t="shared" si="503"/>
        <v>0</v>
      </c>
      <c r="R692" s="49">
        <f t="shared" si="503"/>
        <v>0</v>
      </c>
      <c r="S692" s="49">
        <f t="shared" si="503"/>
        <v>0</v>
      </c>
      <c r="T692" s="49">
        <f t="shared" si="503"/>
        <v>0</v>
      </c>
      <c r="V692" s="53">
        <f t="shared" si="524"/>
        <v>0</v>
      </c>
      <c r="W692" s="53">
        <f t="shared" si="525"/>
        <v>0</v>
      </c>
      <c r="X692" s="53">
        <f t="shared" si="526"/>
        <v>0</v>
      </c>
      <c r="Y692" s="53">
        <f t="shared" si="527"/>
        <v>0</v>
      </c>
      <c r="Z692" s="53">
        <f t="shared" si="528"/>
        <v>0</v>
      </c>
      <c r="AB692" s="53">
        <f t="shared" si="516"/>
        <v>0</v>
      </c>
      <c r="AC692" s="53">
        <f t="shared" si="517"/>
        <v>0</v>
      </c>
      <c r="AD692" s="53">
        <f t="shared" si="518"/>
        <v>0</v>
      </c>
      <c r="AE692" s="53">
        <f t="shared" si="519"/>
        <v>0</v>
      </c>
      <c r="AF692" s="53">
        <f t="shared" si="520"/>
        <v>0</v>
      </c>
    </row>
    <row r="693" spans="2:32">
      <c r="B693" s="43" t="str">
        <f t="shared" si="513"/>
        <v>Asset 139</v>
      </c>
      <c r="F693" s="43" t="str">
        <f t="shared" ref="F693:L693" si="534">F197</f>
        <v>08 Inrichting gebouwen</v>
      </c>
      <c r="G693" s="43">
        <f t="shared" si="534"/>
        <v>2009</v>
      </c>
      <c r="H693" s="48">
        <f t="shared" si="534"/>
        <v>124506.82</v>
      </c>
      <c r="I693" s="43">
        <f t="shared" si="534"/>
        <v>2021</v>
      </c>
      <c r="J693" s="43">
        <f t="shared" si="534"/>
        <v>10</v>
      </c>
      <c r="K693" s="43">
        <f t="shared" si="534"/>
        <v>0</v>
      </c>
      <c r="L693" s="48">
        <f t="shared" si="534"/>
        <v>0</v>
      </c>
      <c r="N693" s="44">
        <f t="shared" si="515"/>
        <v>0</v>
      </c>
      <c r="P693" s="49">
        <f t="shared" si="503"/>
        <v>0</v>
      </c>
      <c r="Q693" s="49">
        <f t="shared" si="503"/>
        <v>0</v>
      </c>
      <c r="R693" s="49">
        <f t="shared" si="503"/>
        <v>0</v>
      </c>
      <c r="S693" s="49">
        <f t="shared" si="503"/>
        <v>0</v>
      </c>
      <c r="T693" s="49">
        <f t="shared" si="503"/>
        <v>0</v>
      </c>
      <c r="V693" s="53">
        <f t="shared" si="524"/>
        <v>0</v>
      </c>
      <c r="W693" s="53">
        <f t="shared" si="525"/>
        <v>0</v>
      </c>
      <c r="X693" s="53">
        <f t="shared" si="526"/>
        <v>0</v>
      </c>
      <c r="Y693" s="53">
        <f t="shared" si="527"/>
        <v>0</v>
      </c>
      <c r="Z693" s="53">
        <f t="shared" si="528"/>
        <v>0</v>
      </c>
      <c r="AB693" s="53">
        <f t="shared" si="516"/>
        <v>0</v>
      </c>
      <c r="AC693" s="53">
        <f t="shared" si="517"/>
        <v>0</v>
      </c>
      <c r="AD693" s="53">
        <f t="shared" si="518"/>
        <v>0</v>
      </c>
      <c r="AE693" s="53">
        <f t="shared" si="519"/>
        <v>0</v>
      </c>
      <c r="AF693" s="53">
        <f t="shared" si="520"/>
        <v>0</v>
      </c>
    </row>
    <row r="694" spans="2:32">
      <c r="B694" s="43" t="str">
        <f t="shared" si="513"/>
        <v>Asset 140</v>
      </c>
      <c r="F694" s="43" t="str">
        <f t="shared" ref="F694:L694" si="535">F198</f>
        <v>14 Overig rollend materieel</v>
      </c>
      <c r="G694" s="43">
        <f t="shared" si="535"/>
        <v>2009</v>
      </c>
      <c r="H694" s="48">
        <f t="shared" si="535"/>
        <v>285378.59999999998</v>
      </c>
      <c r="I694" s="43">
        <f t="shared" si="535"/>
        <v>2021</v>
      </c>
      <c r="J694" s="43">
        <f t="shared" si="535"/>
        <v>10</v>
      </c>
      <c r="K694" s="43">
        <f t="shared" si="535"/>
        <v>1</v>
      </c>
      <c r="L694" s="48">
        <f t="shared" si="535"/>
        <v>0</v>
      </c>
      <c r="N694" s="44">
        <f t="shared" si="515"/>
        <v>0</v>
      </c>
      <c r="P694" s="49">
        <f t="shared" si="503"/>
        <v>0</v>
      </c>
      <c r="Q694" s="49">
        <f t="shared" si="503"/>
        <v>0</v>
      </c>
      <c r="R694" s="49">
        <f t="shared" si="503"/>
        <v>0</v>
      </c>
      <c r="S694" s="49">
        <f t="shared" si="503"/>
        <v>0</v>
      </c>
      <c r="T694" s="49">
        <f t="shared" si="503"/>
        <v>0</v>
      </c>
      <c r="V694" s="53">
        <f t="shared" si="524"/>
        <v>0</v>
      </c>
      <c r="W694" s="53">
        <f t="shared" si="525"/>
        <v>0</v>
      </c>
      <c r="X694" s="53">
        <f t="shared" si="526"/>
        <v>0</v>
      </c>
      <c r="Y694" s="53">
        <f t="shared" si="527"/>
        <v>0</v>
      </c>
      <c r="Z694" s="53">
        <f t="shared" si="528"/>
        <v>0</v>
      </c>
      <c r="AB694" s="53">
        <f t="shared" si="516"/>
        <v>0</v>
      </c>
      <c r="AC694" s="53">
        <f t="shared" si="517"/>
        <v>0</v>
      </c>
      <c r="AD694" s="53">
        <f t="shared" si="518"/>
        <v>0</v>
      </c>
      <c r="AE694" s="53">
        <f t="shared" si="519"/>
        <v>0</v>
      </c>
      <c r="AF694" s="53">
        <f t="shared" si="520"/>
        <v>0</v>
      </c>
    </row>
    <row r="695" spans="2:32">
      <c r="B695" s="43" t="str">
        <f t="shared" si="513"/>
        <v>Asset 141</v>
      </c>
      <c r="F695" s="43" t="str">
        <f t="shared" ref="F695:L695" si="536">F199</f>
        <v>06 Utiliteitsgebouwen</v>
      </c>
      <c r="G695" s="43">
        <f t="shared" si="536"/>
        <v>2009</v>
      </c>
      <c r="H695" s="48">
        <f t="shared" si="536"/>
        <v>35389.120000000003</v>
      </c>
      <c r="I695" s="43">
        <f t="shared" si="536"/>
        <v>2021</v>
      </c>
      <c r="J695" s="43">
        <f t="shared" si="536"/>
        <v>30</v>
      </c>
      <c r="K695" s="43">
        <f t="shared" si="536"/>
        <v>0</v>
      </c>
      <c r="L695" s="48">
        <f t="shared" si="536"/>
        <v>24744.506996892218</v>
      </c>
      <c r="N695" s="44">
        <f t="shared" si="515"/>
        <v>17.5</v>
      </c>
      <c r="P695" s="49">
        <f t="shared" si="503"/>
        <v>1413.971828393841</v>
      </c>
      <c r="Q695" s="49">
        <f t="shared" si="503"/>
        <v>1413.971828393841</v>
      </c>
      <c r="R695" s="49">
        <f t="shared" si="503"/>
        <v>1413.971828393841</v>
      </c>
      <c r="S695" s="49">
        <f t="shared" si="503"/>
        <v>1413.971828393841</v>
      </c>
      <c r="T695" s="49">
        <f t="shared" si="503"/>
        <v>1413.971828393841</v>
      </c>
      <c r="V695" s="53">
        <f t="shared" si="524"/>
        <v>23330.535168498376</v>
      </c>
      <c r="W695" s="53">
        <f t="shared" si="525"/>
        <v>21916.563340104534</v>
      </c>
      <c r="X695" s="53">
        <f t="shared" si="526"/>
        <v>20502.591511710692</v>
      </c>
      <c r="Y695" s="53">
        <f t="shared" si="527"/>
        <v>19088.619683316851</v>
      </c>
      <c r="Z695" s="53">
        <f t="shared" si="528"/>
        <v>17674.647854923009</v>
      </c>
      <c r="AB695" s="53">
        <f t="shared" si="516"/>
        <v>2207.2100241227859</v>
      </c>
      <c r="AC695" s="53">
        <f t="shared" si="517"/>
        <v>2137.2184186172908</v>
      </c>
      <c r="AD695" s="53">
        <f t="shared" si="518"/>
        <v>2193.0703058388472</v>
      </c>
      <c r="AE695" s="53">
        <f t="shared" si="519"/>
        <v>2139.3393763598815</v>
      </c>
      <c r="AF695" s="53">
        <f t="shared" si="520"/>
        <v>2085.6084468809154</v>
      </c>
    </row>
    <row r="696" spans="2:32">
      <c r="B696" s="43" t="str">
        <f t="shared" si="513"/>
        <v>Asset 142</v>
      </c>
      <c r="F696" s="43" t="str">
        <f t="shared" ref="F696:L696" si="537">F200</f>
        <v>09 Bedrijfsinventaris</v>
      </c>
      <c r="G696" s="43">
        <f t="shared" si="537"/>
        <v>2009</v>
      </c>
      <c r="H696" s="48">
        <f t="shared" si="537"/>
        <v>537011.27</v>
      </c>
      <c r="I696" s="43">
        <f t="shared" si="537"/>
        <v>2021</v>
      </c>
      <c r="J696" s="43">
        <f t="shared" si="537"/>
        <v>10</v>
      </c>
      <c r="K696" s="43">
        <f t="shared" si="537"/>
        <v>1</v>
      </c>
      <c r="L696" s="48">
        <f t="shared" si="537"/>
        <v>0</v>
      </c>
      <c r="N696" s="44">
        <f t="shared" si="515"/>
        <v>0</v>
      </c>
      <c r="P696" s="49">
        <f t="shared" si="503"/>
        <v>0</v>
      </c>
      <c r="Q696" s="49">
        <f t="shared" si="503"/>
        <v>0</v>
      </c>
      <c r="R696" s="49">
        <f t="shared" si="503"/>
        <v>0</v>
      </c>
      <c r="S696" s="49">
        <f t="shared" si="503"/>
        <v>0</v>
      </c>
      <c r="T696" s="49">
        <f t="shared" si="503"/>
        <v>0</v>
      </c>
      <c r="V696" s="53">
        <f t="shared" si="524"/>
        <v>0</v>
      </c>
      <c r="W696" s="53">
        <f t="shared" si="525"/>
        <v>0</v>
      </c>
      <c r="X696" s="53">
        <f t="shared" si="526"/>
        <v>0</v>
      </c>
      <c r="Y696" s="53">
        <f t="shared" si="527"/>
        <v>0</v>
      </c>
      <c r="Z696" s="53">
        <f t="shared" si="528"/>
        <v>0</v>
      </c>
      <c r="AB696" s="53">
        <f t="shared" si="516"/>
        <v>0</v>
      </c>
      <c r="AC696" s="53">
        <f t="shared" si="517"/>
        <v>0</v>
      </c>
      <c r="AD696" s="53">
        <f t="shared" si="518"/>
        <v>0</v>
      </c>
      <c r="AE696" s="53">
        <f t="shared" si="519"/>
        <v>0</v>
      </c>
      <c r="AF696" s="53">
        <f t="shared" si="520"/>
        <v>0</v>
      </c>
    </row>
    <row r="697" spans="2:32">
      <c r="B697" s="43" t="str">
        <f t="shared" si="513"/>
        <v>Asset 143</v>
      </c>
      <c r="F697" s="43" t="str">
        <f t="shared" ref="F697:L697" si="538">F201</f>
        <v>20 Kantoorgebouwen</v>
      </c>
      <c r="G697" s="43">
        <f t="shared" si="538"/>
        <v>2009</v>
      </c>
      <c r="H697" s="48">
        <f t="shared" si="538"/>
        <v>2416053.9300000006</v>
      </c>
      <c r="I697" s="43">
        <f t="shared" si="538"/>
        <v>2021</v>
      </c>
      <c r="J697" s="43">
        <f t="shared" si="538"/>
        <v>30</v>
      </c>
      <c r="K697" s="43">
        <f t="shared" si="538"/>
        <v>0</v>
      </c>
      <c r="L697" s="48">
        <f t="shared" si="538"/>
        <v>1689334.5575067692</v>
      </c>
      <c r="N697" s="44">
        <f t="shared" si="515"/>
        <v>17.5</v>
      </c>
      <c r="P697" s="49">
        <f t="shared" si="503"/>
        <v>96533.403286101093</v>
      </c>
      <c r="Q697" s="49">
        <f t="shared" si="503"/>
        <v>96533.403286101093</v>
      </c>
      <c r="R697" s="49">
        <f t="shared" si="503"/>
        <v>96533.403286101093</v>
      </c>
      <c r="S697" s="49">
        <f t="shared" si="503"/>
        <v>96533.403286101093</v>
      </c>
      <c r="T697" s="49">
        <f t="shared" si="503"/>
        <v>96533.403286101093</v>
      </c>
      <c r="V697" s="53">
        <f t="shared" si="524"/>
        <v>1592801.1542206681</v>
      </c>
      <c r="W697" s="53">
        <f t="shared" si="525"/>
        <v>1496267.7509345671</v>
      </c>
      <c r="X697" s="53">
        <f t="shared" si="526"/>
        <v>1399734.347648466</v>
      </c>
      <c r="Y697" s="53">
        <f t="shared" si="527"/>
        <v>1303200.9443623649</v>
      </c>
      <c r="Z697" s="53">
        <f t="shared" si="528"/>
        <v>1206667.5410762639</v>
      </c>
      <c r="AB697" s="53">
        <f t="shared" si="516"/>
        <v>150688.64252960382</v>
      </c>
      <c r="AC697" s="53">
        <f t="shared" si="517"/>
        <v>145910.23906694181</v>
      </c>
      <c r="AD697" s="53">
        <f t="shared" si="518"/>
        <v>149723.3084967428</v>
      </c>
      <c r="AE697" s="53">
        <f t="shared" si="519"/>
        <v>146055.03917187097</v>
      </c>
      <c r="AF697" s="53">
        <f t="shared" si="520"/>
        <v>142386.76984699912</v>
      </c>
    </row>
    <row r="698" spans="2:32">
      <c r="B698" s="43" t="str">
        <f t="shared" si="513"/>
        <v>Asset 144</v>
      </c>
      <c r="F698" s="43" t="str">
        <f t="shared" ref="F698:L698" si="539">F202</f>
        <v>05 Wegen en terreinvoorzieningen</v>
      </c>
      <c r="G698" s="43">
        <f t="shared" si="539"/>
        <v>2009</v>
      </c>
      <c r="H698" s="48">
        <f t="shared" si="539"/>
        <v>97690.9</v>
      </c>
      <c r="I698" s="43">
        <f t="shared" si="539"/>
        <v>2021</v>
      </c>
      <c r="J698" s="43">
        <f t="shared" si="539"/>
        <v>10</v>
      </c>
      <c r="K698" s="43">
        <f t="shared" si="539"/>
        <v>0</v>
      </c>
      <c r="L698" s="48">
        <f t="shared" si="539"/>
        <v>0</v>
      </c>
      <c r="N698" s="44">
        <f t="shared" si="515"/>
        <v>0</v>
      </c>
      <c r="P698" s="49">
        <f t="shared" si="503"/>
        <v>0</v>
      </c>
      <c r="Q698" s="49">
        <f t="shared" si="503"/>
        <v>0</v>
      </c>
      <c r="R698" s="49">
        <f t="shared" si="503"/>
        <v>0</v>
      </c>
      <c r="S698" s="49">
        <f t="shared" si="503"/>
        <v>0</v>
      </c>
      <c r="T698" s="49">
        <f t="shared" si="503"/>
        <v>0</v>
      </c>
      <c r="V698" s="53">
        <f t="shared" si="524"/>
        <v>0</v>
      </c>
      <c r="W698" s="53">
        <f t="shared" si="525"/>
        <v>0</v>
      </c>
      <c r="X698" s="53">
        <f t="shared" si="526"/>
        <v>0</v>
      </c>
      <c r="Y698" s="53">
        <f t="shared" si="527"/>
        <v>0</v>
      </c>
      <c r="Z698" s="53">
        <f t="shared" si="528"/>
        <v>0</v>
      </c>
      <c r="AB698" s="53">
        <f t="shared" si="516"/>
        <v>0</v>
      </c>
      <c r="AC698" s="53">
        <f t="shared" si="517"/>
        <v>0</v>
      </c>
      <c r="AD698" s="53">
        <f t="shared" si="518"/>
        <v>0</v>
      </c>
      <c r="AE698" s="53">
        <f t="shared" si="519"/>
        <v>0</v>
      </c>
      <c r="AF698" s="53">
        <f t="shared" si="520"/>
        <v>0</v>
      </c>
    </row>
    <row r="699" spans="2:32">
      <c r="B699" s="43" t="str">
        <f t="shared" si="513"/>
        <v>Asset 145</v>
      </c>
      <c r="F699" s="43" t="str">
        <f t="shared" ref="F699:L699" si="540">F203</f>
        <v>13 Aanhangwagens</v>
      </c>
      <c r="G699" s="43">
        <f t="shared" si="540"/>
        <v>2009</v>
      </c>
      <c r="H699" s="48">
        <f t="shared" si="540"/>
        <v>655669.05999999994</v>
      </c>
      <c r="I699" s="43">
        <f t="shared" si="540"/>
        <v>2021</v>
      </c>
      <c r="J699" s="43">
        <f t="shared" si="540"/>
        <v>10</v>
      </c>
      <c r="K699" s="43">
        <f t="shared" si="540"/>
        <v>1</v>
      </c>
      <c r="L699" s="48">
        <f t="shared" si="540"/>
        <v>0</v>
      </c>
      <c r="N699" s="44">
        <f t="shared" si="515"/>
        <v>0</v>
      </c>
      <c r="P699" s="49">
        <f t="shared" si="503"/>
        <v>0</v>
      </c>
      <c r="Q699" s="49">
        <f t="shared" si="503"/>
        <v>0</v>
      </c>
      <c r="R699" s="49">
        <f t="shared" si="503"/>
        <v>0</v>
      </c>
      <c r="S699" s="49">
        <f t="shared" si="503"/>
        <v>0</v>
      </c>
      <c r="T699" s="49">
        <f t="shared" si="503"/>
        <v>0</v>
      </c>
      <c r="V699" s="53">
        <f t="shared" si="524"/>
        <v>0</v>
      </c>
      <c r="W699" s="53">
        <f t="shared" si="525"/>
        <v>0</v>
      </c>
      <c r="X699" s="53">
        <f t="shared" si="526"/>
        <v>0</v>
      </c>
      <c r="Y699" s="53">
        <f t="shared" si="527"/>
        <v>0</v>
      </c>
      <c r="Z699" s="53">
        <f t="shared" si="528"/>
        <v>0</v>
      </c>
      <c r="AB699" s="53">
        <f t="shared" si="516"/>
        <v>0</v>
      </c>
      <c r="AC699" s="53">
        <f t="shared" si="517"/>
        <v>0</v>
      </c>
      <c r="AD699" s="53">
        <f t="shared" si="518"/>
        <v>0</v>
      </c>
      <c r="AE699" s="53">
        <f t="shared" si="519"/>
        <v>0</v>
      </c>
      <c r="AF699" s="53">
        <f t="shared" si="520"/>
        <v>0</v>
      </c>
    </row>
    <row r="700" spans="2:32">
      <c r="B700" s="43" t="str">
        <f t="shared" si="513"/>
        <v>Asset 146</v>
      </c>
      <c r="F700" s="43" t="str">
        <f t="shared" ref="F700:L700" si="541">F204</f>
        <v>11 Werktuigen</v>
      </c>
      <c r="G700" s="43">
        <f t="shared" si="541"/>
        <v>2010</v>
      </c>
      <c r="H700" s="48">
        <f t="shared" si="541"/>
        <v>453194.78213502961</v>
      </c>
      <c r="I700" s="43">
        <f t="shared" si="541"/>
        <v>2021</v>
      </c>
      <c r="J700" s="43">
        <f t="shared" si="541"/>
        <v>10</v>
      </c>
      <c r="K700" s="43">
        <f t="shared" si="541"/>
        <v>1</v>
      </c>
      <c r="L700" s="48">
        <f t="shared" si="541"/>
        <v>0</v>
      </c>
      <c r="N700" s="44">
        <f t="shared" si="515"/>
        <v>0</v>
      </c>
      <c r="P700" s="49">
        <f t="shared" si="503"/>
        <v>0</v>
      </c>
      <c r="Q700" s="49">
        <f t="shared" si="503"/>
        <v>0</v>
      </c>
      <c r="R700" s="49">
        <f t="shared" si="503"/>
        <v>0</v>
      </c>
      <c r="S700" s="49">
        <f t="shared" si="503"/>
        <v>0</v>
      </c>
      <c r="T700" s="49">
        <f t="shared" si="503"/>
        <v>0</v>
      </c>
      <c r="V700" s="53">
        <f t="shared" si="524"/>
        <v>0</v>
      </c>
      <c r="W700" s="53">
        <f t="shared" si="525"/>
        <v>0</v>
      </c>
      <c r="X700" s="53">
        <f t="shared" si="526"/>
        <v>0</v>
      </c>
      <c r="Y700" s="53">
        <f t="shared" si="527"/>
        <v>0</v>
      </c>
      <c r="Z700" s="53">
        <f t="shared" si="528"/>
        <v>0</v>
      </c>
      <c r="AB700" s="53">
        <f t="shared" si="516"/>
        <v>0</v>
      </c>
      <c r="AC700" s="53">
        <f t="shared" si="517"/>
        <v>0</v>
      </c>
      <c r="AD700" s="53">
        <f t="shared" si="518"/>
        <v>0</v>
      </c>
      <c r="AE700" s="53">
        <f t="shared" si="519"/>
        <v>0</v>
      </c>
      <c r="AF700" s="53">
        <f t="shared" si="520"/>
        <v>0</v>
      </c>
    </row>
    <row r="701" spans="2:32">
      <c r="B701" s="43" t="str">
        <f t="shared" si="513"/>
        <v>Asset 147</v>
      </c>
      <c r="F701" s="43" t="str">
        <f t="shared" ref="F701:L701" si="542">F205</f>
        <v>14 Overig rollend materieel</v>
      </c>
      <c r="G701" s="43">
        <f t="shared" si="542"/>
        <v>2010</v>
      </c>
      <c r="H701" s="48">
        <f t="shared" si="542"/>
        <v>179634.02000000002</v>
      </c>
      <c r="I701" s="43">
        <f t="shared" si="542"/>
        <v>2021</v>
      </c>
      <c r="J701" s="43">
        <f t="shared" si="542"/>
        <v>10</v>
      </c>
      <c r="K701" s="43">
        <f t="shared" si="542"/>
        <v>1</v>
      </c>
      <c r="L701" s="48">
        <f t="shared" si="542"/>
        <v>0</v>
      </c>
      <c r="N701" s="44">
        <f t="shared" si="515"/>
        <v>0</v>
      </c>
      <c r="P701" s="49">
        <f t="shared" si="503"/>
        <v>0</v>
      </c>
      <c r="Q701" s="49">
        <f t="shared" si="503"/>
        <v>0</v>
      </c>
      <c r="R701" s="49">
        <f t="shared" si="503"/>
        <v>0</v>
      </c>
      <c r="S701" s="49">
        <f t="shared" si="503"/>
        <v>0</v>
      </c>
      <c r="T701" s="49">
        <f t="shared" si="503"/>
        <v>0</v>
      </c>
      <c r="V701" s="53">
        <f t="shared" si="524"/>
        <v>0</v>
      </c>
      <c r="W701" s="53">
        <f t="shared" si="525"/>
        <v>0</v>
      </c>
      <c r="X701" s="53">
        <f t="shared" si="526"/>
        <v>0</v>
      </c>
      <c r="Y701" s="53">
        <f t="shared" si="527"/>
        <v>0</v>
      </c>
      <c r="Z701" s="53">
        <f t="shared" si="528"/>
        <v>0</v>
      </c>
      <c r="AB701" s="53">
        <f t="shared" si="516"/>
        <v>0</v>
      </c>
      <c r="AC701" s="53">
        <f t="shared" si="517"/>
        <v>0</v>
      </c>
      <c r="AD701" s="53">
        <f t="shared" si="518"/>
        <v>0</v>
      </c>
      <c r="AE701" s="53">
        <f t="shared" si="519"/>
        <v>0</v>
      </c>
      <c r="AF701" s="53">
        <f t="shared" si="520"/>
        <v>0</v>
      </c>
    </row>
    <row r="702" spans="2:32">
      <c r="B702" s="43" t="str">
        <f t="shared" si="513"/>
        <v>Asset 148</v>
      </c>
      <c r="F702" s="43" t="str">
        <f t="shared" ref="F702:L702" si="543">F206</f>
        <v>12 Motorvoertuigen</v>
      </c>
      <c r="G702" s="43">
        <f t="shared" si="543"/>
        <v>2011</v>
      </c>
      <c r="H702" s="48">
        <f t="shared" si="543"/>
        <v>293470.62269139342</v>
      </c>
      <c r="I702" s="43">
        <f t="shared" si="543"/>
        <v>2021</v>
      </c>
      <c r="J702" s="43">
        <f t="shared" si="543"/>
        <v>10</v>
      </c>
      <c r="K702" s="43">
        <f t="shared" si="543"/>
        <v>1</v>
      </c>
      <c r="L702" s="48">
        <f t="shared" si="543"/>
        <v>0</v>
      </c>
      <c r="N702" s="44">
        <f t="shared" si="515"/>
        <v>0</v>
      </c>
      <c r="P702" s="49">
        <f t="shared" si="503"/>
        <v>0</v>
      </c>
      <c r="Q702" s="49">
        <f t="shared" si="503"/>
        <v>0</v>
      </c>
      <c r="R702" s="49">
        <f t="shared" si="503"/>
        <v>0</v>
      </c>
      <c r="S702" s="49">
        <f t="shared" si="503"/>
        <v>0</v>
      </c>
      <c r="T702" s="49">
        <f t="shared" si="503"/>
        <v>0</v>
      </c>
      <c r="V702" s="53">
        <f t="shared" si="524"/>
        <v>0</v>
      </c>
      <c r="W702" s="53">
        <f t="shared" si="525"/>
        <v>0</v>
      </c>
      <c r="X702" s="53">
        <f t="shared" si="526"/>
        <v>0</v>
      </c>
      <c r="Y702" s="53">
        <f t="shared" si="527"/>
        <v>0</v>
      </c>
      <c r="Z702" s="53">
        <f t="shared" si="528"/>
        <v>0</v>
      </c>
      <c r="AB702" s="53">
        <f t="shared" si="516"/>
        <v>0</v>
      </c>
      <c r="AC702" s="53">
        <f t="shared" si="517"/>
        <v>0</v>
      </c>
      <c r="AD702" s="53">
        <f t="shared" si="518"/>
        <v>0</v>
      </c>
      <c r="AE702" s="53">
        <f t="shared" si="519"/>
        <v>0</v>
      </c>
      <c r="AF702" s="53">
        <f t="shared" si="520"/>
        <v>0</v>
      </c>
    </row>
    <row r="703" spans="2:32">
      <c r="B703" s="43" t="str">
        <f t="shared" si="513"/>
        <v>Asset 149</v>
      </c>
      <c r="F703" s="43" t="str">
        <f t="shared" ref="F703:L703" si="544">F207</f>
        <v>08 Inrichting gebouwen</v>
      </c>
      <c r="G703" s="43">
        <f t="shared" si="544"/>
        <v>2011</v>
      </c>
      <c r="H703" s="48">
        <f t="shared" si="544"/>
        <v>309147.61872011481</v>
      </c>
      <c r="I703" s="43">
        <f t="shared" si="544"/>
        <v>2021</v>
      </c>
      <c r="J703" s="43">
        <f t="shared" si="544"/>
        <v>10</v>
      </c>
      <c r="K703" s="43">
        <f t="shared" si="544"/>
        <v>0</v>
      </c>
      <c r="L703" s="48">
        <f t="shared" si="544"/>
        <v>0</v>
      </c>
      <c r="N703" s="44">
        <f t="shared" si="515"/>
        <v>0</v>
      </c>
      <c r="P703" s="49">
        <f t="shared" si="503"/>
        <v>0</v>
      </c>
      <c r="Q703" s="49">
        <f t="shared" si="503"/>
        <v>0</v>
      </c>
      <c r="R703" s="49">
        <f t="shared" si="503"/>
        <v>0</v>
      </c>
      <c r="S703" s="49">
        <f t="shared" si="503"/>
        <v>0</v>
      </c>
      <c r="T703" s="49">
        <f t="shared" si="503"/>
        <v>0</v>
      </c>
      <c r="V703" s="53">
        <f t="shared" si="524"/>
        <v>0</v>
      </c>
      <c r="W703" s="53">
        <f t="shared" si="525"/>
        <v>0</v>
      </c>
      <c r="X703" s="53">
        <f t="shared" si="526"/>
        <v>0</v>
      </c>
      <c r="Y703" s="53">
        <f t="shared" si="527"/>
        <v>0</v>
      </c>
      <c r="Z703" s="53">
        <f t="shared" si="528"/>
        <v>0</v>
      </c>
      <c r="AB703" s="53">
        <f t="shared" si="516"/>
        <v>0</v>
      </c>
      <c r="AC703" s="53">
        <f t="shared" si="517"/>
        <v>0</v>
      </c>
      <c r="AD703" s="53">
        <f t="shared" si="518"/>
        <v>0</v>
      </c>
      <c r="AE703" s="53">
        <f t="shared" si="519"/>
        <v>0</v>
      </c>
      <c r="AF703" s="53">
        <f t="shared" si="520"/>
        <v>0</v>
      </c>
    </row>
    <row r="704" spans="2:32">
      <c r="B704" s="43" t="str">
        <f t="shared" si="513"/>
        <v>Asset 150</v>
      </c>
      <c r="F704" s="43" t="str">
        <f t="shared" ref="F704:L704" si="545">F208</f>
        <v>38 ICT middelen 2</v>
      </c>
      <c r="G704" s="43">
        <f t="shared" si="545"/>
        <v>2011</v>
      </c>
      <c r="H704" s="48">
        <f t="shared" si="545"/>
        <v>24343500.983545668</v>
      </c>
      <c r="I704" s="43">
        <f t="shared" si="545"/>
        <v>2021</v>
      </c>
      <c r="J704" s="43">
        <f t="shared" si="545"/>
        <v>10</v>
      </c>
      <c r="K704" s="43">
        <f t="shared" si="545"/>
        <v>1</v>
      </c>
      <c r="L704" s="48">
        <f t="shared" si="545"/>
        <v>0</v>
      </c>
      <c r="N704" s="44">
        <f t="shared" si="515"/>
        <v>0</v>
      </c>
      <c r="P704" s="49">
        <f t="shared" si="503"/>
        <v>0</v>
      </c>
      <c r="Q704" s="49">
        <f t="shared" si="503"/>
        <v>0</v>
      </c>
      <c r="R704" s="49">
        <f t="shared" si="503"/>
        <v>0</v>
      </c>
      <c r="S704" s="49">
        <f t="shared" si="503"/>
        <v>0</v>
      </c>
      <c r="T704" s="49">
        <f t="shared" si="503"/>
        <v>0</v>
      </c>
      <c r="V704" s="53">
        <f t="shared" si="524"/>
        <v>0</v>
      </c>
      <c r="W704" s="53">
        <f t="shared" si="525"/>
        <v>0</v>
      </c>
      <c r="X704" s="53">
        <f t="shared" si="526"/>
        <v>0</v>
      </c>
      <c r="Y704" s="53">
        <f t="shared" si="527"/>
        <v>0</v>
      </c>
      <c r="Z704" s="53">
        <f t="shared" si="528"/>
        <v>0</v>
      </c>
      <c r="AB704" s="53">
        <f t="shared" si="516"/>
        <v>0</v>
      </c>
      <c r="AC704" s="53">
        <f t="shared" si="517"/>
        <v>0</v>
      </c>
      <c r="AD704" s="53">
        <f t="shared" si="518"/>
        <v>0</v>
      </c>
      <c r="AE704" s="53">
        <f t="shared" si="519"/>
        <v>0</v>
      </c>
      <c r="AF704" s="53">
        <f t="shared" si="520"/>
        <v>0</v>
      </c>
    </row>
    <row r="705" spans="2:32">
      <c r="B705" s="43" t="str">
        <f t="shared" si="513"/>
        <v>Asset 151</v>
      </c>
      <c r="F705" s="43" t="str">
        <f t="shared" ref="F705:L705" si="546">F209</f>
        <v>11 Werktuigen</v>
      </c>
      <c r="G705" s="43">
        <f t="shared" si="546"/>
        <v>2011</v>
      </c>
      <c r="H705" s="48">
        <f t="shared" si="546"/>
        <v>345005.47060998465</v>
      </c>
      <c r="I705" s="43">
        <f t="shared" si="546"/>
        <v>2021</v>
      </c>
      <c r="J705" s="43">
        <f t="shared" si="546"/>
        <v>10</v>
      </c>
      <c r="K705" s="43">
        <f t="shared" si="546"/>
        <v>1</v>
      </c>
      <c r="L705" s="48">
        <f t="shared" si="546"/>
        <v>0</v>
      </c>
      <c r="N705" s="44">
        <f t="shared" si="515"/>
        <v>0</v>
      </c>
      <c r="P705" s="49">
        <f t="shared" si="503"/>
        <v>0</v>
      </c>
      <c r="Q705" s="49">
        <f t="shared" si="503"/>
        <v>0</v>
      </c>
      <c r="R705" s="49">
        <f t="shared" si="503"/>
        <v>0</v>
      </c>
      <c r="S705" s="49">
        <f t="shared" si="503"/>
        <v>0</v>
      </c>
      <c r="T705" s="49">
        <f t="shared" si="503"/>
        <v>0</v>
      </c>
      <c r="V705" s="53">
        <f t="shared" si="524"/>
        <v>0</v>
      </c>
      <c r="W705" s="53">
        <f t="shared" si="525"/>
        <v>0</v>
      </c>
      <c r="X705" s="53">
        <f t="shared" si="526"/>
        <v>0</v>
      </c>
      <c r="Y705" s="53">
        <f t="shared" si="527"/>
        <v>0</v>
      </c>
      <c r="Z705" s="53">
        <f t="shared" si="528"/>
        <v>0</v>
      </c>
      <c r="AB705" s="53">
        <f t="shared" si="516"/>
        <v>0</v>
      </c>
      <c r="AC705" s="53">
        <f t="shared" si="517"/>
        <v>0</v>
      </c>
      <c r="AD705" s="53">
        <f t="shared" si="518"/>
        <v>0</v>
      </c>
      <c r="AE705" s="53">
        <f t="shared" si="519"/>
        <v>0</v>
      </c>
      <c r="AF705" s="53">
        <f t="shared" si="520"/>
        <v>0</v>
      </c>
    </row>
    <row r="706" spans="2:32">
      <c r="B706" s="43" t="str">
        <f t="shared" si="513"/>
        <v>Asset 152</v>
      </c>
      <c r="F706" s="43" t="str">
        <f t="shared" ref="F706:L706" si="547">F210</f>
        <v>13 Aanhangwagens</v>
      </c>
      <c r="G706" s="43">
        <f t="shared" si="547"/>
        <v>2011</v>
      </c>
      <c r="H706" s="48">
        <f t="shared" si="547"/>
        <v>10931.96</v>
      </c>
      <c r="I706" s="43">
        <f t="shared" si="547"/>
        <v>2021</v>
      </c>
      <c r="J706" s="43">
        <f t="shared" si="547"/>
        <v>10</v>
      </c>
      <c r="K706" s="43">
        <f t="shared" si="547"/>
        <v>1</v>
      </c>
      <c r="L706" s="48">
        <f t="shared" si="547"/>
        <v>0</v>
      </c>
      <c r="N706" s="44">
        <f t="shared" si="515"/>
        <v>0</v>
      </c>
      <c r="P706" s="49">
        <f t="shared" si="503"/>
        <v>0</v>
      </c>
      <c r="Q706" s="49">
        <f t="shared" si="503"/>
        <v>0</v>
      </c>
      <c r="R706" s="49">
        <f t="shared" si="503"/>
        <v>0</v>
      </c>
      <c r="S706" s="49">
        <f t="shared" si="503"/>
        <v>0</v>
      </c>
      <c r="T706" s="49">
        <f t="shared" si="503"/>
        <v>0</v>
      </c>
      <c r="V706" s="53">
        <f t="shared" si="524"/>
        <v>0</v>
      </c>
      <c r="W706" s="53">
        <f t="shared" si="525"/>
        <v>0</v>
      </c>
      <c r="X706" s="53">
        <f t="shared" si="526"/>
        <v>0</v>
      </c>
      <c r="Y706" s="53">
        <f t="shared" si="527"/>
        <v>0</v>
      </c>
      <c r="Z706" s="53">
        <f t="shared" si="528"/>
        <v>0</v>
      </c>
      <c r="AB706" s="53">
        <f t="shared" si="516"/>
        <v>0</v>
      </c>
      <c r="AC706" s="53">
        <f t="shared" si="517"/>
        <v>0</v>
      </c>
      <c r="AD706" s="53">
        <f t="shared" si="518"/>
        <v>0</v>
      </c>
      <c r="AE706" s="53">
        <f t="shared" si="519"/>
        <v>0</v>
      </c>
      <c r="AF706" s="53">
        <f t="shared" si="520"/>
        <v>0</v>
      </c>
    </row>
    <row r="707" spans="2:32">
      <c r="B707" s="43" t="str">
        <f t="shared" si="513"/>
        <v>Asset 153</v>
      </c>
      <c r="F707" s="43" t="str">
        <f t="shared" ref="F707:L707" si="548">F211</f>
        <v>37 ICT middelen 1 (transparency)</v>
      </c>
      <c r="G707" s="43">
        <f t="shared" si="548"/>
        <v>2012</v>
      </c>
      <c r="H707" s="48">
        <f t="shared" si="548"/>
        <v>817297.73457401327</v>
      </c>
      <c r="I707" s="43">
        <f t="shared" si="548"/>
        <v>2021</v>
      </c>
      <c r="J707" s="43">
        <f t="shared" si="548"/>
        <v>5</v>
      </c>
      <c r="K707" s="43">
        <f t="shared" si="548"/>
        <v>0</v>
      </c>
      <c r="L707" s="48">
        <f t="shared" si="548"/>
        <v>0</v>
      </c>
      <c r="N707" s="44">
        <f t="shared" si="515"/>
        <v>0</v>
      </c>
      <c r="P707" s="49">
        <f t="shared" si="503"/>
        <v>0</v>
      </c>
      <c r="Q707" s="49">
        <f t="shared" si="503"/>
        <v>0</v>
      </c>
      <c r="R707" s="49">
        <f t="shared" si="503"/>
        <v>0</v>
      </c>
      <c r="S707" s="49">
        <f t="shared" si="503"/>
        <v>0</v>
      </c>
      <c r="T707" s="49">
        <f t="shared" si="503"/>
        <v>0</v>
      </c>
      <c r="V707" s="53">
        <f t="shared" si="524"/>
        <v>0</v>
      </c>
      <c r="W707" s="53">
        <f t="shared" si="525"/>
        <v>0</v>
      </c>
      <c r="X707" s="53">
        <f t="shared" si="526"/>
        <v>0</v>
      </c>
      <c r="Y707" s="53">
        <f t="shared" si="527"/>
        <v>0</v>
      </c>
      <c r="Z707" s="53">
        <f t="shared" si="528"/>
        <v>0</v>
      </c>
      <c r="AB707" s="53">
        <f t="shared" si="516"/>
        <v>0</v>
      </c>
      <c r="AC707" s="53">
        <f t="shared" si="517"/>
        <v>0</v>
      </c>
      <c r="AD707" s="53">
        <f t="shared" si="518"/>
        <v>0</v>
      </c>
      <c r="AE707" s="53">
        <f t="shared" si="519"/>
        <v>0</v>
      </c>
      <c r="AF707" s="53">
        <f t="shared" si="520"/>
        <v>0</v>
      </c>
    </row>
    <row r="708" spans="2:32">
      <c r="B708" s="43" t="str">
        <f t="shared" si="513"/>
        <v>Asset 154</v>
      </c>
      <c r="F708" s="43" t="str">
        <f t="shared" ref="F708:L708" si="549">F212</f>
        <v>11 Werktuigen</v>
      </c>
      <c r="G708" s="43">
        <f t="shared" si="549"/>
        <v>2012</v>
      </c>
      <c r="H708" s="48">
        <f t="shared" si="549"/>
        <v>237528.30775638262</v>
      </c>
      <c r="I708" s="43">
        <f t="shared" si="549"/>
        <v>2021</v>
      </c>
      <c r="J708" s="43">
        <f t="shared" si="549"/>
        <v>10</v>
      </c>
      <c r="K708" s="43">
        <f t="shared" si="549"/>
        <v>1</v>
      </c>
      <c r="L708" s="48">
        <f t="shared" si="549"/>
        <v>13628.978016883706</v>
      </c>
      <c r="N708" s="44">
        <f t="shared" si="515"/>
        <v>0.5</v>
      </c>
      <c r="P708" s="49">
        <f t="shared" si="503"/>
        <v>13628.978016883706</v>
      </c>
      <c r="Q708" s="49">
        <f t="shared" si="503"/>
        <v>0</v>
      </c>
      <c r="R708" s="49">
        <f t="shared" si="503"/>
        <v>0</v>
      </c>
      <c r="S708" s="49">
        <f t="shared" si="503"/>
        <v>0</v>
      </c>
      <c r="T708" s="49">
        <f t="shared" si="503"/>
        <v>0</v>
      </c>
      <c r="V708" s="53">
        <f t="shared" si="524"/>
        <v>0</v>
      </c>
      <c r="W708" s="53">
        <f t="shared" si="525"/>
        <v>0</v>
      </c>
      <c r="X708" s="53">
        <f t="shared" si="526"/>
        <v>0</v>
      </c>
      <c r="Y708" s="53">
        <f t="shared" si="527"/>
        <v>0</v>
      </c>
      <c r="Z708" s="53">
        <f t="shared" si="528"/>
        <v>0</v>
      </c>
      <c r="AB708" s="53">
        <f t="shared" si="516"/>
        <v>13628.978016883706</v>
      </c>
      <c r="AC708" s="53">
        <f t="shared" si="517"/>
        <v>0</v>
      </c>
      <c r="AD708" s="53">
        <f t="shared" si="518"/>
        <v>0</v>
      </c>
      <c r="AE708" s="53">
        <f t="shared" si="519"/>
        <v>0</v>
      </c>
      <c r="AF708" s="53">
        <f t="shared" si="520"/>
        <v>0</v>
      </c>
    </row>
    <row r="709" spans="2:32">
      <c r="B709" s="43" t="str">
        <f t="shared" si="513"/>
        <v>Asset 155</v>
      </c>
      <c r="F709" s="43" t="str">
        <f t="shared" ref="F709:L709" si="550">F213</f>
        <v>13 Aanhangwagens</v>
      </c>
      <c r="G709" s="43">
        <f t="shared" si="550"/>
        <v>2012</v>
      </c>
      <c r="H709" s="48">
        <f t="shared" si="550"/>
        <v>20000</v>
      </c>
      <c r="I709" s="43">
        <f t="shared" si="550"/>
        <v>2021</v>
      </c>
      <c r="J709" s="43">
        <f t="shared" si="550"/>
        <v>10</v>
      </c>
      <c r="K709" s="43">
        <f t="shared" si="550"/>
        <v>1</v>
      </c>
      <c r="L709" s="48">
        <f t="shared" si="550"/>
        <v>1147.5666328463135</v>
      </c>
      <c r="N709" s="44">
        <f t="shared" si="515"/>
        <v>0.5</v>
      </c>
      <c r="P709" s="49">
        <f t="shared" si="503"/>
        <v>1147.5666328463135</v>
      </c>
      <c r="Q709" s="49">
        <f t="shared" si="503"/>
        <v>0</v>
      </c>
      <c r="R709" s="49">
        <f t="shared" si="503"/>
        <v>0</v>
      </c>
      <c r="S709" s="49">
        <f t="shared" si="503"/>
        <v>0</v>
      </c>
      <c r="T709" s="49">
        <f t="shared" si="503"/>
        <v>0</v>
      </c>
      <c r="V709" s="53">
        <f t="shared" si="524"/>
        <v>0</v>
      </c>
      <c r="W709" s="53">
        <f t="shared" si="525"/>
        <v>0</v>
      </c>
      <c r="X709" s="53">
        <f t="shared" si="526"/>
        <v>0</v>
      </c>
      <c r="Y709" s="53">
        <f t="shared" si="527"/>
        <v>0</v>
      </c>
      <c r="Z709" s="53">
        <f t="shared" si="528"/>
        <v>0</v>
      </c>
      <c r="AB709" s="53">
        <f t="shared" si="516"/>
        <v>1147.5666328463135</v>
      </c>
      <c r="AC709" s="53">
        <f t="shared" si="517"/>
        <v>0</v>
      </c>
      <c r="AD709" s="53">
        <f t="shared" si="518"/>
        <v>0</v>
      </c>
      <c r="AE709" s="53">
        <f t="shared" si="519"/>
        <v>0</v>
      </c>
      <c r="AF709" s="53">
        <f t="shared" si="520"/>
        <v>0</v>
      </c>
    </row>
    <row r="710" spans="2:32">
      <c r="B710" s="43" t="str">
        <f t="shared" si="513"/>
        <v>Asset 156</v>
      </c>
      <c r="F710" s="43" t="str">
        <f t="shared" ref="F710:L710" si="551">F214</f>
        <v>20 Kantoorgebouwen</v>
      </c>
      <c r="G710" s="43">
        <f t="shared" si="551"/>
        <v>2012</v>
      </c>
      <c r="H710" s="48">
        <f t="shared" si="551"/>
        <v>701380.67501665035</v>
      </c>
      <c r="I710" s="43">
        <f t="shared" si="551"/>
        <v>2021</v>
      </c>
      <c r="J710" s="43">
        <f t="shared" si="551"/>
        <v>30</v>
      </c>
      <c r="K710" s="43">
        <f t="shared" si="551"/>
        <v>0</v>
      </c>
      <c r="L710" s="48">
        <f t="shared" si="551"/>
        <v>550002.05737442558</v>
      </c>
      <c r="N710" s="44">
        <f t="shared" si="515"/>
        <v>20.5</v>
      </c>
      <c r="P710" s="49">
        <f t="shared" si="503"/>
        <v>26829.368652411005</v>
      </c>
      <c r="Q710" s="49">
        <f t="shared" si="503"/>
        <v>26829.368652411005</v>
      </c>
      <c r="R710" s="49">
        <f t="shared" si="503"/>
        <v>26829.368652411005</v>
      </c>
      <c r="S710" s="49">
        <f t="shared" si="503"/>
        <v>26829.368652411005</v>
      </c>
      <c r="T710" s="49">
        <f t="shared" si="503"/>
        <v>26829.368652411005</v>
      </c>
      <c r="V710" s="53">
        <f t="shared" si="524"/>
        <v>523172.6887220146</v>
      </c>
      <c r="W710" s="53">
        <f t="shared" si="525"/>
        <v>496343.32006960362</v>
      </c>
      <c r="X710" s="53">
        <f t="shared" si="526"/>
        <v>469513.95141719264</v>
      </c>
      <c r="Y710" s="53">
        <f t="shared" si="527"/>
        <v>442684.58276478166</v>
      </c>
      <c r="Z710" s="53">
        <f t="shared" si="528"/>
        <v>415855.21411237068</v>
      </c>
      <c r="AB710" s="53">
        <f t="shared" si="516"/>
        <v>44617.240068959502</v>
      </c>
      <c r="AC710" s="53">
        <f t="shared" si="517"/>
        <v>43208.698214707925</v>
      </c>
      <c r="AD710" s="53">
        <f t="shared" si="518"/>
        <v>44670.898806264326</v>
      </c>
      <c r="AE710" s="53">
        <f t="shared" si="519"/>
        <v>43651.382797472703</v>
      </c>
      <c r="AF710" s="53">
        <f t="shared" si="520"/>
        <v>42631.866788681087</v>
      </c>
    </row>
    <row r="711" spans="2:32">
      <c r="B711" s="43" t="str">
        <f t="shared" si="513"/>
        <v>Asset 157</v>
      </c>
      <c r="F711" s="43" t="str">
        <f t="shared" ref="F711:L711" si="552">F215</f>
        <v>10 Gereedschap</v>
      </c>
      <c r="G711" s="43">
        <f t="shared" si="552"/>
        <v>2012</v>
      </c>
      <c r="H711" s="48">
        <f t="shared" si="552"/>
        <v>102288.01000000001</v>
      </c>
      <c r="I711" s="43">
        <f t="shared" si="552"/>
        <v>2021</v>
      </c>
      <c r="J711" s="43">
        <f t="shared" si="552"/>
        <v>10</v>
      </c>
      <c r="K711" s="43">
        <f t="shared" si="552"/>
        <v>1</v>
      </c>
      <c r="L711" s="48">
        <f t="shared" si="552"/>
        <v>5869.1153608124732</v>
      </c>
      <c r="N711" s="44">
        <f t="shared" si="515"/>
        <v>0.5</v>
      </c>
      <c r="P711" s="49">
        <f t="shared" si="503"/>
        <v>5869.1153608124732</v>
      </c>
      <c r="Q711" s="49">
        <f t="shared" si="503"/>
        <v>0</v>
      </c>
      <c r="R711" s="49">
        <f t="shared" si="503"/>
        <v>0</v>
      </c>
      <c r="S711" s="49">
        <f t="shared" si="503"/>
        <v>0</v>
      </c>
      <c r="T711" s="49">
        <f t="shared" si="503"/>
        <v>0</v>
      </c>
      <c r="V711" s="53">
        <f t="shared" si="524"/>
        <v>0</v>
      </c>
      <c r="W711" s="53">
        <f t="shared" si="525"/>
        <v>0</v>
      </c>
      <c r="X711" s="53">
        <f t="shared" si="526"/>
        <v>0</v>
      </c>
      <c r="Y711" s="53">
        <f t="shared" si="527"/>
        <v>0</v>
      </c>
      <c r="Z711" s="53">
        <f t="shared" si="528"/>
        <v>0</v>
      </c>
      <c r="AB711" s="53">
        <f t="shared" si="516"/>
        <v>5869.1153608124732</v>
      </c>
      <c r="AC711" s="53">
        <f t="shared" si="517"/>
        <v>0</v>
      </c>
      <c r="AD711" s="53">
        <f t="shared" si="518"/>
        <v>0</v>
      </c>
      <c r="AE711" s="53">
        <f t="shared" si="519"/>
        <v>0</v>
      </c>
      <c r="AF711" s="53">
        <f t="shared" si="520"/>
        <v>0</v>
      </c>
    </row>
    <row r="712" spans="2:32">
      <c r="B712" s="43" t="str">
        <f t="shared" si="513"/>
        <v>Asset 158</v>
      </c>
      <c r="F712" s="43" t="str">
        <f t="shared" ref="F712:L712" si="553">F216</f>
        <v>09 Bedrijfsinventaris</v>
      </c>
      <c r="G712" s="43">
        <f t="shared" si="553"/>
        <v>2012</v>
      </c>
      <c r="H712" s="48">
        <f t="shared" si="553"/>
        <v>321753.96830222307</v>
      </c>
      <c r="I712" s="43">
        <f t="shared" si="553"/>
        <v>2021</v>
      </c>
      <c r="J712" s="43">
        <f t="shared" si="553"/>
        <v>10</v>
      </c>
      <c r="K712" s="43">
        <f t="shared" si="553"/>
        <v>1</v>
      </c>
      <c r="L712" s="48">
        <f t="shared" si="553"/>
        <v>18461.705900476001</v>
      </c>
      <c r="N712" s="44">
        <f t="shared" si="515"/>
        <v>0.5</v>
      </c>
      <c r="P712" s="49">
        <f t="shared" si="503"/>
        <v>18461.705900476001</v>
      </c>
      <c r="Q712" s="49">
        <f t="shared" si="503"/>
        <v>0</v>
      </c>
      <c r="R712" s="49">
        <f t="shared" si="503"/>
        <v>0</v>
      </c>
      <c r="S712" s="49">
        <f t="shared" si="503"/>
        <v>0</v>
      </c>
      <c r="T712" s="49">
        <f t="shared" si="503"/>
        <v>0</v>
      </c>
      <c r="V712" s="53">
        <f t="shared" si="524"/>
        <v>0</v>
      </c>
      <c r="W712" s="53">
        <f t="shared" si="525"/>
        <v>0</v>
      </c>
      <c r="X712" s="53">
        <f t="shared" si="526"/>
        <v>0</v>
      </c>
      <c r="Y712" s="53">
        <f t="shared" si="527"/>
        <v>0</v>
      </c>
      <c r="Z712" s="53">
        <f t="shared" si="528"/>
        <v>0</v>
      </c>
      <c r="AB712" s="53">
        <f t="shared" si="516"/>
        <v>18461.705900476001</v>
      </c>
      <c r="AC712" s="53">
        <f t="shared" si="517"/>
        <v>0</v>
      </c>
      <c r="AD712" s="53">
        <f t="shared" si="518"/>
        <v>0</v>
      </c>
      <c r="AE712" s="53">
        <f t="shared" si="519"/>
        <v>0</v>
      </c>
      <c r="AF712" s="53">
        <f t="shared" si="520"/>
        <v>0</v>
      </c>
    </row>
    <row r="713" spans="2:32">
      <c r="B713" s="43" t="str">
        <f t="shared" si="513"/>
        <v>Asset 159</v>
      </c>
      <c r="F713" s="43" t="str">
        <f t="shared" ref="F713:L713" si="554">F217</f>
        <v>14 Overig rollend materieel</v>
      </c>
      <c r="G713" s="43">
        <f t="shared" si="554"/>
        <v>2012</v>
      </c>
      <c r="H713" s="48">
        <f t="shared" si="554"/>
        <v>341738.83030935976</v>
      </c>
      <c r="I713" s="43">
        <f t="shared" si="554"/>
        <v>2021</v>
      </c>
      <c r="J713" s="43">
        <f t="shared" si="554"/>
        <v>10</v>
      </c>
      <c r="K713" s="43">
        <f t="shared" si="554"/>
        <v>1</v>
      </c>
      <c r="L713" s="48">
        <f t="shared" si="554"/>
        <v>19608.403940547396</v>
      </c>
      <c r="N713" s="44">
        <f t="shared" si="515"/>
        <v>0.5</v>
      </c>
      <c r="P713" s="49">
        <f t="shared" si="503"/>
        <v>19608.403940547396</v>
      </c>
      <c r="Q713" s="49">
        <f t="shared" si="503"/>
        <v>0</v>
      </c>
      <c r="R713" s="49">
        <f t="shared" si="503"/>
        <v>0</v>
      </c>
      <c r="S713" s="49">
        <f t="shared" si="503"/>
        <v>0</v>
      </c>
      <c r="T713" s="49">
        <f t="shared" si="503"/>
        <v>0</v>
      </c>
      <c r="V713" s="53">
        <f t="shared" si="524"/>
        <v>0</v>
      </c>
      <c r="W713" s="53">
        <f t="shared" si="525"/>
        <v>0</v>
      </c>
      <c r="X713" s="53">
        <f t="shared" si="526"/>
        <v>0</v>
      </c>
      <c r="Y713" s="53">
        <f t="shared" si="527"/>
        <v>0</v>
      </c>
      <c r="Z713" s="53">
        <f t="shared" si="528"/>
        <v>0</v>
      </c>
      <c r="AB713" s="53">
        <f t="shared" si="516"/>
        <v>19608.403940547396</v>
      </c>
      <c r="AC713" s="53">
        <f t="shared" si="517"/>
        <v>0</v>
      </c>
      <c r="AD713" s="53">
        <f t="shared" si="518"/>
        <v>0</v>
      </c>
      <c r="AE713" s="53">
        <f t="shared" si="519"/>
        <v>0</v>
      </c>
      <c r="AF713" s="53">
        <f t="shared" si="520"/>
        <v>0</v>
      </c>
    </row>
    <row r="714" spans="2:32">
      <c r="B714" s="43" t="str">
        <f t="shared" si="513"/>
        <v>Asset 160</v>
      </c>
      <c r="F714" s="43" t="str">
        <f t="shared" ref="F714:L714" si="555">F218</f>
        <v>08 Inrichting gebouwen</v>
      </c>
      <c r="G714" s="43">
        <f t="shared" si="555"/>
        <v>2012</v>
      </c>
      <c r="H714" s="48">
        <f t="shared" si="555"/>
        <v>737114.28212566266</v>
      </c>
      <c r="I714" s="43">
        <f t="shared" si="555"/>
        <v>2021</v>
      </c>
      <c r="J714" s="43">
        <f t="shared" si="555"/>
        <v>10</v>
      </c>
      <c r="K714" s="43">
        <f t="shared" si="555"/>
        <v>0</v>
      </c>
      <c r="L714" s="48">
        <f t="shared" si="555"/>
        <v>42294.387738093574</v>
      </c>
      <c r="N714" s="44">
        <f t="shared" si="515"/>
        <v>0.5</v>
      </c>
      <c r="P714" s="49">
        <f t="shared" si="503"/>
        <v>42294.387738093574</v>
      </c>
      <c r="Q714" s="49">
        <f t="shared" si="503"/>
        <v>0</v>
      </c>
      <c r="R714" s="49">
        <f t="shared" si="503"/>
        <v>0</v>
      </c>
      <c r="S714" s="49">
        <f t="shared" si="503"/>
        <v>0</v>
      </c>
      <c r="T714" s="49">
        <f t="shared" si="503"/>
        <v>0</v>
      </c>
      <c r="V714" s="53">
        <f t="shared" si="524"/>
        <v>0</v>
      </c>
      <c r="W714" s="53">
        <f t="shared" si="525"/>
        <v>0</v>
      </c>
      <c r="X714" s="53">
        <f t="shared" si="526"/>
        <v>0</v>
      </c>
      <c r="Y714" s="53">
        <f t="shared" si="527"/>
        <v>0</v>
      </c>
      <c r="Z714" s="53">
        <f t="shared" si="528"/>
        <v>0</v>
      </c>
      <c r="AB714" s="53">
        <f t="shared" si="516"/>
        <v>42294.387738093574</v>
      </c>
      <c r="AC714" s="53">
        <f t="shared" si="517"/>
        <v>0</v>
      </c>
      <c r="AD714" s="53">
        <f t="shared" si="518"/>
        <v>0</v>
      </c>
      <c r="AE714" s="53">
        <f t="shared" si="519"/>
        <v>0</v>
      </c>
      <c r="AF714" s="53">
        <f t="shared" si="520"/>
        <v>0</v>
      </c>
    </row>
    <row r="715" spans="2:32">
      <c r="B715" s="43" t="str">
        <f t="shared" si="513"/>
        <v>Asset 161</v>
      </c>
      <c r="F715" s="43" t="str">
        <f t="shared" ref="F715:L715" si="556">F219</f>
        <v>11 Werktuigen</v>
      </c>
      <c r="G715" s="43">
        <f t="shared" si="556"/>
        <v>2013</v>
      </c>
      <c r="H715" s="48">
        <f t="shared" si="556"/>
        <v>5005059.40396435</v>
      </c>
      <c r="I715" s="43">
        <f t="shared" si="556"/>
        <v>2021</v>
      </c>
      <c r="J715" s="43">
        <f t="shared" si="556"/>
        <v>10</v>
      </c>
      <c r="K715" s="43">
        <f t="shared" si="556"/>
        <v>1</v>
      </c>
      <c r="L715" s="48">
        <f t="shared" si="556"/>
        <v>842175.83099752699</v>
      </c>
      <c r="N715" s="44">
        <f t="shared" si="515"/>
        <v>1.5</v>
      </c>
      <c r="P715" s="49">
        <f t="shared" si="503"/>
        <v>561450.55399835133</v>
      </c>
      <c r="Q715" s="49">
        <f t="shared" si="503"/>
        <v>280725.27699917566</v>
      </c>
      <c r="R715" s="49">
        <f t="shared" si="503"/>
        <v>0</v>
      </c>
      <c r="S715" s="49">
        <f t="shared" si="503"/>
        <v>0</v>
      </c>
      <c r="T715" s="49">
        <f t="shared" si="503"/>
        <v>0</v>
      </c>
      <c r="V715" s="53">
        <f t="shared" si="524"/>
        <v>280725.27699917566</v>
      </c>
      <c r="W715" s="53">
        <f t="shared" si="525"/>
        <v>0</v>
      </c>
      <c r="X715" s="53">
        <f t="shared" si="526"/>
        <v>0</v>
      </c>
      <c r="Y715" s="53">
        <f t="shared" si="527"/>
        <v>0</v>
      </c>
      <c r="Z715" s="53">
        <f t="shared" si="528"/>
        <v>0</v>
      </c>
      <c r="AB715" s="53">
        <f t="shared" si="516"/>
        <v>570995.2134163233</v>
      </c>
      <c r="AC715" s="53">
        <f t="shared" si="517"/>
        <v>280725.27699917566</v>
      </c>
      <c r="AD715" s="53">
        <f t="shared" si="518"/>
        <v>0</v>
      </c>
      <c r="AE715" s="53">
        <f t="shared" si="519"/>
        <v>0</v>
      </c>
      <c r="AF715" s="53">
        <f t="shared" si="520"/>
        <v>0</v>
      </c>
    </row>
    <row r="716" spans="2:32">
      <c r="B716" s="43" t="str">
        <f t="shared" si="513"/>
        <v>Asset 162</v>
      </c>
      <c r="F716" s="43" t="str">
        <f t="shared" ref="F716:L716" si="557">F220</f>
        <v>20 Kantoorgebouwen</v>
      </c>
      <c r="G716" s="43">
        <f t="shared" si="557"/>
        <v>2013</v>
      </c>
      <c r="H716" s="48">
        <f t="shared" si="557"/>
        <v>1237826.9064472313</v>
      </c>
      <c r="I716" s="43">
        <f t="shared" si="557"/>
        <v>2021</v>
      </c>
      <c r="J716" s="43">
        <f t="shared" si="557"/>
        <v>30</v>
      </c>
      <c r="K716" s="43">
        <f t="shared" si="557"/>
        <v>0</v>
      </c>
      <c r="L716" s="48">
        <f t="shared" si="557"/>
        <v>995129.04477620148</v>
      </c>
      <c r="N716" s="44">
        <f t="shared" si="515"/>
        <v>21.5</v>
      </c>
      <c r="P716" s="49">
        <f t="shared" si="503"/>
        <v>46285.07185005588</v>
      </c>
      <c r="Q716" s="49">
        <f t="shared" si="503"/>
        <v>46285.071850055887</v>
      </c>
      <c r="R716" s="49">
        <f t="shared" si="503"/>
        <v>46285.071850055887</v>
      </c>
      <c r="S716" s="49">
        <f t="shared" si="503"/>
        <v>46285.071850055887</v>
      </c>
      <c r="T716" s="49">
        <f t="shared" si="503"/>
        <v>46285.071850055887</v>
      </c>
      <c r="V716" s="53">
        <f t="shared" si="524"/>
        <v>948843.97292614565</v>
      </c>
      <c r="W716" s="53">
        <f t="shared" si="525"/>
        <v>902558.90107608982</v>
      </c>
      <c r="X716" s="53">
        <f t="shared" si="526"/>
        <v>856273.82922603399</v>
      </c>
      <c r="Y716" s="53">
        <f t="shared" si="527"/>
        <v>809988.75737597817</v>
      </c>
      <c r="Z716" s="53">
        <f t="shared" si="528"/>
        <v>763703.68552592234</v>
      </c>
      <c r="AB716" s="53">
        <f t="shared" si="516"/>
        <v>78545.766929544829</v>
      </c>
      <c r="AC716" s="53">
        <f t="shared" si="517"/>
        <v>76069.515585566856</v>
      </c>
      <c r="AD716" s="53">
        <f t="shared" si="518"/>
        <v>78823.477360645178</v>
      </c>
      <c r="AE716" s="53">
        <f t="shared" si="519"/>
        <v>77064.644630343057</v>
      </c>
      <c r="AF716" s="53">
        <f t="shared" si="520"/>
        <v>75305.811900040935</v>
      </c>
    </row>
    <row r="717" spans="2:32">
      <c r="B717" s="43" t="str">
        <f t="shared" si="513"/>
        <v>Asset 163</v>
      </c>
      <c r="F717" s="43" t="str">
        <f t="shared" ref="F717:L717" si="558">F221</f>
        <v>09 Bedrijfsinventaris</v>
      </c>
      <c r="G717" s="43">
        <f t="shared" si="558"/>
        <v>2013</v>
      </c>
      <c r="H717" s="48">
        <f t="shared" si="558"/>
        <v>292655.61609467439</v>
      </c>
      <c r="I717" s="43">
        <f t="shared" si="558"/>
        <v>2021</v>
      </c>
      <c r="J717" s="43">
        <f t="shared" si="558"/>
        <v>10</v>
      </c>
      <c r="K717" s="43">
        <f t="shared" si="558"/>
        <v>1</v>
      </c>
      <c r="L717" s="48">
        <f t="shared" si="558"/>
        <v>49243.668613684422</v>
      </c>
      <c r="N717" s="44">
        <f t="shared" si="515"/>
        <v>1.5</v>
      </c>
      <c r="P717" s="49">
        <f t="shared" si="503"/>
        <v>32829.11240912295</v>
      </c>
      <c r="Q717" s="49">
        <f t="shared" si="503"/>
        <v>16414.556204561475</v>
      </c>
      <c r="R717" s="49">
        <f t="shared" si="503"/>
        <v>0</v>
      </c>
      <c r="S717" s="49">
        <f t="shared" si="503"/>
        <v>0</v>
      </c>
      <c r="T717" s="49">
        <f t="shared" si="503"/>
        <v>0</v>
      </c>
      <c r="V717" s="53">
        <f t="shared" si="524"/>
        <v>16414.556204561472</v>
      </c>
      <c r="W717" s="53">
        <f t="shared" si="525"/>
        <v>-3.637978807091713E-12</v>
      </c>
      <c r="X717" s="53">
        <f t="shared" si="526"/>
        <v>0</v>
      </c>
      <c r="Y717" s="53">
        <f t="shared" si="527"/>
        <v>0</v>
      </c>
      <c r="Z717" s="53">
        <f t="shared" si="528"/>
        <v>0</v>
      </c>
      <c r="AB717" s="53">
        <f t="shared" si="516"/>
        <v>33387.207320078043</v>
      </c>
      <c r="AC717" s="53">
        <f t="shared" si="517"/>
        <v>16414.556204561475</v>
      </c>
      <c r="AD717" s="53">
        <f t="shared" si="518"/>
        <v>0</v>
      </c>
      <c r="AE717" s="53">
        <f t="shared" si="519"/>
        <v>0</v>
      </c>
      <c r="AF717" s="53">
        <f t="shared" si="520"/>
        <v>0</v>
      </c>
    </row>
    <row r="718" spans="2:32">
      <c r="B718" s="43" t="str">
        <f t="shared" si="513"/>
        <v>Asset 164</v>
      </c>
      <c r="F718" s="43" t="str">
        <f t="shared" ref="F718:L718" si="559">F222</f>
        <v>20 Kantoorgebouwen</v>
      </c>
      <c r="G718" s="43">
        <f t="shared" si="559"/>
        <v>2014</v>
      </c>
      <c r="H718" s="48">
        <f t="shared" si="559"/>
        <v>4973944.9463818558</v>
      </c>
      <c r="I718" s="43">
        <f t="shared" si="559"/>
        <v>2021</v>
      </c>
      <c r="J718" s="43">
        <f t="shared" si="559"/>
        <v>30</v>
      </c>
      <c r="K718" s="43">
        <f t="shared" si="559"/>
        <v>0</v>
      </c>
      <c r="L718" s="48">
        <f t="shared" si="559"/>
        <v>4070721.5945336674</v>
      </c>
      <c r="N718" s="44">
        <f t="shared" si="515"/>
        <v>22.5</v>
      </c>
      <c r="P718" s="49">
        <f t="shared" si="503"/>
        <v>180920.9597570519</v>
      </c>
      <c r="Q718" s="49">
        <f t="shared" si="503"/>
        <v>180920.9597570519</v>
      </c>
      <c r="R718" s="49">
        <f t="shared" si="503"/>
        <v>180920.9597570519</v>
      </c>
      <c r="S718" s="49">
        <f t="shared" si="503"/>
        <v>180920.9597570519</v>
      </c>
      <c r="T718" s="49">
        <f t="shared" si="503"/>
        <v>180920.9597570519</v>
      </c>
      <c r="V718" s="53">
        <f t="shared" si="524"/>
        <v>3889800.6347766155</v>
      </c>
      <c r="W718" s="53">
        <f t="shared" si="525"/>
        <v>3708879.6750195636</v>
      </c>
      <c r="X718" s="53">
        <f t="shared" si="526"/>
        <v>3527958.7152625117</v>
      </c>
      <c r="Y718" s="53">
        <f t="shared" si="527"/>
        <v>3347037.7555054598</v>
      </c>
      <c r="Z718" s="53">
        <f t="shared" si="528"/>
        <v>3166116.795748408</v>
      </c>
      <c r="AB718" s="53">
        <f t="shared" si="516"/>
        <v>313174.18133945682</v>
      </c>
      <c r="AC718" s="53">
        <f t="shared" si="517"/>
        <v>303313.98903269751</v>
      </c>
      <c r="AD718" s="53">
        <f t="shared" si="518"/>
        <v>314983.39093702735</v>
      </c>
      <c r="AE718" s="53">
        <f t="shared" si="519"/>
        <v>308108.3944662594</v>
      </c>
      <c r="AF718" s="53">
        <f t="shared" si="520"/>
        <v>301233.3979954914</v>
      </c>
    </row>
    <row r="719" spans="2:32">
      <c r="B719" s="43" t="str">
        <f t="shared" si="513"/>
        <v>Asset 165</v>
      </c>
      <c r="F719" s="43" t="str">
        <f t="shared" ref="F719:L719" si="560">F223</f>
        <v>09 Bedrijfsinventaris</v>
      </c>
      <c r="G719" s="43">
        <f t="shared" si="560"/>
        <v>2014</v>
      </c>
      <c r="H719" s="48">
        <f t="shared" si="560"/>
        <v>332895.6529706032</v>
      </c>
      <c r="I719" s="43">
        <f t="shared" si="560"/>
        <v>2021</v>
      </c>
      <c r="J719" s="43">
        <f t="shared" si="560"/>
        <v>10</v>
      </c>
      <c r="K719" s="43">
        <f t="shared" si="560"/>
        <v>1</v>
      </c>
      <c r="L719" s="48">
        <f t="shared" si="560"/>
        <v>90814.939173486709</v>
      </c>
      <c r="N719" s="44">
        <f t="shared" si="515"/>
        <v>2.5</v>
      </c>
      <c r="P719" s="49">
        <f t="shared" si="503"/>
        <v>36325.975669394684</v>
      </c>
      <c r="Q719" s="49">
        <f t="shared" si="503"/>
        <v>36325.975669394684</v>
      </c>
      <c r="R719" s="49">
        <f t="shared" si="503"/>
        <v>18162.987834697342</v>
      </c>
      <c r="S719" s="49">
        <f t="shared" si="503"/>
        <v>0</v>
      </c>
      <c r="T719" s="49">
        <f t="shared" si="503"/>
        <v>0</v>
      </c>
      <c r="V719" s="53">
        <f t="shared" si="524"/>
        <v>54488.963504092026</v>
      </c>
      <c r="W719" s="53">
        <f t="shared" si="525"/>
        <v>18162.987834697342</v>
      </c>
      <c r="X719" s="53">
        <f t="shared" si="526"/>
        <v>0</v>
      </c>
      <c r="Y719" s="53">
        <f t="shared" si="527"/>
        <v>0</v>
      </c>
      <c r="Z719" s="53">
        <f t="shared" si="528"/>
        <v>0</v>
      </c>
      <c r="AB719" s="53">
        <f t="shared" si="516"/>
        <v>38178.600428533813</v>
      </c>
      <c r="AC719" s="53">
        <f t="shared" si="517"/>
        <v>36925.3542679397</v>
      </c>
      <c r="AD719" s="53">
        <f t="shared" si="518"/>
        <v>18162.987834697342</v>
      </c>
      <c r="AE719" s="53">
        <f t="shared" si="519"/>
        <v>0</v>
      </c>
      <c r="AF719" s="53">
        <f t="shared" si="520"/>
        <v>0</v>
      </c>
    </row>
    <row r="720" spans="2:32">
      <c r="B720" s="43" t="str">
        <f t="shared" si="513"/>
        <v>Asset 166</v>
      </c>
      <c r="F720" s="43" t="str">
        <f t="shared" ref="F720:L720" si="561">F224</f>
        <v>10 Gereedschap</v>
      </c>
      <c r="G720" s="43">
        <f t="shared" si="561"/>
        <v>2014</v>
      </c>
      <c r="H720" s="48">
        <f t="shared" si="561"/>
        <v>294123.8734031191</v>
      </c>
      <c r="I720" s="43">
        <f t="shared" si="561"/>
        <v>2021</v>
      </c>
      <c r="J720" s="43">
        <f t="shared" si="561"/>
        <v>10</v>
      </c>
      <c r="K720" s="43">
        <f t="shared" si="561"/>
        <v>1</v>
      </c>
      <c r="L720" s="48">
        <f t="shared" si="561"/>
        <v>80237.880651848885</v>
      </c>
      <c r="N720" s="44">
        <f t="shared" si="515"/>
        <v>2.5</v>
      </c>
      <c r="P720" s="49">
        <f t="shared" si="503"/>
        <v>32095.152260739556</v>
      </c>
      <c r="Q720" s="49">
        <f t="shared" si="503"/>
        <v>32095.152260739549</v>
      </c>
      <c r="R720" s="49">
        <f t="shared" si="503"/>
        <v>16047.576130369775</v>
      </c>
      <c r="S720" s="49">
        <f t="shared" si="503"/>
        <v>0</v>
      </c>
      <c r="T720" s="49">
        <f t="shared" si="503"/>
        <v>0</v>
      </c>
      <c r="V720" s="53">
        <f t="shared" si="524"/>
        <v>48142.728391109325</v>
      </c>
      <c r="W720" s="53">
        <f t="shared" si="525"/>
        <v>16047.576130369776</v>
      </c>
      <c r="X720" s="53">
        <f t="shared" si="526"/>
        <v>1.8189894035458565E-12</v>
      </c>
      <c r="Y720" s="53">
        <f t="shared" si="527"/>
        <v>0</v>
      </c>
      <c r="Z720" s="53">
        <f t="shared" si="528"/>
        <v>0</v>
      </c>
      <c r="AB720" s="53">
        <f t="shared" si="516"/>
        <v>33732.005026037274</v>
      </c>
      <c r="AC720" s="53">
        <f t="shared" si="517"/>
        <v>32624.722273041752</v>
      </c>
      <c r="AD720" s="53">
        <f t="shared" si="518"/>
        <v>16047.576130369775</v>
      </c>
      <c r="AE720" s="53">
        <f t="shared" si="519"/>
        <v>0</v>
      </c>
      <c r="AF720" s="53">
        <f t="shared" si="520"/>
        <v>0</v>
      </c>
    </row>
    <row r="721" spans="2:32">
      <c r="B721" s="43" t="str">
        <f t="shared" si="513"/>
        <v>Asset 167</v>
      </c>
      <c r="F721" s="43" t="str">
        <f t="shared" ref="F721:L721" si="562">F225</f>
        <v>13 Aanhangwagens</v>
      </c>
      <c r="G721" s="43">
        <f t="shared" si="562"/>
        <v>2014</v>
      </c>
      <c r="H721" s="48">
        <f t="shared" si="562"/>
        <v>24919.261718386999</v>
      </c>
      <c r="I721" s="43">
        <f t="shared" si="562"/>
        <v>2021</v>
      </c>
      <c r="J721" s="43">
        <f t="shared" si="562"/>
        <v>10</v>
      </c>
      <c r="K721" s="43">
        <f t="shared" si="562"/>
        <v>1</v>
      </c>
      <c r="L721" s="48">
        <f t="shared" si="562"/>
        <v>6798.0498303573586</v>
      </c>
      <c r="N721" s="44">
        <f t="shared" si="515"/>
        <v>2.5</v>
      </c>
      <c r="P721" s="49">
        <f t="shared" si="503"/>
        <v>2719.2199321429434</v>
      </c>
      <c r="Q721" s="49">
        <f t="shared" si="503"/>
        <v>2719.2199321429434</v>
      </c>
      <c r="R721" s="49">
        <f t="shared" si="503"/>
        <v>1359.6099660714717</v>
      </c>
      <c r="S721" s="49">
        <f t="shared" si="503"/>
        <v>0</v>
      </c>
      <c r="T721" s="49">
        <f t="shared" si="503"/>
        <v>0</v>
      </c>
      <c r="V721" s="53">
        <f t="shared" si="524"/>
        <v>4078.8298982144152</v>
      </c>
      <c r="W721" s="53">
        <f t="shared" si="525"/>
        <v>1359.6099660714717</v>
      </c>
      <c r="X721" s="53">
        <f t="shared" si="526"/>
        <v>0</v>
      </c>
      <c r="Y721" s="53">
        <f t="shared" si="527"/>
        <v>0</v>
      </c>
      <c r="Z721" s="53">
        <f t="shared" si="528"/>
        <v>0</v>
      </c>
      <c r="AB721" s="53">
        <f t="shared" si="516"/>
        <v>2857.9001486822335</v>
      </c>
      <c r="AC721" s="53">
        <f t="shared" si="517"/>
        <v>2764.0870610233019</v>
      </c>
      <c r="AD721" s="53">
        <f t="shared" si="518"/>
        <v>1359.6099660714717</v>
      </c>
      <c r="AE721" s="53">
        <f t="shared" si="519"/>
        <v>0</v>
      </c>
      <c r="AF721" s="53">
        <f t="shared" si="520"/>
        <v>0</v>
      </c>
    </row>
    <row r="722" spans="2:32">
      <c r="B722" s="43" t="str">
        <f t="shared" si="513"/>
        <v>Asset 168</v>
      </c>
      <c r="F722" s="43" t="str">
        <f t="shared" ref="F722:L722" si="563">F226</f>
        <v>11 Werktuigen</v>
      </c>
      <c r="G722" s="43">
        <f t="shared" si="563"/>
        <v>2014</v>
      </c>
      <c r="H722" s="48">
        <f t="shared" si="563"/>
        <v>264974.99557180319</v>
      </c>
      <c r="I722" s="43">
        <f t="shared" si="563"/>
        <v>2021</v>
      </c>
      <c r="J722" s="43">
        <f t="shared" si="563"/>
        <v>10</v>
      </c>
      <c r="K722" s="43">
        <f t="shared" si="563"/>
        <v>1</v>
      </c>
      <c r="L722" s="48">
        <f t="shared" si="563"/>
        <v>72285.978776277945</v>
      </c>
      <c r="N722" s="44">
        <f t="shared" si="515"/>
        <v>2.5</v>
      </c>
      <c r="P722" s="49">
        <f t="shared" si="503"/>
        <v>28914.391510511181</v>
      </c>
      <c r="Q722" s="49">
        <f t="shared" si="503"/>
        <v>28914.391510511177</v>
      </c>
      <c r="R722" s="49">
        <f t="shared" si="503"/>
        <v>14457.195755255589</v>
      </c>
      <c r="S722" s="49">
        <f t="shared" si="503"/>
        <v>0</v>
      </c>
      <c r="T722" s="49">
        <f t="shared" si="503"/>
        <v>0</v>
      </c>
      <c r="V722" s="53">
        <f t="shared" si="524"/>
        <v>43371.587265766764</v>
      </c>
      <c r="W722" s="53">
        <f t="shared" si="525"/>
        <v>14457.195755255587</v>
      </c>
      <c r="X722" s="53">
        <f t="shared" si="526"/>
        <v>-1.8189894035458565E-12</v>
      </c>
      <c r="Y722" s="53">
        <f t="shared" si="527"/>
        <v>0</v>
      </c>
      <c r="Z722" s="53">
        <f t="shared" si="528"/>
        <v>0</v>
      </c>
      <c r="AB722" s="53">
        <f t="shared" si="516"/>
        <v>30389.025477547249</v>
      </c>
      <c r="AC722" s="53">
        <f t="shared" si="517"/>
        <v>29391.478970434611</v>
      </c>
      <c r="AD722" s="53">
        <f t="shared" si="518"/>
        <v>14457.195755255589</v>
      </c>
      <c r="AE722" s="53">
        <f t="shared" si="519"/>
        <v>0</v>
      </c>
      <c r="AF722" s="53">
        <f t="shared" si="520"/>
        <v>0</v>
      </c>
    </row>
    <row r="723" spans="2:32">
      <c r="B723" s="43" t="str">
        <f t="shared" si="513"/>
        <v>Asset 169</v>
      </c>
      <c r="F723" s="43" t="str">
        <f t="shared" ref="F723:L723" si="564">F227</f>
        <v>08 Inrichting gebouwen</v>
      </c>
      <c r="G723" s="43">
        <f t="shared" si="564"/>
        <v>2014</v>
      </c>
      <c r="H723" s="48">
        <f t="shared" si="564"/>
        <v>724167.86511950963</v>
      </c>
      <c r="I723" s="43">
        <f t="shared" si="564"/>
        <v>2021</v>
      </c>
      <c r="J723" s="43">
        <f t="shared" si="564"/>
        <v>10</v>
      </c>
      <c r="K723" s="43">
        <f t="shared" si="564"/>
        <v>0</v>
      </c>
      <c r="L723" s="48">
        <f t="shared" si="564"/>
        <v>197555.1799351057</v>
      </c>
      <c r="N723" s="44">
        <f t="shared" si="515"/>
        <v>2.5</v>
      </c>
      <c r="P723" s="49">
        <f t="shared" si="503"/>
        <v>79022.071974042279</v>
      </c>
      <c r="Q723" s="49">
        <f t="shared" si="503"/>
        <v>79022.071974042279</v>
      </c>
      <c r="R723" s="49">
        <f t="shared" si="503"/>
        <v>39511.03598702114</v>
      </c>
      <c r="S723" s="49">
        <f t="shared" si="503"/>
        <v>0</v>
      </c>
      <c r="T723" s="49">
        <f t="shared" si="503"/>
        <v>0</v>
      </c>
      <c r="V723" s="53">
        <f t="shared" si="524"/>
        <v>118533.10796106342</v>
      </c>
      <c r="W723" s="53">
        <f t="shared" si="525"/>
        <v>39511.03598702114</v>
      </c>
      <c r="X723" s="53">
        <f t="shared" si="526"/>
        <v>0</v>
      </c>
      <c r="Y723" s="53">
        <f t="shared" si="527"/>
        <v>0</v>
      </c>
      <c r="Z723" s="53">
        <f t="shared" si="528"/>
        <v>0</v>
      </c>
      <c r="AB723" s="53">
        <f t="shared" si="516"/>
        <v>83052.197644718442</v>
      </c>
      <c r="AC723" s="53">
        <f t="shared" si="517"/>
        <v>80325.936161613979</v>
      </c>
      <c r="AD723" s="53">
        <f t="shared" si="518"/>
        <v>39511.03598702114</v>
      </c>
      <c r="AE723" s="53">
        <f t="shared" si="519"/>
        <v>0</v>
      </c>
      <c r="AF723" s="53">
        <f t="shared" si="520"/>
        <v>0</v>
      </c>
    </row>
    <row r="724" spans="2:32">
      <c r="B724" s="43" t="str">
        <f t="shared" si="513"/>
        <v>Asset 170</v>
      </c>
      <c r="F724" s="43" t="str">
        <f t="shared" ref="F724:L724" si="565">F228</f>
        <v>14 Overig rollend materieel (odorisatie)</v>
      </c>
      <c r="G724" s="43">
        <f t="shared" si="565"/>
        <v>2014</v>
      </c>
      <c r="H724" s="48">
        <f t="shared" si="565"/>
        <v>1415.9999999999968</v>
      </c>
      <c r="I724" s="43">
        <f t="shared" si="565"/>
        <v>2021</v>
      </c>
      <c r="J724" s="43">
        <f t="shared" si="565"/>
        <v>10</v>
      </c>
      <c r="K724" s="43">
        <f t="shared" si="565"/>
        <v>0</v>
      </c>
      <c r="L724" s="48">
        <f t="shared" si="565"/>
        <v>386.28907503641284</v>
      </c>
      <c r="N724" s="44">
        <f t="shared" si="515"/>
        <v>2.5</v>
      </c>
      <c r="P724" s="49">
        <f t="shared" si="503"/>
        <v>154.51563001456515</v>
      </c>
      <c r="Q724" s="49">
        <f t="shared" si="503"/>
        <v>154.51563001456512</v>
      </c>
      <c r="R724" s="49">
        <f t="shared" si="503"/>
        <v>77.257815007282559</v>
      </c>
      <c r="S724" s="49">
        <f t="shared" si="503"/>
        <v>0</v>
      </c>
      <c r="T724" s="49">
        <f t="shared" si="503"/>
        <v>0</v>
      </c>
      <c r="V724" s="53">
        <f t="shared" si="524"/>
        <v>231.77344502184769</v>
      </c>
      <c r="W724" s="53">
        <f t="shared" si="525"/>
        <v>77.257815007282574</v>
      </c>
      <c r="X724" s="53">
        <f t="shared" si="526"/>
        <v>1.4210854715202004E-14</v>
      </c>
      <c r="Y724" s="53">
        <f t="shared" si="527"/>
        <v>0</v>
      </c>
      <c r="Z724" s="53">
        <f t="shared" si="528"/>
        <v>0</v>
      </c>
      <c r="AB724" s="53">
        <f t="shared" si="516"/>
        <v>162.39592714530798</v>
      </c>
      <c r="AC724" s="53">
        <f t="shared" si="517"/>
        <v>157.06513790980546</v>
      </c>
      <c r="AD724" s="53">
        <f t="shared" si="518"/>
        <v>77.257815007282559</v>
      </c>
      <c r="AE724" s="53">
        <f t="shared" si="519"/>
        <v>0</v>
      </c>
      <c r="AF724" s="53">
        <f t="shared" si="520"/>
        <v>0</v>
      </c>
    </row>
    <row r="725" spans="2:32">
      <c r="B725" s="43" t="str">
        <f t="shared" si="513"/>
        <v>Asset 171</v>
      </c>
      <c r="F725" s="43" t="str">
        <f t="shared" ref="F725:L725" si="566">F229</f>
        <v>14 Overig rollend materieel (odorisatie)</v>
      </c>
      <c r="G725" s="43">
        <f t="shared" si="566"/>
        <v>2015</v>
      </c>
      <c r="H725" s="48">
        <f t="shared" si="566"/>
        <v>43315.304046858677</v>
      </c>
      <c r="I725" s="43">
        <f t="shared" si="566"/>
        <v>2021</v>
      </c>
      <c r="J725" s="43">
        <f t="shared" si="566"/>
        <v>10</v>
      </c>
      <c r="K725" s="43">
        <f t="shared" si="566"/>
        <v>0</v>
      </c>
      <c r="L725" s="48">
        <f t="shared" si="566"/>
        <v>16379.370300704035</v>
      </c>
      <c r="N725" s="44">
        <f t="shared" si="515"/>
        <v>3.5</v>
      </c>
      <c r="P725" s="49">
        <f t="shared" ref="P725:T758" si="567">IF(P$553&lt;=$G725+$J725,VDB($L725,0,$N725,P$553-2022,MIN(P$553-2021,$N725),1),0)</f>
        <v>4679.8200859154385</v>
      </c>
      <c r="Q725" s="49">
        <f t="shared" si="567"/>
        <v>4679.8200859154385</v>
      </c>
      <c r="R725" s="49">
        <f t="shared" si="567"/>
        <v>4679.8200859154385</v>
      </c>
      <c r="S725" s="49">
        <f t="shared" si="567"/>
        <v>2339.9100429577193</v>
      </c>
      <c r="T725" s="49">
        <f t="shared" si="567"/>
        <v>0</v>
      </c>
      <c r="V725" s="53">
        <f t="shared" si="524"/>
        <v>11699.550214788596</v>
      </c>
      <c r="W725" s="53">
        <f t="shared" si="525"/>
        <v>7019.7301288731578</v>
      </c>
      <c r="X725" s="53">
        <f t="shared" si="526"/>
        <v>2339.9100429577193</v>
      </c>
      <c r="Y725" s="53">
        <f t="shared" si="527"/>
        <v>0</v>
      </c>
      <c r="Z725" s="53">
        <f t="shared" si="528"/>
        <v>0</v>
      </c>
      <c r="AB725" s="53">
        <f t="shared" si="516"/>
        <v>5077.604793218251</v>
      </c>
      <c r="AC725" s="53">
        <f t="shared" si="517"/>
        <v>4911.4711801682524</v>
      </c>
      <c r="AD725" s="53">
        <f t="shared" si="518"/>
        <v>4768.7366675478315</v>
      </c>
      <c r="AE725" s="53">
        <f t="shared" si="519"/>
        <v>2339.9100429577193</v>
      </c>
      <c r="AF725" s="53">
        <f t="shared" si="520"/>
        <v>0</v>
      </c>
    </row>
    <row r="726" spans="2:32">
      <c r="B726" s="43" t="str">
        <f t="shared" si="513"/>
        <v>Asset 172</v>
      </c>
      <c r="F726" s="43" t="str">
        <f t="shared" ref="F726:L726" si="568">F230</f>
        <v>13 Aanhangwagens</v>
      </c>
      <c r="G726" s="43">
        <f t="shared" si="568"/>
        <v>2015</v>
      </c>
      <c r="H726" s="48">
        <f t="shared" si="568"/>
        <v>78424.550748692549</v>
      </c>
      <c r="I726" s="43">
        <f t="shared" si="568"/>
        <v>2021</v>
      </c>
      <c r="J726" s="43">
        <f t="shared" si="568"/>
        <v>10</v>
      </c>
      <c r="K726" s="43">
        <f t="shared" si="568"/>
        <v>1</v>
      </c>
      <c r="L726" s="48">
        <f t="shared" si="568"/>
        <v>29655.679110310892</v>
      </c>
      <c r="N726" s="44">
        <f t="shared" si="515"/>
        <v>3.5</v>
      </c>
      <c r="P726" s="49">
        <f t="shared" si="567"/>
        <v>8473.051174374541</v>
      </c>
      <c r="Q726" s="49">
        <f t="shared" si="567"/>
        <v>8473.051174374541</v>
      </c>
      <c r="R726" s="49">
        <f t="shared" si="567"/>
        <v>8473.051174374541</v>
      </c>
      <c r="S726" s="49">
        <f t="shared" si="567"/>
        <v>4236.5255871872705</v>
      </c>
      <c r="T726" s="49">
        <f t="shared" si="567"/>
        <v>0</v>
      </c>
      <c r="V726" s="53">
        <f t="shared" si="524"/>
        <v>21182.627935936351</v>
      </c>
      <c r="W726" s="53">
        <f t="shared" si="525"/>
        <v>12709.57676156181</v>
      </c>
      <c r="X726" s="53">
        <f t="shared" si="526"/>
        <v>4236.5255871872687</v>
      </c>
      <c r="Y726" s="53">
        <f t="shared" si="527"/>
        <v>-1.8189894035458565E-12</v>
      </c>
      <c r="Z726" s="53">
        <f t="shared" si="528"/>
        <v>0</v>
      </c>
      <c r="AB726" s="53">
        <f t="shared" si="516"/>
        <v>9193.2605241963774</v>
      </c>
      <c r="AC726" s="53">
        <f t="shared" si="517"/>
        <v>8892.4672075060807</v>
      </c>
      <c r="AD726" s="53">
        <f t="shared" si="518"/>
        <v>8634.0391466876572</v>
      </c>
      <c r="AE726" s="53">
        <f t="shared" si="519"/>
        <v>4236.5255871872705</v>
      </c>
      <c r="AF726" s="53">
        <f t="shared" si="520"/>
        <v>0</v>
      </c>
    </row>
    <row r="727" spans="2:32">
      <c r="B727" s="43" t="str">
        <f t="shared" si="513"/>
        <v>Asset 173</v>
      </c>
      <c r="F727" s="43" t="str">
        <f t="shared" ref="F727:L727" si="569">F231</f>
        <v>11 Werktuigen</v>
      </c>
      <c r="G727" s="43">
        <f t="shared" si="569"/>
        <v>2015</v>
      </c>
      <c r="H727" s="48">
        <f t="shared" si="569"/>
        <v>481116.61247078225</v>
      </c>
      <c r="I727" s="43">
        <f t="shared" si="569"/>
        <v>2021</v>
      </c>
      <c r="J727" s="43">
        <f t="shared" si="569"/>
        <v>10</v>
      </c>
      <c r="K727" s="43">
        <f t="shared" si="569"/>
        <v>1</v>
      </c>
      <c r="L727" s="48">
        <f t="shared" si="569"/>
        <v>181930.78236168518</v>
      </c>
      <c r="N727" s="44">
        <f t="shared" si="515"/>
        <v>3.5</v>
      </c>
      <c r="P727" s="49">
        <f t="shared" si="567"/>
        <v>51980.223531910051</v>
      </c>
      <c r="Q727" s="49">
        <f t="shared" si="567"/>
        <v>51980.223531910058</v>
      </c>
      <c r="R727" s="49">
        <f t="shared" si="567"/>
        <v>51980.223531910058</v>
      </c>
      <c r="S727" s="49">
        <f t="shared" si="567"/>
        <v>25990.111765955029</v>
      </c>
      <c r="T727" s="49">
        <f t="shared" si="567"/>
        <v>0</v>
      </c>
      <c r="V727" s="53">
        <f t="shared" si="524"/>
        <v>129950.55882977514</v>
      </c>
      <c r="W727" s="53">
        <f t="shared" si="525"/>
        <v>77970.33529786508</v>
      </c>
      <c r="X727" s="53">
        <f t="shared" si="526"/>
        <v>25990.111765955022</v>
      </c>
      <c r="Y727" s="53">
        <f t="shared" si="527"/>
        <v>-7.2759576141834259E-12</v>
      </c>
      <c r="Z727" s="53">
        <f t="shared" si="528"/>
        <v>0</v>
      </c>
      <c r="AB727" s="53">
        <f t="shared" si="516"/>
        <v>56398.542532122403</v>
      </c>
      <c r="AC727" s="53">
        <f t="shared" si="517"/>
        <v>54553.244596739605</v>
      </c>
      <c r="AD727" s="53">
        <f t="shared" si="518"/>
        <v>52967.847779016352</v>
      </c>
      <c r="AE727" s="53">
        <f t="shared" si="519"/>
        <v>25990.111765955029</v>
      </c>
      <c r="AF727" s="53">
        <f t="shared" si="520"/>
        <v>0</v>
      </c>
    </row>
    <row r="728" spans="2:32">
      <c r="B728" s="43" t="str">
        <f t="shared" si="513"/>
        <v>Asset 174</v>
      </c>
      <c r="F728" s="43" t="str">
        <f t="shared" ref="F728:L728" si="570">F232</f>
        <v>39 ICT middelen 3</v>
      </c>
      <c r="G728" s="43">
        <f t="shared" si="570"/>
        <v>2015</v>
      </c>
      <c r="H728" s="48">
        <f t="shared" si="570"/>
        <v>13785822.782425826</v>
      </c>
      <c r="I728" s="43">
        <f t="shared" si="570"/>
        <v>2021</v>
      </c>
      <c r="J728" s="43">
        <f t="shared" si="570"/>
        <v>15</v>
      </c>
      <c r="K728" s="43">
        <f t="shared" si="570"/>
        <v>1</v>
      </c>
      <c r="L728" s="48">
        <f t="shared" si="570"/>
        <v>8440110.7970265597</v>
      </c>
      <c r="N728" s="44">
        <f t="shared" si="515"/>
        <v>8.5</v>
      </c>
      <c r="P728" s="49">
        <f t="shared" si="567"/>
        <v>992954.21141488943</v>
      </c>
      <c r="Q728" s="49">
        <f t="shared" si="567"/>
        <v>992954.21141488943</v>
      </c>
      <c r="R728" s="49">
        <f t="shared" si="567"/>
        <v>992954.21141488943</v>
      </c>
      <c r="S728" s="49">
        <f t="shared" si="567"/>
        <v>992954.21141488943</v>
      </c>
      <c r="T728" s="49">
        <f t="shared" si="567"/>
        <v>992954.21141488943</v>
      </c>
      <c r="V728" s="53">
        <f t="shared" si="524"/>
        <v>7447156.5856116703</v>
      </c>
      <c r="W728" s="53">
        <f t="shared" si="525"/>
        <v>6454202.3741967808</v>
      </c>
      <c r="X728" s="53">
        <f t="shared" si="526"/>
        <v>5461248.1627818914</v>
      </c>
      <c r="Y728" s="53">
        <f t="shared" si="527"/>
        <v>4468293.951367002</v>
      </c>
      <c r="Z728" s="53">
        <f t="shared" si="528"/>
        <v>3475339.7399521125</v>
      </c>
      <c r="AB728" s="53">
        <f t="shared" si="516"/>
        <v>1246157.5353256862</v>
      </c>
      <c r="AC728" s="53">
        <f t="shared" si="517"/>
        <v>1205942.8897633832</v>
      </c>
      <c r="AD728" s="53">
        <f t="shared" si="518"/>
        <v>1200481.6416006014</v>
      </c>
      <c r="AE728" s="53">
        <f t="shared" si="519"/>
        <v>1162749.3815668356</v>
      </c>
      <c r="AF728" s="53">
        <f t="shared" si="520"/>
        <v>1125017.1215330698</v>
      </c>
    </row>
    <row r="729" spans="2:32">
      <c r="B729" s="43" t="str">
        <f t="shared" si="513"/>
        <v>Asset 175</v>
      </c>
      <c r="F729" s="43" t="str">
        <f t="shared" ref="F729:L729" si="571">F233</f>
        <v>12 Motorvoertuigen</v>
      </c>
      <c r="G729" s="43">
        <f t="shared" si="571"/>
        <v>2015</v>
      </c>
      <c r="H729" s="48">
        <f t="shared" si="571"/>
        <v>43877.173224174046</v>
      </c>
      <c r="I729" s="43">
        <f t="shared" si="571"/>
        <v>2021</v>
      </c>
      <c r="J729" s="43">
        <f t="shared" si="571"/>
        <v>10</v>
      </c>
      <c r="K729" s="43">
        <f t="shared" si="571"/>
        <v>1</v>
      </c>
      <c r="L729" s="48">
        <f t="shared" si="571"/>
        <v>16591.837083941773</v>
      </c>
      <c r="N729" s="44">
        <f t="shared" si="515"/>
        <v>3.5</v>
      </c>
      <c r="P729" s="49">
        <f t="shared" si="567"/>
        <v>4740.5248811262209</v>
      </c>
      <c r="Q729" s="49">
        <f t="shared" si="567"/>
        <v>4740.5248811262209</v>
      </c>
      <c r="R729" s="49">
        <f t="shared" si="567"/>
        <v>4740.5248811262209</v>
      </c>
      <c r="S729" s="49">
        <f t="shared" si="567"/>
        <v>2370.2624405631104</v>
      </c>
      <c r="T729" s="49">
        <f t="shared" si="567"/>
        <v>0</v>
      </c>
      <c r="V729" s="53">
        <f t="shared" si="524"/>
        <v>11851.312202815552</v>
      </c>
      <c r="W729" s="53">
        <f t="shared" si="525"/>
        <v>7110.7873216893313</v>
      </c>
      <c r="X729" s="53">
        <f t="shared" si="526"/>
        <v>2370.2624405631104</v>
      </c>
      <c r="Y729" s="53">
        <f t="shared" si="527"/>
        <v>0</v>
      </c>
      <c r="Z729" s="53">
        <f t="shared" si="528"/>
        <v>0</v>
      </c>
      <c r="AB729" s="53">
        <f t="shared" si="516"/>
        <v>5143.4694960219495</v>
      </c>
      <c r="AC729" s="53">
        <f t="shared" si="517"/>
        <v>4975.1808627419687</v>
      </c>
      <c r="AD729" s="53">
        <f t="shared" si="518"/>
        <v>4830.5948538676193</v>
      </c>
      <c r="AE729" s="53">
        <f t="shared" si="519"/>
        <v>2370.2624405631104</v>
      </c>
      <c r="AF729" s="53">
        <f t="shared" si="520"/>
        <v>0</v>
      </c>
    </row>
    <row r="730" spans="2:32">
      <c r="B730" s="43" t="str">
        <f t="shared" si="513"/>
        <v>Asset 176</v>
      </c>
      <c r="F730" s="43" t="str">
        <f t="shared" ref="F730:L730" si="572">F234</f>
        <v>09 Bedrijfsinventaris</v>
      </c>
      <c r="G730" s="43">
        <f t="shared" si="572"/>
        <v>2015</v>
      </c>
      <c r="H730" s="48">
        <f t="shared" si="572"/>
        <v>153470.91831934603</v>
      </c>
      <c r="I730" s="43">
        <f t="shared" si="572"/>
        <v>2021</v>
      </c>
      <c r="J730" s="43">
        <f t="shared" si="572"/>
        <v>10</v>
      </c>
      <c r="K730" s="43">
        <f t="shared" si="572"/>
        <v>1</v>
      </c>
      <c r="L730" s="48">
        <f t="shared" si="572"/>
        <v>58033.922579009974</v>
      </c>
      <c r="N730" s="44">
        <f t="shared" si="515"/>
        <v>3.5</v>
      </c>
      <c r="P730" s="49">
        <f t="shared" si="567"/>
        <v>16581.120736859993</v>
      </c>
      <c r="Q730" s="49">
        <f t="shared" si="567"/>
        <v>16581.120736859993</v>
      </c>
      <c r="R730" s="49">
        <f t="shared" si="567"/>
        <v>16581.120736859993</v>
      </c>
      <c r="S730" s="49">
        <f t="shared" si="567"/>
        <v>8290.5603684299967</v>
      </c>
      <c r="T730" s="49">
        <f t="shared" si="567"/>
        <v>0</v>
      </c>
      <c r="V730" s="53">
        <f t="shared" si="524"/>
        <v>41452.80184214998</v>
      </c>
      <c r="W730" s="53">
        <f t="shared" si="525"/>
        <v>24871.681105289987</v>
      </c>
      <c r="X730" s="53">
        <f t="shared" si="526"/>
        <v>8290.5603684299931</v>
      </c>
      <c r="Y730" s="53">
        <f t="shared" si="527"/>
        <v>-3.637978807091713E-12</v>
      </c>
      <c r="Z730" s="53">
        <f t="shared" si="528"/>
        <v>0</v>
      </c>
      <c r="AB730" s="53">
        <f t="shared" si="516"/>
        <v>17990.515999493095</v>
      </c>
      <c r="AC730" s="53">
        <f t="shared" si="517"/>
        <v>17401.886213334565</v>
      </c>
      <c r="AD730" s="53">
        <f t="shared" si="518"/>
        <v>16896.162030860334</v>
      </c>
      <c r="AE730" s="53">
        <f t="shared" si="519"/>
        <v>8290.5603684299967</v>
      </c>
      <c r="AF730" s="53">
        <f t="shared" si="520"/>
        <v>0</v>
      </c>
    </row>
    <row r="731" spans="2:32">
      <c r="B731" s="43" t="str">
        <f t="shared" si="513"/>
        <v>Asset 177</v>
      </c>
      <c r="F731" s="43" t="str">
        <f t="shared" ref="F731:L731" si="573">F235</f>
        <v>20 Kantoorgebouwen</v>
      </c>
      <c r="G731" s="43">
        <f t="shared" si="573"/>
        <v>2015</v>
      </c>
      <c r="H731" s="48">
        <f t="shared" si="573"/>
        <v>2375369.7957282378</v>
      </c>
      <c r="I731" s="43">
        <f t="shared" si="573"/>
        <v>2021</v>
      </c>
      <c r="J731" s="43">
        <f t="shared" si="573"/>
        <v>30</v>
      </c>
      <c r="K731" s="43">
        <f t="shared" si="573"/>
        <v>0</v>
      </c>
      <c r="L731" s="48">
        <f t="shared" si="573"/>
        <v>2010322.0086927759</v>
      </c>
      <c r="N731" s="44">
        <f t="shared" si="515"/>
        <v>23.5</v>
      </c>
      <c r="P731" s="49">
        <f t="shared" si="567"/>
        <v>85545.61739118195</v>
      </c>
      <c r="Q731" s="49">
        <f t="shared" si="567"/>
        <v>85545.61739118195</v>
      </c>
      <c r="R731" s="49">
        <f t="shared" si="567"/>
        <v>85545.61739118195</v>
      </c>
      <c r="S731" s="49">
        <f t="shared" si="567"/>
        <v>85545.61739118195</v>
      </c>
      <c r="T731" s="49">
        <f t="shared" si="567"/>
        <v>85545.61739118195</v>
      </c>
      <c r="V731" s="53">
        <f t="shared" si="524"/>
        <v>1924776.391301594</v>
      </c>
      <c r="W731" s="53">
        <f t="shared" si="525"/>
        <v>1839230.7739104121</v>
      </c>
      <c r="X731" s="53">
        <f t="shared" si="526"/>
        <v>1753685.1565192302</v>
      </c>
      <c r="Y731" s="53">
        <f t="shared" si="527"/>
        <v>1668139.5391280483</v>
      </c>
      <c r="Z731" s="53">
        <f t="shared" si="528"/>
        <v>1582593.9217368665</v>
      </c>
      <c r="AB731" s="53">
        <f t="shared" si="516"/>
        <v>150988.01469543614</v>
      </c>
      <c r="AC731" s="53">
        <f t="shared" si="517"/>
        <v>146240.23293022555</v>
      </c>
      <c r="AD731" s="53">
        <f t="shared" si="518"/>
        <v>152185.6533389127</v>
      </c>
      <c r="AE731" s="53">
        <f t="shared" si="519"/>
        <v>148934.91987804777</v>
      </c>
      <c r="AF731" s="53">
        <f t="shared" si="520"/>
        <v>145684.18641718288</v>
      </c>
    </row>
    <row r="732" spans="2:32">
      <c r="B732" s="43" t="str">
        <f t="shared" si="513"/>
        <v>Asset 178</v>
      </c>
      <c r="F732" s="43" t="str">
        <f t="shared" ref="F732:L732" si="574">F236</f>
        <v>06 Utiliteitsgebouwen</v>
      </c>
      <c r="G732" s="43">
        <f t="shared" si="574"/>
        <v>2015</v>
      </c>
      <c r="H732" s="48">
        <f t="shared" si="574"/>
        <v>516544.29057147249</v>
      </c>
      <c r="I732" s="43">
        <f t="shared" si="574"/>
        <v>2021</v>
      </c>
      <c r="J732" s="43">
        <f t="shared" si="574"/>
        <v>30</v>
      </c>
      <c r="K732" s="43">
        <f t="shared" si="574"/>
        <v>0</v>
      </c>
      <c r="L732" s="48">
        <f t="shared" si="574"/>
        <v>437161.55592610373</v>
      </c>
      <c r="N732" s="44">
        <f t="shared" si="515"/>
        <v>23.5</v>
      </c>
      <c r="P732" s="49">
        <f t="shared" si="567"/>
        <v>18602.619401110798</v>
      </c>
      <c r="Q732" s="49">
        <f t="shared" si="567"/>
        <v>18602.619401110798</v>
      </c>
      <c r="R732" s="49">
        <f t="shared" si="567"/>
        <v>18602.619401110798</v>
      </c>
      <c r="S732" s="49">
        <f t="shared" si="567"/>
        <v>18602.619401110798</v>
      </c>
      <c r="T732" s="49">
        <f t="shared" si="567"/>
        <v>18602.619401110798</v>
      </c>
      <c r="V732" s="53">
        <f t="shared" si="524"/>
        <v>418558.93652499293</v>
      </c>
      <c r="W732" s="53">
        <f t="shared" si="525"/>
        <v>399956.31712388212</v>
      </c>
      <c r="X732" s="53">
        <f t="shared" si="526"/>
        <v>381353.69772277132</v>
      </c>
      <c r="Y732" s="53">
        <f t="shared" si="527"/>
        <v>362751.07832166052</v>
      </c>
      <c r="Z732" s="53">
        <f t="shared" si="528"/>
        <v>344148.45892054972</v>
      </c>
      <c r="AB732" s="53">
        <f t="shared" si="516"/>
        <v>32833.623242960559</v>
      </c>
      <c r="AC732" s="53">
        <f t="shared" si="517"/>
        <v>31801.177866198908</v>
      </c>
      <c r="AD732" s="53">
        <f t="shared" si="518"/>
        <v>33094.059914576108</v>
      </c>
      <c r="AE732" s="53">
        <f t="shared" si="519"/>
        <v>32387.160377333897</v>
      </c>
      <c r="AF732" s="53">
        <f t="shared" si="520"/>
        <v>31680.260840091687</v>
      </c>
    </row>
    <row r="733" spans="2:32">
      <c r="B733" s="43" t="str">
        <f t="shared" si="513"/>
        <v>Asset 179</v>
      </c>
      <c r="F733" s="43" t="str">
        <f t="shared" ref="F733:L733" si="575">F237</f>
        <v>08 Inrichting gebouwen</v>
      </c>
      <c r="G733" s="43">
        <f t="shared" si="575"/>
        <v>2015</v>
      </c>
      <c r="H733" s="48">
        <f t="shared" si="575"/>
        <v>406758.82739129546</v>
      </c>
      <c r="I733" s="43">
        <f t="shared" si="575"/>
        <v>2021</v>
      </c>
      <c r="J733" s="43">
        <f t="shared" si="575"/>
        <v>10</v>
      </c>
      <c r="K733" s="43">
        <f t="shared" si="575"/>
        <v>0</v>
      </c>
      <c r="L733" s="48">
        <f t="shared" si="575"/>
        <v>153812.9214033616</v>
      </c>
      <c r="N733" s="44">
        <f t="shared" si="515"/>
        <v>3.5</v>
      </c>
      <c r="P733" s="49">
        <f t="shared" si="567"/>
        <v>43946.548972389028</v>
      </c>
      <c r="Q733" s="49">
        <f t="shared" si="567"/>
        <v>43946.548972389035</v>
      </c>
      <c r="R733" s="49">
        <f t="shared" si="567"/>
        <v>43946.548972389035</v>
      </c>
      <c r="S733" s="49">
        <f t="shared" si="567"/>
        <v>21973.274486194518</v>
      </c>
      <c r="T733" s="49">
        <f t="shared" si="567"/>
        <v>0</v>
      </c>
      <c r="V733" s="53">
        <f t="shared" si="524"/>
        <v>109866.37243097258</v>
      </c>
      <c r="W733" s="53">
        <f t="shared" si="525"/>
        <v>65919.823458583545</v>
      </c>
      <c r="X733" s="53">
        <f t="shared" si="526"/>
        <v>21973.27448619451</v>
      </c>
      <c r="Y733" s="53">
        <f t="shared" si="527"/>
        <v>-7.2759576141834259E-12</v>
      </c>
      <c r="Z733" s="53">
        <f t="shared" si="528"/>
        <v>0</v>
      </c>
      <c r="AB733" s="53">
        <f t="shared" si="516"/>
        <v>47682.005635042093</v>
      </c>
      <c r="AC733" s="53">
        <f t="shared" si="517"/>
        <v>46121.903146522294</v>
      </c>
      <c r="AD733" s="53">
        <f t="shared" si="518"/>
        <v>44781.533402864428</v>
      </c>
      <c r="AE733" s="53">
        <f t="shared" si="519"/>
        <v>21973.274486194518</v>
      </c>
      <c r="AF733" s="53">
        <f t="shared" si="520"/>
        <v>0</v>
      </c>
    </row>
    <row r="734" spans="2:32">
      <c r="B734" s="43" t="str">
        <f t="shared" si="513"/>
        <v>Asset 180</v>
      </c>
      <c r="F734" s="43" t="str">
        <f t="shared" ref="F734:L734" si="576">F238</f>
        <v>20 Kantoorgebouwen</v>
      </c>
      <c r="G734" s="43">
        <f t="shared" si="576"/>
        <v>2016</v>
      </c>
      <c r="H734" s="48">
        <f t="shared" si="576"/>
        <v>229380.26938547671</v>
      </c>
      <c r="I734" s="43">
        <f t="shared" si="576"/>
        <v>2021</v>
      </c>
      <c r="J734" s="43">
        <f t="shared" si="576"/>
        <v>30</v>
      </c>
      <c r="K734" s="43">
        <f t="shared" si="576"/>
        <v>0</v>
      </c>
      <c r="L734" s="48">
        <f t="shared" si="576"/>
        <v>200783.5579674957</v>
      </c>
      <c r="N734" s="44">
        <f t="shared" si="515"/>
        <v>24.5</v>
      </c>
      <c r="P734" s="49">
        <f t="shared" si="567"/>
        <v>8195.2472639794159</v>
      </c>
      <c r="Q734" s="49">
        <f t="shared" si="567"/>
        <v>8195.2472639794159</v>
      </c>
      <c r="R734" s="49">
        <f t="shared" si="567"/>
        <v>8195.2472639794159</v>
      </c>
      <c r="S734" s="49">
        <f t="shared" si="567"/>
        <v>8195.2472639794159</v>
      </c>
      <c r="T734" s="49">
        <f t="shared" si="567"/>
        <v>8195.2472639794159</v>
      </c>
      <c r="V734" s="53">
        <f t="shared" si="524"/>
        <v>192588.31070351627</v>
      </c>
      <c r="W734" s="53">
        <f t="shared" si="525"/>
        <v>184393.06343953684</v>
      </c>
      <c r="X734" s="53">
        <f t="shared" si="526"/>
        <v>176197.81617555741</v>
      </c>
      <c r="Y734" s="53">
        <f t="shared" si="527"/>
        <v>168002.56891157798</v>
      </c>
      <c r="Z734" s="53">
        <f t="shared" si="528"/>
        <v>159807.32164759855</v>
      </c>
      <c r="AB734" s="53">
        <f t="shared" si="516"/>
        <v>14743.24982789897</v>
      </c>
      <c r="AC734" s="53">
        <f t="shared" si="517"/>
        <v>14280.218357484133</v>
      </c>
      <c r="AD734" s="53">
        <f t="shared" si="518"/>
        <v>14890.764278650597</v>
      </c>
      <c r="AE734" s="53">
        <f t="shared" si="519"/>
        <v>14579.344882619378</v>
      </c>
      <c r="AF734" s="53">
        <f t="shared" si="520"/>
        <v>14267.925486588161</v>
      </c>
    </row>
    <row r="735" spans="2:32">
      <c r="B735" s="43" t="str">
        <f t="shared" si="513"/>
        <v>Asset 181</v>
      </c>
      <c r="F735" s="43" t="str">
        <f t="shared" ref="F735:L735" si="577">F239</f>
        <v>39 ICT middelen 3</v>
      </c>
      <c r="G735" s="43">
        <f t="shared" si="577"/>
        <v>2016</v>
      </c>
      <c r="H735" s="48">
        <f t="shared" si="577"/>
        <v>529286.5107518764</v>
      </c>
      <c r="I735" s="43">
        <f t="shared" si="577"/>
        <v>2021</v>
      </c>
      <c r="J735" s="43">
        <f t="shared" si="577"/>
        <v>15</v>
      </c>
      <c r="K735" s="43">
        <f t="shared" si="577"/>
        <v>1</v>
      </c>
      <c r="L735" s="48">
        <f t="shared" si="577"/>
        <v>359294.38470756344</v>
      </c>
      <c r="N735" s="44">
        <f t="shared" si="515"/>
        <v>9.5</v>
      </c>
      <c r="P735" s="49">
        <f t="shared" si="567"/>
        <v>37820.461548164574</v>
      </c>
      <c r="Q735" s="49">
        <f t="shared" si="567"/>
        <v>37820.461548164567</v>
      </c>
      <c r="R735" s="49">
        <f t="shared" si="567"/>
        <v>37820.461548164567</v>
      </c>
      <c r="S735" s="49">
        <f t="shared" si="567"/>
        <v>37820.461548164567</v>
      </c>
      <c r="T735" s="49">
        <f t="shared" si="567"/>
        <v>37820.461548164567</v>
      </c>
      <c r="V735" s="53">
        <f t="shared" si="524"/>
        <v>321473.92315939884</v>
      </c>
      <c r="W735" s="53">
        <f t="shared" si="525"/>
        <v>283653.46161123429</v>
      </c>
      <c r="X735" s="53">
        <f t="shared" si="526"/>
        <v>245833.00006306972</v>
      </c>
      <c r="Y735" s="53">
        <f t="shared" si="527"/>
        <v>208012.53851490514</v>
      </c>
      <c r="Z735" s="53">
        <f t="shared" si="528"/>
        <v>170192.07696674057</v>
      </c>
      <c r="AB735" s="53">
        <f t="shared" si="516"/>
        <v>48750.57493558414</v>
      </c>
      <c r="AC735" s="53">
        <f t="shared" si="517"/>
        <v>47181.025781335295</v>
      </c>
      <c r="AD735" s="53">
        <f t="shared" si="518"/>
        <v>47162.115550561211</v>
      </c>
      <c r="AE735" s="53">
        <f t="shared" si="519"/>
        <v>45724.938011730963</v>
      </c>
      <c r="AF735" s="53">
        <f t="shared" si="520"/>
        <v>44287.760472900707</v>
      </c>
    </row>
    <row r="736" spans="2:32">
      <c r="B736" s="43" t="str">
        <f t="shared" si="513"/>
        <v>Asset 182</v>
      </c>
      <c r="F736" s="43" t="str">
        <f t="shared" ref="F736:L736" si="578">F240</f>
        <v>12 Motorvoertuigen</v>
      </c>
      <c r="G736" s="43">
        <f t="shared" si="578"/>
        <v>2016</v>
      </c>
      <c r="H736" s="48">
        <f t="shared" si="578"/>
        <v>28567.827468907908</v>
      </c>
      <c r="I736" s="43">
        <f t="shared" si="578"/>
        <v>2021</v>
      </c>
      <c r="J736" s="43">
        <f t="shared" si="578"/>
        <v>10</v>
      </c>
      <c r="K736" s="43">
        <f t="shared" si="578"/>
        <v>1</v>
      </c>
      <c r="L736" s="48">
        <f t="shared" si="578"/>
        <v>13778.977338155324</v>
      </c>
      <c r="N736" s="44">
        <f t="shared" si="515"/>
        <v>4.5</v>
      </c>
      <c r="P736" s="49">
        <f t="shared" si="567"/>
        <v>3061.9949640345167</v>
      </c>
      <c r="Q736" s="49">
        <f t="shared" si="567"/>
        <v>3061.9949640345167</v>
      </c>
      <c r="R736" s="49">
        <f t="shared" si="567"/>
        <v>3061.9949640345167</v>
      </c>
      <c r="S736" s="49">
        <f t="shared" si="567"/>
        <v>3061.9949640345167</v>
      </c>
      <c r="T736" s="49">
        <f t="shared" si="567"/>
        <v>1530.9974820172583</v>
      </c>
      <c r="V736" s="53">
        <f t="shared" si="524"/>
        <v>10716.982374120807</v>
      </c>
      <c r="W736" s="53">
        <f t="shared" si="525"/>
        <v>7654.9874100862908</v>
      </c>
      <c r="X736" s="53">
        <f t="shared" si="526"/>
        <v>4592.9924460517741</v>
      </c>
      <c r="Y736" s="53">
        <f t="shared" si="527"/>
        <v>1530.9974820172574</v>
      </c>
      <c r="Z736" s="53">
        <f t="shared" si="528"/>
        <v>-9.0949470177292824E-13</v>
      </c>
      <c r="AB736" s="53">
        <f t="shared" si="516"/>
        <v>3426.372364754624</v>
      </c>
      <c r="AC736" s="53">
        <f t="shared" si="517"/>
        <v>3314.6095485673641</v>
      </c>
      <c r="AD736" s="53">
        <f t="shared" si="518"/>
        <v>3236.5286769844843</v>
      </c>
      <c r="AE736" s="53">
        <f t="shared" si="519"/>
        <v>3120.1728683511724</v>
      </c>
      <c r="AF736" s="53">
        <f t="shared" si="520"/>
        <v>1530.9974820172583</v>
      </c>
    </row>
    <row r="737" spans="2:32">
      <c r="B737" s="43" t="str">
        <f t="shared" si="513"/>
        <v>Asset 183</v>
      </c>
      <c r="F737" s="43" t="str">
        <f t="shared" ref="F737:L737" si="579">F241</f>
        <v>06 Utiliteitsgebouwen</v>
      </c>
      <c r="G737" s="43">
        <f t="shared" si="579"/>
        <v>2016</v>
      </c>
      <c r="H737" s="48">
        <f t="shared" si="579"/>
        <v>69569.550579382194</v>
      </c>
      <c r="I737" s="43">
        <f t="shared" si="579"/>
        <v>2021</v>
      </c>
      <c r="J737" s="43">
        <f t="shared" si="579"/>
        <v>30</v>
      </c>
      <c r="K737" s="43">
        <f t="shared" si="579"/>
        <v>0</v>
      </c>
      <c r="L737" s="48">
        <f t="shared" si="579"/>
        <v>60896.353156050573</v>
      </c>
      <c r="N737" s="44">
        <f t="shared" si="515"/>
        <v>24.5</v>
      </c>
      <c r="P737" s="49">
        <f t="shared" si="567"/>
        <v>2485.5654349408396</v>
      </c>
      <c r="Q737" s="49">
        <f t="shared" si="567"/>
        <v>2485.5654349408401</v>
      </c>
      <c r="R737" s="49">
        <f t="shared" si="567"/>
        <v>2485.5654349408401</v>
      </c>
      <c r="S737" s="49">
        <f t="shared" si="567"/>
        <v>2485.5654349408401</v>
      </c>
      <c r="T737" s="49">
        <f t="shared" si="567"/>
        <v>2485.5654349408401</v>
      </c>
      <c r="V737" s="53">
        <f t="shared" si="524"/>
        <v>58410.787721109737</v>
      </c>
      <c r="W737" s="53">
        <f t="shared" si="525"/>
        <v>55925.222286168893</v>
      </c>
      <c r="X737" s="53">
        <f t="shared" si="526"/>
        <v>53439.65685122805</v>
      </c>
      <c r="Y737" s="53">
        <f t="shared" si="527"/>
        <v>50954.091416287207</v>
      </c>
      <c r="Z737" s="53">
        <f t="shared" si="528"/>
        <v>48468.525981346364</v>
      </c>
      <c r="AB737" s="53">
        <f t="shared" si="516"/>
        <v>4471.5322174585708</v>
      </c>
      <c r="AC737" s="53">
        <f t="shared" si="517"/>
        <v>4331.0977703844137</v>
      </c>
      <c r="AD737" s="53">
        <f t="shared" si="518"/>
        <v>4516.2723952875058</v>
      </c>
      <c r="AE737" s="53">
        <f t="shared" si="519"/>
        <v>4421.8209087597534</v>
      </c>
      <c r="AF737" s="53">
        <f t="shared" si="520"/>
        <v>4327.3694222320019</v>
      </c>
    </row>
    <row r="738" spans="2:32">
      <c r="B738" s="43" t="str">
        <f t="shared" si="513"/>
        <v>Asset 184</v>
      </c>
      <c r="F738" s="43" t="str">
        <f t="shared" ref="F738:L738" si="580">F242</f>
        <v>09 Bedrijfsinventaris</v>
      </c>
      <c r="G738" s="43">
        <f t="shared" si="580"/>
        <v>2016</v>
      </c>
      <c r="H738" s="48">
        <f t="shared" si="580"/>
        <v>285684.31746031862</v>
      </c>
      <c r="I738" s="43">
        <f t="shared" si="580"/>
        <v>2021</v>
      </c>
      <c r="J738" s="43">
        <f t="shared" si="580"/>
        <v>10</v>
      </c>
      <c r="K738" s="43">
        <f t="shared" si="580"/>
        <v>1</v>
      </c>
      <c r="L738" s="48">
        <f t="shared" si="580"/>
        <v>137792.68796118168</v>
      </c>
      <c r="N738" s="44">
        <f t="shared" si="515"/>
        <v>4.5</v>
      </c>
      <c r="P738" s="49">
        <f t="shared" si="567"/>
        <v>30620.59732470704</v>
      </c>
      <c r="Q738" s="49">
        <f t="shared" si="567"/>
        <v>30620.597324707043</v>
      </c>
      <c r="R738" s="49">
        <f t="shared" si="567"/>
        <v>30620.597324707043</v>
      </c>
      <c r="S738" s="49">
        <f t="shared" si="567"/>
        <v>30620.597324707043</v>
      </c>
      <c r="T738" s="49">
        <f t="shared" si="567"/>
        <v>15310.298662353522</v>
      </c>
      <c r="V738" s="53">
        <f t="shared" si="524"/>
        <v>107172.09063647465</v>
      </c>
      <c r="W738" s="53">
        <f t="shared" si="525"/>
        <v>76551.493311767612</v>
      </c>
      <c r="X738" s="53">
        <f t="shared" si="526"/>
        <v>45930.895987060569</v>
      </c>
      <c r="Y738" s="53">
        <f t="shared" si="527"/>
        <v>15310.298662353525</v>
      </c>
      <c r="Z738" s="53">
        <f t="shared" si="528"/>
        <v>3.637978807091713E-12</v>
      </c>
      <c r="AB738" s="53">
        <f t="shared" si="516"/>
        <v>34264.448406347175</v>
      </c>
      <c r="AC738" s="53">
        <f t="shared" si="517"/>
        <v>33146.796603995375</v>
      </c>
      <c r="AD738" s="53">
        <f t="shared" si="518"/>
        <v>32365.971372215346</v>
      </c>
      <c r="AE738" s="53">
        <f t="shared" si="519"/>
        <v>31202.388673876478</v>
      </c>
      <c r="AF738" s="53">
        <f t="shared" si="520"/>
        <v>15310.298662353522</v>
      </c>
    </row>
    <row r="739" spans="2:32">
      <c r="B739" s="43" t="str">
        <f t="shared" si="513"/>
        <v>Asset 185</v>
      </c>
      <c r="F739" s="43" t="str">
        <f t="shared" ref="F739:L739" si="581">F243</f>
        <v>08 Inrichting gebouwen</v>
      </c>
      <c r="G739" s="43">
        <f t="shared" si="581"/>
        <v>2016</v>
      </c>
      <c r="H739" s="48">
        <f t="shared" si="581"/>
        <v>23169.006741347624</v>
      </c>
      <c r="I739" s="43">
        <f t="shared" si="581"/>
        <v>2021</v>
      </c>
      <c r="J739" s="43">
        <f t="shared" si="581"/>
        <v>10</v>
      </c>
      <c r="K739" s="43">
        <f t="shared" si="581"/>
        <v>0</v>
      </c>
      <c r="L739" s="48">
        <f t="shared" si="581"/>
        <v>11174.991139387506</v>
      </c>
      <c r="N739" s="44">
        <f t="shared" si="515"/>
        <v>4.5</v>
      </c>
      <c r="P739" s="49">
        <f t="shared" si="567"/>
        <v>2483.3313643083347</v>
      </c>
      <c r="Q739" s="49">
        <f t="shared" si="567"/>
        <v>2483.3313643083347</v>
      </c>
      <c r="R739" s="49">
        <f t="shared" si="567"/>
        <v>2483.3313643083347</v>
      </c>
      <c r="S739" s="49">
        <f t="shared" si="567"/>
        <v>2483.3313643083347</v>
      </c>
      <c r="T739" s="49">
        <f t="shared" si="567"/>
        <v>1241.6656821541674</v>
      </c>
      <c r="V739" s="53">
        <f t="shared" si="524"/>
        <v>8691.6597750791716</v>
      </c>
      <c r="W739" s="53">
        <f t="shared" si="525"/>
        <v>6208.3284107708369</v>
      </c>
      <c r="X739" s="53">
        <f t="shared" si="526"/>
        <v>3724.9970464625021</v>
      </c>
      <c r="Y739" s="53">
        <f t="shared" si="527"/>
        <v>1241.6656821541674</v>
      </c>
      <c r="Z739" s="53">
        <f t="shared" si="528"/>
        <v>0</v>
      </c>
      <c r="AB739" s="53">
        <f t="shared" si="516"/>
        <v>2778.8477966610267</v>
      </c>
      <c r="AC739" s="53">
        <f t="shared" si="517"/>
        <v>2688.2062018637725</v>
      </c>
      <c r="AD739" s="53">
        <f t="shared" si="518"/>
        <v>2624.8812520739098</v>
      </c>
      <c r="AE739" s="53">
        <f t="shared" si="519"/>
        <v>2530.5146602301929</v>
      </c>
      <c r="AF739" s="53">
        <f t="shared" si="520"/>
        <v>1241.6656821541674</v>
      </c>
    </row>
    <row r="740" spans="2:32">
      <c r="B740" s="43" t="str">
        <f t="shared" si="513"/>
        <v>Asset 186</v>
      </c>
      <c r="F740" s="43" t="str">
        <f t="shared" ref="F740:L740" si="582">F244</f>
        <v>11 Werktuigen (KC)</v>
      </c>
      <c r="G740" s="43">
        <f t="shared" si="582"/>
        <v>2017</v>
      </c>
      <c r="H740" s="48">
        <f t="shared" si="582"/>
        <v>42505.139899436123</v>
      </c>
      <c r="I740" s="43">
        <f t="shared" si="582"/>
        <v>2021</v>
      </c>
      <c r="J740" s="43">
        <f t="shared" si="582"/>
        <v>10</v>
      </c>
      <c r="K740" s="43">
        <f t="shared" si="582"/>
        <v>0</v>
      </c>
      <c r="L740" s="48">
        <f t="shared" si="582"/>
        <v>25007.119857240814</v>
      </c>
      <c r="N740" s="44">
        <f t="shared" si="515"/>
        <v>5.5</v>
      </c>
      <c r="P740" s="49">
        <f t="shared" si="567"/>
        <v>4546.7490649528754</v>
      </c>
      <c r="Q740" s="49">
        <f t="shared" si="567"/>
        <v>4546.7490649528754</v>
      </c>
      <c r="R740" s="49">
        <f t="shared" si="567"/>
        <v>4546.7490649528754</v>
      </c>
      <c r="S740" s="49">
        <f t="shared" si="567"/>
        <v>4546.7490649528754</v>
      </c>
      <c r="T740" s="49">
        <f t="shared" si="567"/>
        <v>4546.7490649528754</v>
      </c>
      <c r="V740" s="53">
        <f t="shared" si="524"/>
        <v>20460.37079228794</v>
      </c>
      <c r="W740" s="53">
        <f t="shared" si="525"/>
        <v>15913.621727335065</v>
      </c>
      <c r="X740" s="53">
        <f t="shared" si="526"/>
        <v>11366.872662382189</v>
      </c>
      <c r="Y740" s="53">
        <f t="shared" si="527"/>
        <v>6820.123597429314</v>
      </c>
      <c r="Z740" s="53">
        <f t="shared" si="528"/>
        <v>2273.3745324764386</v>
      </c>
      <c r="AB740" s="53">
        <f t="shared" si="516"/>
        <v>5242.4016718906651</v>
      </c>
      <c r="AC740" s="53">
        <f t="shared" si="517"/>
        <v>5071.8985819549325</v>
      </c>
      <c r="AD740" s="53">
        <f t="shared" si="518"/>
        <v>4978.690226123399</v>
      </c>
      <c r="AE740" s="53">
        <f t="shared" si="519"/>
        <v>4805.9137616551889</v>
      </c>
      <c r="AF740" s="53">
        <f t="shared" si="520"/>
        <v>4633.1372971869805</v>
      </c>
    </row>
    <row r="741" spans="2:32">
      <c r="B741" s="43" t="str">
        <f t="shared" si="513"/>
        <v>Asset 187</v>
      </c>
      <c r="F741" s="43" t="str">
        <f t="shared" ref="F741:L741" si="583">F245</f>
        <v>10 Gereedschap</v>
      </c>
      <c r="G741" s="43">
        <f t="shared" si="583"/>
        <v>2017</v>
      </c>
      <c r="H741" s="48">
        <f t="shared" si="583"/>
        <v>283180.78041617683</v>
      </c>
      <c r="I741" s="43">
        <f t="shared" si="583"/>
        <v>2021</v>
      </c>
      <c r="J741" s="43">
        <f t="shared" si="583"/>
        <v>10</v>
      </c>
      <c r="K741" s="43">
        <f t="shared" si="583"/>
        <v>1</v>
      </c>
      <c r="L741" s="48">
        <f t="shared" si="583"/>
        <v>166604.2208986652</v>
      </c>
      <c r="N741" s="44">
        <f t="shared" si="515"/>
        <v>5.5</v>
      </c>
      <c r="P741" s="49">
        <f t="shared" si="567"/>
        <v>30291.676527030038</v>
      </c>
      <c r="Q741" s="49">
        <f t="shared" si="567"/>
        <v>30291.676527030035</v>
      </c>
      <c r="R741" s="49">
        <f t="shared" si="567"/>
        <v>30291.676527030035</v>
      </c>
      <c r="S741" s="49">
        <f t="shared" si="567"/>
        <v>30291.676527030035</v>
      </c>
      <c r="T741" s="49">
        <f t="shared" si="567"/>
        <v>30291.676527030035</v>
      </c>
      <c r="V741" s="53">
        <f t="shared" si="524"/>
        <v>136312.54437163516</v>
      </c>
      <c r="W741" s="53">
        <f t="shared" si="525"/>
        <v>106020.86784460512</v>
      </c>
      <c r="X741" s="53">
        <f t="shared" si="526"/>
        <v>75729.191317575081</v>
      </c>
      <c r="Y741" s="53">
        <f t="shared" si="527"/>
        <v>45437.514790545043</v>
      </c>
      <c r="Z741" s="53">
        <f t="shared" si="528"/>
        <v>15145.838263515008</v>
      </c>
      <c r="AB741" s="53">
        <f t="shared" si="516"/>
        <v>34926.303035665638</v>
      </c>
      <c r="AC741" s="53">
        <f t="shared" si="517"/>
        <v>33790.365165902003</v>
      </c>
      <c r="AD741" s="53">
        <f t="shared" si="518"/>
        <v>33169.385797097886</v>
      </c>
      <c r="AE741" s="53">
        <f t="shared" si="519"/>
        <v>32018.302089070745</v>
      </c>
      <c r="AF741" s="53">
        <f t="shared" si="520"/>
        <v>30867.218381043604</v>
      </c>
    </row>
    <row r="742" spans="2:32">
      <c r="B742" s="43" t="str">
        <f t="shared" si="513"/>
        <v>Asset 188</v>
      </c>
      <c r="F742" s="43" t="str">
        <f t="shared" ref="F742:L742" si="584">F246</f>
        <v>10 Gereedschap</v>
      </c>
      <c r="G742" s="43">
        <f t="shared" si="584"/>
        <v>2016</v>
      </c>
      <c r="H742" s="48">
        <f t="shared" si="584"/>
        <v>59355.750635093973</v>
      </c>
      <c r="I742" s="43">
        <f t="shared" si="584"/>
        <v>2021</v>
      </c>
      <c r="J742" s="43">
        <f t="shared" si="584"/>
        <v>10</v>
      </c>
      <c r="K742" s="43">
        <f t="shared" si="584"/>
        <v>1</v>
      </c>
      <c r="L742" s="48">
        <f t="shared" si="584"/>
        <v>28628.76232994219</v>
      </c>
      <c r="N742" s="44">
        <f t="shared" si="515"/>
        <v>4.5</v>
      </c>
      <c r="P742" s="49">
        <f t="shared" si="567"/>
        <v>6361.9471844315976</v>
      </c>
      <c r="Q742" s="49">
        <f t="shared" si="567"/>
        <v>6361.9471844315976</v>
      </c>
      <c r="R742" s="49">
        <f t="shared" si="567"/>
        <v>6361.9471844315976</v>
      </c>
      <c r="S742" s="49">
        <f t="shared" si="567"/>
        <v>6361.9471844315976</v>
      </c>
      <c r="T742" s="49">
        <f t="shared" si="567"/>
        <v>3180.9735922157988</v>
      </c>
      <c r="V742" s="53">
        <f t="shared" si="524"/>
        <v>22266.815145510591</v>
      </c>
      <c r="W742" s="53">
        <f t="shared" si="525"/>
        <v>15904.867961078993</v>
      </c>
      <c r="X742" s="53">
        <f t="shared" si="526"/>
        <v>9542.9207766473955</v>
      </c>
      <c r="Y742" s="53">
        <f t="shared" si="527"/>
        <v>3180.9735922157979</v>
      </c>
      <c r="Z742" s="53">
        <f t="shared" si="528"/>
        <v>-9.0949470177292824E-13</v>
      </c>
      <c r="AB742" s="53">
        <f t="shared" si="516"/>
        <v>7119.0188993789579</v>
      </c>
      <c r="AC742" s="53">
        <f t="shared" si="517"/>
        <v>6886.8078271472041</v>
      </c>
      <c r="AD742" s="53">
        <f t="shared" si="518"/>
        <v>6724.5781739441991</v>
      </c>
      <c r="AE742" s="53">
        <f t="shared" si="519"/>
        <v>6482.8241809357978</v>
      </c>
      <c r="AF742" s="53">
        <f t="shared" si="520"/>
        <v>3180.9735922157988</v>
      </c>
    </row>
    <row r="743" spans="2:32">
      <c r="B743" s="43" t="str">
        <f t="shared" si="513"/>
        <v>Asset 189</v>
      </c>
      <c r="F743" s="43" t="str">
        <f t="shared" ref="F743:L743" si="585">F247</f>
        <v>20 Kantoorgebouwen</v>
      </c>
      <c r="G743" s="43">
        <f t="shared" si="585"/>
        <v>2017</v>
      </c>
      <c r="H743" s="48">
        <f t="shared" si="585"/>
        <v>1235103.6006231268</v>
      </c>
      <c r="I743" s="43">
        <f t="shared" si="585"/>
        <v>2021</v>
      </c>
      <c r="J743" s="43">
        <f t="shared" si="585"/>
        <v>30</v>
      </c>
      <c r="K743" s="43">
        <f t="shared" si="585"/>
        <v>0</v>
      </c>
      <c r="L743" s="48">
        <f t="shared" si="585"/>
        <v>1123005.4133120223</v>
      </c>
      <c r="N743" s="44">
        <f t="shared" si="515"/>
        <v>25.5</v>
      </c>
      <c r="P743" s="49">
        <f t="shared" si="567"/>
        <v>44039.427973020487</v>
      </c>
      <c r="Q743" s="49">
        <f t="shared" si="567"/>
        <v>44039.427973020487</v>
      </c>
      <c r="R743" s="49">
        <f t="shared" si="567"/>
        <v>44039.427973020487</v>
      </c>
      <c r="S743" s="49">
        <f t="shared" si="567"/>
        <v>44039.427973020487</v>
      </c>
      <c r="T743" s="49">
        <f t="shared" si="567"/>
        <v>44039.427973020487</v>
      </c>
      <c r="V743" s="53">
        <f t="shared" si="524"/>
        <v>1078965.9853390018</v>
      </c>
      <c r="W743" s="53">
        <f t="shared" si="525"/>
        <v>1034926.5573659813</v>
      </c>
      <c r="X743" s="53">
        <f t="shared" si="526"/>
        <v>990887.12939296081</v>
      </c>
      <c r="Y743" s="53">
        <f t="shared" si="527"/>
        <v>946847.70141994033</v>
      </c>
      <c r="Z743" s="53">
        <f t="shared" si="528"/>
        <v>902808.27344691986</v>
      </c>
      <c r="AB743" s="53">
        <f t="shared" si="516"/>
        <v>80724.271474546549</v>
      </c>
      <c r="AC743" s="53">
        <f t="shared" si="517"/>
        <v>78192.00436609787</v>
      </c>
      <c r="AD743" s="53">
        <f t="shared" si="518"/>
        <v>81693.138889952999</v>
      </c>
      <c r="AE743" s="53">
        <f t="shared" si="519"/>
        <v>80019.640626978216</v>
      </c>
      <c r="AF743" s="53">
        <f t="shared" si="520"/>
        <v>78346.142364003434</v>
      </c>
    </row>
    <row r="744" spans="2:32">
      <c r="B744" s="43" t="str">
        <f t="shared" si="513"/>
        <v>Asset 190</v>
      </c>
      <c r="F744" s="43" t="str">
        <f t="shared" ref="F744:L744" si="586">F248</f>
        <v>13 Aanhangwagens</v>
      </c>
      <c r="G744" s="43">
        <f t="shared" si="586"/>
        <v>2017</v>
      </c>
      <c r="H744" s="48">
        <f t="shared" si="586"/>
        <v>251242.94461834809</v>
      </c>
      <c r="I744" s="43">
        <f t="shared" si="586"/>
        <v>2021</v>
      </c>
      <c r="J744" s="43">
        <f t="shared" si="586"/>
        <v>10</v>
      </c>
      <c r="K744" s="43">
        <f t="shared" si="586"/>
        <v>1</v>
      </c>
      <c r="L744" s="48">
        <f t="shared" si="586"/>
        <v>147814.18069019204</v>
      </c>
      <c r="N744" s="44">
        <f t="shared" si="515"/>
        <v>5.5</v>
      </c>
      <c r="P744" s="49">
        <f t="shared" si="567"/>
        <v>26875.305580034918</v>
      </c>
      <c r="Q744" s="49">
        <f t="shared" si="567"/>
        <v>26875.305580034918</v>
      </c>
      <c r="R744" s="49">
        <f t="shared" si="567"/>
        <v>26875.305580034918</v>
      </c>
      <c r="S744" s="49">
        <f t="shared" si="567"/>
        <v>26875.305580034918</v>
      </c>
      <c r="T744" s="49">
        <f t="shared" si="567"/>
        <v>26875.305580034918</v>
      </c>
      <c r="V744" s="53">
        <f t="shared" si="524"/>
        <v>120938.87511015713</v>
      </c>
      <c r="W744" s="53">
        <f t="shared" si="525"/>
        <v>94063.569530122215</v>
      </c>
      <c r="X744" s="53">
        <f t="shared" si="526"/>
        <v>67188.263950087305</v>
      </c>
      <c r="Y744" s="53">
        <f t="shared" si="527"/>
        <v>40312.958370052387</v>
      </c>
      <c r="Z744" s="53">
        <f t="shared" si="528"/>
        <v>13437.65279001747</v>
      </c>
      <c r="AB744" s="53">
        <f t="shared" si="516"/>
        <v>30987.227333780262</v>
      </c>
      <c r="AC744" s="53">
        <f t="shared" si="517"/>
        <v>29979.403374528949</v>
      </c>
      <c r="AD744" s="53">
        <f t="shared" si="518"/>
        <v>29428.459610138234</v>
      </c>
      <c r="AE744" s="53">
        <f t="shared" si="519"/>
        <v>28407.197998096908</v>
      </c>
      <c r="AF744" s="53">
        <f t="shared" si="520"/>
        <v>27385.936386055582</v>
      </c>
    </row>
    <row r="745" spans="2:32">
      <c r="B745" s="43" t="str">
        <f t="shared" si="513"/>
        <v>Asset 191</v>
      </c>
      <c r="F745" s="43" t="str">
        <f t="shared" ref="F745:L745" si="587">F249</f>
        <v>12 Motorvoertuigen</v>
      </c>
      <c r="G745" s="43">
        <f t="shared" si="587"/>
        <v>2017</v>
      </c>
      <c r="H745" s="48">
        <f t="shared" si="587"/>
        <v>342149.84909853589</v>
      </c>
      <c r="I745" s="43">
        <f t="shared" si="587"/>
        <v>2021</v>
      </c>
      <c r="J745" s="43">
        <f t="shared" si="587"/>
        <v>10</v>
      </c>
      <c r="K745" s="43">
        <f t="shared" si="587"/>
        <v>1</v>
      </c>
      <c r="L745" s="48">
        <f t="shared" si="587"/>
        <v>201297.59143922853</v>
      </c>
      <c r="N745" s="44">
        <f t="shared" si="515"/>
        <v>5.5</v>
      </c>
      <c r="P745" s="49">
        <f t="shared" si="567"/>
        <v>36599.562079859737</v>
      </c>
      <c r="Q745" s="49">
        <f t="shared" si="567"/>
        <v>36599.56207985973</v>
      </c>
      <c r="R745" s="49">
        <f t="shared" si="567"/>
        <v>36599.56207985973</v>
      </c>
      <c r="S745" s="49">
        <f t="shared" si="567"/>
        <v>36599.56207985973</v>
      </c>
      <c r="T745" s="49">
        <f t="shared" si="567"/>
        <v>36599.56207985973</v>
      </c>
      <c r="V745" s="53">
        <f t="shared" si="524"/>
        <v>164698.02935936878</v>
      </c>
      <c r="W745" s="53">
        <f t="shared" si="525"/>
        <v>128098.46727950906</v>
      </c>
      <c r="X745" s="53">
        <f t="shared" si="526"/>
        <v>91498.905199649336</v>
      </c>
      <c r="Y745" s="53">
        <f t="shared" si="527"/>
        <v>54899.343119789606</v>
      </c>
      <c r="Z745" s="53">
        <f t="shared" si="528"/>
        <v>18299.781039929876</v>
      </c>
      <c r="AB745" s="53">
        <f t="shared" si="516"/>
        <v>42199.295078078278</v>
      </c>
      <c r="AC745" s="53">
        <f t="shared" si="517"/>
        <v>40826.811500083531</v>
      </c>
      <c r="AD745" s="53">
        <f t="shared" si="518"/>
        <v>40076.520477446407</v>
      </c>
      <c r="AE745" s="53">
        <f t="shared" si="519"/>
        <v>38685.737118411736</v>
      </c>
      <c r="AF745" s="53">
        <f t="shared" si="520"/>
        <v>37294.953759377066</v>
      </c>
    </row>
    <row r="746" spans="2:32">
      <c r="B746" s="43" t="str">
        <f t="shared" si="513"/>
        <v>Asset 192</v>
      </c>
      <c r="F746" s="43" t="str">
        <f t="shared" ref="F746:L746" si="588">F250</f>
        <v>10 Gereedschap (gaschromatografen en comptabele meters)</v>
      </c>
      <c r="G746" s="43">
        <f t="shared" si="588"/>
        <v>2017</v>
      </c>
      <c r="H746" s="48">
        <f t="shared" si="588"/>
        <v>492613.45921199484</v>
      </c>
      <c r="I746" s="43">
        <f t="shared" si="588"/>
        <v>2021</v>
      </c>
      <c r="J746" s="43">
        <f t="shared" si="588"/>
        <v>10</v>
      </c>
      <c r="K746" s="43">
        <f t="shared" si="588"/>
        <v>0</v>
      </c>
      <c r="L746" s="48">
        <f t="shared" si="588"/>
        <v>289820.09815635922</v>
      </c>
      <c r="N746" s="44">
        <f t="shared" si="515"/>
        <v>5.5</v>
      </c>
      <c r="P746" s="49">
        <f t="shared" si="567"/>
        <v>52694.563301156224</v>
      </c>
      <c r="Q746" s="49">
        <f t="shared" si="567"/>
        <v>52694.563301156224</v>
      </c>
      <c r="R746" s="49">
        <f t="shared" si="567"/>
        <v>52694.563301156224</v>
      </c>
      <c r="S746" s="49">
        <f t="shared" si="567"/>
        <v>52694.563301156224</v>
      </c>
      <c r="T746" s="49">
        <f t="shared" si="567"/>
        <v>52694.563301156224</v>
      </c>
      <c r="V746" s="53">
        <f t="shared" si="524"/>
        <v>237125.534855203</v>
      </c>
      <c r="W746" s="53">
        <f t="shared" si="525"/>
        <v>184430.97155404679</v>
      </c>
      <c r="X746" s="53">
        <f t="shared" si="526"/>
        <v>131736.40825289057</v>
      </c>
      <c r="Y746" s="53">
        <f t="shared" si="527"/>
        <v>79041.844951734354</v>
      </c>
      <c r="Z746" s="53">
        <f t="shared" si="528"/>
        <v>26347.28165057813</v>
      </c>
      <c r="AB746" s="53">
        <f t="shared" si="516"/>
        <v>60756.831486233124</v>
      </c>
      <c r="AC746" s="53">
        <f t="shared" si="517"/>
        <v>58780.785362439769</v>
      </c>
      <c r="AD746" s="53">
        <f t="shared" si="518"/>
        <v>57700.546814766065</v>
      </c>
      <c r="AE746" s="53">
        <f t="shared" si="519"/>
        <v>55698.153409322127</v>
      </c>
      <c r="AF746" s="53">
        <f t="shared" si="520"/>
        <v>53695.760003878197</v>
      </c>
    </row>
    <row r="747" spans="2:32">
      <c r="B747" s="43" t="str">
        <f t="shared" si="513"/>
        <v>Asset 193</v>
      </c>
      <c r="F747" s="43" t="str">
        <f t="shared" ref="F747:L747" si="589">F251</f>
        <v>11 Werktuigen</v>
      </c>
      <c r="G747" s="43">
        <f t="shared" si="589"/>
        <v>2017</v>
      </c>
      <c r="H747" s="48">
        <f t="shared" si="589"/>
        <v>2185364.6124668787</v>
      </c>
      <c r="I747" s="43">
        <f t="shared" si="589"/>
        <v>2021</v>
      </c>
      <c r="J747" s="43">
        <f t="shared" si="589"/>
        <v>10</v>
      </c>
      <c r="K747" s="43">
        <f t="shared" si="589"/>
        <v>1</v>
      </c>
      <c r="L747" s="48">
        <f t="shared" si="589"/>
        <v>1285719.20772473</v>
      </c>
      <c r="N747" s="44">
        <f t="shared" si="515"/>
        <v>5.5</v>
      </c>
      <c r="P747" s="49">
        <f t="shared" si="567"/>
        <v>233767.12867722363</v>
      </c>
      <c r="Q747" s="49">
        <f t="shared" si="567"/>
        <v>233767.12867722366</v>
      </c>
      <c r="R747" s="49">
        <f t="shared" si="567"/>
        <v>233767.12867722366</v>
      </c>
      <c r="S747" s="49">
        <f t="shared" si="567"/>
        <v>233767.12867722366</v>
      </c>
      <c r="T747" s="49">
        <f t="shared" si="567"/>
        <v>233767.12867722366</v>
      </c>
      <c r="V747" s="53">
        <f t="shared" si="524"/>
        <v>1051952.0790475064</v>
      </c>
      <c r="W747" s="53">
        <f t="shared" si="525"/>
        <v>818184.95037028275</v>
      </c>
      <c r="X747" s="53">
        <f t="shared" si="526"/>
        <v>584417.82169305906</v>
      </c>
      <c r="Y747" s="53">
        <f t="shared" si="527"/>
        <v>350650.69301583536</v>
      </c>
      <c r="Z747" s="53">
        <f t="shared" si="528"/>
        <v>116883.5643386117</v>
      </c>
      <c r="AB747" s="53">
        <f t="shared" si="516"/>
        <v>269533.49936483888</v>
      </c>
      <c r="AC747" s="53">
        <f t="shared" si="517"/>
        <v>260767.23203944298</v>
      </c>
      <c r="AD747" s="53">
        <f t="shared" si="518"/>
        <v>255975.0059015599</v>
      </c>
      <c r="AE747" s="53">
        <f t="shared" si="519"/>
        <v>247091.85501182542</v>
      </c>
      <c r="AF747" s="53">
        <f t="shared" si="520"/>
        <v>238208.70412209092</v>
      </c>
    </row>
    <row r="748" spans="2:32">
      <c r="B748" s="43" t="str">
        <f t="shared" ref="B748:B796" si="590">B252</f>
        <v>Asset 194</v>
      </c>
      <c r="F748" s="43" t="str">
        <f t="shared" ref="F748:L748" si="591">F252</f>
        <v>14 Overig rollend materieel</v>
      </c>
      <c r="G748" s="43">
        <f t="shared" si="591"/>
        <v>2017</v>
      </c>
      <c r="H748" s="48">
        <f t="shared" si="591"/>
        <v>68624.022512808762</v>
      </c>
      <c r="I748" s="43">
        <f t="shared" si="591"/>
        <v>2021</v>
      </c>
      <c r="J748" s="43">
        <f t="shared" si="591"/>
        <v>10</v>
      </c>
      <c r="K748" s="43">
        <f t="shared" si="591"/>
        <v>1</v>
      </c>
      <c r="L748" s="48">
        <f t="shared" si="591"/>
        <v>40373.685632465487</v>
      </c>
      <c r="N748" s="44">
        <f t="shared" ref="N748:N797" si="592">MAX(0,IF(G748&lt;=2021, J748-2021+G748-0.5,J748))</f>
        <v>5.5</v>
      </c>
      <c r="P748" s="49">
        <f t="shared" si="567"/>
        <v>7340.6701149937253</v>
      </c>
      <c r="Q748" s="49">
        <f t="shared" si="567"/>
        <v>7340.6701149937253</v>
      </c>
      <c r="R748" s="49">
        <f t="shared" si="567"/>
        <v>7340.6701149937253</v>
      </c>
      <c r="S748" s="49">
        <f t="shared" si="567"/>
        <v>7340.6701149937253</v>
      </c>
      <c r="T748" s="49">
        <f t="shared" si="567"/>
        <v>7340.6701149937253</v>
      </c>
      <c r="V748" s="53">
        <f t="shared" si="524"/>
        <v>33033.015517471766</v>
      </c>
      <c r="W748" s="53">
        <f t="shared" si="525"/>
        <v>25692.34540247804</v>
      </c>
      <c r="X748" s="53">
        <f t="shared" si="526"/>
        <v>18351.675287484315</v>
      </c>
      <c r="Y748" s="53">
        <f t="shared" si="527"/>
        <v>11011.00517249059</v>
      </c>
      <c r="Z748" s="53">
        <f t="shared" si="528"/>
        <v>3670.3350574968645</v>
      </c>
      <c r="AB748" s="53">
        <f t="shared" ref="AB748:AB797" si="593">(P748+V748*I$16)*IF($K748=1,$F$19,1)</f>
        <v>8463.7926425877649</v>
      </c>
      <c r="AC748" s="53">
        <f t="shared" ref="AC748:AC797" si="594">(Q748+W748*J$16)*IF($K748=1,$F$19,1)</f>
        <v>8188.5175132755003</v>
      </c>
      <c r="AD748" s="53">
        <f t="shared" ref="AD748:AD797" si="595">(R748+X748*K$16)*IF($K748=1,$F$19,1)</f>
        <v>8038.0337759181293</v>
      </c>
      <c r="AE748" s="53">
        <f t="shared" ref="AE748:AE797" si="596">(S748+Y748*L$16)*IF($K748=1,$F$19,1)</f>
        <v>7759.0883115483675</v>
      </c>
      <c r="AF748" s="53">
        <f t="shared" ref="AF748:AF797" si="597">(T748+Z748*M$16)*IF($K748=1,$F$19,1)</f>
        <v>7480.1428471786057</v>
      </c>
    </row>
    <row r="749" spans="2:32">
      <c r="B749" s="43" t="str">
        <f t="shared" si="590"/>
        <v>Asset 195</v>
      </c>
      <c r="F749" s="43" t="str">
        <f t="shared" ref="F749:L749" si="598">F253</f>
        <v>09 Bedrijfsinventaris</v>
      </c>
      <c r="G749" s="43">
        <f t="shared" si="598"/>
        <v>2017</v>
      </c>
      <c r="H749" s="48">
        <f t="shared" si="598"/>
        <v>75086.588886849713</v>
      </c>
      <c r="I749" s="43">
        <f t="shared" si="598"/>
        <v>2021</v>
      </c>
      <c r="J749" s="43">
        <f t="shared" si="598"/>
        <v>10</v>
      </c>
      <c r="K749" s="43">
        <f t="shared" si="598"/>
        <v>1</v>
      </c>
      <c r="L749" s="48">
        <f t="shared" si="598"/>
        <v>44175.81808711389</v>
      </c>
      <c r="N749" s="44">
        <f t="shared" si="592"/>
        <v>5.5</v>
      </c>
      <c r="P749" s="49">
        <f t="shared" si="567"/>
        <v>8031.9669249297986</v>
      </c>
      <c r="Q749" s="49">
        <f t="shared" si="567"/>
        <v>8031.9669249297976</v>
      </c>
      <c r="R749" s="49">
        <f t="shared" si="567"/>
        <v>8031.9669249297976</v>
      </c>
      <c r="S749" s="49">
        <f t="shared" si="567"/>
        <v>8031.9669249297976</v>
      </c>
      <c r="T749" s="49">
        <f t="shared" si="567"/>
        <v>8031.9669249297976</v>
      </c>
      <c r="V749" s="53">
        <f t="shared" si="524"/>
        <v>36143.851162184088</v>
      </c>
      <c r="W749" s="53">
        <f t="shared" si="525"/>
        <v>28111.884237254289</v>
      </c>
      <c r="X749" s="53">
        <f t="shared" si="526"/>
        <v>20079.917312324491</v>
      </c>
      <c r="Y749" s="53">
        <f t="shared" si="527"/>
        <v>12047.950387394692</v>
      </c>
      <c r="Z749" s="53">
        <f t="shared" si="528"/>
        <v>4015.9834624648947</v>
      </c>
      <c r="AB749" s="53">
        <f t="shared" si="593"/>
        <v>9260.8578644440568</v>
      </c>
      <c r="AC749" s="53">
        <f t="shared" si="594"/>
        <v>8959.6591047591901</v>
      </c>
      <c r="AD749" s="53">
        <f t="shared" si="595"/>
        <v>8795.0037827981287</v>
      </c>
      <c r="AE749" s="53">
        <f t="shared" si="596"/>
        <v>8489.7890396507955</v>
      </c>
      <c r="AF749" s="53">
        <f t="shared" si="597"/>
        <v>8184.5742965034633</v>
      </c>
    </row>
    <row r="750" spans="2:32">
      <c r="B750" s="43" t="str">
        <f t="shared" si="590"/>
        <v>Asset 196</v>
      </c>
      <c r="F750" s="43" t="str">
        <f t="shared" ref="F750:L750" si="599">F254</f>
        <v>08 Inrichting gebouwen</v>
      </c>
      <c r="G750" s="43">
        <f t="shared" si="599"/>
        <v>2017</v>
      </c>
      <c r="H750" s="48">
        <f t="shared" si="599"/>
        <v>894081.48176313401</v>
      </c>
      <c r="I750" s="43">
        <f t="shared" si="599"/>
        <v>2021</v>
      </c>
      <c r="J750" s="43">
        <f t="shared" si="599"/>
        <v>10</v>
      </c>
      <c r="K750" s="43">
        <f t="shared" si="599"/>
        <v>0</v>
      </c>
      <c r="L750" s="48">
        <f t="shared" si="599"/>
        <v>526016.44952794898</v>
      </c>
      <c r="N750" s="44">
        <f t="shared" si="592"/>
        <v>5.5</v>
      </c>
      <c r="P750" s="49">
        <f t="shared" si="567"/>
        <v>95639.354459627095</v>
      </c>
      <c r="Q750" s="49">
        <f t="shared" si="567"/>
        <v>95639.354459627095</v>
      </c>
      <c r="R750" s="49">
        <f t="shared" si="567"/>
        <v>95639.354459627095</v>
      </c>
      <c r="S750" s="49">
        <f t="shared" si="567"/>
        <v>95639.354459627095</v>
      </c>
      <c r="T750" s="49">
        <f t="shared" si="567"/>
        <v>95639.354459627095</v>
      </c>
      <c r="V750" s="53">
        <f t="shared" si="524"/>
        <v>430377.09506832191</v>
      </c>
      <c r="W750" s="53">
        <f t="shared" si="525"/>
        <v>334737.74060869485</v>
      </c>
      <c r="X750" s="53">
        <f t="shared" si="526"/>
        <v>239098.38614906775</v>
      </c>
      <c r="Y750" s="53">
        <f t="shared" si="527"/>
        <v>143459.03168944066</v>
      </c>
      <c r="Z750" s="53">
        <f t="shared" si="528"/>
        <v>47819.677229813562</v>
      </c>
      <c r="AB750" s="53">
        <f t="shared" si="593"/>
        <v>110272.17569195005</v>
      </c>
      <c r="AC750" s="53">
        <f t="shared" si="594"/>
        <v>106685.69989971403</v>
      </c>
      <c r="AD750" s="53">
        <f t="shared" si="595"/>
        <v>104725.09313329167</v>
      </c>
      <c r="AE750" s="53">
        <f t="shared" si="596"/>
        <v>101090.79766382584</v>
      </c>
      <c r="AF750" s="53">
        <f t="shared" si="597"/>
        <v>97456.502194360015</v>
      </c>
    </row>
    <row r="751" spans="2:32">
      <c r="B751" s="43" t="str">
        <f t="shared" si="590"/>
        <v>Asset 197</v>
      </c>
      <c r="F751" s="43" t="str">
        <f t="shared" ref="F751:L751" si="600">F255</f>
        <v>09 Bedrijfsinventaris</v>
      </c>
      <c r="G751" s="43">
        <f t="shared" si="600"/>
        <v>2018</v>
      </c>
      <c r="H751" s="48">
        <f t="shared" si="600"/>
        <v>490885.08786120504</v>
      </c>
      <c r="I751" s="43">
        <f t="shared" si="600"/>
        <v>2021</v>
      </c>
      <c r="J751" s="43">
        <f t="shared" si="600"/>
        <v>10</v>
      </c>
      <c r="K751" s="43">
        <f t="shared" si="600"/>
        <v>1</v>
      </c>
      <c r="L751" s="48">
        <f t="shared" si="600"/>
        <v>336600.51580018562</v>
      </c>
      <c r="N751" s="44">
        <f t="shared" si="592"/>
        <v>6.5</v>
      </c>
      <c r="P751" s="49">
        <f t="shared" si="567"/>
        <v>51784.6947384901</v>
      </c>
      <c r="Q751" s="49">
        <f t="shared" si="567"/>
        <v>51784.694738490092</v>
      </c>
      <c r="R751" s="49">
        <f t="shared" si="567"/>
        <v>51784.694738490092</v>
      </c>
      <c r="S751" s="49">
        <f t="shared" si="567"/>
        <v>51784.694738490092</v>
      </c>
      <c r="T751" s="49">
        <f t="shared" si="567"/>
        <v>51784.694738490092</v>
      </c>
      <c r="V751" s="53">
        <f t="shared" ref="V751:V758" si="601">IF(OR(V$553&lt;=$G751+$J751,$J751=0),IF(U751=0,$L751,U751)-P751,0)</f>
        <v>284815.82106169552</v>
      </c>
      <c r="W751" s="53">
        <f t="shared" ref="W751:W758" si="602">IF(OR(W$553&lt;=$G751+$J751,$J751=0),IF(V751=0,$L751,V751)-Q751,0)</f>
        <v>233031.12632320542</v>
      </c>
      <c r="X751" s="53">
        <f t="shared" ref="X751:X758" si="603">IF(OR(X$553&lt;=$G751+$J751,$J751=0),IF(W751=0,$L751,W751)-R751,0)</f>
        <v>181246.43158471532</v>
      </c>
      <c r="Y751" s="53">
        <f t="shared" ref="Y751:Y758" si="604">IF(OR(Y$553&lt;=$G751+$J751,$J751=0),IF(X751=0,$L751,X751)-S751,0)</f>
        <v>129461.73684622522</v>
      </c>
      <c r="Z751" s="53">
        <f t="shared" ref="Z751:Z758" si="605">IF(OR(Z$553&lt;=$G751+$J751,$J751=0),IF(Y751=0,$L751,Y751)-T751,0)</f>
        <v>77677.04210773512</v>
      </c>
      <c r="AB751" s="53">
        <f t="shared" si="593"/>
        <v>61468.432654587748</v>
      </c>
      <c r="AC751" s="53">
        <f t="shared" si="594"/>
        <v>59474.721907155872</v>
      </c>
      <c r="AD751" s="53">
        <f t="shared" si="595"/>
        <v>58672.059138709272</v>
      </c>
      <c r="AE751" s="53">
        <f t="shared" si="596"/>
        <v>56704.240738646651</v>
      </c>
      <c r="AF751" s="53">
        <f t="shared" si="597"/>
        <v>54736.422338584031</v>
      </c>
    </row>
    <row r="752" spans="2:32">
      <c r="B752" s="43" t="str">
        <f t="shared" si="590"/>
        <v>Asset 198</v>
      </c>
      <c r="F752" s="43" t="str">
        <f t="shared" ref="F752:L752" si="606">F256</f>
        <v>08 Inrichting gebouwen</v>
      </c>
      <c r="G752" s="43">
        <f t="shared" si="606"/>
        <v>2018</v>
      </c>
      <c r="H752" s="48">
        <f t="shared" si="606"/>
        <v>533703.76265516167</v>
      </c>
      <c r="I752" s="43">
        <f t="shared" si="606"/>
        <v>2021</v>
      </c>
      <c r="J752" s="43">
        <f t="shared" si="606"/>
        <v>10</v>
      </c>
      <c r="K752" s="43">
        <f t="shared" si="606"/>
        <v>0</v>
      </c>
      <c r="L752" s="48">
        <f t="shared" si="606"/>
        <v>365961.33440708811</v>
      </c>
      <c r="N752" s="44">
        <f t="shared" si="592"/>
        <v>6.5</v>
      </c>
      <c r="P752" s="49">
        <f t="shared" si="567"/>
        <v>56301.743754936637</v>
      </c>
      <c r="Q752" s="49">
        <f t="shared" si="567"/>
        <v>56301.743754936637</v>
      </c>
      <c r="R752" s="49">
        <f t="shared" si="567"/>
        <v>56301.743754936637</v>
      </c>
      <c r="S752" s="49">
        <f t="shared" si="567"/>
        <v>56301.743754936637</v>
      </c>
      <c r="T752" s="49">
        <f t="shared" si="567"/>
        <v>56301.743754936637</v>
      </c>
      <c r="V752" s="53">
        <f t="shared" si="601"/>
        <v>309659.5906521515</v>
      </c>
      <c r="W752" s="53">
        <f t="shared" si="602"/>
        <v>253357.84689721485</v>
      </c>
      <c r="X752" s="53">
        <f t="shared" si="603"/>
        <v>197056.10314227821</v>
      </c>
      <c r="Y752" s="53">
        <f t="shared" si="604"/>
        <v>140754.35938734157</v>
      </c>
      <c r="Z752" s="53">
        <f t="shared" si="605"/>
        <v>84452.615632404923</v>
      </c>
      <c r="AB752" s="53">
        <f t="shared" si="593"/>
        <v>66830.169837109788</v>
      </c>
      <c r="AC752" s="53">
        <f t="shared" si="594"/>
        <v>64662.55270254473</v>
      </c>
      <c r="AD752" s="53">
        <f t="shared" si="595"/>
        <v>63789.87567434321</v>
      </c>
      <c r="AE752" s="53">
        <f t="shared" si="596"/>
        <v>61650.409411655615</v>
      </c>
      <c r="AF752" s="53">
        <f t="shared" si="597"/>
        <v>59510.943148968021</v>
      </c>
    </row>
    <row r="753" spans="2:32">
      <c r="B753" s="43" t="str">
        <f t="shared" si="590"/>
        <v>Asset 199</v>
      </c>
      <c r="F753" s="43" t="str">
        <f t="shared" ref="F753:L753" si="607">F257</f>
        <v>11 Werktuigen</v>
      </c>
      <c r="G753" s="43">
        <f t="shared" si="607"/>
        <v>2018</v>
      </c>
      <c r="H753" s="48">
        <f t="shared" si="607"/>
        <v>2619455.826851733</v>
      </c>
      <c r="I753" s="43">
        <f t="shared" si="607"/>
        <v>2021</v>
      </c>
      <c r="J753" s="43">
        <f t="shared" si="607"/>
        <v>10</v>
      </c>
      <c r="K753" s="43">
        <f t="shared" si="607"/>
        <v>1</v>
      </c>
      <c r="L753" s="48">
        <f t="shared" si="607"/>
        <v>1796164.1211708463</v>
      </c>
      <c r="N753" s="44">
        <f t="shared" si="592"/>
        <v>6.5</v>
      </c>
      <c r="P753" s="49">
        <f t="shared" si="567"/>
        <v>276332.94171859173</v>
      </c>
      <c r="Q753" s="49">
        <f t="shared" si="567"/>
        <v>276332.94171859173</v>
      </c>
      <c r="R753" s="49">
        <f t="shared" si="567"/>
        <v>276332.94171859173</v>
      </c>
      <c r="S753" s="49">
        <f t="shared" si="567"/>
        <v>276332.94171859173</v>
      </c>
      <c r="T753" s="49">
        <f t="shared" si="567"/>
        <v>276332.94171859173</v>
      </c>
      <c r="V753" s="53">
        <f t="shared" si="601"/>
        <v>1519831.1794522544</v>
      </c>
      <c r="W753" s="53">
        <f t="shared" si="602"/>
        <v>1243498.2377336626</v>
      </c>
      <c r="X753" s="53">
        <f t="shared" si="603"/>
        <v>967165.29601507087</v>
      </c>
      <c r="Y753" s="53">
        <f t="shared" si="604"/>
        <v>690832.35429647914</v>
      </c>
      <c r="Z753" s="53">
        <f t="shared" si="605"/>
        <v>414499.41257788741</v>
      </c>
      <c r="AB753" s="53">
        <f t="shared" si="593"/>
        <v>328007.20181996841</v>
      </c>
      <c r="AC753" s="53">
        <f t="shared" si="594"/>
        <v>317368.38356380258</v>
      </c>
      <c r="AD753" s="53">
        <f t="shared" si="595"/>
        <v>313085.22296716442</v>
      </c>
      <c r="AE753" s="53">
        <f t="shared" si="596"/>
        <v>302584.57118185796</v>
      </c>
      <c r="AF753" s="53">
        <f t="shared" si="597"/>
        <v>292083.91939655144</v>
      </c>
    </row>
    <row r="754" spans="2:32">
      <c r="B754" s="43" t="str">
        <f t="shared" si="590"/>
        <v>Asset 200</v>
      </c>
      <c r="F754" s="43" t="str">
        <f t="shared" ref="F754:L754" si="608">F258</f>
        <v>10 Gereedschap</v>
      </c>
      <c r="G754" s="43">
        <f t="shared" si="608"/>
        <v>2018</v>
      </c>
      <c r="H754" s="48">
        <f t="shared" si="608"/>
        <v>252164.79428194632</v>
      </c>
      <c r="I754" s="43">
        <f t="shared" si="608"/>
        <v>2021</v>
      </c>
      <c r="J754" s="43">
        <f t="shared" si="608"/>
        <v>10</v>
      </c>
      <c r="K754" s="43">
        <f t="shared" si="608"/>
        <v>1</v>
      </c>
      <c r="L754" s="48">
        <f t="shared" si="608"/>
        <v>172909.7133338665</v>
      </c>
      <c r="N754" s="44">
        <f t="shared" si="592"/>
        <v>6.5</v>
      </c>
      <c r="P754" s="49">
        <f t="shared" si="567"/>
        <v>26601.494359056385</v>
      </c>
      <c r="Q754" s="49">
        <f t="shared" si="567"/>
        <v>26601.494359056385</v>
      </c>
      <c r="R754" s="49">
        <f t="shared" si="567"/>
        <v>26601.494359056385</v>
      </c>
      <c r="S754" s="49">
        <f t="shared" si="567"/>
        <v>26601.494359056385</v>
      </c>
      <c r="T754" s="49">
        <f t="shared" si="567"/>
        <v>26601.494359056385</v>
      </c>
      <c r="V754" s="53">
        <f t="shared" si="601"/>
        <v>146308.21897481012</v>
      </c>
      <c r="W754" s="53">
        <f t="shared" si="602"/>
        <v>119706.72461575374</v>
      </c>
      <c r="X754" s="53">
        <f t="shared" si="603"/>
        <v>93105.230256697367</v>
      </c>
      <c r="Y754" s="53">
        <f t="shared" si="604"/>
        <v>66503.735897640989</v>
      </c>
      <c r="Z754" s="53">
        <f t="shared" si="605"/>
        <v>39902.241538584603</v>
      </c>
      <c r="AB754" s="53">
        <f t="shared" si="593"/>
        <v>31575.97380419993</v>
      </c>
      <c r="AC754" s="53">
        <f t="shared" si="594"/>
        <v>30551.816271376258</v>
      </c>
      <c r="AD754" s="53">
        <f t="shared" si="595"/>
        <v>30139.493108810886</v>
      </c>
      <c r="AE754" s="53">
        <f t="shared" si="596"/>
        <v>29128.636323166742</v>
      </c>
      <c r="AF754" s="53">
        <f t="shared" si="597"/>
        <v>28117.779537522601</v>
      </c>
    </row>
    <row r="755" spans="2:32">
      <c r="B755" s="43" t="str">
        <f t="shared" si="590"/>
        <v>Asset 201</v>
      </c>
      <c r="F755" s="43" t="str">
        <f t="shared" ref="F755:L755" si="609">F259</f>
        <v>11 Werktuigen (KC)</v>
      </c>
      <c r="G755" s="43">
        <f t="shared" si="609"/>
        <v>2018</v>
      </c>
      <c r="H755" s="48">
        <f t="shared" si="609"/>
        <v>13021546.318391869</v>
      </c>
      <c r="I755" s="43">
        <f t="shared" si="609"/>
        <v>2021</v>
      </c>
      <c r="J755" s="43">
        <f t="shared" si="609"/>
        <v>10</v>
      </c>
      <c r="K755" s="43">
        <f t="shared" si="609"/>
        <v>0</v>
      </c>
      <c r="L755" s="48">
        <f t="shared" si="609"/>
        <v>8928890.519742161</v>
      </c>
      <c r="N755" s="44">
        <f t="shared" si="592"/>
        <v>6.5</v>
      </c>
      <c r="P755" s="49">
        <f t="shared" si="567"/>
        <v>1373675.4645757172</v>
      </c>
      <c r="Q755" s="49">
        <f t="shared" si="567"/>
        <v>1373675.464575717</v>
      </c>
      <c r="R755" s="49">
        <f t="shared" si="567"/>
        <v>1373675.464575717</v>
      </c>
      <c r="S755" s="49">
        <f t="shared" si="567"/>
        <v>1373675.464575717</v>
      </c>
      <c r="T755" s="49">
        <f t="shared" si="567"/>
        <v>1373675.464575717</v>
      </c>
      <c r="V755" s="53">
        <f t="shared" si="601"/>
        <v>7555215.0551664438</v>
      </c>
      <c r="W755" s="53">
        <f t="shared" si="602"/>
        <v>6181539.5905907266</v>
      </c>
      <c r="X755" s="53">
        <f t="shared" si="603"/>
        <v>4807864.1260150094</v>
      </c>
      <c r="Y755" s="53">
        <f t="shared" si="604"/>
        <v>3434188.6614392921</v>
      </c>
      <c r="Z755" s="53">
        <f t="shared" si="605"/>
        <v>2060513.1968635751</v>
      </c>
      <c r="AB755" s="53">
        <f t="shared" si="593"/>
        <v>1630552.7764513763</v>
      </c>
      <c r="AC755" s="53">
        <f t="shared" si="594"/>
        <v>1577666.2710652109</v>
      </c>
      <c r="AD755" s="53">
        <f t="shared" si="595"/>
        <v>1556374.3013642873</v>
      </c>
      <c r="AE755" s="53">
        <f t="shared" si="596"/>
        <v>1504174.63371041</v>
      </c>
      <c r="AF755" s="53">
        <f t="shared" si="597"/>
        <v>1451974.9660565329</v>
      </c>
    </row>
    <row r="756" spans="2:32">
      <c r="B756" s="43" t="str">
        <f t="shared" si="590"/>
        <v>Asset 202</v>
      </c>
      <c r="F756" s="43" t="str">
        <f t="shared" ref="F756:L756" si="610">F260</f>
        <v>20 Kantoorgebouwen</v>
      </c>
      <c r="G756" s="43">
        <f t="shared" si="610"/>
        <v>2018</v>
      </c>
      <c r="H756" s="48">
        <f t="shared" si="610"/>
        <v>5158473.573657441</v>
      </c>
      <c r="I756" s="43">
        <f t="shared" si="610"/>
        <v>2021</v>
      </c>
      <c r="J756" s="43">
        <f t="shared" si="610"/>
        <v>30</v>
      </c>
      <c r="K756" s="43">
        <f t="shared" si="610"/>
        <v>0</v>
      </c>
      <c r="L756" s="48">
        <f t="shared" si="610"/>
        <v>4806925.7125234623</v>
      </c>
      <c r="N756" s="44">
        <f t="shared" si="592"/>
        <v>26.5</v>
      </c>
      <c r="P756" s="49">
        <f t="shared" si="567"/>
        <v>181393.4231140929</v>
      </c>
      <c r="Q756" s="49">
        <f t="shared" si="567"/>
        <v>181393.4231140929</v>
      </c>
      <c r="R756" s="49">
        <f t="shared" si="567"/>
        <v>181393.4231140929</v>
      </c>
      <c r="S756" s="49">
        <f t="shared" si="567"/>
        <v>181393.4231140929</v>
      </c>
      <c r="T756" s="49">
        <f t="shared" si="567"/>
        <v>181393.4231140929</v>
      </c>
      <c r="V756" s="53">
        <f t="shared" si="601"/>
        <v>4625532.2894093692</v>
      </c>
      <c r="W756" s="53">
        <f t="shared" si="602"/>
        <v>4444138.8662952762</v>
      </c>
      <c r="X756" s="53">
        <f t="shared" si="603"/>
        <v>4262745.4431811832</v>
      </c>
      <c r="Y756" s="53">
        <f t="shared" si="604"/>
        <v>4081352.0200670902</v>
      </c>
      <c r="Z756" s="53">
        <f t="shared" si="605"/>
        <v>3899958.5969529971</v>
      </c>
      <c r="AB756" s="53">
        <f t="shared" si="593"/>
        <v>338661.52095401147</v>
      </c>
      <c r="AC756" s="53">
        <f t="shared" si="594"/>
        <v>328050.00570183701</v>
      </c>
      <c r="AD756" s="53">
        <f t="shared" si="595"/>
        <v>343377.74995497789</v>
      </c>
      <c r="AE756" s="53">
        <f t="shared" si="596"/>
        <v>336484.7998766423</v>
      </c>
      <c r="AF756" s="53">
        <f t="shared" si="597"/>
        <v>329591.84979830682</v>
      </c>
    </row>
    <row r="757" spans="2:32">
      <c r="B757" s="43" t="str">
        <f t="shared" si="590"/>
        <v>Asset 203</v>
      </c>
      <c r="F757" s="43" t="str">
        <f t="shared" ref="F757:L757" si="611">F261</f>
        <v>39 ICT middelen 3 (KC)</v>
      </c>
      <c r="G757" s="43">
        <f t="shared" si="611"/>
        <v>2018</v>
      </c>
      <c r="H757" s="48">
        <f t="shared" si="611"/>
        <v>21147142.000000007</v>
      </c>
      <c r="I757" s="43">
        <f t="shared" si="611"/>
        <v>2021</v>
      </c>
      <c r="J757" s="43">
        <f t="shared" si="611"/>
        <v>15</v>
      </c>
      <c r="K757" s="43">
        <f t="shared" si="611"/>
        <v>0</v>
      </c>
      <c r="L757" s="48">
        <f t="shared" si="611"/>
        <v>17103297.263965867</v>
      </c>
      <c r="N757" s="44">
        <f t="shared" si="592"/>
        <v>11.5</v>
      </c>
      <c r="P757" s="49">
        <f t="shared" si="567"/>
        <v>1487243.240344858</v>
      </c>
      <c r="Q757" s="49">
        <f t="shared" si="567"/>
        <v>1487243.240344858</v>
      </c>
      <c r="R757" s="49">
        <f t="shared" si="567"/>
        <v>1487243.240344858</v>
      </c>
      <c r="S757" s="49">
        <f t="shared" si="567"/>
        <v>1487243.240344858</v>
      </c>
      <c r="T757" s="49">
        <f t="shared" si="567"/>
        <v>1487243.240344858</v>
      </c>
      <c r="V757" s="53">
        <f t="shared" si="601"/>
        <v>15616054.02362101</v>
      </c>
      <c r="W757" s="53">
        <f t="shared" si="602"/>
        <v>14128810.783276152</v>
      </c>
      <c r="X757" s="53">
        <f t="shared" si="603"/>
        <v>12641567.542931294</v>
      </c>
      <c r="Y757" s="53">
        <f t="shared" si="604"/>
        <v>11154324.302586436</v>
      </c>
      <c r="Z757" s="53">
        <f t="shared" si="605"/>
        <v>9667081.0622415785</v>
      </c>
      <c r="AB757" s="53">
        <f t="shared" si="593"/>
        <v>2018189.0771479723</v>
      </c>
      <c r="AC757" s="53">
        <f t="shared" si="594"/>
        <v>1953493.996192971</v>
      </c>
      <c r="AD757" s="53">
        <f t="shared" si="595"/>
        <v>1967622.8069762471</v>
      </c>
      <c r="AE757" s="53">
        <f t="shared" si="596"/>
        <v>1911107.5638431427</v>
      </c>
      <c r="AF757" s="53">
        <f t="shared" si="597"/>
        <v>1854592.3207100381</v>
      </c>
    </row>
    <row r="758" spans="2:32">
      <c r="B758" s="43" t="str">
        <f t="shared" si="590"/>
        <v>Asset 204</v>
      </c>
      <c r="F758" s="43" t="str">
        <f t="shared" ref="F758:L758" si="612">F262</f>
        <v>37 ICT middelen 1 (KC)</v>
      </c>
      <c r="G758" s="43">
        <f t="shared" si="612"/>
        <v>2018</v>
      </c>
      <c r="H758" s="48">
        <f t="shared" si="612"/>
        <v>1669649.9999999995</v>
      </c>
      <c r="I758" s="43">
        <f t="shared" si="612"/>
        <v>2021</v>
      </c>
      <c r="J758" s="43">
        <f t="shared" si="612"/>
        <v>5</v>
      </c>
      <c r="K758" s="43">
        <f t="shared" si="612"/>
        <v>0</v>
      </c>
      <c r="L758" s="48">
        <f t="shared" si="612"/>
        <v>528406.65386783984</v>
      </c>
      <c r="N758" s="44">
        <f t="shared" si="592"/>
        <v>1.5</v>
      </c>
      <c r="P758" s="49">
        <f t="shared" si="567"/>
        <v>352271.10257855989</v>
      </c>
      <c r="Q758" s="49">
        <f t="shared" si="567"/>
        <v>176135.55128927995</v>
      </c>
      <c r="R758" s="49">
        <f t="shared" si="567"/>
        <v>0</v>
      </c>
      <c r="S758" s="49">
        <f t="shared" si="567"/>
        <v>0</v>
      </c>
      <c r="T758" s="49">
        <f t="shared" si="567"/>
        <v>0</v>
      </c>
      <c r="V758" s="53">
        <f t="shared" si="601"/>
        <v>176135.55128927995</v>
      </c>
      <c r="W758" s="53">
        <f t="shared" si="602"/>
        <v>0</v>
      </c>
      <c r="X758" s="53">
        <f t="shared" si="603"/>
        <v>0</v>
      </c>
      <c r="Y758" s="53">
        <f t="shared" si="604"/>
        <v>0</v>
      </c>
      <c r="Z758" s="53">
        <f t="shared" si="605"/>
        <v>0</v>
      </c>
      <c r="AB758" s="53">
        <f t="shared" si="593"/>
        <v>358259.71132239542</v>
      </c>
      <c r="AC758" s="53">
        <f t="shared" si="594"/>
        <v>176135.55128927995</v>
      </c>
      <c r="AD758" s="53">
        <f t="shared" si="595"/>
        <v>0</v>
      </c>
      <c r="AE758" s="53">
        <f t="shared" si="596"/>
        <v>0</v>
      </c>
      <c r="AF758" s="53">
        <f t="shared" si="597"/>
        <v>0</v>
      </c>
    </row>
    <row r="759" spans="2:32">
      <c r="B759" s="43" t="str">
        <f t="shared" si="590"/>
        <v>Asset 205</v>
      </c>
      <c r="F759" s="43" t="str">
        <f t="shared" ref="F759:L759" si="613">F263</f>
        <v>05 Wegen en terreinvoorzieningen</v>
      </c>
      <c r="G759" s="43">
        <f t="shared" si="613"/>
        <v>2017</v>
      </c>
      <c r="H759" s="48">
        <f t="shared" si="613"/>
        <v>41129.587663444909</v>
      </c>
      <c r="I759" s="43">
        <f t="shared" si="613"/>
        <v>2021</v>
      </c>
      <c r="J759" s="43">
        <f t="shared" si="613"/>
        <v>10</v>
      </c>
      <c r="K759" s="43">
        <f t="shared" si="613"/>
        <v>0</v>
      </c>
      <c r="L759" s="48">
        <f t="shared" si="613"/>
        <v>24197.83891576614</v>
      </c>
      <c r="N759" s="44">
        <f t="shared" si="592"/>
        <v>5.5</v>
      </c>
      <c r="P759" s="49">
        <f t="shared" ref="P759:T797" si="614">IF(P$553&lt;=$G759+$J759,VDB($L759,0,$N759,P$553-2022,MIN(P$553-2021,$N759),1),0)</f>
        <v>4399.6070755938435</v>
      </c>
      <c r="Q759" s="49">
        <f t="shared" si="614"/>
        <v>4399.6070755938435</v>
      </c>
      <c r="R759" s="49">
        <f t="shared" si="614"/>
        <v>4399.6070755938435</v>
      </c>
      <c r="S759" s="49">
        <f t="shared" si="614"/>
        <v>4399.6070755938435</v>
      </c>
      <c r="T759" s="49">
        <f t="shared" si="614"/>
        <v>4399.6070755938435</v>
      </c>
      <c r="V759" s="53">
        <f t="shared" ref="V759:V797" si="615">IF(OR(V$553&lt;=$G759+$J759,$J759=0),IF(U759=0,$L759,U759)-P759,0)</f>
        <v>19798.231840172295</v>
      </c>
      <c r="W759" s="53">
        <f t="shared" ref="W759:W797" si="616">IF(OR(W$553&lt;=$G759+$J759,$J759=0),IF(V759=0,$L759,V759)-Q759,0)</f>
        <v>15398.624764578452</v>
      </c>
      <c r="X759" s="53">
        <f t="shared" ref="X759:X797" si="617">IF(OR(X$553&lt;=$G759+$J759,$J759=0),IF(W759=0,$L759,W759)-R759,0)</f>
        <v>10999.017688984608</v>
      </c>
      <c r="Y759" s="53">
        <f t="shared" ref="Y759:Y797" si="618">IF(OR(Y$553&lt;=$G759+$J759,$J759=0),IF(X759=0,$L759,X759)-S759,0)</f>
        <v>6599.4106133907644</v>
      </c>
      <c r="Z759" s="53">
        <f t="shared" ref="Z759:Z797" si="619">IF(OR(Z$553&lt;=$G759+$J759,$J759=0),IF(Y759=0,$L759,Y759)-T759,0)</f>
        <v>2199.8035377969209</v>
      </c>
      <c r="AB759" s="53">
        <f t="shared" si="593"/>
        <v>5072.7469581597015</v>
      </c>
      <c r="AC759" s="53">
        <f t="shared" si="594"/>
        <v>4907.7616928249327</v>
      </c>
      <c r="AD759" s="53">
        <f t="shared" si="595"/>
        <v>4817.5697477752583</v>
      </c>
      <c r="AE759" s="53">
        <f t="shared" si="596"/>
        <v>4650.3846789026929</v>
      </c>
      <c r="AF759" s="53">
        <f t="shared" si="597"/>
        <v>4483.1996100301267</v>
      </c>
    </row>
    <row r="760" spans="2:32">
      <c r="B760" s="43" t="str">
        <f t="shared" si="590"/>
        <v>Asset 206</v>
      </c>
      <c r="F760" s="43" t="str">
        <f t="shared" ref="F760:L760" si="620">F264</f>
        <v>06 Utiliteitsgebouwen</v>
      </c>
      <c r="G760" s="43">
        <f t="shared" si="620"/>
        <v>2018</v>
      </c>
      <c r="H760" s="48">
        <f t="shared" si="620"/>
        <v>1769813.2968497979</v>
      </c>
      <c r="I760" s="43">
        <f t="shared" si="620"/>
        <v>2021</v>
      </c>
      <c r="J760" s="43">
        <f t="shared" si="620"/>
        <v>30</v>
      </c>
      <c r="K760" s="43">
        <f t="shared" si="620"/>
        <v>0</v>
      </c>
      <c r="L760" s="48">
        <f t="shared" si="620"/>
        <v>1649201.2455850111</v>
      </c>
      <c r="N760" s="44">
        <f t="shared" si="592"/>
        <v>26.5</v>
      </c>
      <c r="P760" s="49">
        <f t="shared" si="614"/>
        <v>62234.00926735891</v>
      </c>
      <c r="Q760" s="49">
        <f t="shared" si="614"/>
        <v>62234.00926735891</v>
      </c>
      <c r="R760" s="49">
        <f t="shared" si="614"/>
        <v>62234.00926735891</v>
      </c>
      <c r="S760" s="49">
        <f t="shared" si="614"/>
        <v>62234.00926735891</v>
      </c>
      <c r="T760" s="49">
        <f t="shared" si="614"/>
        <v>62234.00926735891</v>
      </c>
      <c r="V760" s="53">
        <f t="shared" si="615"/>
        <v>1586967.2363176523</v>
      </c>
      <c r="W760" s="53">
        <f t="shared" si="616"/>
        <v>1524733.2270502935</v>
      </c>
      <c r="X760" s="53">
        <f t="shared" si="617"/>
        <v>1462499.2177829347</v>
      </c>
      <c r="Y760" s="53">
        <f t="shared" si="618"/>
        <v>1400265.2085155759</v>
      </c>
      <c r="Z760" s="53">
        <f t="shared" si="619"/>
        <v>1338031.199248217</v>
      </c>
      <c r="AB760" s="53">
        <f t="shared" si="593"/>
        <v>116190.8953021591</v>
      </c>
      <c r="AC760" s="53">
        <f t="shared" si="594"/>
        <v>112550.20576001859</v>
      </c>
      <c r="AD760" s="53">
        <f t="shared" si="595"/>
        <v>117808.97954311043</v>
      </c>
      <c r="AE760" s="53">
        <f t="shared" si="596"/>
        <v>115444.08719095078</v>
      </c>
      <c r="AF760" s="53">
        <f t="shared" si="597"/>
        <v>113079.19483879115</v>
      </c>
    </row>
    <row r="761" spans="2:32">
      <c r="B761" s="43" t="str">
        <f t="shared" si="590"/>
        <v>Asset 207</v>
      </c>
      <c r="F761" s="43" t="str">
        <f t="shared" ref="F761:L761" si="621">F265</f>
        <v>14 Overig rollend materieel</v>
      </c>
      <c r="G761" s="43">
        <f t="shared" si="621"/>
        <v>2018</v>
      </c>
      <c r="H761" s="48">
        <f t="shared" si="621"/>
        <v>20291.448993786991</v>
      </c>
      <c r="I761" s="43">
        <f t="shared" si="621"/>
        <v>2021</v>
      </c>
      <c r="J761" s="43">
        <f t="shared" si="621"/>
        <v>10</v>
      </c>
      <c r="K761" s="43">
        <f t="shared" si="621"/>
        <v>1</v>
      </c>
      <c r="L761" s="48">
        <f t="shared" si="621"/>
        <v>13913.871833835448</v>
      </c>
      <c r="N761" s="44">
        <f t="shared" si="592"/>
        <v>6.5</v>
      </c>
      <c r="P761" s="49">
        <f t="shared" si="614"/>
        <v>2140.5956667439154</v>
      </c>
      <c r="Q761" s="49">
        <f t="shared" si="614"/>
        <v>2140.595666743915</v>
      </c>
      <c r="R761" s="49">
        <f t="shared" si="614"/>
        <v>2140.595666743915</v>
      </c>
      <c r="S761" s="49">
        <f t="shared" si="614"/>
        <v>2140.595666743915</v>
      </c>
      <c r="T761" s="49">
        <f t="shared" si="614"/>
        <v>2140.595666743915</v>
      </c>
      <c r="V761" s="53">
        <f t="shared" si="615"/>
        <v>11773.276167091533</v>
      </c>
      <c r="W761" s="53">
        <f t="shared" si="616"/>
        <v>9632.6805003476184</v>
      </c>
      <c r="X761" s="53">
        <f t="shared" si="617"/>
        <v>7492.0848336037034</v>
      </c>
      <c r="Y761" s="53">
        <f t="shared" si="618"/>
        <v>5351.4891668597884</v>
      </c>
      <c r="Z761" s="53">
        <f t="shared" si="619"/>
        <v>3210.8935001158734</v>
      </c>
      <c r="AB761" s="53">
        <f t="shared" si="593"/>
        <v>2540.8870564250274</v>
      </c>
      <c r="AC761" s="53">
        <f t="shared" si="594"/>
        <v>2458.4741232553865</v>
      </c>
      <c r="AD761" s="53">
        <f t="shared" si="595"/>
        <v>2425.2948904208556</v>
      </c>
      <c r="AE761" s="53">
        <f t="shared" si="596"/>
        <v>2343.9522550845868</v>
      </c>
      <c r="AF761" s="53">
        <f t="shared" si="597"/>
        <v>2262.609619748318</v>
      </c>
    </row>
    <row r="762" spans="2:32">
      <c r="B762" s="43" t="str">
        <f t="shared" si="590"/>
        <v>Asset 208</v>
      </c>
      <c r="F762" s="43" t="str">
        <f t="shared" ref="F762:L762" si="622">F266</f>
        <v>10 Gereedschap (odorisatie)</v>
      </c>
      <c r="G762" s="43">
        <f t="shared" si="622"/>
        <v>2018</v>
      </c>
      <c r="H762" s="48">
        <f t="shared" si="622"/>
        <v>59796.38767845487</v>
      </c>
      <c r="I762" s="43">
        <f t="shared" si="622"/>
        <v>2021</v>
      </c>
      <c r="J762" s="43">
        <f t="shared" si="622"/>
        <v>10</v>
      </c>
      <c r="K762" s="43">
        <f t="shared" si="622"/>
        <v>0</v>
      </c>
      <c r="L762" s="48">
        <f t="shared" si="622"/>
        <v>41002.457465659885</v>
      </c>
      <c r="N762" s="44">
        <f t="shared" si="592"/>
        <v>6.5</v>
      </c>
      <c r="P762" s="49">
        <f t="shared" si="614"/>
        <v>6308.07037933229</v>
      </c>
      <c r="Q762" s="49">
        <f t="shared" si="614"/>
        <v>6308.07037933229</v>
      </c>
      <c r="R762" s="49">
        <f t="shared" si="614"/>
        <v>6308.07037933229</v>
      </c>
      <c r="S762" s="49">
        <f t="shared" si="614"/>
        <v>6308.07037933229</v>
      </c>
      <c r="T762" s="49">
        <f t="shared" si="614"/>
        <v>6308.07037933229</v>
      </c>
      <c r="V762" s="53">
        <f t="shared" si="615"/>
        <v>34694.387086327595</v>
      </c>
      <c r="W762" s="53">
        <f t="shared" si="616"/>
        <v>28386.316706995305</v>
      </c>
      <c r="X762" s="53">
        <f t="shared" si="617"/>
        <v>22078.246327663015</v>
      </c>
      <c r="Y762" s="53">
        <f t="shared" si="618"/>
        <v>15770.175948330725</v>
      </c>
      <c r="Z762" s="53">
        <f t="shared" si="619"/>
        <v>9462.105568998435</v>
      </c>
      <c r="AB762" s="53">
        <f t="shared" si="593"/>
        <v>7487.6795402674288</v>
      </c>
      <c r="AC762" s="53">
        <f t="shared" si="594"/>
        <v>7244.8188306631355</v>
      </c>
      <c r="AD762" s="53">
        <f t="shared" si="595"/>
        <v>7147.0437397834849</v>
      </c>
      <c r="AE762" s="53">
        <f t="shared" si="596"/>
        <v>6907.337065368858</v>
      </c>
      <c r="AF762" s="53">
        <f t="shared" si="597"/>
        <v>6667.6303909542303</v>
      </c>
    </row>
    <row r="763" spans="2:32">
      <c r="B763" s="43" t="str">
        <f t="shared" si="590"/>
        <v>Asset 209</v>
      </c>
      <c r="F763" s="43" t="str">
        <f t="shared" ref="F763:L763" si="623">F267</f>
        <v>05 Wegen en terreinvoorzieningen</v>
      </c>
      <c r="G763" s="43">
        <f t="shared" si="623"/>
        <v>2018</v>
      </c>
      <c r="H763" s="48">
        <f t="shared" si="623"/>
        <v>70537.619152208252</v>
      </c>
      <c r="I763" s="43">
        <f t="shared" si="623"/>
        <v>2021</v>
      </c>
      <c r="J763" s="43">
        <f t="shared" si="623"/>
        <v>10</v>
      </c>
      <c r="K763" s="43">
        <f t="shared" si="623"/>
        <v>0</v>
      </c>
      <c r="L763" s="48">
        <f t="shared" si="623"/>
        <v>48367.733257897518</v>
      </c>
      <c r="N763" s="44">
        <f t="shared" si="592"/>
        <v>6.5</v>
      </c>
      <c r="P763" s="49">
        <f t="shared" si="614"/>
        <v>7441.1897319842337</v>
      </c>
      <c r="Q763" s="49">
        <f t="shared" si="614"/>
        <v>7441.1897319842337</v>
      </c>
      <c r="R763" s="49">
        <f t="shared" si="614"/>
        <v>7441.1897319842337</v>
      </c>
      <c r="S763" s="49">
        <f t="shared" si="614"/>
        <v>7441.1897319842337</v>
      </c>
      <c r="T763" s="49">
        <f t="shared" si="614"/>
        <v>7441.1897319842337</v>
      </c>
      <c r="V763" s="53">
        <f t="shared" si="615"/>
        <v>40926.543525913286</v>
      </c>
      <c r="W763" s="53">
        <f t="shared" si="616"/>
        <v>33485.353793929055</v>
      </c>
      <c r="X763" s="53">
        <f t="shared" si="617"/>
        <v>26044.164061944823</v>
      </c>
      <c r="Y763" s="53">
        <f t="shared" si="618"/>
        <v>18602.974329960591</v>
      </c>
      <c r="Z763" s="53">
        <f t="shared" si="619"/>
        <v>11161.784597976357</v>
      </c>
      <c r="AB763" s="53">
        <f t="shared" si="593"/>
        <v>8832.6922118652856</v>
      </c>
      <c r="AC763" s="53">
        <f t="shared" si="594"/>
        <v>8546.2064071838922</v>
      </c>
      <c r="AD763" s="53">
        <f t="shared" si="595"/>
        <v>8430.8679663381372</v>
      </c>
      <c r="AE763" s="53">
        <f t="shared" si="596"/>
        <v>8148.1027565227359</v>
      </c>
      <c r="AF763" s="53">
        <f t="shared" si="597"/>
        <v>7865.3375467073356</v>
      </c>
    </row>
    <row r="764" spans="2:32">
      <c r="B764" s="43" t="str">
        <f t="shared" si="590"/>
        <v>Asset 210</v>
      </c>
      <c r="F764" s="43" t="str">
        <f t="shared" ref="F764:L764" si="624">F268</f>
        <v>37 ICT middelen 1 (balancering)</v>
      </c>
      <c r="G764" s="43">
        <f t="shared" si="624"/>
        <v>2018</v>
      </c>
      <c r="H764" s="48">
        <f t="shared" si="624"/>
        <v>1033593</v>
      </c>
      <c r="I764" s="43">
        <f t="shared" si="624"/>
        <v>2021</v>
      </c>
      <c r="J764" s="43">
        <f t="shared" si="624"/>
        <v>5</v>
      </c>
      <c r="K764" s="43">
        <f t="shared" si="624"/>
        <v>0</v>
      </c>
      <c r="L764" s="48">
        <f t="shared" si="624"/>
        <v>327108.92617687664</v>
      </c>
      <c r="N764" s="44">
        <f t="shared" si="592"/>
        <v>1.5</v>
      </c>
      <c r="P764" s="49">
        <f t="shared" si="614"/>
        <v>218072.61745125111</v>
      </c>
      <c r="Q764" s="49">
        <f t="shared" si="614"/>
        <v>109036.30872562555</v>
      </c>
      <c r="R764" s="49">
        <f t="shared" si="614"/>
        <v>0</v>
      </c>
      <c r="S764" s="49">
        <f t="shared" si="614"/>
        <v>0</v>
      </c>
      <c r="T764" s="49">
        <f t="shared" si="614"/>
        <v>0</v>
      </c>
      <c r="V764" s="53">
        <f t="shared" si="615"/>
        <v>109036.30872562554</v>
      </c>
      <c r="W764" s="53">
        <f t="shared" si="616"/>
        <v>-1.4551915228366852E-11</v>
      </c>
      <c r="X764" s="53">
        <f t="shared" si="617"/>
        <v>0</v>
      </c>
      <c r="Y764" s="53">
        <f t="shared" si="618"/>
        <v>0</v>
      </c>
      <c r="Z764" s="53">
        <f t="shared" si="619"/>
        <v>0</v>
      </c>
      <c r="AB764" s="53">
        <f t="shared" si="593"/>
        <v>221779.85194792238</v>
      </c>
      <c r="AC764" s="53">
        <f t="shared" si="594"/>
        <v>109036.30872562555</v>
      </c>
      <c r="AD764" s="53">
        <f t="shared" si="595"/>
        <v>0</v>
      </c>
      <c r="AE764" s="53">
        <f t="shared" si="596"/>
        <v>0</v>
      </c>
      <c r="AF764" s="53">
        <f t="shared" si="597"/>
        <v>0</v>
      </c>
    </row>
    <row r="765" spans="2:32">
      <c r="B765" s="43" t="str">
        <f t="shared" si="590"/>
        <v>Asset 211</v>
      </c>
      <c r="F765" s="43" t="str">
        <f t="shared" ref="F765:L765" si="625">F269</f>
        <v>37 ICT middelen 1</v>
      </c>
      <c r="G765" s="43">
        <f t="shared" si="625"/>
        <v>2019</v>
      </c>
      <c r="H765" s="48">
        <f t="shared" si="625"/>
        <v>7023542.7917365544</v>
      </c>
      <c r="I765" s="43">
        <f t="shared" si="625"/>
        <v>2021</v>
      </c>
      <c r="J765" s="43">
        <f t="shared" si="625"/>
        <v>5</v>
      </c>
      <c r="K765" s="43">
        <f t="shared" si="625"/>
        <v>1</v>
      </c>
      <c r="L765" s="48">
        <f t="shared" si="625"/>
        <v>3660726.6913954271</v>
      </c>
      <c r="N765" s="44">
        <f t="shared" si="592"/>
        <v>2.5</v>
      </c>
      <c r="P765" s="49">
        <f t="shared" si="614"/>
        <v>1464290.6765581709</v>
      </c>
      <c r="Q765" s="49">
        <f t="shared" si="614"/>
        <v>1464290.6765581707</v>
      </c>
      <c r="R765" s="49">
        <f t="shared" si="614"/>
        <v>732145.33827908535</v>
      </c>
      <c r="S765" s="49">
        <f t="shared" si="614"/>
        <v>0</v>
      </c>
      <c r="T765" s="49">
        <f t="shared" si="614"/>
        <v>0</v>
      </c>
      <c r="V765" s="53">
        <f t="shared" si="615"/>
        <v>2196436.0148372562</v>
      </c>
      <c r="W765" s="53">
        <f t="shared" si="616"/>
        <v>732145.33827908547</v>
      </c>
      <c r="X765" s="53">
        <f t="shared" si="617"/>
        <v>1.1641532182693481E-10</v>
      </c>
      <c r="Y765" s="53">
        <f t="shared" si="618"/>
        <v>0</v>
      </c>
      <c r="Z765" s="53">
        <f t="shared" si="619"/>
        <v>0</v>
      </c>
      <c r="AB765" s="53">
        <f t="shared" si="593"/>
        <v>1538969.5010626377</v>
      </c>
      <c r="AC765" s="53">
        <f t="shared" si="594"/>
        <v>1488451.4727213804</v>
      </c>
      <c r="AD765" s="53">
        <f t="shared" si="595"/>
        <v>732145.33827908535</v>
      </c>
      <c r="AE765" s="53">
        <f t="shared" si="596"/>
        <v>0</v>
      </c>
      <c r="AF765" s="53">
        <f t="shared" si="597"/>
        <v>0</v>
      </c>
    </row>
    <row r="766" spans="2:32">
      <c r="B766" s="43" t="str">
        <f t="shared" si="590"/>
        <v>Asset 212</v>
      </c>
      <c r="F766" s="43" t="str">
        <f t="shared" ref="F766:L766" si="626">F270</f>
        <v>14 Overig rollend materieel</v>
      </c>
      <c r="G766" s="43">
        <f t="shared" si="626"/>
        <v>2019</v>
      </c>
      <c r="H766" s="48">
        <f t="shared" si="626"/>
        <v>857388.09237261105</v>
      </c>
      <c r="I766" s="43">
        <f t="shared" si="626"/>
        <v>2021</v>
      </c>
      <c r="J766" s="43">
        <f t="shared" si="626"/>
        <v>10</v>
      </c>
      <c r="K766" s="43">
        <f t="shared" si="626"/>
        <v>1</v>
      </c>
      <c r="L766" s="48">
        <f t="shared" si="626"/>
        <v>670316.29927401594</v>
      </c>
      <c r="N766" s="44">
        <f t="shared" si="592"/>
        <v>7.5</v>
      </c>
      <c r="P766" s="49">
        <f t="shared" si="614"/>
        <v>89375.506569868798</v>
      </c>
      <c r="Q766" s="49">
        <f t="shared" si="614"/>
        <v>89375.506569868798</v>
      </c>
      <c r="R766" s="49">
        <f t="shared" si="614"/>
        <v>89375.506569868798</v>
      </c>
      <c r="S766" s="49">
        <f t="shared" si="614"/>
        <v>89375.506569868798</v>
      </c>
      <c r="T766" s="49">
        <f t="shared" si="614"/>
        <v>89375.506569868798</v>
      </c>
      <c r="V766" s="53">
        <f t="shared" si="615"/>
        <v>580940.79270414717</v>
      </c>
      <c r="W766" s="53">
        <f t="shared" si="616"/>
        <v>491565.2861342784</v>
      </c>
      <c r="X766" s="53">
        <f t="shared" si="617"/>
        <v>402189.77956440963</v>
      </c>
      <c r="Y766" s="53">
        <f t="shared" si="618"/>
        <v>312814.27299454086</v>
      </c>
      <c r="Z766" s="53">
        <f t="shared" si="619"/>
        <v>223438.76642467207</v>
      </c>
      <c r="AB766" s="53">
        <f t="shared" si="593"/>
        <v>109127.49352180981</v>
      </c>
      <c r="AC766" s="53">
        <f t="shared" si="594"/>
        <v>105597.16101229998</v>
      </c>
      <c r="AD766" s="53">
        <f t="shared" si="595"/>
        <v>104658.71819331637</v>
      </c>
      <c r="AE766" s="53">
        <f t="shared" si="596"/>
        <v>101262.44894366135</v>
      </c>
      <c r="AF766" s="53">
        <f t="shared" si="597"/>
        <v>97866.179694006336</v>
      </c>
    </row>
    <row r="767" spans="2:32">
      <c r="B767" s="43" t="str">
        <f t="shared" si="590"/>
        <v>Asset 213</v>
      </c>
      <c r="F767" s="43" t="str">
        <f t="shared" ref="F767:L767" si="627">F271</f>
        <v>08 Inrichting gebouwen</v>
      </c>
      <c r="G767" s="43">
        <f t="shared" si="627"/>
        <v>2019</v>
      </c>
      <c r="H767" s="48">
        <f t="shared" si="627"/>
        <v>460067.29247706069</v>
      </c>
      <c r="I767" s="43">
        <f t="shared" si="627"/>
        <v>2021</v>
      </c>
      <c r="J767" s="43">
        <f t="shared" si="627"/>
        <v>10</v>
      </c>
      <c r="K767" s="43">
        <f t="shared" si="627"/>
        <v>0</v>
      </c>
      <c r="L767" s="48">
        <f t="shared" si="627"/>
        <v>359686.13006607577</v>
      </c>
      <c r="N767" s="44">
        <f t="shared" si="592"/>
        <v>7.5</v>
      </c>
      <c r="P767" s="49">
        <f t="shared" si="614"/>
        <v>47958.150675476769</v>
      </c>
      <c r="Q767" s="49">
        <f t="shared" si="614"/>
        <v>47958.150675476769</v>
      </c>
      <c r="R767" s="49">
        <f t="shared" si="614"/>
        <v>47958.150675476769</v>
      </c>
      <c r="S767" s="49">
        <f t="shared" si="614"/>
        <v>47958.150675476769</v>
      </c>
      <c r="T767" s="49">
        <f t="shared" si="614"/>
        <v>47958.150675476769</v>
      </c>
      <c r="V767" s="53">
        <f t="shared" si="615"/>
        <v>311727.97939059901</v>
      </c>
      <c r="W767" s="53">
        <f t="shared" si="616"/>
        <v>263769.82871512225</v>
      </c>
      <c r="X767" s="53">
        <f t="shared" si="617"/>
        <v>215811.67803964549</v>
      </c>
      <c r="Y767" s="53">
        <f t="shared" si="618"/>
        <v>167853.52736416872</v>
      </c>
      <c r="Z767" s="53">
        <f t="shared" si="619"/>
        <v>119895.37668869196</v>
      </c>
      <c r="AB767" s="53">
        <f t="shared" si="593"/>
        <v>58556.901974757136</v>
      </c>
      <c r="AC767" s="53">
        <f t="shared" si="594"/>
        <v>56662.555023075802</v>
      </c>
      <c r="AD767" s="53">
        <f t="shared" si="595"/>
        <v>56158.994440983297</v>
      </c>
      <c r="AE767" s="53">
        <f t="shared" si="596"/>
        <v>54336.584715315177</v>
      </c>
      <c r="AF767" s="53">
        <f t="shared" si="597"/>
        <v>52514.174989647065</v>
      </c>
    </row>
    <row r="768" spans="2:32">
      <c r="B768" s="43" t="str">
        <f t="shared" si="590"/>
        <v>Asset 214</v>
      </c>
      <c r="F768" s="43" t="str">
        <f t="shared" ref="F768:L768" si="628">F272</f>
        <v>37 ICT middelen 1 (KC)</v>
      </c>
      <c r="G768" s="43">
        <f t="shared" si="628"/>
        <v>2019</v>
      </c>
      <c r="H768" s="48">
        <f t="shared" si="628"/>
        <v>119060</v>
      </c>
      <c r="I768" s="43">
        <f t="shared" si="628"/>
        <v>2021</v>
      </c>
      <c r="J768" s="43">
        <f t="shared" si="628"/>
        <v>5</v>
      </c>
      <c r="K768" s="43">
        <f t="shared" si="628"/>
        <v>0</v>
      </c>
      <c r="L768" s="48">
        <f t="shared" si="628"/>
        <v>62055.024479999985</v>
      </c>
      <c r="N768" s="44">
        <f t="shared" si="592"/>
        <v>2.5</v>
      </c>
      <c r="P768" s="49">
        <f t="shared" si="614"/>
        <v>24822.009791999997</v>
      </c>
      <c r="Q768" s="49">
        <f t="shared" si="614"/>
        <v>24822.009791999993</v>
      </c>
      <c r="R768" s="49">
        <f t="shared" si="614"/>
        <v>12411.004895999997</v>
      </c>
      <c r="S768" s="49">
        <f t="shared" si="614"/>
        <v>0</v>
      </c>
      <c r="T768" s="49">
        <f t="shared" si="614"/>
        <v>0</v>
      </c>
      <c r="V768" s="53">
        <f t="shared" si="615"/>
        <v>37233.014687999988</v>
      </c>
      <c r="W768" s="53">
        <f t="shared" si="616"/>
        <v>12411.004895999995</v>
      </c>
      <c r="X768" s="53">
        <f t="shared" si="617"/>
        <v>-1.8189894035458565E-12</v>
      </c>
      <c r="Y768" s="53">
        <f t="shared" si="618"/>
        <v>0</v>
      </c>
      <c r="Z768" s="53">
        <f t="shared" si="619"/>
        <v>0</v>
      </c>
      <c r="AB768" s="53">
        <f t="shared" si="593"/>
        <v>26087.932291391997</v>
      </c>
      <c r="AC768" s="53">
        <f t="shared" si="594"/>
        <v>25231.572953567993</v>
      </c>
      <c r="AD768" s="53">
        <f t="shared" si="595"/>
        <v>12411.004895999997</v>
      </c>
      <c r="AE768" s="53">
        <f t="shared" si="596"/>
        <v>0</v>
      </c>
      <c r="AF768" s="53">
        <f t="shared" si="597"/>
        <v>0</v>
      </c>
    </row>
    <row r="769" spans="2:32">
      <c r="B769" s="43" t="str">
        <f t="shared" si="590"/>
        <v>Asset 215</v>
      </c>
      <c r="F769" s="43" t="str">
        <f t="shared" ref="F769:L769" si="629">F273</f>
        <v>11 Werktuigen</v>
      </c>
      <c r="G769" s="43">
        <f t="shared" si="629"/>
        <v>2019</v>
      </c>
      <c r="H769" s="48">
        <f t="shared" si="629"/>
        <v>288666.6970011855</v>
      </c>
      <c r="I769" s="43">
        <f t="shared" si="629"/>
        <v>2021</v>
      </c>
      <c r="J769" s="43">
        <f t="shared" si="629"/>
        <v>10</v>
      </c>
      <c r="K769" s="43">
        <f t="shared" si="629"/>
        <v>1</v>
      </c>
      <c r="L769" s="48">
        <f t="shared" si="629"/>
        <v>225683.08771589081</v>
      </c>
      <c r="N769" s="44">
        <f t="shared" si="592"/>
        <v>7.5</v>
      </c>
      <c r="P769" s="49">
        <f t="shared" si="614"/>
        <v>30091.078362118777</v>
      </c>
      <c r="Q769" s="49">
        <f t="shared" si="614"/>
        <v>30091.078362118777</v>
      </c>
      <c r="R769" s="49">
        <f t="shared" si="614"/>
        <v>30091.078362118777</v>
      </c>
      <c r="S769" s="49">
        <f t="shared" si="614"/>
        <v>30091.078362118777</v>
      </c>
      <c r="T769" s="49">
        <f t="shared" si="614"/>
        <v>30091.078362118777</v>
      </c>
      <c r="V769" s="53">
        <f t="shared" si="615"/>
        <v>195592.00935377204</v>
      </c>
      <c r="W769" s="53">
        <f t="shared" si="616"/>
        <v>165500.93099165327</v>
      </c>
      <c r="X769" s="53">
        <f t="shared" si="617"/>
        <v>135409.85262953449</v>
      </c>
      <c r="Y769" s="53">
        <f t="shared" si="618"/>
        <v>105318.77426741572</v>
      </c>
      <c r="Z769" s="53">
        <f t="shared" si="619"/>
        <v>75227.695905296947</v>
      </c>
      <c r="AB769" s="53">
        <f t="shared" si="593"/>
        <v>36741.206680147028</v>
      </c>
      <c r="AC769" s="53">
        <f t="shared" si="594"/>
        <v>35552.609084843338</v>
      </c>
      <c r="AD769" s="53">
        <f t="shared" si="595"/>
        <v>35236.652762041085</v>
      </c>
      <c r="AE769" s="53">
        <f t="shared" si="596"/>
        <v>34093.191784280571</v>
      </c>
      <c r="AF769" s="53">
        <f t="shared" si="597"/>
        <v>32949.730806520063</v>
      </c>
    </row>
    <row r="770" spans="2:32">
      <c r="B770" s="43" t="str">
        <f t="shared" si="590"/>
        <v>Asset 216</v>
      </c>
      <c r="F770" s="43" t="str">
        <f t="shared" ref="F770:L770" si="630">F274</f>
        <v>20 Kantoorgebouwen</v>
      </c>
      <c r="G770" s="43">
        <f t="shared" si="630"/>
        <v>2019</v>
      </c>
      <c r="H770" s="48">
        <f t="shared" si="630"/>
        <v>1170372.8470650064</v>
      </c>
      <c r="I770" s="43">
        <f t="shared" si="630"/>
        <v>2021</v>
      </c>
      <c r="J770" s="43">
        <f t="shared" si="630"/>
        <v>30</v>
      </c>
      <c r="K770" s="43">
        <f t="shared" si="630"/>
        <v>0</v>
      </c>
      <c r="L770" s="48">
        <f t="shared" si="630"/>
        <v>1118347.433267273</v>
      </c>
      <c r="N770" s="44">
        <f t="shared" si="592"/>
        <v>27.5</v>
      </c>
      <c r="P770" s="49">
        <f t="shared" si="614"/>
        <v>40667.179391537204</v>
      </c>
      <c r="Q770" s="49">
        <f t="shared" si="614"/>
        <v>40667.179391537204</v>
      </c>
      <c r="R770" s="49">
        <f t="shared" si="614"/>
        <v>40667.179391537204</v>
      </c>
      <c r="S770" s="49">
        <f t="shared" si="614"/>
        <v>40667.179391537204</v>
      </c>
      <c r="T770" s="49">
        <f t="shared" si="614"/>
        <v>40667.179391537204</v>
      </c>
      <c r="V770" s="53">
        <f t="shared" si="615"/>
        <v>1077680.2538757359</v>
      </c>
      <c r="W770" s="53">
        <f t="shared" si="616"/>
        <v>1037013.0744841987</v>
      </c>
      <c r="X770" s="53">
        <f t="shared" si="617"/>
        <v>996345.89509266149</v>
      </c>
      <c r="Y770" s="53">
        <f t="shared" si="618"/>
        <v>955678.71570112428</v>
      </c>
      <c r="Z770" s="53">
        <f t="shared" si="619"/>
        <v>915011.53630958707</v>
      </c>
      <c r="AB770" s="53">
        <f t="shared" si="593"/>
        <v>77308.308023312231</v>
      </c>
      <c r="AC770" s="53">
        <f t="shared" si="594"/>
        <v>74888.610849515768</v>
      </c>
      <c r="AD770" s="53">
        <f t="shared" si="595"/>
        <v>78528.323405058341</v>
      </c>
      <c r="AE770" s="53">
        <f t="shared" si="596"/>
        <v>76982.970588179916</v>
      </c>
      <c r="AF770" s="53">
        <f t="shared" si="597"/>
        <v>75437.617771301506</v>
      </c>
    </row>
    <row r="771" spans="2:32">
      <c r="B771" s="43" t="str">
        <f t="shared" si="590"/>
        <v>Asset 217</v>
      </c>
      <c r="F771" s="43" t="str">
        <f t="shared" ref="F771:L771" si="631">F275</f>
        <v>37 ICT middelen 1 (balancering)</v>
      </c>
      <c r="G771" s="43">
        <f t="shared" si="631"/>
        <v>2019</v>
      </c>
      <c r="H771" s="48">
        <f t="shared" si="631"/>
        <v>73704</v>
      </c>
      <c r="I771" s="43">
        <f t="shared" si="631"/>
        <v>2021</v>
      </c>
      <c r="J771" s="43">
        <f t="shared" si="631"/>
        <v>5</v>
      </c>
      <c r="K771" s="43">
        <f t="shared" si="631"/>
        <v>0</v>
      </c>
      <c r="L771" s="48">
        <f t="shared" si="631"/>
        <v>38415.114431999995</v>
      </c>
      <c r="N771" s="44">
        <f t="shared" si="592"/>
        <v>2.5</v>
      </c>
      <c r="P771" s="49">
        <f t="shared" si="614"/>
        <v>15366.045772799998</v>
      </c>
      <c r="Q771" s="49">
        <f t="shared" si="614"/>
        <v>15366.045772799998</v>
      </c>
      <c r="R771" s="49">
        <f t="shared" si="614"/>
        <v>7683.0228863999992</v>
      </c>
      <c r="S771" s="49">
        <f t="shared" si="614"/>
        <v>0</v>
      </c>
      <c r="T771" s="49">
        <f t="shared" si="614"/>
        <v>0</v>
      </c>
      <c r="V771" s="53">
        <f t="shared" si="615"/>
        <v>23049.068659199998</v>
      </c>
      <c r="W771" s="53">
        <f t="shared" si="616"/>
        <v>7683.0228864000001</v>
      </c>
      <c r="X771" s="53">
        <f t="shared" si="617"/>
        <v>9.0949470177292824E-13</v>
      </c>
      <c r="Y771" s="53">
        <f t="shared" si="618"/>
        <v>0</v>
      </c>
      <c r="Z771" s="53">
        <f t="shared" si="619"/>
        <v>0</v>
      </c>
      <c r="AB771" s="53">
        <f t="shared" si="593"/>
        <v>16149.714107212798</v>
      </c>
      <c r="AC771" s="53">
        <f t="shared" si="594"/>
        <v>15619.585528051199</v>
      </c>
      <c r="AD771" s="53">
        <f t="shared" si="595"/>
        <v>7683.0228863999992</v>
      </c>
      <c r="AE771" s="53">
        <f t="shared" si="596"/>
        <v>0</v>
      </c>
      <c r="AF771" s="53">
        <f t="shared" si="597"/>
        <v>0</v>
      </c>
    </row>
    <row r="772" spans="2:32">
      <c r="B772" s="43" t="str">
        <f t="shared" si="590"/>
        <v>Asset 218</v>
      </c>
      <c r="F772" s="43" t="str">
        <f t="shared" ref="F772:L772" si="632">F276</f>
        <v>37 ICT middelen 1 (gaschromatografen en comptabele meting)</v>
      </c>
      <c r="G772" s="43">
        <f t="shared" si="632"/>
        <v>2019</v>
      </c>
      <c r="H772" s="48">
        <f t="shared" si="632"/>
        <v>138775.45971332947</v>
      </c>
      <c r="I772" s="43">
        <f t="shared" si="632"/>
        <v>2021</v>
      </c>
      <c r="J772" s="43">
        <f t="shared" si="632"/>
        <v>5</v>
      </c>
      <c r="K772" s="43">
        <f t="shared" si="632"/>
        <v>0</v>
      </c>
      <c r="L772" s="48">
        <f t="shared" si="632"/>
        <v>72330.879806265031</v>
      </c>
      <c r="N772" s="44">
        <f t="shared" si="592"/>
        <v>2.5</v>
      </c>
      <c r="P772" s="49">
        <f t="shared" si="614"/>
        <v>28932.351922506015</v>
      </c>
      <c r="Q772" s="49">
        <f t="shared" si="614"/>
        <v>28932.351922506012</v>
      </c>
      <c r="R772" s="49">
        <f t="shared" si="614"/>
        <v>14466.175961253006</v>
      </c>
      <c r="S772" s="49">
        <f t="shared" si="614"/>
        <v>0</v>
      </c>
      <c r="T772" s="49">
        <f t="shared" si="614"/>
        <v>0</v>
      </c>
      <c r="V772" s="53">
        <f t="shared" si="615"/>
        <v>43398.527883759016</v>
      </c>
      <c r="W772" s="53">
        <f t="shared" si="616"/>
        <v>14466.175961253004</v>
      </c>
      <c r="X772" s="53">
        <f t="shared" si="617"/>
        <v>-1.8189894035458565E-12</v>
      </c>
      <c r="Y772" s="53">
        <f t="shared" si="618"/>
        <v>0</v>
      </c>
      <c r="Z772" s="53">
        <f t="shared" si="619"/>
        <v>0</v>
      </c>
      <c r="AB772" s="53">
        <f t="shared" si="593"/>
        <v>30407.901870553822</v>
      </c>
      <c r="AC772" s="53">
        <f t="shared" si="594"/>
        <v>29409.735729227359</v>
      </c>
      <c r="AD772" s="53">
        <f t="shared" si="595"/>
        <v>14466.175961253006</v>
      </c>
      <c r="AE772" s="53">
        <f t="shared" si="596"/>
        <v>0</v>
      </c>
      <c r="AF772" s="53">
        <f t="shared" si="597"/>
        <v>0</v>
      </c>
    </row>
    <row r="773" spans="2:32">
      <c r="B773" s="43" t="str">
        <f t="shared" si="590"/>
        <v>Asset 219</v>
      </c>
      <c r="F773" s="43" t="str">
        <f t="shared" ref="F773:L773" si="633">F277</f>
        <v>10 Gereedschap</v>
      </c>
      <c r="G773" s="43">
        <f t="shared" si="633"/>
        <v>2019</v>
      </c>
      <c r="H773" s="48">
        <f t="shared" si="633"/>
        <v>142771.1801450084</v>
      </c>
      <c r="I773" s="43">
        <f t="shared" si="633"/>
        <v>2021</v>
      </c>
      <c r="J773" s="43">
        <f t="shared" si="633"/>
        <v>10</v>
      </c>
      <c r="K773" s="43">
        <f t="shared" si="633"/>
        <v>1</v>
      </c>
      <c r="L773" s="48">
        <f t="shared" si="633"/>
        <v>111620.22189152931</v>
      </c>
      <c r="N773" s="44">
        <f t="shared" si="592"/>
        <v>7.5</v>
      </c>
      <c r="P773" s="49">
        <f t="shared" si="614"/>
        <v>14882.696252203907</v>
      </c>
      <c r="Q773" s="49">
        <f t="shared" si="614"/>
        <v>14882.696252203907</v>
      </c>
      <c r="R773" s="49">
        <f t="shared" si="614"/>
        <v>14882.696252203907</v>
      </c>
      <c r="S773" s="49">
        <f t="shared" si="614"/>
        <v>14882.696252203907</v>
      </c>
      <c r="T773" s="49">
        <f t="shared" si="614"/>
        <v>14882.696252203907</v>
      </c>
      <c r="V773" s="53">
        <f t="shared" si="615"/>
        <v>96737.525639325395</v>
      </c>
      <c r="W773" s="53">
        <f t="shared" si="616"/>
        <v>81854.829387121485</v>
      </c>
      <c r="X773" s="53">
        <f t="shared" si="617"/>
        <v>66972.133134917574</v>
      </c>
      <c r="Y773" s="53">
        <f t="shared" si="618"/>
        <v>52089.436882713664</v>
      </c>
      <c r="Z773" s="53">
        <f t="shared" si="619"/>
        <v>37206.740630509754</v>
      </c>
      <c r="AB773" s="53">
        <f t="shared" si="593"/>
        <v>18171.772123940969</v>
      </c>
      <c r="AC773" s="53">
        <f t="shared" si="594"/>
        <v>17583.905621978916</v>
      </c>
      <c r="AD773" s="53">
        <f t="shared" si="595"/>
        <v>17427.637311330775</v>
      </c>
      <c r="AE773" s="53">
        <f t="shared" si="596"/>
        <v>16862.094853747025</v>
      </c>
      <c r="AF773" s="53">
        <f t="shared" si="597"/>
        <v>16296.552396163277</v>
      </c>
    </row>
    <row r="774" spans="2:32">
      <c r="B774" s="43" t="str">
        <f t="shared" si="590"/>
        <v>Asset 220</v>
      </c>
      <c r="F774" s="43" t="str">
        <f t="shared" ref="F774:L774" si="634">F278</f>
        <v>39 ICT middelen 3</v>
      </c>
      <c r="G774" s="43">
        <f t="shared" si="634"/>
        <v>2018</v>
      </c>
      <c r="H774" s="48">
        <f t="shared" si="634"/>
        <v>66462443.599999994</v>
      </c>
      <c r="I774" s="43">
        <f t="shared" si="634"/>
        <v>2021</v>
      </c>
      <c r="J774" s="43">
        <f t="shared" si="634"/>
        <v>15</v>
      </c>
      <c r="K774" s="43">
        <f t="shared" si="634"/>
        <v>1</v>
      </c>
      <c r="L774" s="48">
        <f t="shared" si="634"/>
        <v>53753217.800323352</v>
      </c>
      <c r="N774" s="44">
        <f t="shared" si="592"/>
        <v>11.5</v>
      </c>
      <c r="P774" s="49">
        <f t="shared" si="614"/>
        <v>4674192.8522020308</v>
      </c>
      <c r="Q774" s="49">
        <f t="shared" si="614"/>
        <v>4674192.8522020308</v>
      </c>
      <c r="R774" s="49">
        <f t="shared" si="614"/>
        <v>4674192.8522020308</v>
      </c>
      <c r="S774" s="49">
        <f t="shared" si="614"/>
        <v>4674192.8522020308</v>
      </c>
      <c r="T774" s="49">
        <f t="shared" si="614"/>
        <v>4674192.8522020308</v>
      </c>
      <c r="V774" s="53">
        <f t="shared" si="615"/>
        <v>49079024.948121324</v>
      </c>
      <c r="W774" s="53">
        <f t="shared" si="616"/>
        <v>44404832.095919296</v>
      </c>
      <c r="X774" s="53">
        <f t="shared" si="617"/>
        <v>39730639.243717268</v>
      </c>
      <c r="Y774" s="53">
        <f t="shared" si="618"/>
        <v>35056446.39151524</v>
      </c>
      <c r="Z774" s="53">
        <f t="shared" si="619"/>
        <v>30382253.539313208</v>
      </c>
      <c r="AB774" s="53">
        <f t="shared" si="593"/>
        <v>6342879.7004381558</v>
      </c>
      <c r="AC774" s="53">
        <f t="shared" si="594"/>
        <v>6139552.3113673674</v>
      </c>
      <c r="AD774" s="53">
        <f t="shared" si="595"/>
        <v>6183957.1434632875</v>
      </c>
      <c r="AE774" s="53">
        <f t="shared" si="596"/>
        <v>6006337.8150796099</v>
      </c>
      <c r="AF774" s="53">
        <f t="shared" si="597"/>
        <v>5828718.4866959322</v>
      </c>
    </row>
    <row r="775" spans="2:32">
      <c r="B775" s="43" t="str">
        <f t="shared" si="590"/>
        <v>Asset 221</v>
      </c>
      <c r="F775" s="43" t="str">
        <f t="shared" ref="F775:L775" si="635">F279</f>
        <v>39 ICT middelen 3 (balancering)</v>
      </c>
      <c r="G775" s="43">
        <f t="shared" si="635"/>
        <v>2018</v>
      </c>
      <c r="H775" s="48">
        <f t="shared" si="635"/>
        <v>13091088</v>
      </c>
      <c r="I775" s="43">
        <f t="shared" si="635"/>
        <v>2021</v>
      </c>
      <c r="J775" s="43">
        <f t="shared" si="635"/>
        <v>15</v>
      </c>
      <c r="K775" s="43">
        <f t="shared" si="635"/>
        <v>0</v>
      </c>
      <c r="L775" s="48">
        <f t="shared" si="635"/>
        <v>10587755.526147995</v>
      </c>
      <c r="N775" s="44">
        <f t="shared" si="592"/>
        <v>11.5</v>
      </c>
      <c r="P775" s="49">
        <f t="shared" si="614"/>
        <v>920674.39357808651</v>
      </c>
      <c r="Q775" s="49">
        <f t="shared" si="614"/>
        <v>920674.39357808663</v>
      </c>
      <c r="R775" s="49">
        <f t="shared" si="614"/>
        <v>920674.39357808663</v>
      </c>
      <c r="S775" s="49">
        <f t="shared" si="614"/>
        <v>920674.39357808663</v>
      </c>
      <c r="T775" s="49">
        <f t="shared" si="614"/>
        <v>920674.39357808663</v>
      </c>
      <c r="V775" s="53">
        <f t="shared" si="615"/>
        <v>9667081.1325699091</v>
      </c>
      <c r="W775" s="53">
        <f t="shared" si="616"/>
        <v>8746406.738991823</v>
      </c>
      <c r="X775" s="53">
        <f t="shared" si="617"/>
        <v>7825732.3454137361</v>
      </c>
      <c r="Y775" s="53">
        <f t="shared" si="618"/>
        <v>6905057.9518356491</v>
      </c>
      <c r="Z775" s="53">
        <f t="shared" si="619"/>
        <v>5984383.5582575621</v>
      </c>
      <c r="AB775" s="53">
        <f t="shared" si="593"/>
        <v>1249355.1520854635</v>
      </c>
      <c r="AC775" s="53">
        <f t="shared" si="594"/>
        <v>1209305.8159648168</v>
      </c>
      <c r="AD775" s="53">
        <f t="shared" si="595"/>
        <v>1218052.2227038085</v>
      </c>
      <c r="AE775" s="53">
        <f t="shared" si="596"/>
        <v>1183066.5957478413</v>
      </c>
      <c r="AF775" s="53">
        <f t="shared" si="597"/>
        <v>1148080.9687918739</v>
      </c>
    </row>
    <row r="776" spans="2:32">
      <c r="B776" s="43" t="str">
        <f t="shared" si="590"/>
        <v>Asset 222</v>
      </c>
      <c r="F776" s="43" t="str">
        <f t="shared" ref="F776:L776" si="636">F280</f>
        <v>39 ICT middelen 3 (KC)</v>
      </c>
      <c r="G776" s="43">
        <f t="shared" si="636"/>
        <v>2019</v>
      </c>
      <c r="H776" s="48">
        <f t="shared" si="636"/>
        <v>510273.00000000006</v>
      </c>
      <c r="I776" s="43">
        <f t="shared" si="636"/>
        <v>2021</v>
      </c>
      <c r="J776" s="43">
        <f t="shared" si="636"/>
        <v>15</v>
      </c>
      <c r="K776" s="43">
        <f t="shared" si="636"/>
        <v>0</v>
      </c>
      <c r="L776" s="48">
        <f t="shared" si="636"/>
        <v>443263.94964000006</v>
      </c>
      <c r="N776" s="44">
        <f t="shared" si="592"/>
        <v>12.5</v>
      </c>
      <c r="P776" s="49">
        <f t="shared" si="614"/>
        <v>35461.115971200008</v>
      </c>
      <c r="Q776" s="49">
        <f t="shared" si="614"/>
        <v>35461.115971200008</v>
      </c>
      <c r="R776" s="49">
        <f t="shared" si="614"/>
        <v>35461.115971200008</v>
      </c>
      <c r="S776" s="49">
        <f t="shared" si="614"/>
        <v>35461.115971200008</v>
      </c>
      <c r="T776" s="49">
        <f t="shared" si="614"/>
        <v>35461.115971200008</v>
      </c>
      <c r="V776" s="53">
        <f t="shared" si="615"/>
        <v>407802.83366880007</v>
      </c>
      <c r="W776" s="53">
        <f t="shared" si="616"/>
        <v>372341.71769760008</v>
      </c>
      <c r="X776" s="53">
        <f t="shared" si="617"/>
        <v>336880.60172640008</v>
      </c>
      <c r="Y776" s="53">
        <f t="shared" si="618"/>
        <v>301419.48575520009</v>
      </c>
      <c r="Z776" s="53">
        <f t="shared" si="619"/>
        <v>265958.3697840001</v>
      </c>
      <c r="AB776" s="53">
        <f t="shared" si="593"/>
        <v>49326.412315939211</v>
      </c>
      <c r="AC776" s="53">
        <f t="shared" si="594"/>
        <v>47748.392655220814</v>
      </c>
      <c r="AD776" s="53">
        <f t="shared" si="595"/>
        <v>48262.578836803208</v>
      </c>
      <c r="AE776" s="53">
        <f t="shared" si="596"/>
        <v>46915.05642989761</v>
      </c>
      <c r="AF776" s="53">
        <f t="shared" si="597"/>
        <v>45567.534022992011</v>
      </c>
    </row>
    <row r="777" spans="2:32">
      <c r="B777" s="43" t="str">
        <f t="shared" si="590"/>
        <v>Asset 223</v>
      </c>
      <c r="F777" s="43" t="str">
        <f t="shared" ref="F777:L777" si="637">F281</f>
        <v>37 ICT middelen 1</v>
      </c>
      <c r="G777" s="43">
        <f t="shared" si="637"/>
        <v>2020</v>
      </c>
      <c r="H777" s="48">
        <f t="shared" si="637"/>
        <v>4054436.8604233577</v>
      </c>
      <c r="I777" s="43">
        <f t="shared" si="637"/>
        <v>2021</v>
      </c>
      <c r="J777" s="43">
        <f t="shared" si="637"/>
        <v>5</v>
      </c>
      <c r="K777" s="43">
        <f t="shared" si="637"/>
        <v>1</v>
      </c>
      <c r="L777" s="48">
        <f t="shared" si="637"/>
        <v>2883515.4951330922</v>
      </c>
      <c r="N777" s="44">
        <f t="shared" si="592"/>
        <v>3.5</v>
      </c>
      <c r="P777" s="49">
        <f t="shared" si="614"/>
        <v>823861.57003802632</v>
      </c>
      <c r="Q777" s="49">
        <f t="shared" si="614"/>
        <v>823861.57003802643</v>
      </c>
      <c r="R777" s="49">
        <f t="shared" si="614"/>
        <v>823861.57003802643</v>
      </c>
      <c r="S777" s="49">
        <f t="shared" si="614"/>
        <v>411930.78501901322</v>
      </c>
      <c r="T777" s="49">
        <f t="shared" si="614"/>
        <v>0</v>
      </c>
      <c r="V777" s="53">
        <f t="shared" si="615"/>
        <v>2059653.925095066</v>
      </c>
      <c r="W777" s="53">
        <f t="shared" si="616"/>
        <v>1235792.3550570395</v>
      </c>
      <c r="X777" s="53">
        <f t="shared" si="617"/>
        <v>411930.7850190131</v>
      </c>
      <c r="Y777" s="53">
        <f t="shared" si="618"/>
        <v>-1.1641532182693481E-10</v>
      </c>
      <c r="Z777" s="53">
        <f t="shared" si="619"/>
        <v>0</v>
      </c>
      <c r="AB777" s="53">
        <f t="shared" si="593"/>
        <v>893889.80349125853</v>
      </c>
      <c r="AC777" s="53">
        <f t="shared" si="594"/>
        <v>864642.71775490872</v>
      </c>
      <c r="AD777" s="53">
        <f t="shared" si="595"/>
        <v>839514.93986874889</v>
      </c>
      <c r="AE777" s="53">
        <f t="shared" si="596"/>
        <v>411930.78501901322</v>
      </c>
      <c r="AF777" s="53">
        <f t="shared" si="597"/>
        <v>0</v>
      </c>
    </row>
    <row r="778" spans="2:32">
      <c r="B778" s="43" t="str">
        <f t="shared" si="590"/>
        <v>Asset 224</v>
      </c>
      <c r="F778" s="43" t="str">
        <f t="shared" ref="F778:L778" si="638">F282</f>
        <v>11 Werktuigen</v>
      </c>
      <c r="G778" s="43">
        <f t="shared" si="638"/>
        <v>2021</v>
      </c>
      <c r="H778" s="48">
        <f t="shared" si="638"/>
        <v>2667062.5363170211</v>
      </c>
      <c r="I778" s="43">
        <f t="shared" si="638"/>
        <v>2021</v>
      </c>
      <c r="J778" s="43">
        <f t="shared" si="638"/>
        <v>10</v>
      </c>
      <c r="K778" s="43">
        <f t="shared" si="638"/>
        <v>1</v>
      </c>
      <c r="L778" s="48">
        <f t="shared" si="638"/>
        <v>2533709.4095011703</v>
      </c>
      <c r="N778" s="44">
        <f t="shared" si="592"/>
        <v>9.5</v>
      </c>
      <c r="P778" s="49">
        <f t="shared" si="614"/>
        <v>266706.25363170216</v>
      </c>
      <c r="Q778" s="49">
        <f t="shared" si="614"/>
        <v>266706.25363170216</v>
      </c>
      <c r="R778" s="49">
        <f t="shared" si="614"/>
        <v>266706.25363170216</v>
      </c>
      <c r="S778" s="49">
        <f t="shared" si="614"/>
        <v>266706.25363170216</v>
      </c>
      <c r="T778" s="49">
        <f t="shared" si="614"/>
        <v>266706.25363170216</v>
      </c>
      <c r="V778" s="53">
        <f t="shared" si="615"/>
        <v>2267003.1558694681</v>
      </c>
      <c r="W778" s="53">
        <f t="shared" si="616"/>
        <v>2000296.902237766</v>
      </c>
      <c r="X778" s="53">
        <f t="shared" si="617"/>
        <v>1733590.6486060638</v>
      </c>
      <c r="Y778" s="53">
        <f t="shared" si="618"/>
        <v>1466884.3949743616</v>
      </c>
      <c r="Z778" s="53">
        <f t="shared" si="619"/>
        <v>1200178.1413426595</v>
      </c>
      <c r="AB778" s="53">
        <f t="shared" si="593"/>
        <v>343784.36093126406</v>
      </c>
      <c r="AC778" s="53">
        <f t="shared" si="594"/>
        <v>332716.05140554847</v>
      </c>
      <c r="AD778" s="53">
        <f t="shared" si="595"/>
        <v>332582.6982787326</v>
      </c>
      <c r="AE778" s="53">
        <f t="shared" si="596"/>
        <v>322447.86064072791</v>
      </c>
      <c r="AF778" s="53">
        <f t="shared" si="597"/>
        <v>312313.02300272323</v>
      </c>
    </row>
    <row r="779" spans="2:32">
      <c r="B779" s="43" t="str">
        <f t="shared" si="590"/>
        <v>Asset 225</v>
      </c>
      <c r="F779" s="43" t="str">
        <f t="shared" ref="F779:L779" si="639">F283</f>
        <v>10 Gereedschap</v>
      </c>
      <c r="G779" s="43">
        <f t="shared" si="639"/>
        <v>2021</v>
      </c>
      <c r="H779" s="48">
        <f t="shared" si="639"/>
        <v>467492.45719026914</v>
      </c>
      <c r="I779" s="43">
        <f t="shared" si="639"/>
        <v>2021</v>
      </c>
      <c r="J779" s="43">
        <f t="shared" si="639"/>
        <v>10</v>
      </c>
      <c r="K779" s="43">
        <f t="shared" si="639"/>
        <v>1</v>
      </c>
      <c r="L779" s="48">
        <f t="shared" si="639"/>
        <v>444117.83433075569</v>
      </c>
      <c r="N779" s="44">
        <f t="shared" si="592"/>
        <v>9.5</v>
      </c>
      <c r="P779" s="49">
        <f t="shared" si="614"/>
        <v>46749.245719026912</v>
      </c>
      <c r="Q779" s="49">
        <f t="shared" si="614"/>
        <v>46749.24571902692</v>
      </c>
      <c r="R779" s="49">
        <f t="shared" si="614"/>
        <v>46749.24571902692</v>
      </c>
      <c r="S779" s="49">
        <f t="shared" si="614"/>
        <v>46749.24571902692</v>
      </c>
      <c r="T779" s="49">
        <f t="shared" si="614"/>
        <v>46749.24571902692</v>
      </c>
      <c r="V779" s="53">
        <f t="shared" si="615"/>
        <v>397368.5886117288</v>
      </c>
      <c r="W779" s="53">
        <f t="shared" si="616"/>
        <v>350619.34289270185</v>
      </c>
      <c r="X779" s="53">
        <f t="shared" si="617"/>
        <v>303870.09717367496</v>
      </c>
      <c r="Y779" s="53">
        <f t="shared" si="618"/>
        <v>257120.85145464804</v>
      </c>
      <c r="Z779" s="53">
        <f t="shared" si="619"/>
        <v>210371.60573562112</v>
      </c>
      <c r="AB779" s="53">
        <f t="shared" si="593"/>
        <v>60259.777731825692</v>
      </c>
      <c r="AC779" s="53">
        <f t="shared" si="594"/>
        <v>58319.684034486083</v>
      </c>
      <c r="AD779" s="53">
        <f t="shared" si="595"/>
        <v>58296.309411626571</v>
      </c>
      <c r="AE779" s="53">
        <f t="shared" si="596"/>
        <v>56519.838074303545</v>
      </c>
      <c r="AF779" s="53">
        <f t="shared" si="597"/>
        <v>54743.366736980519</v>
      </c>
    </row>
    <row r="780" spans="2:32">
      <c r="B780" s="43" t="str">
        <f t="shared" si="590"/>
        <v>Asset 226</v>
      </c>
      <c r="F780" s="43" t="str">
        <f t="shared" ref="F780:L780" si="640">F284</f>
        <v>38 ICT middelen 2</v>
      </c>
      <c r="G780" s="43">
        <f t="shared" si="640"/>
        <v>2021</v>
      </c>
      <c r="H780" s="48">
        <f t="shared" si="640"/>
        <v>3432262.7310020467</v>
      </c>
      <c r="I780" s="43">
        <f t="shared" si="640"/>
        <v>2021</v>
      </c>
      <c r="J780" s="43">
        <f t="shared" si="640"/>
        <v>10</v>
      </c>
      <c r="K780" s="43">
        <f t="shared" si="640"/>
        <v>1</v>
      </c>
      <c r="L780" s="48">
        <f t="shared" si="640"/>
        <v>3260649.5944519443</v>
      </c>
      <c r="N780" s="44">
        <f t="shared" si="592"/>
        <v>9.5</v>
      </c>
      <c r="P780" s="49">
        <f t="shared" si="614"/>
        <v>343226.27310020465</v>
      </c>
      <c r="Q780" s="49">
        <f t="shared" si="614"/>
        <v>343226.27310020465</v>
      </c>
      <c r="R780" s="49">
        <f t="shared" si="614"/>
        <v>343226.27310020465</v>
      </c>
      <c r="S780" s="49">
        <f t="shared" si="614"/>
        <v>343226.27310020465</v>
      </c>
      <c r="T780" s="49">
        <f t="shared" si="614"/>
        <v>343226.27310020465</v>
      </c>
      <c r="V780" s="53">
        <f t="shared" si="615"/>
        <v>2917423.3213517396</v>
      </c>
      <c r="W780" s="53">
        <f t="shared" si="616"/>
        <v>2574197.0482515348</v>
      </c>
      <c r="X780" s="53">
        <f t="shared" si="617"/>
        <v>2230970.77515133</v>
      </c>
      <c r="Y780" s="53">
        <f t="shared" si="618"/>
        <v>1887744.5020511253</v>
      </c>
      <c r="Z780" s="53">
        <f t="shared" si="619"/>
        <v>1544518.2289509205</v>
      </c>
      <c r="AB780" s="53">
        <f t="shared" si="593"/>
        <v>442418.66602616379</v>
      </c>
      <c r="AC780" s="53">
        <f t="shared" si="594"/>
        <v>428174.7756925053</v>
      </c>
      <c r="AD780" s="53">
        <f t="shared" si="595"/>
        <v>428003.16255595518</v>
      </c>
      <c r="AE780" s="53">
        <f t="shared" si="596"/>
        <v>414960.56417814741</v>
      </c>
      <c r="AF780" s="53">
        <f t="shared" si="597"/>
        <v>401917.96580033965</v>
      </c>
    </row>
    <row r="781" spans="2:32">
      <c r="B781" s="43" t="str">
        <f t="shared" si="590"/>
        <v>Asset 227</v>
      </c>
      <c r="F781" s="43" t="str">
        <f t="shared" ref="F781:L781" si="641">F285</f>
        <v>37 ICT middelen 1</v>
      </c>
      <c r="G781" s="43">
        <f t="shared" si="641"/>
        <v>2021</v>
      </c>
      <c r="H781" s="48">
        <f t="shared" si="641"/>
        <v>8176022.700880779</v>
      </c>
      <c r="I781" s="43">
        <f t="shared" si="641"/>
        <v>2021</v>
      </c>
      <c r="J781" s="43">
        <f t="shared" si="641"/>
        <v>5</v>
      </c>
      <c r="K781" s="43">
        <f t="shared" si="641"/>
        <v>1</v>
      </c>
      <c r="L781" s="48">
        <f t="shared" si="641"/>
        <v>7358420.4307927005</v>
      </c>
      <c r="N781" s="44">
        <f t="shared" si="592"/>
        <v>4.5</v>
      </c>
      <c r="P781" s="49">
        <f t="shared" si="614"/>
        <v>1635204.5401761557</v>
      </c>
      <c r="Q781" s="49">
        <f t="shared" si="614"/>
        <v>1635204.5401761557</v>
      </c>
      <c r="R781" s="49">
        <f t="shared" si="614"/>
        <v>1635204.5401761557</v>
      </c>
      <c r="S781" s="49">
        <f t="shared" si="614"/>
        <v>1635204.5401761557</v>
      </c>
      <c r="T781" s="49">
        <f t="shared" si="614"/>
        <v>817602.27008807787</v>
      </c>
      <c r="V781" s="53">
        <f t="shared" si="615"/>
        <v>5723215.8906165445</v>
      </c>
      <c r="W781" s="53">
        <f t="shared" si="616"/>
        <v>4088011.3504403885</v>
      </c>
      <c r="X781" s="53">
        <f t="shared" si="617"/>
        <v>2452806.8102642326</v>
      </c>
      <c r="Y781" s="53">
        <f t="shared" si="618"/>
        <v>817602.27008807682</v>
      </c>
      <c r="Z781" s="53">
        <f t="shared" si="619"/>
        <v>-1.0477378964424133E-9</v>
      </c>
      <c r="AB781" s="53">
        <f t="shared" si="593"/>
        <v>1829793.8804571182</v>
      </c>
      <c r="AC781" s="53">
        <f t="shared" si="594"/>
        <v>1770108.9147406886</v>
      </c>
      <c r="AD781" s="53">
        <f t="shared" si="595"/>
        <v>1728411.1989661965</v>
      </c>
      <c r="AE781" s="53">
        <f t="shared" si="596"/>
        <v>1666273.4264395027</v>
      </c>
      <c r="AF781" s="53">
        <f t="shared" si="597"/>
        <v>817602.27008807787</v>
      </c>
    </row>
    <row r="782" spans="2:32">
      <c r="B782" s="43" t="str">
        <f t="shared" si="590"/>
        <v>Asset 228</v>
      </c>
      <c r="F782" s="43" t="str">
        <f t="shared" ref="F782:L782" si="642">F286</f>
        <v>39 ICT middelen 3</v>
      </c>
      <c r="G782" s="43">
        <f t="shared" si="642"/>
        <v>2019</v>
      </c>
      <c r="H782" s="48">
        <f t="shared" si="642"/>
        <v>1603714.1720507673</v>
      </c>
      <c r="I782" s="43">
        <f t="shared" si="642"/>
        <v>2021</v>
      </c>
      <c r="J782" s="43">
        <f t="shared" si="642"/>
        <v>15</v>
      </c>
      <c r="K782" s="43">
        <f t="shared" si="642"/>
        <v>1</v>
      </c>
      <c r="L782" s="48">
        <f t="shared" si="642"/>
        <v>1393114.426977061</v>
      </c>
      <c r="N782" s="44">
        <f t="shared" si="592"/>
        <v>12.5</v>
      </c>
      <c r="P782" s="49">
        <f t="shared" si="614"/>
        <v>111449.15415816488</v>
      </c>
      <c r="Q782" s="49">
        <f t="shared" si="614"/>
        <v>111449.15415816486</v>
      </c>
      <c r="R782" s="49">
        <f t="shared" si="614"/>
        <v>111449.15415816486</v>
      </c>
      <c r="S782" s="49">
        <f t="shared" si="614"/>
        <v>111449.15415816486</v>
      </c>
      <c r="T782" s="49">
        <f t="shared" si="614"/>
        <v>111449.15415816486</v>
      </c>
      <c r="V782" s="53">
        <f t="shared" si="615"/>
        <v>1281665.272818896</v>
      </c>
      <c r="W782" s="53">
        <f t="shared" si="616"/>
        <v>1170216.1186607312</v>
      </c>
      <c r="X782" s="53">
        <f t="shared" si="617"/>
        <v>1058766.9645025665</v>
      </c>
      <c r="Y782" s="53">
        <f t="shared" si="618"/>
        <v>947317.81034440163</v>
      </c>
      <c r="Z782" s="53">
        <f t="shared" si="619"/>
        <v>835868.65618623677</v>
      </c>
      <c r="AB782" s="53">
        <f t="shared" si="593"/>
        <v>155025.77343400734</v>
      </c>
      <c r="AC782" s="53">
        <f t="shared" si="594"/>
        <v>150066.28607396898</v>
      </c>
      <c r="AD782" s="53">
        <f t="shared" si="595"/>
        <v>151682.2988092624</v>
      </c>
      <c r="AE782" s="53">
        <f t="shared" si="596"/>
        <v>147447.23095125213</v>
      </c>
      <c r="AF782" s="53">
        <f t="shared" si="597"/>
        <v>143212.16309324186</v>
      </c>
    </row>
    <row r="783" spans="2:32">
      <c r="B783" s="43" t="str">
        <f t="shared" si="590"/>
        <v>Asset 229</v>
      </c>
      <c r="F783" s="43" t="str">
        <f t="shared" ref="F783:L783" si="643">F287</f>
        <v>39 ICT middelen 3 (balancering)</v>
      </c>
      <c r="G783" s="43">
        <f t="shared" si="643"/>
        <v>2019</v>
      </c>
      <c r="H783" s="48">
        <f t="shared" si="643"/>
        <v>315883</v>
      </c>
      <c r="I783" s="43">
        <f t="shared" si="643"/>
        <v>2021</v>
      </c>
      <c r="J783" s="43">
        <f t="shared" si="643"/>
        <v>15</v>
      </c>
      <c r="K783" s="43">
        <f t="shared" si="643"/>
        <v>0</v>
      </c>
      <c r="L783" s="48">
        <f t="shared" si="643"/>
        <v>274401.24443999998</v>
      </c>
      <c r="N783" s="44">
        <f t="shared" si="592"/>
        <v>12.5</v>
      </c>
      <c r="P783" s="49">
        <f t="shared" si="614"/>
        <v>21952.099555199999</v>
      </c>
      <c r="Q783" s="49">
        <f t="shared" si="614"/>
        <v>21952.099555199999</v>
      </c>
      <c r="R783" s="49">
        <f t="shared" si="614"/>
        <v>21952.099555199999</v>
      </c>
      <c r="S783" s="49">
        <f t="shared" si="614"/>
        <v>21952.099555199999</v>
      </c>
      <c r="T783" s="49">
        <f t="shared" si="614"/>
        <v>21952.099555199999</v>
      </c>
      <c r="V783" s="53">
        <f t="shared" si="615"/>
        <v>252449.14488479999</v>
      </c>
      <c r="W783" s="53">
        <f t="shared" si="616"/>
        <v>230497.04532959999</v>
      </c>
      <c r="X783" s="53">
        <f t="shared" si="617"/>
        <v>208544.9457744</v>
      </c>
      <c r="Y783" s="53">
        <f t="shared" si="618"/>
        <v>186592.8462192</v>
      </c>
      <c r="Z783" s="53">
        <f t="shared" si="619"/>
        <v>164640.74666400001</v>
      </c>
      <c r="AB783" s="53">
        <f t="shared" si="593"/>
        <v>30535.3704812832</v>
      </c>
      <c r="AC783" s="53">
        <f t="shared" si="594"/>
        <v>29558.502051076801</v>
      </c>
      <c r="AD783" s="53">
        <f t="shared" si="595"/>
        <v>29876.807494627199</v>
      </c>
      <c r="AE783" s="53">
        <f t="shared" si="596"/>
        <v>29042.6277115296</v>
      </c>
      <c r="AF783" s="53">
        <f t="shared" si="597"/>
        <v>28208.447928431997</v>
      </c>
    </row>
    <row r="784" spans="2:32">
      <c r="B784" s="43" t="str">
        <f t="shared" si="590"/>
        <v>Asset 230</v>
      </c>
      <c r="F784" s="43" t="str">
        <f t="shared" ref="F784:L784" si="644">F288</f>
        <v>39 ICT middelen 3</v>
      </c>
      <c r="G784" s="43">
        <f t="shared" si="644"/>
        <v>2020</v>
      </c>
      <c r="H784" s="48">
        <f t="shared" si="644"/>
        <v>437.7361508808076</v>
      </c>
      <c r="I784" s="43">
        <f t="shared" si="644"/>
        <v>2021</v>
      </c>
      <c r="J784" s="43">
        <f t="shared" si="644"/>
        <v>15</v>
      </c>
      <c r="K784" s="43">
        <f t="shared" si="644"/>
        <v>1</v>
      </c>
      <c r="L784" s="48">
        <f t="shared" si="644"/>
        <v>400.26593636541048</v>
      </c>
      <c r="N784" s="44">
        <f t="shared" si="592"/>
        <v>13.5</v>
      </c>
      <c r="P784" s="49">
        <f t="shared" si="614"/>
        <v>29.649328619660036</v>
      </c>
      <c r="Q784" s="49">
        <f t="shared" si="614"/>
        <v>29.649328619660036</v>
      </c>
      <c r="R784" s="49">
        <f t="shared" si="614"/>
        <v>29.649328619660036</v>
      </c>
      <c r="S784" s="49">
        <f t="shared" si="614"/>
        <v>29.649328619660036</v>
      </c>
      <c r="T784" s="49">
        <f t="shared" si="614"/>
        <v>29.649328619660036</v>
      </c>
      <c r="V784" s="53">
        <f t="shared" si="615"/>
        <v>370.61660774575046</v>
      </c>
      <c r="W784" s="53">
        <f t="shared" si="616"/>
        <v>340.96727912609043</v>
      </c>
      <c r="X784" s="53">
        <f t="shared" si="617"/>
        <v>311.31795050643041</v>
      </c>
      <c r="Y784" s="53">
        <f t="shared" si="618"/>
        <v>281.66862188677038</v>
      </c>
      <c r="Z784" s="53">
        <f t="shared" si="619"/>
        <v>252.01929326711036</v>
      </c>
      <c r="AB784" s="53">
        <f t="shared" si="593"/>
        <v>42.250293283015552</v>
      </c>
      <c r="AC784" s="53">
        <f t="shared" si="594"/>
        <v>40.901248830821018</v>
      </c>
      <c r="AD784" s="53">
        <f t="shared" si="595"/>
        <v>41.479410738904392</v>
      </c>
      <c r="AE784" s="53">
        <f t="shared" si="596"/>
        <v>40.352736251357314</v>
      </c>
      <c r="AF784" s="53">
        <f t="shared" si="597"/>
        <v>39.226061763810229</v>
      </c>
    </row>
    <row r="785" spans="2:35">
      <c r="B785" s="43" t="str">
        <f t="shared" si="590"/>
        <v>Asset 231</v>
      </c>
      <c r="F785" s="43" t="str">
        <f t="shared" ref="F785:L785" si="645">F289</f>
        <v>05 Wegen en terreinvoorzieningen</v>
      </c>
      <c r="G785" s="43">
        <f t="shared" si="645"/>
        <v>2020</v>
      </c>
      <c r="H785" s="48">
        <f t="shared" si="645"/>
        <v>274981.09053004743</v>
      </c>
      <c r="I785" s="43">
        <f t="shared" si="645"/>
        <v>2021</v>
      </c>
      <c r="J785" s="43">
        <f t="shared" si="645"/>
        <v>10</v>
      </c>
      <c r="K785" s="43">
        <f t="shared" si="645"/>
        <v>0</v>
      </c>
      <c r="L785" s="48">
        <f t="shared" si="645"/>
        <v>237473.66978174893</v>
      </c>
      <c r="N785" s="44">
        <f t="shared" si="592"/>
        <v>8.5</v>
      </c>
      <c r="P785" s="49">
        <f t="shared" si="614"/>
        <v>27938.078797852817</v>
      </c>
      <c r="Q785" s="49">
        <f t="shared" si="614"/>
        <v>27938.078797852813</v>
      </c>
      <c r="R785" s="49">
        <f t="shared" si="614"/>
        <v>27938.078797852813</v>
      </c>
      <c r="S785" s="49">
        <f t="shared" si="614"/>
        <v>27938.078797852813</v>
      </c>
      <c r="T785" s="49">
        <f t="shared" si="614"/>
        <v>27938.078797852813</v>
      </c>
      <c r="V785" s="53">
        <f t="shared" si="615"/>
        <v>209535.59098389611</v>
      </c>
      <c r="W785" s="53">
        <f t="shared" si="616"/>
        <v>181597.51218604328</v>
      </c>
      <c r="X785" s="53">
        <f t="shared" si="617"/>
        <v>153659.43338819046</v>
      </c>
      <c r="Y785" s="53">
        <f t="shared" si="618"/>
        <v>125721.35459033765</v>
      </c>
      <c r="Z785" s="53">
        <f t="shared" si="619"/>
        <v>97783.275792484841</v>
      </c>
      <c r="AB785" s="53">
        <f t="shared" si="593"/>
        <v>35062.288891305288</v>
      </c>
      <c r="AC785" s="53">
        <f t="shared" si="594"/>
        <v>33930.796699992243</v>
      </c>
      <c r="AD785" s="53">
        <f t="shared" si="595"/>
        <v>33777.137266604048</v>
      </c>
      <c r="AE785" s="53">
        <f t="shared" si="596"/>
        <v>32715.490272285642</v>
      </c>
      <c r="AF785" s="53">
        <f t="shared" si="597"/>
        <v>31653.843277967237</v>
      </c>
    </row>
    <row r="786" spans="2:35">
      <c r="B786" s="43" t="str">
        <f t="shared" si="590"/>
        <v>Asset 232</v>
      </c>
      <c r="F786" s="43" t="str">
        <f t="shared" ref="F786:L786" si="646">F290</f>
        <v>04 Terreinen</v>
      </c>
      <c r="G786" s="43">
        <f t="shared" si="646"/>
        <v>2020</v>
      </c>
      <c r="H786" s="48">
        <f t="shared" si="646"/>
        <v>1155506.2616599156</v>
      </c>
      <c r="I786" s="43">
        <f t="shared" si="646"/>
        <v>2021</v>
      </c>
      <c r="J786" s="43">
        <f t="shared" si="646"/>
        <v>0</v>
      </c>
      <c r="K786" s="43">
        <f t="shared" si="646"/>
        <v>0</v>
      </c>
      <c r="L786" s="48">
        <f t="shared" si="646"/>
        <v>1173994.3618464742</v>
      </c>
      <c r="N786" s="44">
        <f t="shared" si="592"/>
        <v>0</v>
      </c>
      <c r="P786" s="49">
        <f t="shared" si="614"/>
        <v>0</v>
      </c>
      <c r="Q786" s="49">
        <f t="shared" si="614"/>
        <v>0</v>
      </c>
      <c r="R786" s="49">
        <f t="shared" si="614"/>
        <v>0</v>
      </c>
      <c r="S786" s="49">
        <f t="shared" si="614"/>
        <v>0</v>
      </c>
      <c r="T786" s="49">
        <f t="shared" si="614"/>
        <v>0</v>
      </c>
      <c r="V786" s="53">
        <f t="shared" si="615"/>
        <v>1173994.3618464742</v>
      </c>
      <c r="W786" s="53">
        <f t="shared" si="616"/>
        <v>1173994.3618464742</v>
      </c>
      <c r="X786" s="53">
        <f t="shared" si="617"/>
        <v>1173994.3618464742</v>
      </c>
      <c r="Y786" s="53">
        <f t="shared" si="618"/>
        <v>1173994.3618464742</v>
      </c>
      <c r="Z786" s="53">
        <f t="shared" si="619"/>
        <v>1173994.3618464742</v>
      </c>
      <c r="AB786" s="53">
        <f t="shared" si="593"/>
        <v>39915.808302780126</v>
      </c>
      <c r="AC786" s="53">
        <f t="shared" si="594"/>
        <v>38741.813940933651</v>
      </c>
      <c r="AD786" s="53">
        <f t="shared" si="595"/>
        <v>44611.785750166018</v>
      </c>
      <c r="AE786" s="53">
        <f t="shared" si="596"/>
        <v>44611.785750166018</v>
      </c>
      <c r="AF786" s="53">
        <f t="shared" si="597"/>
        <v>44611.785750166018</v>
      </c>
    </row>
    <row r="787" spans="2:35">
      <c r="B787" s="43" t="str">
        <f t="shared" si="590"/>
        <v>Asset 233</v>
      </c>
      <c r="F787" s="43" t="str">
        <f t="shared" ref="F787:L787" si="647">F291</f>
        <v>08 Inrichting gebouwen</v>
      </c>
      <c r="G787" s="43">
        <f t="shared" si="647"/>
        <v>2020</v>
      </c>
      <c r="H787" s="48">
        <f t="shared" si="647"/>
        <v>227204.18889764068</v>
      </c>
      <c r="I787" s="43">
        <f t="shared" si="647"/>
        <v>2021</v>
      </c>
      <c r="J787" s="43">
        <f t="shared" si="647"/>
        <v>10</v>
      </c>
      <c r="K787" s="43">
        <f t="shared" si="647"/>
        <v>0</v>
      </c>
      <c r="L787" s="48">
        <f t="shared" si="647"/>
        <v>196213.53753200249</v>
      </c>
      <c r="N787" s="44">
        <f t="shared" si="592"/>
        <v>8.5</v>
      </c>
      <c r="P787" s="49">
        <f t="shared" si="614"/>
        <v>23083.945592000295</v>
      </c>
      <c r="Q787" s="49">
        <f t="shared" si="614"/>
        <v>23083.945592000295</v>
      </c>
      <c r="R787" s="49">
        <f t="shared" si="614"/>
        <v>23083.945592000295</v>
      </c>
      <c r="S787" s="49">
        <f t="shared" si="614"/>
        <v>23083.945592000295</v>
      </c>
      <c r="T787" s="49">
        <f t="shared" si="614"/>
        <v>23083.945592000295</v>
      </c>
      <c r="V787" s="53">
        <f t="shared" si="615"/>
        <v>173129.5919400022</v>
      </c>
      <c r="W787" s="53">
        <f t="shared" si="616"/>
        <v>150045.6463480019</v>
      </c>
      <c r="X787" s="53">
        <f t="shared" si="617"/>
        <v>126961.70075600161</v>
      </c>
      <c r="Y787" s="53">
        <f t="shared" si="618"/>
        <v>103877.75516400131</v>
      </c>
      <c r="Z787" s="53">
        <f t="shared" si="619"/>
        <v>80793.809572001017</v>
      </c>
      <c r="AB787" s="53">
        <f t="shared" si="593"/>
        <v>28970.35171796037</v>
      </c>
      <c r="AC787" s="53">
        <f t="shared" si="594"/>
        <v>28035.451921484357</v>
      </c>
      <c r="AD787" s="53">
        <f t="shared" si="595"/>
        <v>27908.490220728356</v>
      </c>
      <c r="AE787" s="53">
        <f t="shared" si="596"/>
        <v>27031.300288232345</v>
      </c>
      <c r="AF787" s="53">
        <f t="shared" si="597"/>
        <v>26154.110355736331</v>
      </c>
    </row>
    <row r="788" spans="2:35">
      <c r="B788" s="43" t="str">
        <f t="shared" si="590"/>
        <v>Asset 234</v>
      </c>
      <c r="F788" s="43" t="str">
        <f t="shared" ref="F788:L788" si="648">F292</f>
        <v>11 Werktuigen</v>
      </c>
      <c r="G788" s="43">
        <f t="shared" si="648"/>
        <v>2020</v>
      </c>
      <c r="H788" s="48">
        <f t="shared" si="648"/>
        <v>880855.41897943604</v>
      </c>
      <c r="I788" s="43">
        <f t="shared" si="648"/>
        <v>2021</v>
      </c>
      <c r="J788" s="43">
        <f t="shared" si="648"/>
        <v>10</v>
      </c>
      <c r="K788" s="43">
        <f t="shared" si="648"/>
        <v>1</v>
      </c>
      <c r="L788" s="48">
        <f t="shared" si="648"/>
        <v>760706.73983064084</v>
      </c>
      <c r="N788" s="44">
        <f t="shared" si="592"/>
        <v>8.5</v>
      </c>
      <c r="P788" s="49">
        <f t="shared" si="614"/>
        <v>89494.91056831069</v>
      </c>
      <c r="Q788" s="49">
        <f t="shared" si="614"/>
        <v>89494.91056831069</v>
      </c>
      <c r="R788" s="49">
        <f t="shared" si="614"/>
        <v>89494.91056831069</v>
      </c>
      <c r="S788" s="49">
        <f t="shared" si="614"/>
        <v>89494.91056831069</v>
      </c>
      <c r="T788" s="49">
        <f t="shared" si="614"/>
        <v>89494.91056831069</v>
      </c>
      <c r="V788" s="53">
        <f t="shared" si="615"/>
        <v>671211.8292623302</v>
      </c>
      <c r="W788" s="53">
        <f t="shared" si="616"/>
        <v>581716.91869401955</v>
      </c>
      <c r="X788" s="53">
        <f t="shared" si="617"/>
        <v>492222.00812570885</v>
      </c>
      <c r="Y788" s="53">
        <f t="shared" si="618"/>
        <v>402727.09755739814</v>
      </c>
      <c r="Z788" s="53">
        <f t="shared" si="619"/>
        <v>313232.18698908744</v>
      </c>
      <c r="AB788" s="53">
        <f t="shared" si="593"/>
        <v>112316.11276322992</v>
      </c>
      <c r="AC788" s="53">
        <f t="shared" si="594"/>
        <v>108691.56888521333</v>
      </c>
      <c r="AD788" s="53">
        <f t="shared" si="595"/>
        <v>108199.34687708762</v>
      </c>
      <c r="AE788" s="53">
        <f t="shared" si="596"/>
        <v>104798.54027549182</v>
      </c>
      <c r="AF788" s="53">
        <f t="shared" si="597"/>
        <v>101397.73367389601</v>
      </c>
    </row>
    <row r="789" spans="2:35">
      <c r="B789" s="43" t="str">
        <f t="shared" si="590"/>
        <v>Asset 235</v>
      </c>
      <c r="F789" s="43" t="str">
        <f t="shared" ref="F789:L789" si="649">F293</f>
        <v>14 Overig rollend materieel</v>
      </c>
      <c r="G789" s="43">
        <f t="shared" si="649"/>
        <v>2020</v>
      </c>
      <c r="H789" s="48">
        <f t="shared" si="649"/>
        <v>111163.8757407683</v>
      </c>
      <c r="I789" s="43">
        <f t="shared" si="649"/>
        <v>2021</v>
      </c>
      <c r="J789" s="43">
        <f t="shared" si="649"/>
        <v>10</v>
      </c>
      <c r="K789" s="43">
        <f t="shared" si="649"/>
        <v>1</v>
      </c>
      <c r="L789" s="48">
        <f t="shared" si="649"/>
        <v>96001.123089727509</v>
      </c>
      <c r="N789" s="44">
        <f t="shared" si="592"/>
        <v>8.5</v>
      </c>
      <c r="P789" s="49">
        <f t="shared" si="614"/>
        <v>11294.24977526206</v>
      </c>
      <c r="Q789" s="49">
        <f t="shared" si="614"/>
        <v>11294.24977526206</v>
      </c>
      <c r="R789" s="49">
        <f t="shared" si="614"/>
        <v>11294.24977526206</v>
      </c>
      <c r="S789" s="49">
        <f t="shared" si="614"/>
        <v>11294.24977526206</v>
      </c>
      <c r="T789" s="49">
        <f t="shared" si="614"/>
        <v>11294.24977526206</v>
      </c>
      <c r="V789" s="53">
        <f t="shared" si="615"/>
        <v>84706.873314465454</v>
      </c>
      <c r="W789" s="53">
        <f t="shared" si="616"/>
        <v>73412.6235392034</v>
      </c>
      <c r="X789" s="53">
        <f t="shared" si="617"/>
        <v>62118.373763941338</v>
      </c>
      <c r="Y789" s="53">
        <f t="shared" si="618"/>
        <v>50824.123988679275</v>
      </c>
      <c r="Z789" s="53">
        <f t="shared" si="619"/>
        <v>39529.874213417213</v>
      </c>
      <c r="AB789" s="53">
        <f t="shared" si="593"/>
        <v>14174.283467953886</v>
      </c>
      <c r="AC789" s="53">
        <f t="shared" si="594"/>
        <v>13716.866352055773</v>
      </c>
      <c r="AD789" s="53">
        <f t="shared" si="595"/>
        <v>13654.747978291831</v>
      </c>
      <c r="AE789" s="53">
        <f t="shared" si="596"/>
        <v>13225.566486831873</v>
      </c>
      <c r="AF789" s="53">
        <f t="shared" si="597"/>
        <v>12796.384995371915</v>
      </c>
    </row>
    <row r="790" spans="2:35">
      <c r="B790" s="43" t="str">
        <f t="shared" si="590"/>
        <v>Asset 236</v>
      </c>
      <c r="F790" s="43" t="str">
        <f t="shared" ref="F790:L790" si="650">F294</f>
        <v>38 ICT middelen 2</v>
      </c>
      <c r="G790" s="43">
        <f t="shared" si="650"/>
        <v>2020</v>
      </c>
      <c r="H790" s="48">
        <f t="shared" si="650"/>
        <v>2253829.6322485749</v>
      </c>
      <c r="I790" s="43">
        <f t="shared" si="650"/>
        <v>2021</v>
      </c>
      <c r="J790" s="43">
        <f t="shared" si="650"/>
        <v>10</v>
      </c>
      <c r="K790" s="43">
        <f t="shared" si="650"/>
        <v>1</v>
      </c>
      <c r="L790" s="48">
        <f t="shared" si="650"/>
        <v>1946407.2704098693</v>
      </c>
      <c r="N790" s="44">
        <f t="shared" si="592"/>
        <v>8.5</v>
      </c>
      <c r="P790" s="49">
        <f t="shared" si="614"/>
        <v>228989.09063645522</v>
      </c>
      <c r="Q790" s="49">
        <f t="shared" si="614"/>
        <v>228989.09063645522</v>
      </c>
      <c r="R790" s="49">
        <f t="shared" si="614"/>
        <v>228989.09063645522</v>
      </c>
      <c r="S790" s="49">
        <f t="shared" si="614"/>
        <v>228989.09063645522</v>
      </c>
      <c r="T790" s="49">
        <f t="shared" si="614"/>
        <v>228989.09063645522</v>
      </c>
      <c r="V790" s="53">
        <f t="shared" si="615"/>
        <v>1717418.179773414</v>
      </c>
      <c r="W790" s="53">
        <f t="shared" si="616"/>
        <v>1488429.0891369588</v>
      </c>
      <c r="X790" s="53">
        <f t="shared" si="617"/>
        <v>1259439.9985005036</v>
      </c>
      <c r="Y790" s="53">
        <f t="shared" si="618"/>
        <v>1030450.9078640484</v>
      </c>
      <c r="Z790" s="53">
        <f t="shared" si="619"/>
        <v>801461.81722759316</v>
      </c>
      <c r="AB790" s="53">
        <f t="shared" si="593"/>
        <v>287381.3087487513</v>
      </c>
      <c r="AC790" s="53">
        <f t="shared" si="594"/>
        <v>278107.25057797489</v>
      </c>
      <c r="AD790" s="53">
        <f t="shared" si="595"/>
        <v>276847.81057947438</v>
      </c>
      <c r="AE790" s="53">
        <f t="shared" si="596"/>
        <v>268146.22513528907</v>
      </c>
      <c r="AF790" s="53">
        <f t="shared" si="597"/>
        <v>259444.63969110377</v>
      </c>
    </row>
    <row r="791" spans="2:35">
      <c r="B791" s="43" t="str">
        <f t="shared" si="590"/>
        <v>Asset 237</v>
      </c>
      <c r="F791" s="43" t="str">
        <f t="shared" ref="F791:L791" si="651">F295</f>
        <v>20 Kantoorgebouwen</v>
      </c>
      <c r="G791" s="43">
        <f t="shared" si="651"/>
        <v>2020</v>
      </c>
      <c r="H791" s="48">
        <f t="shared" si="651"/>
        <v>715175.01653112471</v>
      </c>
      <c r="I791" s="43">
        <f t="shared" si="651"/>
        <v>2021</v>
      </c>
      <c r="J791" s="43">
        <f t="shared" si="651"/>
        <v>30</v>
      </c>
      <c r="K791" s="43">
        <f t="shared" si="651"/>
        <v>0</v>
      </c>
      <c r="L791" s="48">
        <f t="shared" si="651"/>
        <v>690286.92595584155</v>
      </c>
      <c r="N791" s="44">
        <f t="shared" si="592"/>
        <v>28.5</v>
      </c>
      <c r="P791" s="49">
        <f t="shared" si="614"/>
        <v>24220.593893187423</v>
      </c>
      <c r="Q791" s="49">
        <f t="shared" si="614"/>
        <v>24220.593893187423</v>
      </c>
      <c r="R791" s="49">
        <f t="shared" si="614"/>
        <v>24220.593893187423</v>
      </c>
      <c r="S791" s="49">
        <f t="shared" si="614"/>
        <v>24220.593893187423</v>
      </c>
      <c r="T791" s="49">
        <f t="shared" si="614"/>
        <v>24220.593893187423</v>
      </c>
      <c r="V791" s="53">
        <f t="shared" si="615"/>
        <v>666066.33206265408</v>
      </c>
      <c r="W791" s="53">
        <f t="shared" si="616"/>
        <v>641845.73816946661</v>
      </c>
      <c r="X791" s="53">
        <f t="shared" si="617"/>
        <v>617625.14427627914</v>
      </c>
      <c r="Y791" s="53">
        <f t="shared" si="618"/>
        <v>593404.55038309167</v>
      </c>
      <c r="Z791" s="53">
        <f t="shared" si="619"/>
        <v>569183.9564899042</v>
      </c>
      <c r="AB791" s="53">
        <f t="shared" si="593"/>
        <v>46866.849183317667</v>
      </c>
      <c r="AC791" s="53">
        <f t="shared" si="594"/>
        <v>45401.503252779818</v>
      </c>
      <c r="AD791" s="53">
        <f t="shared" si="595"/>
        <v>47690.349375686026</v>
      </c>
      <c r="AE791" s="53">
        <f t="shared" si="596"/>
        <v>46769.966807744902</v>
      </c>
      <c r="AF791" s="53">
        <f t="shared" si="597"/>
        <v>45849.584239803778</v>
      </c>
    </row>
    <row r="792" spans="2:35">
      <c r="B792" s="43" t="str">
        <f t="shared" si="590"/>
        <v>Asset 238</v>
      </c>
      <c r="F792" s="43" t="str">
        <f t="shared" ref="F792:L792" si="652">F296</f>
        <v>06 Utiliteitsgebouwen</v>
      </c>
      <c r="G792" s="43">
        <f t="shared" si="652"/>
        <v>2020</v>
      </c>
      <c r="H792" s="48">
        <f t="shared" si="652"/>
        <v>611310.12783119339</v>
      </c>
      <c r="I792" s="43">
        <f t="shared" si="652"/>
        <v>2021</v>
      </c>
      <c r="J792" s="43">
        <f t="shared" si="652"/>
        <v>30</v>
      </c>
      <c r="K792" s="43">
        <f t="shared" si="652"/>
        <v>0</v>
      </c>
      <c r="L792" s="48">
        <f t="shared" si="652"/>
        <v>590036.53538266791</v>
      </c>
      <c r="N792" s="44">
        <f t="shared" si="592"/>
        <v>28.5</v>
      </c>
      <c r="P792" s="49">
        <f t="shared" si="614"/>
        <v>20703.036329216418</v>
      </c>
      <c r="Q792" s="49">
        <f t="shared" si="614"/>
        <v>20703.036329216418</v>
      </c>
      <c r="R792" s="49">
        <f t="shared" si="614"/>
        <v>20703.036329216418</v>
      </c>
      <c r="S792" s="49">
        <f t="shared" si="614"/>
        <v>20703.036329216418</v>
      </c>
      <c r="T792" s="49">
        <f t="shared" si="614"/>
        <v>20703.036329216418</v>
      </c>
      <c r="V792" s="53">
        <f t="shared" si="615"/>
        <v>569333.49905345147</v>
      </c>
      <c r="W792" s="53">
        <f t="shared" si="616"/>
        <v>548630.46272423503</v>
      </c>
      <c r="X792" s="53">
        <f t="shared" si="617"/>
        <v>527927.42639501859</v>
      </c>
      <c r="Y792" s="53">
        <f t="shared" si="618"/>
        <v>507224.39006580214</v>
      </c>
      <c r="Z792" s="53">
        <f t="shared" si="619"/>
        <v>486521.3537365857</v>
      </c>
      <c r="AB792" s="53">
        <f t="shared" si="593"/>
        <v>40060.375297033766</v>
      </c>
      <c r="AC792" s="53">
        <f t="shared" si="594"/>
        <v>38807.841599116175</v>
      </c>
      <c r="AD792" s="53">
        <f t="shared" si="595"/>
        <v>40764.278532227123</v>
      </c>
      <c r="AE792" s="53">
        <f t="shared" si="596"/>
        <v>39977.563151716895</v>
      </c>
      <c r="AF792" s="53">
        <f t="shared" si="597"/>
        <v>39190.847771206674</v>
      </c>
    </row>
    <row r="793" spans="2:35">
      <c r="B793" s="43" t="str">
        <f t="shared" si="590"/>
        <v>Asset 239</v>
      </c>
      <c r="F793" s="43" t="str">
        <f t="shared" ref="F793:L793" si="653">F297</f>
        <v>08 Inrichting gebouwen</v>
      </c>
      <c r="G793" s="43">
        <f t="shared" si="653"/>
        <v>2021</v>
      </c>
      <c r="H793" s="48">
        <f t="shared" si="653"/>
        <v>384242.51972392667</v>
      </c>
      <c r="I793" s="43">
        <f t="shared" si="653"/>
        <v>2021</v>
      </c>
      <c r="J793" s="43">
        <f t="shared" si="653"/>
        <v>10</v>
      </c>
      <c r="K793" s="43">
        <f t="shared" si="653"/>
        <v>0</v>
      </c>
      <c r="L793" s="48">
        <f t="shared" si="653"/>
        <v>365030.39373773034</v>
      </c>
      <c r="N793" s="44">
        <f t="shared" si="592"/>
        <v>9.5</v>
      </c>
      <c r="P793" s="49">
        <f t="shared" si="614"/>
        <v>38424.251972392667</v>
      </c>
      <c r="Q793" s="49">
        <f t="shared" si="614"/>
        <v>38424.251972392667</v>
      </c>
      <c r="R793" s="49">
        <f t="shared" si="614"/>
        <v>38424.251972392667</v>
      </c>
      <c r="S793" s="49">
        <f t="shared" si="614"/>
        <v>38424.251972392667</v>
      </c>
      <c r="T793" s="49">
        <f t="shared" si="614"/>
        <v>38424.251972392667</v>
      </c>
      <c r="V793" s="53">
        <f t="shared" si="615"/>
        <v>326606.14176533767</v>
      </c>
      <c r="W793" s="53">
        <f t="shared" si="616"/>
        <v>288181.889792945</v>
      </c>
      <c r="X793" s="53">
        <f t="shared" si="617"/>
        <v>249757.63782055234</v>
      </c>
      <c r="Y793" s="53">
        <f t="shared" si="618"/>
        <v>211333.38584815967</v>
      </c>
      <c r="Z793" s="53">
        <f t="shared" si="619"/>
        <v>172909.133875767</v>
      </c>
      <c r="AB793" s="53">
        <f t="shared" si="593"/>
        <v>49528.860792414147</v>
      </c>
      <c r="AC793" s="53">
        <f t="shared" si="594"/>
        <v>47934.254335559854</v>
      </c>
      <c r="AD793" s="53">
        <f t="shared" si="595"/>
        <v>47915.042209573658</v>
      </c>
      <c r="AE793" s="53">
        <f t="shared" si="596"/>
        <v>46454.920634622737</v>
      </c>
      <c r="AF793" s="53">
        <f t="shared" si="597"/>
        <v>44994.799059671815</v>
      </c>
    </row>
    <row r="794" spans="2:35">
      <c r="B794" s="43" t="str">
        <f t="shared" si="590"/>
        <v>Asset 240</v>
      </c>
      <c r="F794" s="43" t="str">
        <f t="shared" ref="F794:L794" si="654">F298</f>
        <v>20 Kantoorgebouwen</v>
      </c>
      <c r="G794" s="43">
        <f t="shared" si="654"/>
        <v>2021</v>
      </c>
      <c r="H794" s="48">
        <f t="shared" si="654"/>
        <v>1098657.1778898467</v>
      </c>
      <c r="I794" s="43">
        <f t="shared" si="654"/>
        <v>2021</v>
      </c>
      <c r="J794" s="43">
        <f t="shared" si="654"/>
        <v>30</v>
      </c>
      <c r="K794" s="43">
        <f t="shared" si="654"/>
        <v>0</v>
      </c>
      <c r="L794" s="48">
        <f t="shared" si="654"/>
        <v>1080346.2249250161</v>
      </c>
      <c r="N794" s="44">
        <f t="shared" si="592"/>
        <v>29.5</v>
      </c>
      <c r="P794" s="49">
        <f t="shared" si="614"/>
        <v>36621.90592966156</v>
      </c>
      <c r="Q794" s="49">
        <f t="shared" si="614"/>
        <v>36621.90592966156</v>
      </c>
      <c r="R794" s="49">
        <f t="shared" si="614"/>
        <v>36621.90592966156</v>
      </c>
      <c r="S794" s="49">
        <f t="shared" si="614"/>
        <v>36621.90592966156</v>
      </c>
      <c r="T794" s="49">
        <f t="shared" si="614"/>
        <v>36621.90592966156</v>
      </c>
      <c r="V794" s="53">
        <f t="shared" si="615"/>
        <v>1043724.3189953545</v>
      </c>
      <c r="W794" s="53">
        <f t="shared" si="616"/>
        <v>1007102.4130656929</v>
      </c>
      <c r="X794" s="53">
        <f t="shared" si="617"/>
        <v>970480.50713603129</v>
      </c>
      <c r="Y794" s="53">
        <f t="shared" si="618"/>
        <v>933858.6012063697</v>
      </c>
      <c r="Z794" s="53">
        <f t="shared" si="619"/>
        <v>897236.69527670811</v>
      </c>
      <c r="AB794" s="53">
        <f t="shared" si="593"/>
        <v>72108.532775503612</v>
      </c>
      <c r="AC794" s="53">
        <f t="shared" si="594"/>
        <v>69856.285560829419</v>
      </c>
      <c r="AD794" s="53">
        <f t="shared" si="595"/>
        <v>73500.165200830757</v>
      </c>
      <c r="AE794" s="53">
        <f t="shared" si="596"/>
        <v>72108.532775503612</v>
      </c>
      <c r="AF794" s="53">
        <f t="shared" si="597"/>
        <v>70716.900350176467</v>
      </c>
    </row>
    <row r="795" spans="2:35">
      <c r="B795" s="43" t="str">
        <f t="shared" si="590"/>
        <v>Asset 241</v>
      </c>
      <c r="F795" s="43" t="str">
        <f t="shared" ref="F795:L795" si="655">F299</f>
        <v>03 Verremeting</v>
      </c>
      <c r="G795" s="43">
        <f t="shared" si="655"/>
        <v>1993</v>
      </c>
      <c r="H795" s="48">
        <f>H299</f>
        <v>27208128.690000001</v>
      </c>
      <c r="I795" s="43">
        <f t="shared" si="655"/>
        <v>2021</v>
      </c>
      <c r="J795" s="43">
        <f t="shared" si="655"/>
        <v>5</v>
      </c>
      <c r="K795" s="43">
        <f t="shared" si="655"/>
        <v>1</v>
      </c>
      <c r="L795" s="48">
        <f t="shared" si="655"/>
        <v>0</v>
      </c>
      <c r="N795" s="44">
        <f t="shared" si="592"/>
        <v>0</v>
      </c>
      <c r="P795" s="49">
        <f t="shared" si="614"/>
        <v>0</v>
      </c>
      <c r="Q795" s="49">
        <f t="shared" si="614"/>
        <v>0</v>
      </c>
      <c r="R795" s="49">
        <f t="shared" si="614"/>
        <v>0</v>
      </c>
      <c r="S795" s="49">
        <f t="shared" si="614"/>
        <v>0</v>
      </c>
      <c r="T795" s="49">
        <f t="shared" si="614"/>
        <v>0</v>
      </c>
      <c r="V795" s="53">
        <f t="shared" si="615"/>
        <v>0</v>
      </c>
      <c r="W795" s="53">
        <f t="shared" si="616"/>
        <v>0</v>
      </c>
      <c r="X795" s="53">
        <f t="shared" si="617"/>
        <v>0</v>
      </c>
      <c r="Y795" s="53">
        <f t="shared" si="618"/>
        <v>0</v>
      </c>
      <c r="Z795" s="53">
        <f t="shared" si="619"/>
        <v>0</v>
      </c>
      <c r="AB795" s="53">
        <f t="shared" si="593"/>
        <v>0</v>
      </c>
      <c r="AC795" s="53">
        <f t="shared" si="594"/>
        <v>0</v>
      </c>
      <c r="AD795" s="53">
        <f t="shared" si="595"/>
        <v>0</v>
      </c>
      <c r="AE795" s="53">
        <f t="shared" si="596"/>
        <v>0</v>
      </c>
      <c r="AF795" s="53">
        <f t="shared" si="597"/>
        <v>0</v>
      </c>
    </row>
    <row r="796" spans="2:35">
      <c r="B796" s="43" t="str">
        <f t="shared" si="590"/>
        <v>Asset 242</v>
      </c>
      <c r="F796" s="43" t="str">
        <f t="shared" ref="F796:L796" si="656">F300</f>
        <v>06 Utiliteitsgebouwen</v>
      </c>
      <c r="G796" s="43">
        <f t="shared" si="656"/>
        <v>2021</v>
      </c>
      <c r="H796" s="48">
        <f t="shared" si="656"/>
        <v>114485.52709029273</v>
      </c>
      <c r="I796" s="43">
        <f t="shared" si="656"/>
        <v>2021</v>
      </c>
      <c r="J796" s="43">
        <f t="shared" si="656"/>
        <v>30</v>
      </c>
      <c r="K796" s="43">
        <f t="shared" si="656"/>
        <v>0</v>
      </c>
      <c r="L796" s="48">
        <f t="shared" si="656"/>
        <v>112577.43497212119</v>
      </c>
      <c r="N796" s="44">
        <f t="shared" si="592"/>
        <v>29.5</v>
      </c>
      <c r="P796" s="49">
        <f t="shared" si="614"/>
        <v>3816.184236343091</v>
      </c>
      <c r="Q796" s="49">
        <f t="shared" si="614"/>
        <v>3816.184236343091</v>
      </c>
      <c r="R796" s="49">
        <f t="shared" si="614"/>
        <v>3816.184236343091</v>
      </c>
      <c r="S796" s="49">
        <f t="shared" si="614"/>
        <v>3816.184236343091</v>
      </c>
      <c r="T796" s="49">
        <f t="shared" si="614"/>
        <v>3816.184236343091</v>
      </c>
      <c r="V796" s="53">
        <f t="shared" si="615"/>
        <v>108761.2507357781</v>
      </c>
      <c r="W796" s="53">
        <f t="shared" si="616"/>
        <v>104945.06649943501</v>
      </c>
      <c r="X796" s="53">
        <f t="shared" si="617"/>
        <v>101128.88226309192</v>
      </c>
      <c r="Y796" s="53">
        <f t="shared" si="618"/>
        <v>97312.698026748825</v>
      </c>
      <c r="Z796" s="53">
        <f t="shared" si="619"/>
        <v>93496.513790405734</v>
      </c>
      <c r="AB796" s="53">
        <f t="shared" si="593"/>
        <v>7514.0667613595469</v>
      </c>
      <c r="AC796" s="53">
        <f t="shared" si="594"/>
        <v>7279.3714308244471</v>
      </c>
      <c r="AD796" s="53">
        <f t="shared" si="595"/>
        <v>7659.0817623405837</v>
      </c>
      <c r="AE796" s="53">
        <f t="shared" si="596"/>
        <v>7514.0667613595469</v>
      </c>
      <c r="AF796" s="53">
        <f t="shared" si="597"/>
        <v>7369.0517603785083</v>
      </c>
    </row>
    <row r="797" spans="2:35">
      <c r="B797" s="43" t="str">
        <f>B301</f>
        <v>Asset 243</v>
      </c>
      <c r="F797" s="43" t="str">
        <f t="shared" ref="F797:L797" si="657">F301</f>
        <v>38 ICT middelen 2</v>
      </c>
      <c r="G797" s="43">
        <f t="shared" si="657"/>
        <v>2019</v>
      </c>
      <c r="H797" s="48">
        <f t="shared" si="657"/>
        <v>5155994.869123158</v>
      </c>
      <c r="I797" s="43">
        <f t="shared" si="657"/>
        <v>2021</v>
      </c>
      <c r="J797" s="43">
        <f t="shared" si="657"/>
        <v>10</v>
      </c>
      <c r="K797" s="43">
        <f t="shared" si="657"/>
        <v>1</v>
      </c>
      <c r="L797" s="48">
        <f t="shared" si="657"/>
        <v>4031018.6606189152</v>
      </c>
      <c r="N797" s="44">
        <f t="shared" si="592"/>
        <v>7.5</v>
      </c>
      <c r="P797" s="49">
        <f t="shared" si="614"/>
        <v>537469.15474918869</v>
      </c>
      <c r="Q797" s="49">
        <f t="shared" si="614"/>
        <v>537469.15474918869</v>
      </c>
      <c r="R797" s="49">
        <f t="shared" si="614"/>
        <v>537469.15474918869</v>
      </c>
      <c r="S797" s="49">
        <f t="shared" si="614"/>
        <v>537469.15474918869</v>
      </c>
      <c r="T797" s="49">
        <f t="shared" si="614"/>
        <v>537469.15474918869</v>
      </c>
      <c r="V797" s="53">
        <f t="shared" si="615"/>
        <v>3493549.5058697267</v>
      </c>
      <c r="W797" s="53">
        <f t="shared" si="616"/>
        <v>2956080.3511205381</v>
      </c>
      <c r="X797" s="53">
        <f t="shared" si="617"/>
        <v>2418611.1963713495</v>
      </c>
      <c r="Y797" s="53">
        <f t="shared" si="618"/>
        <v>1881142.0416221609</v>
      </c>
      <c r="Z797" s="53">
        <f t="shared" si="619"/>
        <v>1343672.8868729724</v>
      </c>
      <c r="AB797" s="53">
        <f t="shared" si="593"/>
        <v>656249.83794875944</v>
      </c>
      <c r="AC797" s="53">
        <f t="shared" si="594"/>
        <v>635019.80633616645</v>
      </c>
      <c r="AD797" s="53">
        <f t="shared" si="595"/>
        <v>629376.38021129998</v>
      </c>
      <c r="AE797" s="53">
        <f t="shared" si="596"/>
        <v>608952.55233083083</v>
      </c>
      <c r="AF797" s="53">
        <f t="shared" si="597"/>
        <v>588528.72445036168</v>
      </c>
    </row>
    <row r="798" spans="2:35">
      <c r="H798" s="178"/>
      <c r="L798" s="178"/>
      <c r="P798" s="178"/>
      <c r="Q798" s="178"/>
      <c r="R798" s="178"/>
      <c r="S798" s="178"/>
      <c r="T798" s="178"/>
      <c r="V798" s="97"/>
      <c r="W798" s="97"/>
      <c r="X798" s="97"/>
      <c r="Y798" s="97"/>
      <c r="Z798" s="97"/>
      <c r="AB798" s="97"/>
      <c r="AC798" s="97"/>
      <c r="AD798" s="97"/>
      <c r="AE798" s="97"/>
      <c r="AF798" s="97"/>
    </row>
    <row r="799" spans="2:35" s="39" customFormat="1">
      <c r="B799" s="39" t="s">
        <v>1029</v>
      </c>
    </row>
    <row r="800" spans="2:35" s="42" customFormat="1">
      <c r="K800" s="42" t="s">
        <v>1028</v>
      </c>
      <c r="Q800" s="42" t="s">
        <v>865</v>
      </c>
      <c r="W800" s="42" t="s">
        <v>866</v>
      </c>
      <c r="AC800" s="42" t="s">
        <v>217</v>
      </c>
      <c r="AI800" s="42" t="s">
        <v>867</v>
      </c>
    </row>
    <row r="801" spans="1:39" s="45" customFormat="1">
      <c r="B801" s="45" t="s">
        <v>1023</v>
      </c>
      <c r="F801" s="45" t="s">
        <v>871</v>
      </c>
      <c r="G801" s="45" t="s">
        <v>783</v>
      </c>
      <c r="H801" s="45" t="s">
        <v>506</v>
      </c>
      <c r="I801" s="45" t="s">
        <v>282</v>
      </c>
      <c r="K801" s="51">
        <v>2022</v>
      </c>
      <c r="L801" s="51">
        <v>2023</v>
      </c>
      <c r="M801" s="51">
        <v>2024</v>
      </c>
      <c r="N801" s="51">
        <v>2025</v>
      </c>
      <c r="O801" s="51">
        <v>2026</v>
      </c>
      <c r="Q801" s="51">
        <v>2022</v>
      </c>
      <c r="R801" s="51">
        <v>2023</v>
      </c>
      <c r="S801" s="51">
        <v>2024</v>
      </c>
      <c r="T801" s="51">
        <v>2025</v>
      </c>
      <c r="U801" s="51">
        <v>2026</v>
      </c>
      <c r="W801" s="51">
        <v>2022</v>
      </c>
      <c r="X801" s="51">
        <v>2023</v>
      </c>
      <c r="Y801" s="51">
        <v>2024</v>
      </c>
      <c r="Z801" s="51">
        <v>2025</v>
      </c>
      <c r="AA801" s="51">
        <v>2026</v>
      </c>
      <c r="AB801" s="51"/>
      <c r="AC801" s="51">
        <v>2022</v>
      </c>
      <c r="AD801" s="51">
        <v>2023</v>
      </c>
      <c r="AE801" s="51">
        <v>2024</v>
      </c>
      <c r="AF801" s="51">
        <v>2025</v>
      </c>
      <c r="AG801" s="51">
        <v>2026</v>
      </c>
      <c r="AI801" s="51">
        <v>2022</v>
      </c>
      <c r="AJ801" s="51">
        <v>2023</v>
      </c>
      <c r="AK801" s="51">
        <v>2024</v>
      </c>
      <c r="AL801" s="51">
        <v>2025</v>
      </c>
      <c r="AM801" s="51">
        <v>2026</v>
      </c>
    </row>
    <row r="802" spans="1:39" s="54" customFormat="1">
      <c r="K802" s="178"/>
      <c r="L802" s="178"/>
      <c r="M802" s="178"/>
      <c r="N802" s="178"/>
      <c r="O802" s="178"/>
      <c r="Q802" s="97"/>
      <c r="R802" s="97"/>
      <c r="S802" s="97"/>
      <c r="T802" s="97"/>
      <c r="U802" s="97"/>
      <c r="W802" s="97"/>
      <c r="X802" s="97"/>
      <c r="Y802" s="97"/>
      <c r="Z802" s="97"/>
      <c r="AA802" s="97"/>
      <c r="AB802" s="338"/>
      <c r="AC802" s="338"/>
      <c r="AD802" s="338"/>
      <c r="AE802" s="338"/>
      <c r="AF802" s="338"/>
      <c r="AG802" s="338"/>
      <c r="AI802" s="338"/>
      <c r="AJ802" s="338"/>
      <c r="AK802" s="338"/>
      <c r="AL802" s="338"/>
      <c r="AM802" s="338"/>
    </row>
    <row r="803" spans="1:39">
      <c r="B803" s="43" t="str">
        <f>'8. Input IC huur Gasunie'!B259</f>
        <v>Asset 1</v>
      </c>
      <c r="F803" s="43" t="str">
        <f>'8. Input IC huur Gasunie'!F259</f>
        <v>02 Gasontvangststations</v>
      </c>
      <c r="G803" s="43">
        <f>'8. Input IC huur Gasunie'!G259</f>
        <v>2022</v>
      </c>
      <c r="H803" s="48">
        <f>'8. Input IC huur Gasunie'!H259</f>
        <v>16559.007294242547</v>
      </c>
      <c r="I803" s="43">
        <f>'8. Input IC huur Gasunie'!I259</f>
        <v>30</v>
      </c>
      <c r="K803" s="49">
        <f>IF($I803=0,0,IF($G803&lt;=K$801,VDB(ABS($H803),0,$I803,MAX(0,K$801-$G803-0.5),MIN(K$801-$G803+0.5),1),0))</f>
        <v>275.98345490404245</v>
      </c>
      <c r="L803" s="49">
        <f t="shared" ref="L803:O818" si="658">IF($I803=0,0,IF($G803&lt;=L$801,VDB(ABS($H803),0,$I803,MAX(0,L$801-$G803-0.5),MIN(L$801-$G803+0.5),1),0))</f>
        <v>551.96690980808489</v>
      </c>
      <c r="M803" s="49">
        <f t="shared" si="658"/>
        <v>551.96690980808489</v>
      </c>
      <c r="N803" s="49">
        <f t="shared" si="658"/>
        <v>551.96690980808489</v>
      </c>
      <c r="O803" s="49">
        <f t="shared" si="658"/>
        <v>551.96690980808489</v>
      </c>
      <c r="Q803" s="53">
        <f>IF($I803=0,$H803,IF(OR($G803&gt;Q$801,$G803+$I803&lt;=Q$801),0,IF($G803=Q$801,$H803-K803,$H803-K803)))</f>
        <v>16283.023839338504</v>
      </c>
      <c r="R803" s="53">
        <f>IF($I803=0,$H803,IF(OR($G803&gt;R$801,$G803+$I803&lt;=R$801),0,IF($G803=R$801,$H803-L803,Q803-L803)))</f>
        <v>15731.056929530419</v>
      </c>
      <c r="S803" s="53">
        <f t="shared" ref="S803:U803" si="659">IF($I803=0,$H803,IF(OR($G803&gt;S$801,$G803+$I803&lt;=S$801),0,IF($G803=S$801,$H803-M803,R803-M803)))</f>
        <v>15179.090019722335</v>
      </c>
      <c r="T803" s="53">
        <f t="shared" si="659"/>
        <v>14627.12310991425</v>
      </c>
      <c r="U803" s="53">
        <f t="shared" si="659"/>
        <v>14075.156200106165</v>
      </c>
      <c r="W803" s="53">
        <f>(K803+Q803*I$16)</f>
        <v>829.60626544155161</v>
      </c>
      <c r="X803" s="53">
        <f t="shared" ref="X803:AA803" si="660">(L803+R803*J$16)</f>
        <v>1071.0917884825888</v>
      </c>
      <c r="Y803" s="53">
        <f t="shared" si="660"/>
        <v>1128.7723305575337</v>
      </c>
      <c r="Z803" s="53">
        <f t="shared" si="660"/>
        <v>1107.7975879848264</v>
      </c>
      <c r="AA803" s="53">
        <f t="shared" si="660"/>
        <v>1086.822845412119</v>
      </c>
      <c r="AC803" s="53">
        <f>IF(AC$801&gt;=$G803,$H803*INDEX($G$40:$M$46,$G803-2019,AC$801-2019)*INDEX($G$49:$M$55,$G803-2019,AC$801-2019)*$F$28,0)</f>
        <v>165.59007294242548</v>
      </c>
      <c r="AD803" s="53">
        <f t="shared" ref="AD803:AG818" si="661">IF(AD$801&gt;=$G803,$H803*INDEX($G$40:$M$46,$G803-2019,AD$801-2019)*INDEX($G$49:$M$55,$G803-2019,AD$801-2019)*$F$28,0)</f>
        <v>175.15323083499644</v>
      </c>
      <c r="AE803" s="53">
        <f t="shared" si="661"/>
        <v>188.40882734458899</v>
      </c>
      <c r="AF803" s="53">
        <f t="shared" si="661"/>
        <v>192.90953741219653</v>
      </c>
      <c r="AG803" s="53">
        <f t="shared" si="661"/>
        <v>195.40424355001102</v>
      </c>
      <c r="AI803" s="53">
        <f>W803+AC803</f>
        <v>995.19633838397704</v>
      </c>
      <c r="AJ803" s="53">
        <f t="shared" ref="AJ803:AM803" si="662">X803+AD803</f>
        <v>1246.2450193175853</v>
      </c>
      <c r="AK803" s="53">
        <f t="shared" si="662"/>
        <v>1317.1811579021228</v>
      </c>
      <c r="AL803" s="53">
        <f t="shared" si="662"/>
        <v>1300.707125397023</v>
      </c>
      <c r="AM803" s="53">
        <f t="shared" si="662"/>
        <v>1282.22708896213</v>
      </c>
    </row>
    <row r="804" spans="1:39">
      <c r="B804" s="43" t="str">
        <f>'8. Input IC huur Gasunie'!B260</f>
        <v>Asset 2</v>
      </c>
      <c r="F804" s="43" t="str">
        <f>'8. Input IC huur Gasunie'!F260</f>
        <v>05 Wegen en terreinvoorzieningen</v>
      </c>
      <c r="G804" s="43">
        <f>'8. Input IC huur Gasunie'!G260</f>
        <v>2022</v>
      </c>
      <c r="H804" s="48">
        <f>'8. Input IC huur Gasunie'!H260</f>
        <v>260373.81710683607</v>
      </c>
      <c r="I804" s="43">
        <f>'8. Input IC huur Gasunie'!I260</f>
        <v>10</v>
      </c>
      <c r="K804" s="49">
        <f t="shared" ref="K804:O819" si="663">IF($I804=0,0,IF($G804&lt;=K$801,VDB(ABS($H804),0,$I804,MAX(0,K$801-$G804-0.5),MIN(K$801-$G804+0.5),1),0))</f>
        <v>13018.690855341803</v>
      </c>
      <c r="L804" s="49">
        <f t="shared" si="658"/>
        <v>26037.381710683607</v>
      </c>
      <c r="M804" s="49">
        <f t="shared" si="658"/>
        <v>26037.381710683607</v>
      </c>
      <c r="N804" s="49">
        <f t="shared" si="658"/>
        <v>26037.381710683607</v>
      </c>
      <c r="O804" s="49">
        <f t="shared" si="658"/>
        <v>26037.381710683607</v>
      </c>
      <c r="Q804" s="53">
        <f t="shared" ref="Q804:Q816" si="664">IF($I804=0,$H804,IF(OR($G804&gt;Q$801,$G804+$I804&lt;=Q$801),0,IF($G804=Q$801,$H804-K804,$H804-K804)))</f>
        <v>247355.12625149428</v>
      </c>
      <c r="R804" s="53">
        <f t="shared" ref="R804:R816" si="665">IF($I804=0,$H804,IF(OR($G804&gt;R$801,$G804+$I804&lt;=R$801),0,IF($G804=R$801,$H804-L804,Q804-L804)))</f>
        <v>221317.74454081067</v>
      </c>
      <c r="S804" s="53">
        <f t="shared" ref="S804:S817" si="666">IF($I804=0,$H804,IF(OR($G804&gt;S$801,$G804+$I804&lt;=S$801),0,IF($G804=S$801,$H804-M804,R804-M804)))</f>
        <v>195280.36283012707</v>
      </c>
      <c r="T804" s="53">
        <f t="shared" ref="T804:T817" si="667">IF($I804=0,$H804,IF(OR($G804&gt;T$801,$G804+$I804&lt;=T$801),0,IF($G804=T$801,$H804-N804,S804-N804)))</f>
        <v>169242.98111944346</v>
      </c>
      <c r="U804" s="53">
        <f t="shared" ref="U804:U817" si="668">IF($I804=0,$H804,IF(OR($G804&gt;U$801,$G804+$I804&lt;=U$801),0,IF($G804=U$801,$H804-O804,T804-O804)))</f>
        <v>143205.59940875985</v>
      </c>
      <c r="W804" s="53">
        <f t="shared" ref="W804:W816" si="669">(K804+Q804*I$16)</f>
        <v>21428.765147892609</v>
      </c>
      <c r="X804" s="53">
        <f t="shared" ref="X804:X817" si="670">(L804+R804*J$16)</f>
        <v>33340.867280530358</v>
      </c>
      <c r="Y804" s="53">
        <f t="shared" ref="Y804:Y817" si="671">(M804+S804*K$16)</f>
        <v>33458.035498228433</v>
      </c>
      <c r="Z804" s="53">
        <f t="shared" ref="Z804:Z817" si="672">(N804+T804*L$16)</f>
        <v>32468.614993222458</v>
      </c>
      <c r="AA804" s="53">
        <f t="shared" ref="AA804:AA817" si="673">(O804+U804*M$16)</f>
        <v>31479.194488216483</v>
      </c>
      <c r="AC804" s="53">
        <f t="shared" ref="AC804:AG819" si="674">IF(AC$801&gt;=$G804,$H804*INDEX($G$40:$M$46,$G804-2019,AC$801-2019)*INDEX($G$49:$M$55,$G804-2019,AC$801-2019)*$F$28,0)</f>
        <v>2603.7381710683608</v>
      </c>
      <c r="AD804" s="53">
        <f t="shared" si="661"/>
        <v>2754.1092579239007</v>
      </c>
      <c r="AE804" s="53">
        <f t="shared" si="661"/>
        <v>2962.5402465635825</v>
      </c>
      <c r="AF804" s="53">
        <f t="shared" si="661"/>
        <v>3033.3094079734929</v>
      </c>
      <c r="AG804" s="53">
        <f t="shared" si="661"/>
        <v>3072.5361652374058</v>
      </c>
      <c r="AI804" s="53">
        <f t="shared" ref="AI804:AI816" si="675">W804+AC804</f>
        <v>24032.503318960971</v>
      </c>
      <c r="AJ804" s="53">
        <f t="shared" ref="AJ804:AJ817" si="676">X804+AD804</f>
        <v>36094.976538454255</v>
      </c>
      <c r="AK804" s="53">
        <f t="shared" ref="AK804:AK817" si="677">Y804+AE804</f>
        <v>36420.575744792019</v>
      </c>
      <c r="AL804" s="53">
        <f t="shared" ref="AL804:AL817" si="678">Z804+AF804</f>
        <v>35501.924401195953</v>
      </c>
      <c r="AM804" s="53">
        <f t="shared" ref="AM804:AM817" si="679">AA804+AG804</f>
        <v>34551.730653453887</v>
      </c>
    </row>
    <row r="805" spans="1:39">
      <c r="B805" s="43" t="str">
        <f>'8. Input IC huur Gasunie'!B261</f>
        <v>Asset 3</v>
      </c>
      <c r="F805" s="43" t="str">
        <f>'8. Input IC huur Gasunie'!F261</f>
        <v>06 Utiliteitsgebouwen</v>
      </c>
      <c r="G805" s="43">
        <f>'8. Input IC huur Gasunie'!G261</f>
        <v>2022</v>
      </c>
      <c r="H805" s="48">
        <f>'8. Input IC huur Gasunie'!H261</f>
        <v>122473.44778654278</v>
      </c>
      <c r="I805" s="43">
        <f>'8. Input IC huur Gasunie'!I261</f>
        <v>30</v>
      </c>
      <c r="K805" s="49">
        <f t="shared" si="663"/>
        <v>2041.224129775713</v>
      </c>
      <c r="L805" s="49">
        <f t="shared" si="658"/>
        <v>4082.448259551426</v>
      </c>
      <c r="M805" s="49">
        <f t="shared" si="658"/>
        <v>4082.448259551426</v>
      </c>
      <c r="N805" s="49">
        <f t="shared" si="658"/>
        <v>4082.448259551426</v>
      </c>
      <c r="O805" s="49">
        <f t="shared" si="658"/>
        <v>4082.448259551426</v>
      </c>
      <c r="Q805" s="53">
        <f t="shared" si="664"/>
        <v>120432.22365676706</v>
      </c>
      <c r="R805" s="53">
        <f t="shared" si="665"/>
        <v>116349.77539721564</v>
      </c>
      <c r="S805" s="53">
        <f t="shared" si="666"/>
        <v>112267.32713766421</v>
      </c>
      <c r="T805" s="53">
        <f t="shared" si="667"/>
        <v>108184.87887811278</v>
      </c>
      <c r="U805" s="53">
        <f t="shared" si="668"/>
        <v>104102.43061856135</v>
      </c>
      <c r="W805" s="53">
        <f t="shared" si="669"/>
        <v>6135.9197341057934</v>
      </c>
      <c r="X805" s="53">
        <f t="shared" si="670"/>
        <v>7921.9908476595419</v>
      </c>
      <c r="Y805" s="53">
        <f t="shared" si="671"/>
        <v>8348.6066907826662</v>
      </c>
      <c r="Z805" s="53">
        <f t="shared" si="672"/>
        <v>8193.4736569197121</v>
      </c>
      <c r="AA805" s="53">
        <f t="shared" si="673"/>
        <v>8038.3406230567571</v>
      </c>
      <c r="AC805" s="53">
        <f t="shared" si="674"/>
        <v>1224.7344778654278</v>
      </c>
      <c r="AD805" s="53">
        <f t="shared" si="661"/>
        <v>1295.4653434311119</v>
      </c>
      <c r="AE805" s="53">
        <f t="shared" si="661"/>
        <v>1393.506160621979</v>
      </c>
      <c r="AF805" s="53">
        <f t="shared" si="661"/>
        <v>1426.7942357869165</v>
      </c>
      <c r="AG805" s="53">
        <f t="shared" si="661"/>
        <v>1445.2455388441128</v>
      </c>
      <c r="AI805" s="53">
        <f t="shared" si="675"/>
        <v>7360.6542119712212</v>
      </c>
      <c r="AJ805" s="53">
        <f t="shared" si="676"/>
        <v>9217.4561910906541</v>
      </c>
      <c r="AK805" s="53">
        <f t="shared" si="677"/>
        <v>9742.112851404645</v>
      </c>
      <c r="AL805" s="53">
        <f t="shared" si="678"/>
        <v>9620.2678927066281</v>
      </c>
      <c r="AM805" s="53">
        <f t="shared" si="679"/>
        <v>9483.5861619008701</v>
      </c>
    </row>
    <row r="806" spans="1:39">
      <c r="A806" s="240"/>
      <c r="B806" s="43" t="str">
        <f>'8. Input IC huur Gasunie'!B262</f>
        <v>Asset 4</v>
      </c>
      <c r="F806" s="43" t="str">
        <f>'8. Input IC huur Gasunie'!F262</f>
        <v>08 Inrichting gebouwen</v>
      </c>
      <c r="G806" s="43">
        <f>'8. Input IC huur Gasunie'!G262</f>
        <v>2022</v>
      </c>
      <c r="H806" s="48">
        <f>'8. Input IC huur Gasunie'!H262</f>
        <v>36759.559841941234</v>
      </c>
      <c r="I806" s="43">
        <f>'8. Input IC huur Gasunie'!I262</f>
        <v>10</v>
      </c>
      <c r="K806" s="49">
        <f t="shared" si="663"/>
        <v>1837.9779920970618</v>
      </c>
      <c r="L806" s="49">
        <f t="shared" si="658"/>
        <v>3675.9559841941236</v>
      </c>
      <c r="M806" s="49">
        <f t="shared" si="658"/>
        <v>3675.9559841941236</v>
      </c>
      <c r="N806" s="49">
        <f t="shared" si="658"/>
        <v>3675.9559841941236</v>
      </c>
      <c r="O806" s="49">
        <f t="shared" si="658"/>
        <v>3675.9559841941236</v>
      </c>
      <c r="Q806" s="53">
        <f t="shared" si="664"/>
        <v>34921.581849844173</v>
      </c>
      <c r="R806" s="53">
        <f t="shared" si="665"/>
        <v>31245.62586565005</v>
      </c>
      <c r="S806" s="53">
        <f t="shared" si="666"/>
        <v>27569.669881455928</v>
      </c>
      <c r="T806" s="53">
        <f t="shared" si="667"/>
        <v>23893.713897261805</v>
      </c>
      <c r="U806" s="53">
        <f t="shared" si="668"/>
        <v>20217.757913067682</v>
      </c>
      <c r="W806" s="53">
        <f t="shared" si="669"/>
        <v>3025.3117749917637</v>
      </c>
      <c r="X806" s="53">
        <f t="shared" si="670"/>
        <v>4707.0616377605756</v>
      </c>
      <c r="Y806" s="53">
        <f t="shared" si="671"/>
        <v>4723.6034396894484</v>
      </c>
      <c r="Z806" s="53">
        <f t="shared" si="672"/>
        <v>4583.9171122900725</v>
      </c>
      <c r="AA806" s="53">
        <f t="shared" si="673"/>
        <v>4444.2307848906958</v>
      </c>
      <c r="AC806" s="53">
        <f t="shared" si="674"/>
        <v>367.59559841941234</v>
      </c>
      <c r="AD806" s="53">
        <f t="shared" si="661"/>
        <v>388.82497941933025</v>
      </c>
      <c r="AE806" s="53">
        <f t="shared" si="661"/>
        <v>418.25125386178524</v>
      </c>
      <c r="AF806" s="53">
        <f t="shared" si="661"/>
        <v>428.24243981403549</v>
      </c>
      <c r="AG806" s="53">
        <f t="shared" si="661"/>
        <v>433.78047104571067</v>
      </c>
      <c r="AI806" s="53">
        <f t="shared" si="675"/>
        <v>3392.9073734111762</v>
      </c>
      <c r="AJ806" s="53">
        <f t="shared" si="676"/>
        <v>5095.8866171799054</v>
      </c>
      <c r="AK806" s="53">
        <f t="shared" si="677"/>
        <v>5141.8546935512331</v>
      </c>
      <c r="AL806" s="53">
        <f t="shared" si="678"/>
        <v>5012.1595521041081</v>
      </c>
      <c r="AM806" s="53">
        <f t="shared" si="679"/>
        <v>4878.0112559364061</v>
      </c>
    </row>
    <row r="807" spans="1:39">
      <c r="A807" s="240"/>
      <c r="B807" s="43" t="str">
        <f>'8. Input IC huur Gasunie'!B263</f>
        <v>Asset 5</v>
      </c>
      <c r="F807" s="43" t="str">
        <f>'8. Input IC huur Gasunie'!F263</f>
        <v>10 Gereedschap</v>
      </c>
      <c r="G807" s="43">
        <f>'8. Input IC huur Gasunie'!G263</f>
        <v>2022</v>
      </c>
      <c r="H807" s="48">
        <f>'8. Input IC huur Gasunie'!H263</f>
        <v>21601.372149086525</v>
      </c>
      <c r="I807" s="43">
        <f>'8. Input IC huur Gasunie'!I263</f>
        <v>10</v>
      </c>
      <c r="K807" s="49">
        <f t="shared" si="663"/>
        <v>1080.0686074543262</v>
      </c>
      <c r="L807" s="49">
        <f t="shared" si="658"/>
        <v>2160.1372149086524</v>
      </c>
      <c r="M807" s="49">
        <f t="shared" si="658"/>
        <v>2160.1372149086524</v>
      </c>
      <c r="N807" s="49">
        <f t="shared" si="658"/>
        <v>2160.1372149086524</v>
      </c>
      <c r="O807" s="49">
        <f t="shared" si="658"/>
        <v>2160.1372149086524</v>
      </c>
      <c r="Q807" s="53">
        <f t="shared" si="664"/>
        <v>20521.303541632198</v>
      </c>
      <c r="R807" s="53">
        <f t="shared" si="665"/>
        <v>18361.166326723545</v>
      </c>
      <c r="S807" s="53">
        <f t="shared" si="666"/>
        <v>16201.029111814893</v>
      </c>
      <c r="T807" s="53">
        <f t="shared" si="667"/>
        <v>14040.89189690624</v>
      </c>
      <c r="U807" s="53">
        <f t="shared" si="668"/>
        <v>11880.754681997587</v>
      </c>
      <c r="W807" s="53">
        <f t="shared" si="669"/>
        <v>1777.7929278698211</v>
      </c>
      <c r="X807" s="53">
        <f t="shared" si="670"/>
        <v>2766.0557036905293</v>
      </c>
      <c r="Y807" s="53">
        <f t="shared" si="671"/>
        <v>2775.7763211576184</v>
      </c>
      <c r="Z807" s="53">
        <f t="shared" si="672"/>
        <v>2693.6911069910893</v>
      </c>
      <c r="AA807" s="53">
        <f t="shared" si="673"/>
        <v>2611.6058928245607</v>
      </c>
      <c r="AC807" s="53">
        <f t="shared" si="674"/>
        <v>216.01372149086524</v>
      </c>
      <c r="AD807" s="53">
        <f t="shared" si="661"/>
        <v>228.48894593440571</v>
      </c>
      <c r="AE807" s="53">
        <f t="shared" si="661"/>
        <v>245.78098936272156</v>
      </c>
      <c r="AF807" s="53">
        <f t="shared" si="661"/>
        <v>251.65220563661825</v>
      </c>
      <c r="AG807" s="53">
        <f t="shared" si="661"/>
        <v>254.90657195991096</v>
      </c>
      <c r="AI807" s="53">
        <f t="shared" si="675"/>
        <v>1993.8066493606864</v>
      </c>
      <c r="AJ807" s="53">
        <f t="shared" si="676"/>
        <v>2994.5446496249351</v>
      </c>
      <c r="AK807" s="53">
        <f t="shared" si="677"/>
        <v>3021.5573105203398</v>
      </c>
      <c r="AL807" s="53">
        <f t="shared" si="678"/>
        <v>2945.3433126277077</v>
      </c>
      <c r="AM807" s="53">
        <f t="shared" si="679"/>
        <v>2866.5124647844718</v>
      </c>
    </row>
    <row r="808" spans="1:39">
      <c r="A808" s="240"/>
      <c r="B808" s="43" t="str">
        <f>'8. Input IC huur Gasunie'!B264</f>
        <v>Asset 6</v>
      </c>
      <c r="F808" s="43" t="str">
        <f>'8. Input IC huur Gasunie'!F264</f>
        <v>11 Werktuigen</v>
      </c>
      <c r="G808" s="43">
        <f>'8. Input IC huur Gasunie'!G264</f>
        <v>2022</v>
      </c>
      <c r="H808" s="48">
        <f>'8. Input IC huur Gasunie'!H264</f>
        <v>27449.908957678137</v>
      </c>
      <c r="I808" s="43">
        <f>'8. Input IC huur Gasunie'!I264</f>
        <v>10</v>
      </c>
      <c r="K808" s="49">
        <f t="shared" si="663"/>
        <v>1372.495447883907</v>
      </c>
      <c r="L808" s="49">
        <f t="shared" si="658"/>
        <v>2744.990895767814</v>
      </c>
      <c r="M808" s="49">
        <f t="shared" si="658"/>
        <v>2744.990895767814</v>
      </c>
      <c r="N808" s="49">
        <f t="shared" si="658"/>
        <v>2744.990895767814</v>
      </c>
      <c r="O808" s="49">
        <f t="shared" si="658"/>
        <v>2744.990895767814</v>
      </c>
      <c r="Q808" s="53">
        <f t="shared" si="664"/>
        <v>26077.413509794231</v>
      </c>
      <c r="R808" s="53">
        <f t="shared" si="665"/>
        <v>23332.422614026418</v>
      </c>
      <c r="S808" s="53">
        <f t="shared" si="666"/>
        <v>20587.431718258606</v>
      </c>
      <c r="T808" s="53">
        <f t="shared" si="667"/>
        <v>17842.440822490793</v>
      </c>
      <c r="U808" s="53">
        <f t="shared" si="668"/>
        <v>15097.449926722978</v>
      </c>
      <c r="W808" s="53">
        <f t="shared" si="669"/>
        <v>2259.127507216911</v>
      </c>
      <c r="X808" s="53">
        <f t="shared" si="670"/>
        <v>3514.9608420306859</v>
      </c>
      <c r="Y808" s="53">
        <f t="shared" si="671"/>
        <v>3527.3133010616411</v>
      </c>
      <c r="Z808" s="53">
        <f t="shared" si="672"/>
        <v>3423.0036470224641</v>
      </c>
      <c r="AA808" s="53">
        <f t="shared" si="673"/>
        <v>3318.693992983287</v>
      </c>
      <c r="AC808" s="53">
        <f t="shared" si="674"/>
        <v>274.49908957678139</v>
      </c>
      <c r="AD808" s="53">
        <f t="shared" si="661"/>
        <v>290.35196099801971</v>
      </c>
      <c r="AE808" s="53">
        <f t="shared" si="661"/>
        <v>312.32579740634986</v>
      </c>
      <c r="AF808" s="53">
        <f t="shared" si="661"/>
        <v>319.78663605479272</v>
      </c>
      <c r="AG808" s="53">
        <f t="shared" si="661"/>
        <v>323.92211683225327</v>
      </c>
      <c r="AI808" s="53">
        <f t="shared" si="675"/>
        <v>2533.6265967936924</v>
      </c>
      <c r="AJ808" s="53">
        <f t="shared" si="676"/>
        <v>3805.3128030287057</v>
      </c>
      <c r="AK808" s="53">
        <f t="shared" si="677"/>
        <v>3839.6390984679911</v>
      </c>
      <c r="AL808" s="53">
        <f t="shared" si="678"/>
        <v>3742.7902830772568</v>
      </c>
      <c r="AM808" s="53">
        <f t="shared" si="679"/>
        <v>3642.6161098155403</v>
      </c>
    </row>
    <row r="809" spans="1:39">
      <c r="A809" s="240"/>
      <c r="B809" s="43" t="str">
        <f>'8. Input IC huur Gasunie'!B265</f>
        <v>Asset 7</v>
      </c>
      <c r="F809" s="43" t="str">
        <f>'8. Input IC huur Gasunie'!F265</f>
        <v>13 Aanhangwagens</v>
      </c>
      <c r="G809" s="43">
        <f>'8. Input IC huur Gasunie'!G265</f>
        <v>2022</v>
      </c>
      <c r="H809" s="48">
        <f>'8. Input IC huur Gasunie'!H265</f>
        <v>5479.9654928677874</v>
      </c>
      <c r="I809" s="43">
        <f>'8. Input IC huur Gasunie'!I265</f>
        <v>10</v>
      </c>
      <c r="K809" s="49">
        <f t="shared" si="663"/>
        <v>273.99827464338938</v>
      </c>
      <c r="L809" s="49">
        <f t="shared" si="658"/>
        <v>547.99654928677865</v>
      </c>
      <c r="M809" s="49">
        <f t="shared" si="658"/>
        <v>547.99654928677865</v>
      </c>
      <c r="N809" s="49">
        <f t="shared" si="658"/>
        <v>547.99654928677865</v>
      </c>
      <c r="O809" s="49">
        <f t="shared" si="658"/>
        <v>547.99654928677865</v>
      </c>
      <c r="Q809" s="53">
        <f t="shared" si="664"/>
        <v>5205.9672182243976</v>
      </c>
      <c r="R809" s="53">
        <f t="shared" si="665"/>
        <v>4657.9706689376189</v>
      </c>
      <c r="S809" s="53">
        <f t="shared" si="666"/>
        <v>4109.9741196508403</v>
      </c>
      <c r="T809" s="53">
        <f t="shared" si="667"/>
        <v>3561.9775703640616</v>
      </c>
      <c r="U809" s="53">
        <f t="shared" si="668"/>
        <v>3013.981021077283</v>
      </c>
      <c r="W809" s="53">
        <f t="shared" si="669"/>
        <v>451.00116006301892</v>
      </c>
      <c r="X809" s="53">
        <f t="shared" si="670"/>
        <v>701.7095813617201</v>
      </c>
      <c r="Y809" s="53">
        <f t="shared" si="671"/>
        <v>704.17556583351052</v>
      </c>
      <c r="Z809" s="53">
        <f t="shared" si="672"/>
        <v>683.35169696061303</v>
      </c>
      <c r="AA809" s="53">
        <f t="shared" si="673"/>
        <v>662.52782808771542</v>
      </c>
      <c r="AC809" s="53">
        <f t="shared" si="674"/>
        <v>54.799654928677874</v>
      </c>
      <c r="AD809" s="53">
        <f t="shared" si="661"/>
        <v>57.964444600118881</v>
      </c>
      <c r="AE809" s="53">
        <f t="shared" si="661"/>
        <v>62.351193767455889</v>
      </c>
      <c r="AF809" s="53">
        <f t="shared" si="661"/>
        <v>63.840639084172864</v>
      </c>
      <c r="AG809" s="53">
        <f t="shared" si="661"/>
        <v>64.666226228809379</v>
      </c>
      <c r="AI809" s="53">
        <f t="shared" si="675"/>
        <v>505.80081499169677</v>
      </c>
      <c r="AJ809" s="53">
        <f t="shared" si="676"/>
        <v>759.67402596183899</v>
      </c>
      <c r="AK809" s="53">
        <f t="shared" si="677"/>
        <v>766.52675960096644</v>
      </c>
      <c r="AL809" s="53">
        <f t="shared" si="678"/>
        <v>747.19233604478586</v>
      </c>
      <c r="AM809" s="53">
        <f t="shared" si="679"/>
        <v>727.19405431652478</v>
      </c>
    </row>
    <row r="810" spans="1:39">
      <c r="A810" s="240"/>
      <c r="B810" s="43" t="str">
        <f>'8. Input IC huur Gasunie'!B266</f>
        <v>Asset 8</v>
      </c>
      <c r="F810" s="43" t="str">
        <f>'8. Input IC huur Gasunie'!F266</f>
        <v>20 Kantoorgebouwen</v>
      </c>
      <c r="G810" s="43">
        <f>'8. Input IC huur Gasunie'!G266</f>
        <v>2022</v>
      </c>
      <c r="H810" s="48">
        <f>'8. Input IC huur Gasunie'!H266</f>
        <v>1725081.9671582393</v>
      </c>
      <c r="I810" s="43">
        <f>'8. Input IC huur Gasunie'!I266</f>
        <v>30</v>
      </c>
      <c r="K810" s="49">
        <f t="shared" si="663"/>
        <v>28751.366119303988</v>
      </c>
      <c r="L810" s="49">
        <f t="shared" si="658"/>
        <v>57502.732238607976</v>
      </c>
      <c r="M810" s="49">
        <f t="shared" si="658"/>
        <v>57502.732238607976</v>
      </c>
      <c r="N810" s="49">
        <f t="shared" si="658"/>
        <v>57502.732238607976</v>
      </c>
      <c r="O810" s="49">
        <f t="shared" si="658"/>
        <v>57502.732238607976</v>
      </c>
      <c r="Q810" s="53">
        <f t="shared" si="664"/>
        <v>1696330.6010389354</v>
      </c>
      <c r="R810" s="53">
        <f t="shared" si="665"/>
        <v>1638827.8688003274</v>
      </c>
      <c r="S810" s="53">
        <f t="shared" si="666"/>
        <v>1581325.1365617195</v>
      </c>
      <c r="T810" s="53">
        <f t="shared" si="667"/>
        <v>1523822.4043231115</v>
      </c>
      <c r="U810" s="53">
        <f t="shared" si="668"/>
        <v>1466319.6720845036</v>
      </c>
      <c r="W810" s="53">
        <f t="shared" si="669"/>
        <v>86426.606554627797</v>
      </c>
      <c r="X810" s="53">
        <f t="shared" si="670"/>
        <v>111584.05190901877</v>
      </c>
      <c r="Y810" s="53">
        <f t="shared" si="671"/>
        <v>117593.08742795332</v>
      </c>
      <c r="Z810" s="53">
        <f t="shared" si="672"/>
        <v>115407.9836028862</v>
      </c>
      <c r="AA810" s="53">
        <f t="shared" si="673"/>
        <v>113222.87977781911</v>
      </c>
      <c r="AC810" s="53">
        <f t="shared" si="674"/>
        <v>17250.819671582394</v>
      </c>
      <c r="AD810" s="53">
        <f t="shared" si="661"/>
        <v>18247.089009255622</v>
      </c>
      <c r="AE810" s="53">
        <f t="shared" si="661"/>
        <v>19628.028705476088</v>
      </c>
      <c r="AF810" s="53">
        <f t="shared" si="661"/>
        <v>20096.903055192499</v>
      </c>
      <c r="AG810" s="53">
        <f t="shared" si="661"/>
        <v>20356.796205502247</v>
      </c>
      <c r="AI810" s="53">
        <f t="shared" si="675"/>
        <v>103677.4262262102</v>
      </c>
      <c r="AJ810" s="53">
        <f t="shared" si="676"/>
        <v>129831.1409182744</v>
      </c>
      <c r="AK810" s="53">
        <f t="shared" si="677"/>
        <v>137221.1161334294</v>
      </c>
      <c r="AL810" s="53">
        <f t="shared" si="678"/>
        <v>135504.8866580787</v>
      </c>
      <c r="AM810" s="53">
        <f t="shared" si="679"/>
        <v>133579.67598332136</v>
      </c>
    </row>
    <row r="811" spans="1:39">
      <c r="A811" s="240"/>
      <c r="B811" s="43" t="str">
        <f>'8. Input IC huur Gasunie'!B267</f>
        <v>Asset 9</v>
      </c>
      <c r="F811" s="43" t="str">
        <f>'8. Input IC huur Gasunie'!F267</f>
        <v>37 ICT middelen 1</v>
      </c>
      <c r="G811" s="43">
        <f>'8. Input IC huur Gasunie'!G267</f>
        <v>2022</v>
      </c>
      <c r="H811" s="48">
        <f>'8. Input IC huur Gasunie'!H267</f>
        <v>4476157.998399551</v>
      </c>
      <c r="I811" s="43">
        <f>'8. Input IC huur Gasunie'!I267</f>
        <v>5</v>
      </c>
      <c r="K811" s="49">
        <f t="shared" si="663"/>
        <v>447615.79983995511</v>
      </c>
      <c r="L811" s="49">
        <f t="shared" si="658"/>
        <v>895231.59967991011</v>
      </c>
      <c r="M811" s="49">
        <f t="shared" si="658"/>
        <v>895231.59967991011</v>
      </c>
      <c r="N811" s="49">
        <f t="shared" si="658"/>
        <v>895231.59967991011</v>
      </c>
      <c r="O811" s="49">
        <f t="shared" si="658"/>
        <v>895231.59967991011</v>
      </c>
      <c r="Q811" s="53">
        <f t="shared" si="664"/>
        <v>4028542.1985595957</v>
      </c>
      <c r="R811" s="53">
        <f t="shared" si="665"/>
        <v>3133310.5988796856</v>
      </c>
      <c r="S811" s="53">
        <f t="shared" si="666"/>
        <v>2238078.9991997755</v>
      </c>
      <c r="T811" s="53">
        <f t="shared" si="667"/>
        <v>1342847.3995198654</v>
      </c>
      <c r="U811" s="53">
        <f t="shared" si="668"/>
        <v>447615.79983995529</v>
      </c>
      <c r="W811" s="53">
        <f t="shared" si="669"/>
        <v>584586.23459098139</v>
      </c>
      <c r="X811" s="53">
        <f t="shared" si="670"/>
        <v>998630.84944293974</v>
      </c>
      <c r="Y811" s="53">
        <f t="shared" si="671"/>
        <v>980278.60164950159</v>
      </c>
      <c r="Z811" s="53">
        <f t="shared" si="672"/>
        <v>946259.80086166505</v>
      </c>
      <c r="AA811" s="53">
        <f t="shared" si="673"/>
        <v>912241.00007382839</v>
      </c>
      <c r="AC811" s="53">
        <f t="shared" si="674"/>
        <v>44761.579983995514</v>
      </c>
      <c r="AD811" s="53">
        <f t="shared" si="661"/>
        <v>47346.650751231224</v>
      </c>
      <c r="AE811" s="53">
        <f t="shared" si="661"/>
        <v>50929.845280084417</v>
      </c>
      <c r="AF811" s="53">
        <f t="shared" si="661"/>
        <v>52146.457424135064</v>
      </c>
      <c r="AG811" s="53">
        <f t="shared" si="661"/>
        <v>52820.815411543976</v>
      </c>
      <c r="AI811" s="53">
        <f t="shared" si="675"/>
        <v>629347.81457497692</v>
      </c>
      <c r="AJ811" s="53">
        <f t="shared" si="676"/>
        <v>1045977.500194171</v>
      </c>
      <c r="AK811" s="53">
        <f t="shared" si="677"/>
        <v>1031208.446929586</v>
      </c>
      <c r="AL811" s="53">
        <f t="shared" si="678"/>
        <v>998406.25828580011</v>
      </c>
      <c r="AM811" s="53">
        <f t="shared" si="679"/>
        <v>965061.81548537232</v>
      </c>
    </row>
    <row r="812" spans="1:39">
      <c r="A812" s="240"/>
      <c r="B812" s="43" t="str">
        <f>'8. Input IC huur Gasunie'!B268</f>
        <v>Asset 10</v>
      </c>
      <c r="F812" s="43" t="str">
        <f>'8. Input IC huur Gasunie'!F268</f>
        <v>38 ICT middelen 2</v>
      </c>
      <c r="G812" s="43">
        <f>'8. Input IC huur Gasunie'!G268</f>
        <v>2022</v>
      </c>
      <c r="H812" s="48">
        <f>'8. Input IC huur Gasunie'!H268</f>
        <v>7088672.5580014829</v>
      </c>
      <c r="I812" s="43">
        <f>'8. Input IC huur Gasunie'!I268</f>
        <v>10</v>
      </c>
      <c r="K812" s="49">
        <f t="shared" si="663"/>
        <v>354433.62790007418</v>
      </c>
      <c r="L812" s="49">
        <f t="shared" si="658"/>
        <v>708867.25580014824</v>
      </c>
      <c r="M812" s="49">
        <f t="shared" si="658"/>
        <v>708867.25580014824</v>
      </c>
      <c r="N812" s="49">
        <f t="shared" si="658"/>
        <v>708867.25580014824</v>
      </c>
      <c r="O812" s="49">
        <f t="shared" si="658"/>
        <v>708867.25580014824</v>
      </c>
      <c r="Q812" s="53">
        <f t="shared" si="664"/>
        <v>6734238.9301014086</v>
      </c>
      <c r="R812" s="53">
        <f t="shared" si="665"/>
        <v>6025371.6743012602</v>
      </c>
      <c r="S812" s="53">
        <f t="shared" si="666"/>
        <v>5316504.4185011117</v>
      </c>
      <c r="T812" s="53">
        <f t="shared" si="667"/>
        <v>4607637.1627009632</v>
      </c>
      <c r="U812" s="53">
        <f t="shared" si="668"/>
        <v>3898769.9069008147</v>
      </c>
      <c r="W812" s="53">
        <f t="shared" si="669"/>
        <v>583397.75152352208</v>
      </c>
      <c r="X812" s="53">
        <f t="shared" si="670"/>
        <v>907704.52105208987</v>
      </c>
      <c r="Y812" s="53">
        <f t="shared" si="671"/>
        <v>910894.42370319052</v>
      </c>
      <c r="Z812" s="53">
        <f t="shared" si="672"/>
        <v>883957.46798278484</v>
      </c>
      <c r="AA812" s="53">
        <f t="shared" si="673"/>
        <v>857020.51226237917</v>
      </c>
      <c r="AC812" s="53">
        <f t="shared" si="674"/>
        <v>70886.725580014827</v>
      </c>
      <c r="AD812" s="53">
        <f t="shared" si="661"/>
        <v>74980.575755711849</v>
      </c>
      <c r="AE812" s="53">
        <f t="shared" si="661"/>
        <v>80655.105728904135</v>
      </c>
      <c r="AF812" s="53">
        <f t="shared" si="661"/>
        <v>82581.794894556195</v>
      </c>
      <c r="AG812" s="53">
        <f t="shared" si="661"/>
        <v>83649.742666132588</v>
      </c>
      <c r="AI812" s="53">
        <f t="shared" si="675"/>
        <v>654284.47710353695</v>
      </c>
      <c r="AJ812" s="53">
        <f t="shared" si="676"/>
        <v>982685.09680780175</v>
      </c>
      <c r="AK812" s="53">
        <f t="shared" si="677"/>
        <v>991549.52943209466</v>
      </c>
      <c r="AL812" s="53">
        <f t="shared" si="678"/>
        <v>966539.26287734101</v>
      </c>
      <c r="AM812" s="53">
        <f t="shared" si="679"/>
        <v>940670.2549285118</v>
      </c>
    </row>
    <row r="813" spans="1:39">
      <c r="A813" s="240"/>
      <c r="B813" s="43" t="str">
        <f>'8. Input IC huur Gasunie'!B269</f>
        <v>Asset 11</v>
      </c>
      <c r="F813" s="43" t="str">
        <f>'8. Input IC huur Gasunie'!F269</f>
        <v>05 Wegen en terreinvoorzieningen</v>
      </c>
      <c r="G813" s="43">
        <f>'8. Input IC huur Gasunie'!G269</f>
        <v>2023</v>
      </c>
      <c r="H813" s="48">
        <f>'8. Input IC huur Gasunie'!H269</f>
        <v>11177.445801540334</v>
      </c>
      <c r="I813" s="43">
        <f>'8. Input IC huur Gasunie'!I269</f>
        <v>10</v>
      </c>
      <c r="K813" s="49">
        <f t="shared" si="663"/>
        <v>0</v>
      </c>
      <c r="L813" s="49">
        <f t="shared" si="658"/>
        <v>558.87229007701671</v>
      </c>
      <c r="M813" s="49">
        <f t="shared" si="658"/>
        <v>1117.7445801540334</v>
      </c>
      <c r="N813" s="49">
        <f t="shared" si="658"/>
        <v>1117.7445801540334</v>
      </c>
      <c r="O813" s="49">
        <f t="shared" si="658"/>
        <v>1117.7445801540334</v>
      </c>
      <c r="Q813" s="53">
        <f t="shared" si="664"/>
        <v>0</v>
      </c>
      <c r="R813" s="53">
        <f t="shared" si="665"/>
        <v>10618.573511463317</v>
      </c>
      <c r="S813" s="53">
        <f t="shared" si="666"/>
        <v>9500.8289313092828</v>
      </c>
      <c r="T813" s="53">
        <f t="shared" si="667"/>
        <v>8383.0843511552484</v>
      </c>
      <c r="U813" s="53">
        <f t="shared" si="668"/>
        <v>7265.339771001215</v>
      </c>
      <c r="W813" s="53">
        <f t="shared" si="669"/>
        <v>0</v>
      </c>
      <c r="X813" s="53">
        <f t="shared" si="670"/>
        <v>909.28521595530617</v>
      </c>
      <c r="Y813" s="53">
        <f t="shared" si="671"/>
        <v>1478.7760795437862</v>
      </c>
      <c r="Z813" s="53">
        <f t="shared" si="672"/>
        <v>1436.301785497933</v>
      </c>
      <c r="AA813" s="53">
        <f t="shared" si="673"/>
        <v>1393.8274914520796</v>
      </c>
      <c r="AC813" s="53">
        <f t="shared" si="674"/>
        <v>0</v>
      </c>
      <c r="AD813" s="53">
        <f t="shared" si="661"/>
        <v>111.77445801540334</v>
      </c>
      <c r="AE813" s="53">
        <f t="shared" si="661"/>
        <v>120.23354899800908</v>
      </c>
      <c r="AF813" s="53">
        <f t="shared" si="661"/>
        <v>123.10568801647352</v>
      </c>
      <c r="AG813" s="53">
        <f t="shared" si="661"/>
        <v>124.69769077390255</v>
      </c>
      <c r="AI813" s="53">
        <f t="shared" si="675"/>
        <v>0</v>
      </c>
      <c r="AJ813" s="53">
        <f t="shared" si="676"/>
        <v>1021.0596739707095</v>
      </c>
      <c r="AK813" s="53">
        <f t="shared" si="677"/>
        <v>1599.0096285417953</v>
      </c>
      <c r="AL813" s="53">
        <f t="shared" si="678"/>
        <v>1559.4074735144065</v>
      </c>
      <c r="AM813" s="53">
        <f t="shared" si="679"/>
        <v>1518.5251822259822</v>
      </c>
    </row>
    <row r="814" spans="1:39">
      <c r="A814" s="240"/>
      <c r="B814" s="43" t="str">
        <f>'8. Input IC huur Gasunie'!B270</f>
        <v>Asset 12</v>
      </c>
      <c r="F814" s="43" t="str">
        <f>'8. Input IC huur Gasunie'!F270</f>
        <v>06 Utiliteitsgebouwen</v>
      </c>
      <c r="G814" s="43">
        <f>'8. Input IC huur Gasunie'!G270</f>
        <v>2023</v>
      </c>
      <c r="H814" s="48">
        <f>'8. Input IC huur Gasunie'!H270</f>
        <v>-4073.7374626236651</v>
      </c>
      <c r="I814" s="43">
        <f>'8. Input IC huur Gasunie'!I270</f>
        <v>30</v>
      </c>
      <c r="K814" s="49">
        <f t="shared" si="663"/>
        <v>0</v>
      </c>
      <c r="L814" s="49">
        <f t="shared" si="658"/>
        <v>67.895624377061083</v>
      </c>
      <c r="M814" s="49">
        <f t="shared" si="658"/>
        <v>135.79124875412217</v>
      </c>
      <c r="N814" s="49">
        <f t="shared" si="658"/>
        <v>135.79124875412217</v>
      </c>
      <c r="O814" s="49">
        <f t="shared" si="658"/>
        <v>135.79124875412217</v>
      </c>
      <c r="Q814" s="53">
        <f t="shared" si="664"/>
        <v>0</v>
      </c>
      <c r="R814" s="53">
        <f t="shared" si="665"/>
        <v>-4141.6330870007259</v>
      </c>
      <c r="S814" s="53">
        <f t="shared" si="666"/>
        <v>-4277.4243357548485</v>
      </c>
      <c r="T814" s="53">
        <f t="shared" si="667"/>
        <v>-4413.215584508971</v>
      </c>
      <c r="U814" s="53">
        <f t="shared" si="668"/>
        <v>-4549.0068332630935</v>
      </c>
      <c r="W814" s="53">
        <f t="shared" si="669"/>
        <v>0</v>
      </c>
      <c r="X814" s="53">
        <f t="shared" si="670"/>
        <v>-68.778267493962872</v>
      </c>
      <c r="Y814" s="53">
        <f t="shared" si="671"/>
        <v>-26.750876004562059</v>
      </c>
      <c r="Z814" s="53">
        <f t="shared" si="672"/>
        <v>-31.910943457218735</v>
      </c>
      <c r="AA814" s="53">
        <f t="shared" si="673"/>
        <v>-37.071010909875383</v>
      </c>
      <c r="AC814" s="53">
        <f t="shared" si="674"/>
        <v>0</v>
      </c>
      <c r="AD814" s="53">
        <f t="shared" si="661"/>
        <v>-40.737374626236651</v>
      </c>
      <c r="AE814" s="53">
        <f t="shared" si="661"/>
        <v>-43.820379137950248</v>
      </c>
      <c r="AF814" s="53">
        <f t="shared" si="661"/>
        <v>-44.867160354797598</v>
      </c>
      <c r="AG814" s="53">
        <f t="shared" si="661"/>
        <v>-45.447382472505836</v>
      </c>
      <c r="AI814" s="53">
        <f t="shared" si="675"/>
        <v>0</v>
      </c>
      <c r="AJ814" s="53">
        <f t="shared" si="676"/>
        <v>-109.51564212019952</v>
      </c>
      <c r="AK814" s="53">
        <f t="shared" si="677"/>
        <v>-70.571255142512314</v>
      </c>
      <c r="AL814" s="53">
        <f t="shared" si="678"/>
        <v>-76.778103812016326</v>
      </c>
      <c r="AM814" s="53">
        <f t="shared" si="679"/>
        <v>-82.51839338238122</v>
      </c>
    </row>
    <row r="815" spans="1:39">
      <c r="A815" s="240"/>
      <c r="B815" s="43" t="str">
        <f>'8. Input IC huur Gasunie'!B271</f>
        <v>Asset 13</v>
      </c>
      <c r="F815" s="43" t="str">
        <f>'8. Input IC huur Gasunie'!F271</f>
        <v>08 Inrichting gebouwen</v>
      </c>
      <c r="G815" s="43">
        <f>'8. Input IC huur Gasunie'!G271</f>
        <v>2023</v>
      </c>
      <c r="H815" s="48">
        <f>'8. Input IC huur Gasunie'!H271</f>
        <v>17573.135050625202</v>
      </c>
      <c r="I815" s="43">
        <f>'8. Input IC huur Gasunie'!I271</f>
        <v>10</v>
      </c>
      <c r="K815" s="49">
        <f t="shared" si="663"/>
        <v>0</v>
      </c>
      <c r="L815" s="49">
        <f t="shared" si="658"/>
        <v>878.65675253126017</v>
      </c>
      <c r="M815" s="49">
        <f t="shared" si="658"/>
        <v>1757.3135050625201</v>
      </c>
      <c r="N815" s="49">
        <f t="shared" si="658"/>
        <v>1757.3135050625201</v>
      </c>
      <c r="O815" s="49">
        <f t="shared" si="658"/>
        <v>1757.3135050625201</v>
      </c>
      <c r="Q815" s="53">
        <f t="shared" si="664"/>
        <v>0</v>
      </c>
      <c r="R815" s="53">
        <f t="shared" si="665"/>
        <v>16694.478298093942</v>
      </c>
      <c r="S815" s="53">
        <f t="shared" si="666"/>
        <v>14937.164793031421</v>
      </c>
      <c r="T815" s="53">
        <f t="shared" si="667"/>
        <v>13179.851287968901</v>
      </c>
      <c r="U815" s="53">
        <f t="shared" si="668"/>
        <v>11422.53778290638</v>
      </c>
      <c r="W815" s="53">
        <f t="shared" si="669"/>
        <v>0</v>
      </c>
      <c r="X815" s="53">
        <f t="shared" si="670"/>
        <v>1429.5745363683602</v>
      </c>
      <c r="Y815" s="53">
        <f t="shared" si="671"/>
        <v>2324.9257671977139</v>
      </c>
      <c r="Z815" s="53">
        <f t="shared" si="672"/>
        <v>2258.1478540053386</v>
      </c>
      <c r="AA815" s="53">
        <f t="shared" si="673"/>
        <v>2191.3699408129623</v>
      </c>
      <c r="AC815" s="53">
        <f t="shared" si="674"/>
        <v>0</v>
      </c>
      <c r="AD815" s="53">
        <f t="shared" si="661"/>
        <v>175.73135050625203</v>
      </c>
      <c r="AE815" s="53">
        <f t="shared" si="661"/>
        <v>189.03069911256517</v>
      </c>
      <c r="AF815" s="53">
        <f t="shared" si="661"/>
        <v>193.54626445296617</v>
      </c>
      <c r="AG815" s="53">
        <f t="shared" si="661"/>
        <v>196.04920474487187</v>
      </c>
      <c r="AI815" s="53">
        <f t="shared" si="675"/>
        <v>0</v>
      </c>
      <c r="AJ815" s="53">
        <f t="shared" si="676"/>
        <v>1605.3058868746123</v>
      </c>
      <c r="AK815" s="53">
        <f t="shared" si="677"/>
        <v>2513.9564663102792</v>
      </c>
      <c r="AL815" s="53">
        <f t="shared" si="678"/>
        <v>2451.6941184583047</v>
      </c>
      <c r="AM815" s="53">
        <f t="shared" si="679"/>
        <v>2387.4191455578343</v>
      </c>
    </row>
    <row r="816" spans="1:39">
      <c r="A816" s="240"/>
      <c r="B816" s="43" t="str">
        <f>'8. Input IC huur Gasunie'!B272</f>
        <v>Asset 14</v>
      </c>
      <c r="F816" s="43" t="str">
        <f>'8. Input IC huur Gasunie'!F272</f>
        <v>10 Gereedschap</v>
      </c>
      <c r="G816" s="43">
        <f>'8. Input IC huur Gasunie'!G272</f>
        <v>2023</v>
      </c>
      <c r="H816" s="48">
        <f>'8. Input IC huur Gasunie'!H272</f>
        <v>67874.603678325308</v>
      </c>
      <c r="I816" s="43">
        <f>'8. Input IC huur Gasunie'!I272</f>
        <v>10</v>
      </c>
      <c r="K816" s="49">
        <f t="shared" si="663"/>
        <v>0</v>
      </c>
      <c r="L816" s="49">
        <f t="shared" si="658"/>
        <v>3393.7301839162656</v>
      </c>
      <c r="M816" s="49">
        <f t="shared" si="658"/>
        <v>6787.4603678325302</v>
      </c>
      <c r="N816" s="49">
        <f t="shared" si="658"/>
        <v>6787.4603678325302</v>
      </c>
      <c r="O816" s="49">
        <f t="shared" si="658"/>
        <v>6787.4603678325302</v>
      </c>
      <c r="Q816" s="53">
        <f t="shared" si="664"/>
        <v>0</v>
      </c>
      <c r="R816" s="53">
        <f t="shared" si="665"/>
        <v>64480.873494409039</v>
      </c>
      <c r="S816" s="53">
        <f t="shared" si="666"/>
        <v>57693.41312657651</v>
      </c>
      <c r="T816" s="53">
        <f t="shared" si="667"/>
        <v>50905.952758743981</v>
      </c>
      <c r="U816" s="53">
        <f t="shared" si="668"/>
        <v>44118.492390911451</v>
      </c>
      <c r="W816" s="53">
        <f t="shared" si="669"/>
        <v>0</v>
      </c>
      <c r="X816" s="53">
        <f t="shared" si="670"/>
        <v>5521.5990092317643</v>
      </c>
      <c r="Y816" s="53">
        <f t="shared" si="671"/>
        <v>8979.810066642438</v>
      </c>
      <c r="Z816" s="53">
        <f t="shared" si="672"/>
        <v>8721.8865726648019</v>
      </c>
      <c r="AA816" s="53">
        <f t="shared" si="673"/>
        <v>8463.9630786871658</v>
      </c>
      <c r="AC816" s="53">
        <f t="shared" si="674"/>
        <v>0</v>
      </c>
      <c r="AD816" s="53">
        <f t="shared" si="661"/>
        <v>678.74603678325309</v>
      </c>
      <c r="AE816" s="53">
        <f t="shared" si="661"/>
        <v>730.11353684700964</v>
      </c>
      <c r="AF816" s="53">
        <f t="shared" si="661"/>
        <v>747.55448901521117</v>
      </c>
      <c r="AG816" s="53">
        <f t="shared" si="661"/>
        <v>757.22186366715573</v>
      </c>
      <c r="AI816" s="53">
        <f t="shared" si="675"/>
        <v>0</v>
      </c>
      <c r="AJ816" s="53">
        <f t="shared" si="676"/>
        <v>6200.345046015017</v>
      </c>
      <c r="AK816" s="53">
        <f t="shared" si="677"/>
        <v>9709.9236034894475</v>
      </c>
      <c r="AL816" s="53">
        <f t="shared" si="678"/>
        <v>9469.4410616800124</v>
      </c>
      <c r="AM816" s="53">
        <f t="shared" si="679"/>
        <v>9221.1849423543208</v>
      </c>
    </row>
    <row r="817" spans="1:39">
      <c r="A817" s="240"/>
      <c r="B817" s="43" t="str">
        <f>'8. Input IC huur Gasunie'!B273</f>
        <v>Asset 15</v>
      </c>
      <c r="F817" s="43" t="str">
        <f>'8. Input IC huur Gasunie'!F273</f>
        <v>11 Werktuigen</v>
      </c>
      <c r="G817" s="43">
        <f>'8. Input IC huur Gasunie'!G273</f>
        <v>2023</v>
      </c>
      <c r="H817" s="48">
        <f>'8. Input IC huur Gasunie'!H273</f>
        <v>855785.56065618468</v>
      </c>
      <c r="I817" s="43">
        <f>'8. Input IC huur Gasunie'!I273</f>
        <v>10</v>
      </c>
      <c r="K817" s="49">
        <f>IF($I817=0,0,IF($G817&lt;=K$801,VDB(ABS($H817),0,$I817,MAX(0,K$801-$G817-0.5),MIN(K$801-$G817+0.5),1),0))</f>
        <v>0</v>
      </c>
      <c r="L817" s="49">
        <f t="shared" si="658"/>
        <v>42789.278032809234</v>
      </c>
      <c r="M817" s="49">
        <f t="shared" si="658"/>
        <v>85578.556065618468</v>
      </c>
      <c r="N817" s="49">
        <f t="shared" si="658"/>
        <v>85578.556065618468</v>
      </c>
      <c r="O817" s="49">
        <f t="shared" si="658"/>
        <v>85578.556065618468</v>
      </c>
      <c r="Q817" s="53">
        <f>IF($I817=0,$H817,IF(OR($G817&gt;Q$801,$G817+$I817&lt;=Q$801),0,IF($G817=Q$801,$H817-K817,$H817-K817)))</f>
        <v>0</v>
      </c>
      <c r="R817" s="53">
        <f>IF($I817=0,$H817,IF(OR($G817&gt;R$801,$G817+$I817&lt;=R$801),0,IF($G817=R$801,$H817-L817,Q817-L817)))</f>
        <v>812996.28262337542</v>
      </c>
      <c r="S817" s="53">
        <f t="shared" si="666"/>
        <v>727417.72655775701</v>
      </c>
      <c r="T817" s="53">
        <f t="shared" si="667"/>
        <v>641839.17049213848</v>
      </c>
      <c r="U817" s="53">
        <f t="shared" si="668"/>
        <v>556260.61442651995</v>
      </c>
      <c r="W817" s="53">
        <f>(K817+Q817*I$16)</f>
        <v>0</v>
      </c>
      <c r="X817" s="53">
        <f t="shared" si="670"/>
        <v>69618.155359380617</v>
      </c>
      <c r="Y817" s="53">
        <f t="shared" si="671"/>
        <v>113220.42967481323</v>
      </c>
      <c r="Z817" s="53">
        <f t="shared" si="672"/>
        <v>109968.44454431973</v>
      </c>
      <c r="AA817" s="53">
        <f t="shared" si="673"/>
        <v>106716.45941382623</v>
      </c>
      <c r="AC817" s="53">
        <f>IF(AC$801&gt;=$G817,$H817*INDEX($G$40:$M$46,$G817-2019,AC$801-2019)*INDEX($G$49:$M$55,$G817-2019,AC$801-2019)*$F$28,0)</f>
        <v>0</v>
      </c>
      <c r="AD817" s="53">
        <f t="shared" si="661"/>
        <v>8557.8556065618468</v>
      </c>
      <c r="AE817" s="53">
        <f t="shared" si="661"/>
        <v>9205.5141188664493</v>
      </c>
      <c r="AF817" s="53">
        <f t="shared" si="661"/>
        <v>9425.415440137931</v>
      </c>
      <c r="AG817" s="53">
        <f t="shared" si="661"/>
        <v>9547.3049126097922</v>
      </c>
      <c r="AI817" s="53">
        <f>W817+AC817</f>
        <v>0</v>
      </c>
      <c r="AJ817" s="53">
        <f t="shared" si="676"/>
        <v>78176.010965942463</v>
      </c>
      <c r="AK817" s="53">
        <f t="shared" si="677"/>
        <v>122425.94379367967</v>
      </c>
      <c r="AL817" s="53">
        <f t="shared" si="678"/>
        <v>119393.85998445767</v>
      </c>
      <c r="AM817" s="53">
        <f t="shared" si="679"/>
        <v>116263.76432643602</v>
      </c>
    </row>
    <row r="818" spans="1:39">
      <c r="A818" s="240"/>
      <c r="B818" s="43" t="str">
        <f>'8. Input IC huur Gasunie'!B274</f>
        <v>Asset 16</v>
      </c>
      <c r="F818" s="43" t="str">
        <f>'8. Input IC huur Gasunie'!F274</f>
        <v>20 Kantoorgebouwen</v>
      </c>
      <c r="G818" s="43">
        <f>'8. Input IC huur Gasunie'!G274</f>
        <v>2023</v>
      </c>
      <c r="H818" s="48">
        <f>'8. Input IC huur Gasunie'!H274</f>
        <v>1174802.9772874359</v>
      </c>
      <c r="I818" s="43">
        <f>'8. Input IC huur Gasunie'!I274</f>
        <v>30</v>
      </c>
      <c r="K818" s="49">
        <f t="shared" si="663"/>
        <v>0</v>
      </c>
      <c r="L818" s="49">
        <f t="shared" si="658"/>
        <v>19580.049621457267</v>
      </c>
      <c r="M818" s="49">
        <f t="shared" si="658"/>
        <v>39160.099242914534</v>
      </c>
      <c r="N818" s="49">
        <f t="shared" si="658"/>
        <v>39160.099242914534</v>
      </c>
      <c r="O818" s="49">
        <f t="shared" si="658"/>
        <v>39160.099242914534</v>
      </c>
      <c r="Q818" s="53">
        <f t="shared" ref="Q818:Q820" si="680">IF($I818=0,$H818,IF(OR($G818&gt;Q$801,$G818+$I818&lt;=Q$801),0,IF($G818=Q$801,$H818-K818,$H818-K818)))</f>
        <v>0</v>
      </c>
      <c r="R818" s="53">
        <f t="shared" ref="R818:R820" si="681">IF($I818=0,$H818,IF(OR($G818&gt;R$801,$G818+$I818&lt;=R$801),0,IF($G818=R$801,$H818-L818,Q818-L818)))</f>
        <v>1155222.9276659787</v>
      </c>
      <c r="S818" s="53">
        <f t="shared" ref="S818:S820" si="682">IF($I818=0,$H818,IF(OR($G818&gt;S$801,$G818+$I818&lt;=S$801),0,IF($G818=S$801,$H818-M818,R818-M818)))</f>
        <v>1116062.8284230642</v>
      </c>
      <c r="T818" s="53">
        <f t="shared" ref="T818:T820" si="683">IF($I818=0,$H818,IF(OR($G818&gt;T$801,$G818+$I818&lt;=T$801),0,IF($G818=T$801,$H818-N818,S818-N818)))</f>
        <v>1076902.7291801497</v>
      </c>
      <c r="U818" s="53">
        <f t="shared" ref="U818:U820" si="684">IF($I818=0,$H818,IF(OR($G818&gt;U$801,$G818+$I818&lt;=U$801),0,IF($G818=U$801,$H818-O818,T818-O818)))</f>
        <v>1037742.6299372351</v>
      </c>
      <c r="W818" s="53">
        <f t="shared" ref="W818:W820" si="685">(K818+Q818*I$16)</f>
        <v>0</v>
      </c>
      <c r="X818" s="53">
        <f t="shared" ref="X818:X820" si="686">(L818+R818*J$16)</f>
        <v>57702.406234434558</v>
      </c>
      <c r="Y818" s="53">
        <f t="shared" ref="Y818:Y820" si="687">(M818+S818*K$16)</f>
        <v>81570.486722990972</v>
      </c>
      <c r="Z818" s="53">
        <f t="shared" ref="Z818:Z820" si="688">(N818+T818*L$16)</f>
        <v>80082.402951760218</v>
      </c>
      <c r="AA818" s="53">
        <f t="shared" ref="AA818:AA820" si="689">(O818+U818*M$16)</f>
        <v>78594.319180529477</v>
      </c>
      <c r="AC818" s="53">
        <f t="shared" si="674"/>
        <v>0</v>
      </c>
      <c r="AD818" s="53">
        <f t="shared" si="661"/>
        <v>11748.029772874359</v>
      </c>
      <c r="AE818" s="53">
        <f t="shared" si="661"/>
        <v>12637.120666085491</v>
      </c>
      <c r="AF818" s="53">
        <f t="shared" si="661"/>
        <v>12938.996204556941</v>
      </c>
      <c r="AG818" s="53">
        <f t="shared" si="661"/>
        <v>13106.32330347427</v>
      </c>
      <c r="AI818" s="53">
        <f t="shared" ref="AI818:AI820" si="690">W818+AC818</f>
        <v>0</v>
      </c>
      <c r="AJ818" s="53">
        <f t="shared" ref="AJ818:AJ820" si="691">X818+AD818</f>
        <v>69450.436007308919</v>
      </c>
      <c r="AK818" s="53">
        <f t="shared" ref="AK818:AK820" si="692">Y818+AE818</f>
        <v>94207.607389076467</v>
      </c>
      <c r="AL818" s="53">
        <f t="shared" ref="AL818:AL820" si="693">Z818+AF818</f>
        <v>93021.399156317158</v>
      </c>
      <c r="AM818" s="53">
        <f t="shared" ref="AM818:AM820" si="694">AA818+AG818</f>
        <v>91700.642484003751</v>
      </c>
    </row>
    <row r="819" spans="1:39">
      <c r="A819" s="240"/>
      <c r="B819" s="43" t="str">
        <f>'8. Input IC huur Gasunie'!B275</f>
        <v>Asset 17</v>
      </c>
      <c r="F819" s="43" t="str">
        <f>'8. Input IC huur Gasunie'!F275</f>
        <v>37 ICT middelen 1</v>
      </c>
      <c r="G819" s="43">
        <f>'8. Input IC huur Gasunie'!G275</f>
        <v>2023</v>
      </c>
      <c r="H819" s="48">
        <f>'8. Input IC huur Gasunie'!H275</f>
        <v>6239530.5600440903</v>
      </c>
      <c r="I819" s="43">
        <f>'8. Input IC huur Gasunie'!I275</f>
        <v>5</v>
      </c>
      <c r="K819" s="49">
        <f t="shared" si="663"/>
        <v>0</v>
      </c>
      <c r="L819" s="49">
        <f t="shared" si="663"/>
        <v>623953.0560044091</v>
      </c>
      <c r="M819" s="49">
        <f t="shared" si="663"/>
        <v>1247906.1120088182</v>
      </c>
      <c r="N819" s="49">
        <f t="shared" si="663"/>
        <v>1247906.1120088182</v>
      </c>
      <c r="O819" s="49">
        <f t="shared" si="663"/>
        <v>1247906.1120088182</v>
      </c>
      <c r="Q819" s="53">
        <f t="shared" si="680"/>
        <v>0</v>
      </c>
      <c r="R819" s="53">
        <f t="shared" si="681"/>
        <v>5615577.5040396815</v>
      </c>
      <c r="S819" s="53">
        <f t="shared" si="682"/>
        <v>4367671.3920308631</v>
      </c>
      <c r="T819" s="53">
        <f t="shared" si="683"/>
        <v>3119765.2800220447</v>
      </c>
      <c r="U819" s="53">
        <f t="shared" si="684"/>
        <v>1871859.1680132265</v>
      </c>
      <c r="W819" s="53">
        <f t="shared" si="685"/>
        <v>0</v>
      </c>
      <c r="X819" s="53">
        <f t="shared" si="686"/>
        <v>809267.1136377186</v>
      </c>
      <c r="Y819" s="53">
        <f t="shared" si="687"/>
        <v>1413877.6249059909</v>
      </c>
      <c r="Z819" s="53">
        <f t="shared" si="688"/>
        <v>1366457.192649656</v>
      </c>
      <c r="AA819" s="53">
        <f t="shared" si="689"/>
        <v>1319036.7603933208</v>
      </c>
      <c r="AC819" s="53">
        <f t="shared" si="674"/>
        <v>0</v>
      </c>
      <c r="AD819" s="53">
        <f t="shared" si="674"/>
        <v>62395.305600440901</v>
      </c>
      <c r="AE819" s="53">
        <f t="shared" si="674"/>
        <v>67117.38232828227</v>
      </c>
      <c r="AF819" s="53">
        <f t="shared" si="674"/>
        <v>68720.682357340294</v>
      </c>
      <c r="AG819" s="53">
        <f t="shared" si="674"/>
        <v>69609.378221585386</v>
      </c>
      <c r="AI819" s="53">
        <f t="shared" si="690"/>
        <v>0</v>
      </c>
      <c r="AJ819" s="53">
        <f t="shared" si="691"/>
        <v>871662.41923815955</v>
      </c>
      <c r="AK819" s="53">
        <f t="shared" si="692"/>
        <v>1480995.0072342732</v>
      </c>
      <c r="AL819" s="53">
        <f t="shared" si="693"/>
        <v>1435177.8750069963</v>
      </c>
      <c r="AM819" s="53">
        <f t="shared" si="694"/>
        <v>1388646.1386149062</v>
      </c>
    </row>
    <row r="820" spans="1:39">
      <c r="A820" s="240"/>
      <c r="B820" s="43" t="str">
        <f>'8. Input IC huur Gasunie'!B276</f>
        <v>Asset 18</v>
      </c>
      <c r="F820" s="43" t="str">
        <f>'8. Input IC huur Gasunie'!F276</f>
        <v>38 ICT middelen 2</v>
      </c>
      <c r="G820" s="43">
        <f>'8. Input IC huur Gasunie'!G276</f>
        <v>2023</v>
      </c>
      <c r="H820" s="48">
        <f>'8. Input IC huur Gasunie'!H276</f>
        <v>6222.6743563099471</v>
      </c>
      <c r="I820" s="43">
        <f>'8. Input IC huur Gasunie'!I276</f>
        <v>10</v>
      </c>
      <c r="K820" s="49">
        <f t="shared" ref="K820:O820" si="695">IF($I820=0,0,IF($G820&lt;=K$801,VDB(ABS($H820),0,$I820,MAX(0,K$801-$G820-0.5),MIN(K$801-$G820+0.5),1),0))</f>
        <v>0</v>
      </c>
      <c r="L820" s="49">
        <f t="shared" si="695"/>
        <v>311.13371781549739</v>
      </c>
      <c r="M820" s="49">
        <f t="shared" si="695"/>
        <v>622.26743563099478</v>
      </c>
      <c r="N820" s="49">
        <f t="shared" si="695"/>
        <v>622.26743563099478</v>
      </c>
      <c r="O820" s="49">
        <f t="shared" si="695"/>
        <v>622.26743563099478</v>
      </c>
      <c r="Q820" s="53">
        <f t="shared" si="680"/>
        <v>0</v>
      </c>
      <c r="R820" s="53">
        <f t="shared" si="681"/>
        <v>5911.5406384944499</v>
      </c>
      <c r="S820" s="53">
        <f t="shared" si="682"/>
        <v>5289.2732028634555</v>
      </c>
      <c r="T820" s="53">
        <f t="shared" si="683"/>
        <v>4667.005767232461</v>
      </c>
      <c r="U820" s="53">
        <f t="shared" si="684"/>
        <v>4044.7383316014661</v>
      </c>
      <c r="W820" s="53">
        <f t="shared" si="685"/>
        <v>0</v>
      </c>
      <c r="X820" s="53">
        <f t="shared" si="686"/>
        <v>506.21455888581426</v>
      </c>
      <c r="Y820" s="53">
        <f t="shared" si="687"/>
        <v>823.25981733980609</v>
      </c>
      <c r="Z820" s="53">
        <f t="shared" si="688"/>
        <v>799.61365478582832</v>
      </c>
      <c r="AA820" s="53">
        <f t="shared" si="689"/>
        <v>775.96749223185043</v>
      </c>
      <c r="AC820" s="53">
        <f t="shared" ref="AC820:AG820" si="696">IF(AC$801&gt;=$G820,$H820*INDEX($G$40:$M$46,$G820-2019,AC$801-2019)*INDEX($G$49:$M$55,$G820-2019,AC$801-2019)*$F$28,0)</f>
        <v>0</v>
      </c>
      <c r="AD820" s="53">
        <f t="shared" si="696"/>
        <v>62.226743563099475</v>
      </c>
      <c r="AE820" s="53">
        <f t="shared" si="696"/>
        <v>66.936063515954842</v>
      </c>
      <c r="AF820" s="53">
        <f t="shared" si="696"/>
        <v>68.535032201223984</v>
      </c>
      <c r="AG820" s="53">
        <f t="shared" si="696"/>
        <v>69.421327237650189</v>
      </c>
      <c r="AI820" s="53">
        <f t="shared" si="690"/>
        <v>0</v>
      </c>
      <c r="AJ820" s="53">
        <f t="shared" si="691"/>
        <v>568.44130244891369</v>
      </c>
      <c r="AK820" s="53">
        <f t="shared" si="692"/>
        <v>890.19588085576095</v>
      </c>
      <c r="AL820" s="53">
        <f t="shared" si="693"/>
        <v>868.14868698705232</v>
      </c>
      <c r="AM820" s="53">
        <f t="shared" si="694"/>
        <v>845.38881946950062</v>
      </c>
    </row>
    <row r="821" spans="1:39">
      <c r="AL821" s="97"/>
    </row>
    <row r="822" spans="1:39" s="8" customFormat="1">
      <c r="B822" s="8" t="s">
        <v>1030</v>
      </c>
      <c r="D822" s="8" t="s">
        <v>194</v>
      </c>
      <c r="G822" s="52"/>
      <c r="H822" s="52">
        <v>2021</v>
      </c>
      <c r="I822" s="52">
        <v>2022</v>
      </c>
      <c r="J822" s="52">
        <v>2023</v>
      </c>
      <c r="K822" s="52">
        <v>2024</v>
      </c>
      <c r="L822" s="52">
        <v>2025</v>
      </c>
      <c r="M822" s="52">
        <v>2026</v>
      </c>
      <c r="O822" s="8" t="s">
        <v>197</v>
      </c>
    </row>
    <row r="824" spans="1:39">
      <c r="B824" s="3" t="s">
        <v>1031</v>
      </c>
      <c r="D824" s="3" t="s">
        <v>204</v>
      </c>
      <c r="H824" s="10"/>
      <c r="I824" s="53">
        <f>SUM(AJ307:AJ549)</f>
        <v>47303712.275716439</v>
      </c>
      <c r="J824" s="53">
        <f>SUM(AK307:AK549)</f>
        <v>31689565.787792545</v>
      </c>
      <c r="K824" s="53">
        <f>SUM(AL307:AL549)</f>
        <v>27885415.248524517</v>
      </c>
      <c r="L824" s="53">
        <f>SUM(AM307:AM549)</f>
        <v>22650429.620528437</v>
      </c>
      <c r="M824" s="53">
        <f>SUM(AN307:AN549)</f>
        <v>17735981.863229234</v>
      </c>
    </row>
    <row r="825" spans="1:39">
      <c r="B825" s="3" t="s">
        <v>1032</v>
      </c>
      <c r="D825" s="3" t="s">
        <v>204</v>
      </c>
      <c r="H825" s="10"/>
      <c r="I825" s="53">
        <f>SUM(AB555:AB797)</f>
        <v>39217738.402224623</v>
      </c>
      <c r="J825" s="53">
        <f>SUM(AC555:AC797)</f>
        <v>33189273.645462066</v>
      </c>
      <c r="K825" s="53">
        <f>SUM(AD555:AD797)</f>
        <v>29216317.285462335</v>
      </c>
      <c r="L825" s="53">
        <f>SUM(AE555:AE797)</f>
        <v>24012638.624367848</v>
      </c>
      <c r="M825" s="53">
        <f>SUM(AF555:AF797)</f>
        <v>18660000.753578022</v>
      </c>
    </row>
    <row r="826" spans="1:39">
      <c r="B826" s="3" t="s">
        <v>1033</v>
      </c>
      <c r="D826" s="3" t="s">
        <v>204</v>
      </c>
      <c r="H826" s="186">
        <f>MAX(SUM(M59:M301),H827)</f>
        <v>216951830.34509885</v>
      </c>
      <c r="I826" s="10"/>
      <c r="J826" s="10"/>
      <c r="K826" s="113"/>
      <c r="L826" s="10"/>
      <c r="M826" s="10"/>
      <c r="O826" s="3" t="s">
        <v>1034</v>
      </c>
    </row>
    <row r="827" spans="1:39">
      <c r="B827" s="3" t="s">
        <v>1035</v>
      </c>
      <c r="D827" s="3" t="s">
        <v>204</v>
      </c>
      <c r="H827" s="49">
        <f>SUM(N307:N549)</f>
        <v>216951830.34509885</v>
      </c>
      <c r="I827" s="10"/>
      <c r="J827" s="10"/>
      <c r="K827" s="10"/>
      <c r="L827" s="10"/>
      <c r="M827" s="10"/>
    </row>
    <row r="828" spans="1:39">
      <c r="B828" s="3" t="s">
        <v>1036</v>
      </c>
      <c r="D828" s="3" t="s">
        <v>204</v>
      </c>
      <c r="H828" s="10"/>
      <c r="I828" s="53">
        <f>SUMIF($G$803:$G$820,2022,AI803:AI820)</f>
        <v>1428124.2132085976</v>
      </c>
      <c r="J828" s="53">
        <f>SUMIF($G$803:$G$820,2022,AJ803:AJ820)</f>
        <v>2217707.8337649051</v>
      </c>
      <c r="K828" s="53">
        <f>SUMIF($G$803:$G$820,2022,AK803:AK820)</f>
        <v>2220228.5401113494</v>
      </c>
      <c r="L828" s="53">
        <f>SUMIF($G$803:$G$820,2022,AL803:AL820)</f>
        <v>2159320.7927243733</v>
      </c>
      <c r="M828" s="53">
        <f>SUMIF($G$803:$G$820,2022,AM803:AM820)</f>
        <v>2096743.6241863754</v>
      </c>
    </row>
    <row r="829" spans="1:39">
      <c r="B829" s="3" t="s">
        <v>1037</v>
      </c>
      <c r="H829" s="10"/>
      <c r="I829" s="10"/>
      <c r="J829" s="53">
        <f>SUMIF($G$803:$G$820,2023,AJ803:AJ820)</f>
        <v>1028574.5024785999</v>
      </c>
      <c r="K829" s="53">
        <f>SUMIF($G$803:$G$820,2023,AK803:AK820)</f>
        <v>1712271.072741084</v>
      </c>
      <c r="L829" s="53">
        <f>SUMIF($G$803:$G$820,2023,AL803:AL820)</f>
        <v>1661865.047384599</v>
      </c>
      <c r="M829" s="53">
        <f>SUMIF($G$803:$G$820,2023,AM803:AM820)</f>
        <v>1610500.5451215713</v>
      </c>
    </row>
    <row r="830" spans="1:39">
      <c r="B830" s="3" t="s">
        <v>1038</v>
      </c>
      <c r="D830" s="3" t="s">
        <v>204</v>
      </c>
      <c r="H830" s="10"/>
      <c r="I830" s="10"/>
      <c r="J830" s="186">
        <f>(-H826+H827)*J32+(-I824+I825)*J33+(-J824+J825)</f>
        <v>-6747985.4932921315</v>
      </c>
      <c r="K830" s="57">
        <f>-K824+K825</f>
        <v>1330902.0369378179</v>
      </c>
      <c r="L830" s="186">
        <f>-L824+L825+I828*L33+SUM(J828:J829)*L34+SUM(K828:K829)*L35+SUM(L828:L829)</f>
        <v>14624633.370419957</v>
      </c>
      <c r="M830" s="57">
        <f>-M824+M825+SUM(M828:M829)</f>
        <v>4631263.0596567355</v>
      </c>
      <c r="N830" s="182"/>
      <c r="O830" s="3" t="s">
        <v>1039</v>
      </c>
    </row>
    <row r="833" spans="16:16">
      <c r="P833" s="97"/>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S134"/>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57" customWidth="1"/>
    <col min="2" max="2" width="70" style="3" bestFit="1" customWidth="1"/>
    <col min="3" max="3" width="2.5703125" style="3" customWidth="1"/>
    <col min="4" max="4" width="15.140625" style="3" bestFit="1" customWidth="1"/>
    <col min="5" max="5" width="2.5703125" style="3" customWidth="1"/>
    <col min="6" max="6" width="12.5703125" style="3" bestFit="1" customWidth="1"/>
    <col min="7" max="7" width="2.5703125" style="3" customWidth="1"/>
    <col min="8" max="9" width="10.85546875" style="3" bestFit="1" customWidth="1"/>
    <col min="10" max="10" width="11.42578125" style="3" bestFit="1" customWidth="1"/>
    <col min="11" max="11" width="13.140625" style="3" bestFit="1" customWidth="1"/>
    <col min="12" max="12" width="14.5703125" style="3" bestFit="1" customWidth="1"/>
    <col min="13" max="13" width="12.5703125" style="3" bestFit="1" customWidth="1"/>
    <col min="14" max="14" width="12.42578125" style="3" bestFit="1" customWidth="1"/>
    <col min="15" max="15" width="12.5703125" style="3" bestFit="1" customWidth="1"/>
    <col min="16" max="17" width="12.42578125" style="3" bestFit="1" customWidth="1"/>
    <col min="18" max="18" width="2.5703125" style="3" customWidth="1"/>
    <col min="19" max="19" width="12.85546875" style="3" bestFit="1" customWidth="1"/>
    <col min="20" max="32" width="13.5703125" style="3" customWidth="1"/>
    <col min="33" max="16384" width="9.140625" style="3"/>
  </cols>
  <sheetData>
    <row r="2" spans="1:19" s="12" customFormat="1" ht="18">
      <c r="B2" s="12" t="s">
        <v>1040</v>
      </c>
    </row>
    <row r="4" spans="1:19">
      <c r="B4" s="16" t="s">
        <v>844</v>
      </c>
      <c r="C4" s="2"/>
      <c r="L4"/>
    </row>
    <row r="5" spans="1:19" ht="16.5" customHeight="1">
      <c r="B5" s="379" t="s">
        <v>1041</v>
      </c>
      <c r="C5" s="379"/>
      <c r="D5" s="379"/>
      <c r="F5" s="13"/>
    </row>
    <row r="6" spans="1:19">
      <c r="B6" s="4"/>
    </row>
    <row r="7" spans="1:19">
      <c r="B7" s="17" t="s">
        <v>150</v>
      </c>
    </row>
    <row r="8" spans="1:19" ht="38.25" customHeight="1">
      <c r="B8" s="379" t="s">
        <v>1042</v>
      </c>
      <c r="C8" s="379"/>
      <c r="D8" s="379"/>
    </row>
    <row r="10" spans="1:19" s="8" customFormat="1">
      <c r="A10" s="360"/>
      <c r="B10" s="8" t="s">
        <v>152</v>
      </c>
      <c r="D10" s="8" t="s">
        <v>194</v>
      </c>
      <c r="F10" s="8" t="s">
        <v>195</v>
      </c>
      <c r="H10" s="52">
        <v>2017</v>
      </c>
      <c r="I10" s="52">
        <v>2018</v>
      </c>
      <c r="J10" s="52">
        <v>2019</v>
      </c>
      <c r="K10" s="52">
        <v>2020</v>
      </c>
      <c r="L10" s="52">
        <v>2021</v>
      </c>
      <c r="M10" s="52">
        <v>2022</v>
      </c>
      <c r="N10" s="52">
        <v>2023</v>
      </c>
      <c r="O10" s="52">
        <v>2024</v>
      </c>
      <c r="P10" s="52">
        <v>2025</v>
      </c>
      <c r="Q10" s="52">
        <v>2026</v>
      </c>
      <c r="S10" s="8" t="s">
        <v>197</v>
      </c>
    </row>
    <row r="12" spans="1:19" s="8" customFormat="1">
      <c r="A12" s="360"/>
      <c r="B12" s="8" t="s">
        <v>848</v>
      </c>
    </row>
    <row r="13" spans="1:19">
      <c r="P13" s="97"/>
    </row>
    <row r="14" spans="1:19">
      <c r="B14" s="2" t="s">
        <v>214</v>
      </c>
    </row>
    <row r="15" spans="1:19">
      <c r="B15" s="156" t="s">
        <v>211</v>
      </c>
      <c r="D15" s="3" t="s">
        <v>199</v>
      </c>
      <c r="H15" s="10"/>
      <c r="I15" s="10"/>
      <c r="J15" s="10"/>
      <c r="K15" s="10"/>
      <c r="L15" s="10"/>
      <c r="M15" s="61">
        <f>'2. Parameters'!M28</f>
        <v>4.1000000000000002E-2</v>
      </c>
      <c r="N15" s="61">
        <f>'2. Parameters'!N28</f>
        <v>5.0999999999999997E-2</v>
      </c>
      <c r="O15" s="10"/>
      <c r="P15" s="10"/>
      <c r="Q15" s="10"/>
    </row>
    <row r="17" spans="1:17">
      <c r="B17" s="2" t="s">
        <v>217</v>
      </c>
    </row>
    <row r="18" spans="1:17">
      <c r="B18" s="3" t="s">
        <v>217</v>
      </c>
      <c r="D18" s="3" t="s">
        <v>199</v>
      </c>
      <c r="F18" s="185">
        <f>'2. Parameters'!F32</f>
        <v>0.01</v>
      </c>
    </row>
    <row r="19" spans="1:17">
      <c r="B19" s="16"/>
    </row>
    <row r="20" spans="1:17" s="98" customFormat="1">
      <c r="A20" s="357"/>
      <c r="B20" s="115" t="s">
        <v>956</v>
      </c>
    </row>
    <row r="21" spans="1:17" s="98" customFormat="1">
      <c r="A21" s="357"/>
      <c r="B21" s="98" t="s">
        <v>957</v>
      </c>
      <c r="D21" s="98" t="s">
        <v>199</v>
      </c>
      <c r="F21" s="86">
        <f>'2. Parameters'!F100</f>
        <v>0.25</v>
      </c>
    </row>
    <row r="22" spans="1:17">
      <c r="B22" s="3" t="s">
        <v>958</v>
      </c>
      <c r="D22" s="3" t="s">
        <v>199</v>
      </c>
      <c r="F22" s="86">
        <f>'2. Parameters'!F101</f>
        <v>0.2</v>
      </c>
    </row>
    <row r="24" spans="1:17">
      <c r="B24" s="2" t="s">
        <v>244</v>
      </c>
    </row>
    <row r="25" spans="1:17">
      <c r="B25" s="3" t="s">
        <v>244</v>
      </c>
      <c r="D25" s="3" t="s">
        <v>199</v>
      </c>
      <c r="F25" s="86">
        <f>'2. Parameters'!F96</f>
        <v>0.9</v>
      </c>
    </row>
    <row r="27" spans="1:17">
      <c r="B27" s="16" t="s">
        <v>238</v>
      </c>
    </row>
    <row r="28" spans="1:17">
      <c r="B28" s="32" t="s">
        <v>226</v>
      </c>
      <c r="D28" s="3" t="s">
        <v>240</v>
      </c>
      <c r="H28" s="10"/>
      <c r="I28" s="10"/>
      <c r="J28" s="10"/>
      <c r="K28" s="60">
        <f>'2. Parameters'!K74</f>
        <v>1</v>
      </c>
      <c r="L28" s="60">
        <f>'2. Parameters'!L74</f>
        <v>1.02</v>
      </c>
      <c r="M28" s="60">
        <f>'2. Parameters'!M74</f>
        <v>1.0404</v>
      </c>
      <c r="N28" s="60">
        <f>'2. Parameters'!N74</f>
        <v>1.0612079999999999</v>
      </c>
      <c r="O28" s="60">
        <f>'2. Parameters'!O74</f>
        <v>1.10365632</v>
      </c>
      <c r="P28" s="60">
        <f>'2. Parameters'!P74</f>
        <v>1.1809122624000001</v>
      </c>
      <c r="Q28" s="60">
        <f>'2. Parameters'!Q74</f>
        <v>1.2635761207680003</v>
      </c>
    </row>
    <row r="29" spans="1:17">
      <c r="B29" s="32" t="s">
        <v>227</v>
      </c>
      <c r="D29" s="3" t="s">
        <v>240</v>
      </c>
      <c r="H29" s="10"/>
      <c r="I29" s="10"/>
      <c r="J29" s="10"/>
      <c r="K29" s="10"/>
      <c r="L29" s="60">
        <f>'2. Parameters'!L75</f>
        <v>1</v>
      </c>
      <c r="M29" s="60">
        <f>'2. Parameters'!M75</f>
        <v>1.02</v>
      </c>
      <c r="N29" s="60">
        <f>'2. Parameters'!N75</f>
        <v>1.0404</v>
      </c>
      <c r="O29" s="60">
        <f>'2. Parameters'!O75</f>
        <v>1.0820160000000001</v>
      </c>
      <c r="P29" s="60">
        <f>'2. Parameters'!P75</f>
        <v>1.1577571200000001</v>
      </c>
      <c r="Q29" s="60">
        <f>'2. Parameters'!Q75</f>
        <v>1.2388001184000001</v>
      </c>
    </row>
    <row r="30" spans="1:17">
      <c r="B30" s="32" t="s">
        <v>228</v>
      </c>
      <c r="D30" s="3" t="s">
        <v>240</v>
      </c>
      <c r="H30" s="10"/>
      <c r="I30" s="10"/>
      <c r="J30" s="10"/>
      <c r="K30" s="10"/>
      <c r="L30" s="10"/>
      <c r="M30" s="60">
        <f>'2. Parameters'!M76</f>
        <v>1</v>
      </c>
      <c r="N30" s="60">
        <f>'2. Parameters'!N76</f>
        <v>1.02</v>
      </c>
      <c r="O30" s="60">
        <f>'2. Parameters'!O76</f>
        <v>1.0608</v>
      </c>
      <c r="P30" s="60">
        <f>'2. Parameters'!P76</f>
        <v>1.1350560000000001</v>
      </c>
      <c r="Q30" s="60">
        <f>'2. Parameters'!Q76</f>
        <v>1.2145099200000002</v>
      </c>
    </row>
    <row r="31" spans="1:17">
      <c r="B31" s="32" t="s">
        <v>229</v>
      </c>
      <c r="D31" s="3" t="s">
        <v>240</v>
      </c>
      <c r="H31" s="10"/>
      <c r="I31" s="10"/>
      <c r="J31" s="10"/>
      <c r="K31" s="10"/>
      <c r="L31" s="10"/>
      <c r="M31" s="10"/>
      <c r="N31" s="60">
        <f>'2. Parameters'!N77</f>
        <v>1</v>
      </c>
      <c r="O31" s="60">
        <f>'2. Parameters'!O77</f>
        <v>1.04</v>
      </c>
      <c r="P31" s="60">
        <f>'2. Parameters'!P77</f>
        <v>1.1128</v>
      </c>
      <c r="Q31" s="60">
        <f>'2. Parameters'!Q77</f>
        <v>1.190696</v>
      </c>
    </row>
    <row r="32" spans="1:17">
      <c r="B32" s="32" t="s">
        <v>230</v>
      </c>
      <c r="D32" s="3" t="s">
        <v>240</v>
      </c>
      <c r="H32" s="10"/>
      <c r="I32" s="10"/>
      <c r="J32" s="10"/>
      <c r="K32" s="10"/>
      <c r="L32" s="10"/>
      <c r="M32" s="10"/>
      <c r="N32" s="10"/>
      <c r="O32" s="60">
        <f>'2. Parameters'!O78</f>
        <v>1</v>
      </c>
      <c r="P32" s="60">
        <f>'2. Parameters'!P78</f>
        <v>1.07</v>
      </c>
      <c r="Q32" s="60">
        <f>'2. Parameters'!Q78</f>
        <v>1.1449</v>
      </c>
    </row>
    <row r="33" spans="2:17">
      <c r="B33" s="32" t="s">
        <v>231</v>
      </c>
      <c r="D33" s="3" t="s">
        <v>240</v>
      </c>
      <c r="H33" s="10"/>
      <c r="I33" s="10"/>
      <c r="J33" s="10"/>
      <c r="K33" s="10"/>
      <c r="L33" s="10"/>
      <c r="M33" s="10"/>
      <c r="N33" s="10"/>
      <c r="O33" s="10"/>
      <c r="P33" s="60">
        <f>'2. Parameters'!P79</f>
        <v>1</v>
      </c>
      <c r="Q33" s="60">
        <f>'2. Parameters'!Q79</f>
        <v>1.07</v>
      </c>
    </row>
    <row r="34" spans="2:17">
      <c r="B34" s="32" t="s">
        <v>232</v>
      </c>
      <c r="D34" s="3" t="s">
        <v>240</v>
      </c>
      <c r="H34" s="10"/>
      <c r="I34" s="10"/>
      <c r="J34" s="10"/>
      <c r="K34" s="10"/>
      <c r="L34" s="10"/>
      <c r="M34" s="10"/>
      <c r="N34" s="10"/>
      <c r="O34" s="10"/>
      <c r="P34" s="10"/>
      <c r="Q34" s="60">
        <f>'2. Parameters'!Q80</f>
        <v>1</v>
      </c>
    </row>
    <row r="36" spans="2:17">
      <c r="B36" s="2" t="s">
        <v>218</v>
      </c>
    </row>
    <row r="37" spans="2:17">
      <c r="B37" s="3" t="s">
        <v>1043</v>
      </c>
      <c r="D37" s="3" t="s">
        <v>223</v>
      </c>
      <c r="H37" s="38">
        <f>'2. Parameters'!H40</f>
        <v>1</v>
      </c>
      <c r="I37" s="38">
        <f>'2. Parameters'!I40</f>
        <v>1.014</v>
      </c>
      <c r="J37" s="38">
        <f>'2. Parameters'!J40</f>
        <v>1.026168</v>
      </c>
      <c r="K37" s="38">
        <f>'2. Parameters'!K40</f>
        <v>1.052848368</v>
      </c>
      <c r="L37" s="38">
        <f>'2. Parameters'!L40</f>
        <v>1.069693941888</v>
      </c>
      <c r="M37" s="38">
        <f>'2. Parameters'!M40</f>
        <v>1.0889484328419841</v>
      </c>
      <c r="N37" s="38">
        <f>'2. Parameters'!N40</f>
        <v>1.1564632356781872</v>
      </c>
      <c r="O37" s="38">
        <f>'2. Parameters'!O40</f>
        <v>1.2489802945324422</v>
      </c>
      <c r="P37" s="38">
        <f>'2. Parameters'!P40</f>
        <v>1.2839517427793505</v>
      </c>
      <c r="Q37" s="38">
        <f>'2. Parameters'!Q40</f>
        <v>1.3057789224065994</v>
      </c>
    </row>
    <row r="38" spans="2:17">
      <c r="B38" s="3" t="s">
        <v>1044</v>
      </c>
      <c r="D38" s="3" t="s">
        <v>223</v>
      </c>
      <c r="H38" s="10"/>
      <c r="I38" s="38">
        <f>'2. Parameters'!I41</f>
        <v>1</v>
      </c>
      <c r="J38" s="38">
        <f>'2. Parameters'!J41</f>
        <v>1.012</v>
      </c>
      <c r="K38" s="38">
        <f>'2. Parameters'!K41</f>
        <v>1.0383120000000001</v>
      </c>
      <c r="L38" s="38">
        <f>'2. Parameters'!L41</f>
        <v>1.0549249920000001</v>
      </c>
      <c r="M38" s="38">
        <f>'2. Parameters'!M41</f>
        <v>1.0739136418560002</v>
      </c>
      <c r="N38" s="38">
        <f>'2. Parameters'!N41</f>
        <v>1.1404962876510722</v>
      </c>
      <c r="O38" s="38">
        <f>'2. Parameters'!O41</f>
        <v>1.2317359906631582</v>
      </c>
      <c r="P38" s="38">
        <f>'2. Parameters'!P41</f>
        <v>1.2662245984017266</v>
      </c>
      <c r="Q38" s="38">
        <f>'2. Parameters'!Q41</f>
        <v>1.2877504165745559</v>
      </c>
    </row>
    <row r="39" spans="2:17">
      <c r="B39" s="3" t="s">
        <v>1045</v>
      </c>
      <c r="D39" s="3" t="s">
        <v>223</v>
      </c>
      <c r="H39" s="10"/>
      <c r="I39" s="10"/>
      <c r="J39" s="38">
        <f>'2. Parameters'!J42</f>
        <v>1</v>
      </c>
      <c r="K39" s="38">
        <f>'2. Parameters'!K42</f>
        <v>1.026</v>
      </c>
      <c r="L39" s="38">
        <f>'2. Parameters'!L42</f>
        <v>1.042416</v>
      </c>
      <c r="M39" s="38">
        <f>'2. Parameters'!M42</f>
        <v>1.0611794880000001</v>
      </c>
      <c r="N39" s="38">
        <f>'2. Parameters'!N42</f>
        <v>1.1269726162560001</v>
      </c>
      <c r="O39" s="38">
        <f>'2. Parameters'!O42</f>
        <v>1.2171304255564801</v>
      </c>
      <c r="P39" s="38">
        <f>'2. Parameters'!P42</f>
        <v>1.2512100774720616</v>
      </c>
      <c r="Q39" s="38">
        <f>'2. Parameters'!Q42</f>
        <v>1.2724806487890865</v>
      </c>
    </row>
    <row r="40" spans="2:17">
      <c r="B40" s="3" t="s">
        <v>851</v>
      </c>
      <c r="D40" s="3" t="s">
        <v>223</v>
      </c>
      <c r="H40" s="10"/>
      <c r="I40" s="10"/>
      <c r="J40" s="10"/>
      <c r="K40" s="38">
        <f>'2. Parameters'!K43</f>
        <v>1</v>
      </c>
      <c r="L40" s="38">
        <f>'2. Parameters'!L43</f>
        <v>1.016</v>
      </c>
      <c r="M40" s="38">
        <f>'2. Parameters'!M43</f>
        <v>1.0342880000000001</v>
      </c>
      <c r="N40" s="38">
        <f>'2. Parameters'!N43</f>
        <v>1.0984138560000001</v>
      </c>
      <c r="O40" s="38">
        <f>'2. Parameters'!O43</f>
        <v>1.1862869644800003</v>
      </c>
      <c r="P40" s="38">
        <f>'2. Parameters'!P43</f>
        <v>1.2195029994854403</v>
      </c>
      <c r="Q40" s="38">
        <f>'2. Parameters'!Q43</f>
        <v>1.2402345504766927</v>
      </c>
    </row>
    <row r="41" spans="2:17">
      <c r="B41" s="3" t="s">
        <v>852</v>
      </c>
      <c r="D41" s="3" t="s">
        <v>223</v>
      </c>
      <c r="H41" s="10"/>
      <c r="I41" s="10"/>
      <c r="J41" s="10"/>
      <c r="K41" s="10"/>
      <c r="L41" s="38">
        <f>'2. Parameters'!L44</f>
        <v>1</v>
      </c>
      <c r="M41" s="38">
        <f>'2. Parameters'!M44</f>
        <v>1.018</v>
      </c>
      <c r="N41" s="38">
        <f>'2. Parameters'!N44</f>
        <v>1.081116</v>
      </c>
      <c r="O41" s="38">
        <f>'2. Parameters'!O44</f>
        <v>1.1676052800000001</v>
      </c>
      <c r="P41" s="38">
        <f>'2. Parameters'!P44</f>
        <v>1.2002982278400001</v>
      </c>
      <c r="Q41" s="38">
        <f>'2. Parameters'!Q44</f>
        <v>1.2207032977132799</v>
      </c>
    </row>
    <row r="42" spans="2:17">
      <c r="B42" s="3" t="s">
        <v>853</v>
      </c>
      <c r="D42" s="3" t="s">
        <v>223</v>
      </c>
      <c r="H42" s="10"/>
      <c r="I42" s="10"/>
      <c r="J42" s="10"/>
      <c r="K42" s="10"/>
      <c r="L42" s="10"/>
      <c r="M42" s="38">
        <f>'2. Parameters'!M45</f>
        <v>1</v>
      </c>
      <c r="N42" s="38">
        <f>'2. Parameters'!N45</f>
        <v>1.0620000000000001</v>
      </c>
      <c r="O42" s="38">
        <f>'2. Parameters'!O45</f>
        <v>1.1469600000000002</v>
      </c>
      <c r="P42" s="38">
        <f>'2. Parameters'!P45</f>
        <v>1.1790748800000002</v>
      </c>
      <c r="Q42" s="38">
        <f>'2. Parameters'!Q45</f>
        <v>1.19911915296</v>
      </c>
    </row>
    <row r="43" spans="2:17">
      <c r="B43" s="3" t="s">
        <v>854</v>
      </c>
      <c r="D43" s="3" t="s">
        <v>223</v>
      </c>
      <c r="H43" s="10"/>
      <c r="I43" s="10"/>
      <c r="J43" s="10"/>
      <c r="K43" s="10"/>
      <c r="L43" s="10"/>
      <c r="M43" s="10"/>
      <c r="N43" s="38">
        <f>'2. Parameters'!N46</f>
        <v>1</v>
      </c>
      <c r="O43" s="38">
        <f>'2. Parameters'!O46</f>
        <v>1.08</v>
      </c>
      <c r="P43" s="38">
        <f>'2. Parameters'!P46</f>
        <v>1.1102400000000001</v>
      </c>
      <c r="Q43" s="38">
        <f>'2. Parameters'!Q46</f>
        <v>1.1291140799999999</v>
      </c>
    </row>
    <row r="44" spans="2:17">
      <c r="B44" s="3" t="s">
        <v>855</v>
      </c>
      <c r="D44" s="3" t="s">
        <v>223</v>
      </c>
      <c r="H44" s="10"/>
      <c r="I44" s="10"/>
      <c r="J44" s="10"/>
      <c r="K44" s="10"/>
      <c r="L44" s="10"/>
      <c r="M44" s="10"/>
      <c r="N44" s="10"/>
      <c r="O44" s="38">
        <f>'2. Parameters'!O47</f>
        <v>1</v>
      </c>
      <c r="P44" s="38">
        <f>'2. Parameters'!P47</f>
        <v>1.028</v>
      </c>
      <c r="Q44" s="38">
        <f>'2. Parameters'!Q47</f>
        <v>1.0454759999999998</v>
      </c>
    </row>
    <row r="45" spans="2:17">
      <c r="B45" s="3" t="s">
        <v>856</v>
      </c>
      <c r="D45" s="3" t="s">
        <v>223</v>
      </c>
      <c r="H45" s="10"/>
      <c r="I45" s="10"/>
      <c r="J45" s="10"/>
      <c r="K45" s="10"/>
      <c r="L45" s="10"/>
      <c r="M45" s="10"/>
      <c r="N45" s="10"/>
      <c r="O45" s="10"/>
      <c r="P45" s="38">
        <f>'2. Parameters'!P48</f>
        <v>1</v>
      </c>
      <c r="Q45" s="38">
        <f>'2. Parameters'!Q48</f>
        <v>1.0169999999999999</v>
      </c>
    </row>
    <row r="46" spans="2:17">
      <c r="B46" s="3" t="s">
        <v>857</v>
      </c>
      <c r="D46" s="3" t="s">
        <v>223</v>
      </c>
      <c r="H46" s="10"/>
      <c r="I46" s="10"/>
      <c r="J46" s="10"/>
      <c r="K46" s="10"/>
      <c r="L46" s="10"/>
      <c r="M46" s="10"/>
      <c r="N46" s="10"/>
      <c r="O46" s="10"/>
      <c r="P46" s="10"/>
      <c r="Q46" s="38">
        <f>'2. Parameters'!Q49</f>
        <v>1</v>
      </c>
    </row>
    <row r="47" spans="2:17" ht="13.5" customHeight="1"/>
    <row r="48" spans="2:17">
      <c r="B48" s="2" t="s">
        <v>233</v>
      </c>
    </row>
    <row r="49" spans="1:17">
      <c r="B49" s="32" t="s">
        <v>222</v>
      </c>
      <c r="D49" s="3" t="s">
        <v>237</v>
      </c>
      <c r="H49" s="38">
        <f>'2. Parameters'!H57</f>
        <v>1</v>
      </c>
      <c r="I49" s="38">
        <f>'2. Parameters'!I57</f>
        <v>0.999</v>
      </c>
      <c r="J49" s="38">
        <f>'2. Parameters'!J57</f>
        <v>0.99800100000000003</v>
      </c>
      <c r="K49" s="38">
        <f>'2. Parameters'!K57</f>
        <v>0.997002999</v>
      </c>
      <c r="L49" s="38">
        <f>'2. Parameters'!L57</f>
        <v>0.99600599600100004</v>
      </c>
      <c r="M49" s="38">
        <f>'2. Parameters'!M57</f>
        <v>0.99202197201699605</v>
      </c>
      <c r="N49" s="38">
        <f>'2. Parameters'!N57</f>
        <v>0.98805388412892803</v>
      </c>
      <c r="O49" s="38">
        <f>'2. Parameters'!O57</f>
        <v>0.98410166859241233</v>
      </c>
      <c r="P49" s="38">
        <f>'2. Parameters'!P57</f>
        <v>0.98016526191804265</v>
      </c>
      <c r="Q49" s="38">
        <f>'2. Parameters'!Q57</f>
        <v>0.97624460087037046</v>
      </c>
    </row>
    <row r="50" spans="1:17">
      <c r="B50" s="32" t="s">
        <v>224</v>
      </c>
      <c r="D50" s="3" t="s">
        <v>237</v>
      </c>
      <c r="H50" s="10"/>
      <c r="I50" s="38">
        <f>'2. Parameters'!I58</f>
        <v>1</v>
      </c>
      <c r="J50" s="38">
        <f>'2. Parameters'!J58</f>
        <v>0.999</v>
      </c>
      <c r="K50" s="38">
        <f>'2. Parameters'!K58</f>
        <v>0.99800100000000003</v>
      </c>
      <c r="L50" s="38">
        <f>'2. Parameters'!L58</f>
        <v>0.997002999</v>
      </c>
      <c r="M50" s="38">
        <f>'2. Parameters'!M58</f>
        <v>0.99301498700400004</v>
      </c>
      <c r="N50" s="38">
        <f>'2. Parameters'!N58</f>
        <v>0.98904292705598407</v>
      </c>
      <c r="O50" s="38">
        <f>'2. Parameters'!O58</f>
        <v>0.98508675534776013</v>
      </c>
      <c r="P50" s="38">
        <f>'2. Parameters'!P58</f>
        <v>0.98114640832636912</v>
      </c>
      <c r="Q50" s="38">
        <f>'2. Parameters'!Q58</f>
        <v>0.97722182269306368</v>
      </c>
    </row>
    <row r="51" spans="1:17">
      <c r="B51" s="32" t="s">
        <v>225</v>
      </c>
      <c r="D51" s="3" t="s">
        <v>237</v>
      </c>
      <c r="H51" s="10"/>
      <c r="I51" s="10"/>
      <c r="J51" s="38">
        <f>'2. Parameters'!J59</f>
        <v>1</v>
      </c>
      <c r="K51" s="38">
        <f>'2. Parameters'!K59</f>
        <v>0.999</v>
      </c>
      <c r="L51" s="38">
        <f>'2. Parameters'!L59</f>
        <v>0.99800100000000003</v>
      </c>
      <c r="M51" s="38">
        <f>'2. Parameters'!M59</f>
        <v>0.99400899600000003</v>
      </c>
      <c r="N51" s="38">
        <f>'2. Parameters'!N59</f>
        <v>0.99003296001600005</v>
      </c>
      <c r="O51" s="38">
        <f>'2. Parameters'!O59</f>
        <v>0.986072828175936</v>
      </c>
      <c r="P51" s="38">
        <f>'2. Parameters'!P59</f>
        <v>0.9821285368632322</v>
      </c>
      <c r="Q51" s="38">
        <f>'2. Parameters'!Q59</f>
        <v>0.97820002271577933</v>
      </c>
    </row>
    <row r="52" spans="1:17">
      <c r="B52" s="32" t="s">
        <v>226</v>
      </c>
      <c r="D52" s="3" t="s">
        <v>237</v>
      </c>
      <c r="H52" s="10"/>
      <c r="I52" s="10"/>
      <c r="J52" s="10"/>
      <c r="K52" s="38">
        <f>'2. Parameters'!K60</f>
        <v>1</v>
      </c>
      <c r="L52" s="38">
        <f>'2. Parameters'!L60</f>
        <v>0.999</v>
      </c>
      <c r="M52" s="38">
        <f>'2. Parameters'!M60</f>
        <v>0.995004</v>
      </c>
      <c r="N52" s="38">
        <f>'2. Parameters'!N60</f>
        <v>0.99102398400000002</v>
      </c>
      <c r="O52" s="38">
        <f>'2. Parameters'!O60</f>
        <v>0.98705988806400002</v>
      </c>
      <c r="P52" s="38">
        <f>'2. Parameters'!P60</f>
        <v>0.98311164851174404</v>
      </c>
      <c r="Q52" s="38">
        <f>'2. Parameters'!Q60</f>
        <v>0.97917920191769703</v>
      </c>
    </row>
    <row r="53" spans="1:17">
      <c r="B53" s="32" t="s">
        <v>227</v>
      </c>
      <c r="D53" s="3" t="s">
        <v>237</v>
      </c>
      <c r="H53" s="10"/>
      <c r="I53" s="10"/>
      <c r="J53" s="10"/>
      <c r="K53" s="10"/>
      <c r="L53" s="38">
        <f>'2. Parameters'!L61</f>
        <v>1</v>
      </c>
      <c r="M53" s="38">
        <f>'2. Parameters'!M61</f>
        <v>0.996</v>
      </c>
      <c r="N53" s="38">
        <f>'2. Parameters'!N61</f>
        <v>0.99201600000000001</v>
      </c>
      <c r="O53" s="38">
        <f>'2. Parameters'!O61</f>
        <v>0.98804793599999996</v>
      </c>
      <c r="P53" s="38">
        <f>'2. Parameters'!P61</f>
        <v>0.98409574425599999</v>
      </c>
      <c r="Q53" s="38">
        <f>'2. Parameters'!Q61</f>
        <v>0.98015936127897596</v>
      </c>
    </row>
    <row r="54" spans="1:17">
      <c r="B54" s="32" t="s">
        <v>228</v>
      </c>
      <c r="D54" s="3" t="s">
        <v>237</v>
      </c>
      <c r="H54" s="10"/>
      <c r="I54" s="10"/>
      <c r="J54" s="10"/>
      <c r="K54" s="10"/>
      <c r="L54" s="10"/>
      <c r="M54" s="38">
        <f>'2. Parameters'!M62</f>
        <v>1</v>
      </c>
      <c r="N54" s="38">
        <f>'2. Parameters'!N62</f>
        <v>0.996</v>
      </c>
      <c r="O54" s="38">
        <f>'2. Parameters'!O62</f>
        <v>0.99201600000000001</v>
      </c>
      <c r="P54" s="38">
        <f>'2. Parameters'!P62</f>
        <v>0.98804793599999996</v>
      </c>
      <c r="Q54" s="38">
        <f>'2. Parameters'!Q62</f>
        <v>0.98409574425599999</v>
      </c>
    </row>
    <row r="55" spans="1:17">
      <c r="B55" s="32" t="s">
        <v>229</v>
      </c>
      <c r="D55" s="3" t="s">
        <v>237</v>
      </c>
      <c r="H55" s="10"/>
      <c r="I55" s="10"/>
      <c r="J55" s="10"/>
      <c r="K55" s="10"/>
      <c r="L55" s="10"/>
      <c r="M55" s="10"/>
      <c r="N55" s="38">
        <f>'2. Parameters'!N63</f>
        <v>1</v>
      </c>
      <c r="O55" s="38">
        <f>'2. Parameters'!O63</f>
        <v>0.996</v>
      </c>
      <c r="P55" s="38">
        <f>'2. Parameters'!P63</f>
        <v>0.99201600000000001</v>
      </c>
      <c r="Q55" s="38">
        <f>'2. Parameters'!Q63</f>
        <v>0.98804793599999996</v>
      </c>
    </row>
    <row r="56" spans="1:17">
      <c r="B56" s="32" t="s">
        <v>230</v>
      </c>
      <c r="D56" s="3" t="s">
        <v>237</v>
      </c>
      <c r="H56" s="10"/>
      <c r="I56" s="10"/>
      <c r="J56" s="10"/>
      <c r="K56" s="10"/>
      <c r="L56" s="10"/>
      <c r="M56" s="10"/>
      <c r="N56" s="10"/>
      <c r="O56" s="38">
        <f>'2. Parameters'!O64</f>
        <v>1</v>
      </c>
      <c r="P56" s="38">
        <f>'2. Parameters'!P64</f>
        <v>0.996</v>
      </c>
      <c r="Q56" s="38">
        <f>'2. Parameters'!Q64</f>
        <v>0.99201600000000001</v>
      </c>
    </row>
    <row r="57" spans="1:17">
      <c r="B57" s="32" t="s">
        <v>231</v>
      </c>
      <c r="D57" s="3" t="s">
        <v>237</v>
      </c>
      <c r="H57" s="10"/>
      <c r="I57" s="10"/>
      <c r="J57" s="10"/>
      <c r="K57" s="10"/>
      <c r="L57" s="10"/>
      <c r="M57" s="10"/>
      <c r="N57" s="10"/>
      <c r="O57" s="10"/>
      <c r="P57" s="38">
        <f>'2. Parameters'!P65</f>
        <v>1</v>
      </c>
      <c r="Q57" s="38">
        <f>'2. Parameters'!Q65</f>
        <v>0.996</v>
      </c>
    </row>
    <row r="58" spans="1:17" ht="15.75" customHeight="1">
      <c r="B58" s="32" t="s">
        <v>232</v>
      </c>
      <c r="D58" s="3" t="s">
        <v>237</v>
      </c>
      <c r="H58" s="10"/>
      <c r="I58" s="10"/>
      <c r="J58" s="10"/>
      <c r="K58" s="10"/>
      <c r="L58" s="10"/>
      <c r="M58" s="10"/>
      <c r="N58" s="10"/>
      <c r="O58" s="10"/>
      <c r="P58" s="10"/>
      <c r="Q58" s="38">
        <f>'2. Parameters'!Q66</f>
        <v>1</v>
      </c>
    </row>
    <row r="61" spans="1:17" s="8" customFormat="1">
      <c r="A61" s="360"/>
      <c r="B61" s="8" t="s">
        <v>1046</v>
      </c>
    </row>
    <row r="63" spans="1:17">
      <c r="B63" s="254" t="s">
        <v>523</v>
      </c>
    </row>
    <row r="64" spans="1:17">
      <c r="B64" s="174" t="s">
        <v>523</v>
      </c>
      <c r="D64" s="3" t="s">
        <v>199</v>
      </c>
      <c r="F64" s="185">
        <f>'7. Input IC peakshaver'!F17</f>
        <v>0.77</v>
      </c>
    </row>
    <row r="66" spans="2:17">
      <c r="B66" s="254" t="s">
        <v>525</v>
      </c>
      <c r="C66" s="254"/>
      <c r="D66" s="254"/>
    </row>
    <row r="67" spans="2:17">
      <c r="B67" s="3" t="s">
        <v>526</v>
      </c>
      <c r="D67" s="3" t="s">
        <v>204</v>
      </c>
      <c r="H67" s="10"/>
      <c r="I67" s="10"/>
      <c r="J67" s="10"/>
      <c r="K67" s="10"/>
      <c r="L67" s="10"/>
      <c r="M67" s="255">
        <f>'7. Input IC peakshaver'!M21</f>
        <v>7339829.2418518746</v>
      </c>
      <c r="N67" s="255">
        <f>'7. Input IC peakshaver'!N21</f>
        <v>6662159.7393988082</v>
      </c>
      <c r="O67" s="255">
        <f>'7. Input IC peakshaver'!O21</f>
        <v>6117183.5197096057</v>
      </c>
      <c r="P67" s="255">
        <f>'7. Input IC peakshaver'!P21</f>
        <v>5719048.4597574808</v>
      </c>
      <c r="Q67" s="255">
        <f>'7. Input IC peakshaver'!Q21</f>
        <v>5428026.4892949341</v>
      </c>
    </row>
    <row r="68" spans="2:17">
      <c r="B68" s="3" t="s">
        <v>527</v>
      </c>
      <c r="D68" s="3" t="s">
        <v>204</v>
      </c>
      <c r="H68" s="10"/>
      <c r="I68" s="10"/>
      <c r="J68" s="10"/>
      <c r="K68" s="10"/>
      <c r="L68" s="10"/>
      <c r="M68" s="255">
        <f>'7. Input IC peakshaver'!M22</f>
        <v>92112966.285529599</v>
      </c>
      <c r="N68" s="255">
        <f>'7. Input IC peakshaver'!N22</f>
        <v>85450806.546130821</v>
      </c>
      <c r="O68" s="255">
        <f>'7. Input IC peakshaver'!O22</f>
        <v>79333623.026421189</v>
      </c>
      <c r="P68" s="255">
        <f>'7. Input IC peakshaver'!P22</f>
        <v>73614574.566663712</v>
      </c>
      <c r="Q68" s="255">
        <f>'7. Input IC peakshaver'!Q22</f>
        <v>68186548.077368766</v>
      </c>
    </row>
    <row r="70" spans="2:17">
      <c r="B70" s="2" t="s">
        <v>528</v>
      </c>
    </row>
    <row r="71" spans="2:17">
      <c r="B71" t="s">
        <v>529</v>
      </c>
      <c r="D71" s="3" t="s">
        <v>204</v>
      </c>
      <c r="H71" s="10"/>
      <c r="I71" s="10"/>
      <c r="J71" s="255">
        <f>'7. Input IC peakshaver'!J27</f>
        <v>4311221.7573385285</v>
      </c>
      <c r="K71" s="10"/>
      <c r="L71" s="10"/>
      <c r="M71" s="10"/>
      <c r="N71" s="10"/>
      <c r="O71" s="10"/>
      <c r="P71" s="10"/>
      <c r="Q71" s="10"/>
    </row>
    <row r="72" spans="2:17">
      <c r="B72" s="127" t="s">
        <v>531</v>
      </c>
      <c r="D72" s="3" t="s">
        <v>204</v>
      </c>
      <c r="H72" s="10"/>
      <c r="I72" s="10"/>
      <c r="J72" s="255">
        <f>'7. Input IC peakshaver'!J28</f>
        <v>5089135.5900731999</v>
      </c>
      <c r="K72" s="10"/>
      <c r="L72" s="10"/>
      <c r="M72" s="10"/>
      <c r="N72" s="10"/>
      <c r="O72" s="10"/>
      <c r="P72" s="10"/>
      <c r="Q72" s="10"/>
    </row>
    <row r="74" spans="2:17">
      <c r="B74" s="2" t="s">
        <v>460</v>
      </c>
    </row>
    <row r="75" spans="2:17">
      <c r="B75" s="3" t="s">
        <v>1047</v>
      </c>
      <c r="D75" s="3" t="s">
        <v>204</v>
      </c>
      <c r="H75" s="255">
        <f>'7. Input IC peakshaver'!H31</f>
        <v>1320509.5900000001</v>
      </c>
      <c r="I75" s="255">
        <f>'7. Input IC peakshaver'!I31</f>
        <v>1966066.3200000003</v>
      </c>
      <c r="J75" s="255">
        <f>'7. Input IC peakshaver'!J31</f>
        <v>1575548.13</v>
      </c>
      <c r="K75" s="10"/>
      <c r="L75" s="10"/>
      <c r="M75" s="10"/>
      <c r="N75" s="10"/>
      <c r="O75" s="10"/>
      <c r="P75" s="10"/>
      <c r="Q75" s="10"/>
    </row>
    <row r="77" spans="2:17" s="253" customFormat="1">
      <c r="B77" s="8" t="s">
        <v>1048</v>
      </c>
    </row>
    <row r="79" spans="2:17">
      <c r="B79" s="2" t="s">
        <v>1049</v>
      </c>
    </row>
    <row r="80" spans="2:17">
      <c r="B80" s="3" t="s">
        <v>1050</v>
      </c>
      <c r="D80" s="3" t="s">
        <v>204</v>
      </c>
      <c r="H80" s="10"/>
      <c r="I80" s="10"/>
      <c r="J80" s="10"/>
      <c r="K80" s="10"/>
      <c r="L80" s="10"/>
      <c r="M80" s="49">
        <f>M68*M$15</f>
        <v>3776631.6177067137</v>
      </c>
      <c r="N80" s="49">
        <f>N68*N$15</f>
        <v>4357991.1338526718</v>
      </c>
      <c r="O80" s="256"/>
      <c r="P80" s="256"/>
      <c r="Q80" s="256"/>
    </row>
    <row r="81" spans="1:17">
      <c r="B81" s="3" t="s">
        <v>1051</v>
      </c>
      <c r="D81" s="3" t="s">
        <v>204</v>
      </c>
      <c r="H81" s="10"/>
      <c r="I81" s="10"/>
      <c r="J81" s="10"/>
      <c r="K81" s="10"/>
      <c r="L81" s="10"/>
      <c r="M81" s="49">
        <f>M67+M80</f>
        <v>11116460.859558588</v>
      </c>
      <c r="N81" s="49">
        <f>N67+N80</f>
        <v>11020150.873251479</v>
      </c>
      <c r="O81" s="10"/>
      <c r="P81" s="10"/>
      <c r="Q81" s="10"/>
    </row>
    <row r="82" spans="1:17">
      <c r="B82" s="3" t="s">
        <v>1052</v>
      </c>
      <c r="D82" s="3" t="s">
        <v>204</v>
      </c>
      <c r="H82" s="10"/>
      <c r="I82" s="10"/>
      <c r="J82" s="10"/>
      <c r="K82" s="10"/>
      <c r="L82" s="10"/>
      <c r="M82" s="10"/>
      <c r="N82" s="10"/>
      <c r="O82" s="49">
        <f>-$F$64*M81*O30</f>
        <v>-9080103.093461208</v>
      </c>
      <c r="P82" s="49">
        <f>-$F$64*N81*P31</f>
        <v>-9442682.3966507707</v>
      </c>
      <c r="Q82" s="10"/>
    </row>
    <row r="84" spans="1:17" s="253" customFormat="1">
      <c r="B84" s="8" t="s">
        <v>1053</v>
      </c>
    </row>
    <row r="86" spans="1:17">
      <c r="B86" s="2" t="s">
        <v>1054</v>
      </c>
    </row>
    <row r="87" spans="1:17">
      <c r="B87" s="3" t="s">
        <v>1055</v>
      </c>
      <c r="D87" s="3" t="s">
        <v>204</v>
      </c>
      <c r="H87" s="10"/>
      <c r="I87" s="10"/>
      <c r="J87" s="10"/>
      <c r="K87" s="10"/>
      <c r="L87" s="10"/>
      <c r="M87" s="49">
        <f>SUM($J$71:$J$72)*M$39*M$51</f>
        <v>9915703.3378574643</v>
      </c>
      <c r="N87" s="49">
        <f>SUM($J$71:$J$72)*N$39*N$51</f>
        <v>10488355.037025411</v>
      </c>
      <c r="O87" s="10"/>
      <c r="P87" s="10"/>
      <c r="Q87" s="10"/>
    </row>
    <row r="89" spans="1:17">
      <c r="B89" s="3" t="s">
        <v>1052</v>
      </c>
      <c r="D89" s="3" t="s">
        <v>204</v>
      </c>
      <c r="H89" s="10"/>
      <c r="I89" s="10"/>
      <c r="J89" s="10"/>
      <c r="K89" s="10"/>
      <c r="L89" s="10"/>
      <c r="M89" s="10"/>
      <c r="N89" s="10"/>
      <c r="O89" s="49">
        <f>-$F$64*(M87*O30)</f>
        <v>-8099305.1376153817</v>
      </c>
      <c r="P89" s="49">
        <f>-$F$64*(N87*P31)</f>
        <v>-8987009.9436054453</v>
      </c>
      <c r="Q89" s="10"/>
    </row>
    <row r="91" spans="1:17" s="253" customFormat="1">
      <c r="B91" s="8" t="s">
        <v>1056</v>
      </c>
    </row>
    <row r="93" spans="1:17">
      <c r="B93" s="3" t="s">
        <v>1057</v>
      </c>
      <c r="D93" s="3" t="s">
        <v>204</v>
      </c>
      <c r="H93" s="10"/>
      <c r="I93" s="10"/>
      <c r="J93" s="10"/>
      <c r="K93" s="10"/>
      <c r="L93" s="10"/>
      <c r="M93" s="49">
        <f>AVERAGE($H$75*M$37*M$49,$I$75*M$38*M$50,$J$75*M$39*M$51)</f>
        <v>1728351.6194830742</v>
      </c>
      <c r="N93" s="49">
        <f>AVERAGE($H$75*N$37*N$49,$I$75*N$38*N$50,$J$75*N$39*N$51)</f>
        <v>1828167.3822114607</v>
      </c>
      <c r="O93" s="10"/>
      <c r="P93" s="10"/>
      <c r="Q93" s="10"/>
    </row>
    <row r="95" spans="1:17">
      <c r="B95" s="3" t="s">
        <v>1052</v>
      </c>
      <c r="D95" s="3" t="s">
        <v>204</v>
      </c>
      <c r="H95" s="10"/>
      <c r="I95" s="10"/>
      <c r="J95" s="10"/>
      <c r="K95" s="10"/>
      <c r="L95" s="10"/>
      <c r="M95" s="10"/>
      <c r="N95" s="10"/>
      <c r="O95" s="49">
        <f>-$F$64*M93*O30</f>
        <v>-1411745.2564196866</v>
      </c>
      <c r="P95" s="49">
        <f>-$F$64*N93*P31</f>
        <v>-1566476.1904521834</v>
      </c>
      <c r="Q95" s="10"/>
    </row>
    <row r="96" spans="1:17" s="98" customFormat="1">
      <c r="A96" s="357"/>
      <c r="O96" s="198"/>
    </row>
    <row r="97" spans="2:17" s="253" customFormat="1">
      <c r="B97" s="8" t="s">
        <v>1058</v>
      </c>
    </row>
    <row r="99" spans="2:17">
      <c r="B99" s="3" t="s">
        <v>1059</v>
      </c>
      <c r="D99" s="3" t="s">
        <v>204</v>
      </c>
      <c r="H99" s="10"/>
      <c r="I99" s="10"/>
      <c r="J99" s="10"/>
      <c r="K99" s="10"/>
      <c r="L99" s="10"/>
      <c r="M99" s="49">
        <f>SUMIFS('17. Nacalculatie bijschatten'!AN$217:AN$307,'17. Nacalculatie bijschatten'!$I$217:$I$307,"16 LNG installaties",'17. Nacalculatie bijschatten'!$H$217:$H$307,2020)*M$15
+SUMIFS('17. Nacalculatie bijschatten'!AT$217:AT$307,'17. Nacalculatie bijschatten'!$I$217:$I$307,"16 LNG installaties",'17. Nacalculatie bijschatten'!$H$217:$H$307,2020)
+SUMIFS('17. Nacalculatie bijschatten'!AH$217:AH$307,'17. Nacalculatie bijschatten'!$I$217:$I$307,"16 LNG installaties",'17. Nacalculatie bijschatten'!$H$217:$H$307,2020)</f>
        <v>46064.373901539235</v>
      </c>
      <c r="N99" s="49">
        <f>SUMIFS('17. Nacalculatie bijschatten'!AO$217:AO$307,'17. Nacalculatie bijschatten'!$I$217:$I$307,"16 LNG installaties",'17. Nacalculatie bijschatten'!$H$217:$H$307,2020)*N$15
+SUMIFS('17. Nacalculatie bijschatten'!AU$217:AU$307,'17. Nacalculatie bijschatten'!$I$217:$I$307,"16 LNG installaties",'17. Nacalculatie bijschatten'!$H$217:$H$307,2020)
+SUMIFS('17. Nacalculatie bijschatten'!AI$217:AI$307,'17. Nacalculatie bijschatten'!$I$217:$I$307,"16 LNG installaties",'17. Nacalculatie bijschatten'!$H$217:$H$307,2020)</f>
        <v>49051.074670627742</v>
      </c>
      <c r="O99" s="10"/>
      <c r="P99" s="10"/>
      <c r="Q99" s="10"/>
    </row>
    <row r="100" spans="2:17">
      <c r="B100" s="3" t="s">
        <v>1060</v>
      </c>
      <c r="D100" s="3" t="s">
        <v>204</v>
      </c>
      <c r="H100" s="10"/>
      <c r="I100" s="10"/>
      <c r="J100" s="10"/>
      <c r="K100" s="10"/>
      <c r="L100" s="10"/>
      <c r="M100" s="49">
        <f>SUMIFS('17. Nacalculatie bijschatten'!AN$217:AN$307,'17. Nacalculatie bijschatten'!$I$217:$I$307,"16 LNG installaties",'17. Nacalculatie bijschatten'!$H$217:$H$307,2021)*M$15
+SUMIFS('17. Nacalculatie bijschatten'!AT$217:AT$307,'17. Nacalculatie bijschatten'!$I$217:$I$307,"16 LNG installaties",'17. Nacalculatie bijschatten'!$H$217:$H$307,2021)
+SUMIFS('17. Nacalculatie bijschatten'!AH$217:AH$307,'17. Nacalculatie bijschatten'!$I$217:$I$307,"16 LNG installaties",'17. Nacalculatie bijschatten'!$H$217:$H$307,2021)</f>
        <v>27541.27802254694</v>
      </c>
      <c r="N100" s="49">
        <f>SUMIFS('17. Nacalculatie bijschatten'!AO$217:AO$307,'17. Nacalculatie bijschatten'!$I$217:$I$307,"16 LNG installaties",'17. Nacalculatie bijschatten'!$H$217:$H$307,2021)*N$15
+SUMIFS('17. Nacalculatie bijschatten'!AU$217:AU$307,'17. Nacalculatie bijschatten'!$I$217:$I$307,"16 LNG installaties",'17. Nacalculatie bijschatten'!$H$217:$H$307,2021)
+SUMIFS('17. Nacalculatie bijschatten'!AI$217:AI$307,'17. Nacalculatie bijschatten'!$I$217:$I$307,"16 LNG installaties",'17. Nacalculatie bijschatten'!$H$217:$H$307,2021)</f>
        <v>29418.296798326017</v>
      </c>
      <c r="O100" s="10"/>
      <c r="P100" s="10"/>
      <c r="Q100" s="10"/>
    </row>
    <row r="101" spans="2:17">
      <c r="B101" s="3" t="s">
        <v>1061</v>
      </c>
      <c r="D101" s="3" t="s">
        <v>204</v>
      </c>
      <c r="H101" s="10"/>
      <c r="I101" s="10"/>
      <c r="J101" s="10"/>
      <c r="K101" s="10"/>
      <c r="L101" s="10"/>
      <c r="M101" s="49">
        <f>SUMIFS('17. Nacalculatie bijschatten'!AN$217:AN$307,'17. Nacalculatie bijschatten'!$I$217:$I$307,"16 LNG installaties",'17. Nacalculatie bijschatten'!$H$217:$H$307,2022)*M$15
+SUMIFS('17. Nacalculatie bijschatten'!AT$217:AT$307,'17. Nacalculatie bijschatten'!$I$217:$I$307,"16 LNG installaties",'17. Nacalculatie bijschatten'!$H$217:$H$307,2022)
+SUMIFS('17. Nacalculatie bijschatten'!AH$217:AH$307,'17. Nacalculatie bijschatten'!$I$217:$I$307,"16 LNG installaties",'17. Nacalculatie bijschatten'!$H$217:$H$307,2022)</f>
        <v>741850.1575410401</v>
      </c>
      <c r="N101" s="49">
        <f>SUMIFS('17. Nacalculatie bijschatten'!AO$217:AO$307,'17. Nacalculatie bijschatten'!$I$217:$I$307,"16 LNG installaties",'17. Nacalculatie bijschatten'!$H$217:$H$307,2022)*N$15
+SUMIFS('17. Nacalculatie bijschatten'!AU$217:AU$307,'17. Nacalculatie bijschatten'!$I$217:$I$307,"16 LNG installaties",'17. Nacalculatie bijschatten'!$H$217:$H$307,2022)
+SUMIFS('17. Nacalculatie bijschatten'!AI$217:AI$307,'17. Nacalculatie bijschatten'!$I$217:$I$307,"16 LNG installaties",'17. Nacalculatie bijschatten'!$H$217:$H$307,2022)</f>
        <v>1039132.1199240423</v>
      </c>
      <c r="O101" s="10"/>
      <c r="P101" s="10"/>
      <c r="Q101" s="10"/>
    </row>
    <row r="102" spans="2:17">
      <c r="B102" s="3" t="s">
        <v>1062</v>
      </c>
      <c r="D102" s="3" t="s">
        <v>204</v>
      </c>
      <c r="H102" s="10"/>
      <c r="I102" s="10"/>
      <c r="J102" s="10"/>
      <c r="K102" s="10"/>
      <c r="L102" s="10"/>
      <c r="M102" s="10"/>
      <c r="N102" s="49">
        <f>SUMIFS('17. Nacalculatie bijschatten'!AO$217:AO$307,'17. Nacalculatie bijschatten'!$I$217:$I$307,"16 LNG installaties",'17. Nacalculatie bijschatten'!$H$217:$H$307,2023)*N$15
+SUMIFS('17. Nacalculatie bijschatten'!AU$217:AU$307,'17. Nacalculatie bijschatten'!$I$217:$I$307,"16 LNG installaties",'17. Nacalculatie bijschatten'!$H$217:$H$307,2023)
+SUMIFS('17. Nacalculatie bijschatten'!AI$217:AI$307,'17. Nacalculatie bijschatten'!$I$217:$I$307,"16 LNG installaties",'17. Nacalculatie bijschatten'!$H$217:$H$307,2023)</f>
        <v>177048.90175185984</v>
      </c>
      <c r="O102" s="10"/>
      <c r="P102" s="10"/>
      <c r="Q102" s="10"/>
    </row>
    <row r="104" spans="2:17">
      <c r="B104" s="3" t="s">
        <v>1052</v>
      </c>
      <c r="D104" s="3" t="s">
        <v>204</v>
      </c>
      <c r="H104" s="241"/>
      <c r="I104" s="241"/>
      <c r="J104" s="241"/>
      <c r="K104" s="241"/>
      <c r="L104" s="241"/>
      <c r="M104" s="10"/>
      <c r="N104" s="10"/>
      <c r="O104" s="49">
        <f>-$F$64*SUM(M99:M101)*O30</f>
        <v>-666077.35246406659</v>
      </c>
      <c r="P104" s="49">
        <f>-$F$64*SUM(N99:N102)*P30</f>
        <v>-1131515.5364138992</v>
      </c>
      <c r="Q104" s="10"/>
    </row>
    <row r="106" spans="2:17" s="253" customFormat="1">
      <c r="B106" s="8" t="s">
        <v>1063</v>
      </c>
    </row>
    <row r="107" spans="2:17">
      <c r="K107" s="178"/>
      <c r="L107" s="178"/>
      <c r="M107" s="178"/>
      <c r="N107" s="178"/>
    </row>
    <row r="108" spans="2:17">
      <c r="B108" s="3" t="s">
        <v>1064</v>
      </c>
      <c r="D108" s="3" t="s">
        <v>204</v>
      </c>
      <c r="H108" s="10"/>
      <c r="I108" s="10"/>
      <c r="J108" s="10"/>
      <c r="K108" s="48">
        <f>SUMIFS('19. Indexatie desinvesteringen'!$D$641:$D$1171,'19. Indexatie desinvesteringen'!$D$18:$D$548,"16 LNG installaties",'19. Indexatie desinvesteringen'!$G$18:$G$548,'23. Correctie peakshaver'!K10)+
SUMIFS('19. Indexatie desinvesteringen'!$D$641:$D$1171,'19. Indexatie desinvesteringen'!$D$18:$D$548,"06 Utiliteitsgebouwen (LNG)",'19. Indexatie desinvesteringen'!$G$18:$G$548,'23. Correctie peakshaver'!K10)</f>
        <v>417533.58819327998</v>
      </c>
      <c r="L108" s="48">
        <f>SUMIFS('19. Indexatie desinvesteringen'!$D$641:$D$1171,'19. Indexatie desinvesteringen'!$D$18:$D$548,"16 LNG installaties",'19. Indexatie desinvesteringen'!$G$18:$G$548,'23. Correctie peakshaver'!L10)+
SUMIFS('19. Indexatie desinvesteringen'!$D$641:$D$1171,'19. Indexatie desinvesteringen'!$D$18:$D$548,"06 Utiliteitsgebouwen (LNG)",'19. Indexatie desinvesteringen'!$G$18:$G$548,'23. Correctie peakshaver'!L10)</f>
        <v>132355954.29857111</v>
      </c>
      <c r="M108" s="48">
        <f>SUMIFS('19. Indexatie desinvesteringen'!$D$641:$D$1171,'19. Indexatie desinvesteringen'!$D$18:$D$548,"16 LNG installaties",'19. Indexatie desinvesteringen'!$G$18:$G$548,'23. Correctie peakshaver'!M10)+
SUMIFS('19. Indexatie desinvesteringen'!$D$641:$D$1171,'19. Indexatie desinvesteringen'!$D$18:$D$548,"06 Utiliteitsgebouwen (LNG)",'19. Indexatie desinvesteringen'!$G$18:$G$548,'23. Correctie peakshaver'!M10)</f>
        <v>6175396.5452503702</v>
      </c>
      <c r="N108" s="48">
        <f>SUMIFS('19. Indexatie desinvesteringen'!$D$641:$D$1171,'19. Indexatie desinvesteringen'!$D$18:$D$548,"16 LNG installaties",'19. Indexatie desinvesteringen'!$G$18:$G$548,'23. Correctie peakshaver'!N10)+
SUMIFS('19. Indexatie desinvesteringen'!$D$641:$D$1171,'19. Indexatie desinvesteringen'!$D$18:$D$548,"06 Utiliteitsgebouwen (LNG)",'19. Indexatie desinvesteringen'!$G$18:$G$548,'23. Correctie peakshaver'!N10)</f>
        <v>2525665.1004047501</v>
      </c>
      <c r="O108" s="10"/>
      <c r="P108" s="10"/>
      <c r="Q108" s="10"/>
    </row>
    <row r="110" spans="2:17">
      <c r="B110" s="3" t="s">
        <v>978</v>
      </c>
      <c r="D110" s="3" t="s">
        <v>204</v>
      </c>
      <c r="H110" s="241"/>
      <c r="I110" s="241"/>
      <c r="J110" s="241"/>
      <c r="K110" s="241"/>
      <c r="L110" s="241"/>
      <c r="M110" s="53">
        <f>$F$18*$K$108*M$40*M$52</f>
        <v>4296.9245736584444</v>
      </c>
      <c r="N110" s="53">
        <f>$F$18*$K$108*N$40*N$52</f>
        <v>4545.0805616363659</v>
      </c>
      <c r="O110" s="105"/>
      <c r="P110" s="105"/>
      <c r="Q110" s="105"/>
    </row>
    <row r="111" spans="2:17">
      <c r="B111" s="3" t="s">
        <v>980</v>
      </c>
      <c r="D111" s="3" t="s">
        <v>204</v>
      </c>
      <c r="H111" s="241"/>
      <c r="I111" s="241"/>
      <c r="J111" s="241"/>
      <c r="K111" s="241"/>
      <c r="L111" s="241"/>
      <c r="M111" s="53">
        <f>$F$18*$L$108*M$41*M$53</f>
        <v>1341994.0803004161</v>
      </c>
      <c r="N111" s="53">
        <f>$F$18*$L$108*N$41*N$53</f>
        <v>1419496.9224259255</v>
      </c>
      <c r="O111" s="105"/>
      <c r="P111" s="105"/>
      <c r="Q111" s="105"/>
    </row>
    <row r="112" spans="2:17">
      <c r="B112" s="3" t="s">
        <v>982</v>
      </c>
      <c r="D112" s="3" t="s">
        <v>204</v>
      </c>
      <c r="H112" s="241"/>
      <c r="I112" s="241"/>
      <c r="J112" s="241"/>
      <c r="K112" s="241"/>
      <c r="L112" s="241"/>
      <c r="M112" s="53">
        <f>$F$18*$M$108*M$42*M$54</f>
        <v>61753.965452503704</v>
      </c>
      <c r="N112" s="53">
        <f>$F$18*$M$108*N$42*N$54</f>
        <v>65320.380465316703</v>
      </c>
      <c r="O112" s="105"/>
      <c r="P112" s="105"/>
      <c r="Q112" s="105"/>
    </row>
    <row r="113" spans="1:19">
      <c r="B113" s="3" t="s">
        <v>984</v>
      </c>
      <c r="D113" s="3" t="s">
        <v>204</v>
      </c>
      <c r="H113" s="241"/>
      <c r="I113" s="241"/>
      <c r="J113" s="241"/>
      <c r="K113" s="241"/>
      <c r="L113" s="241"/>
      <c r="M113" s="241"/>
      <c r="N113" s="53">
        <f>$F$18*N$108*N$43*N$55</f>
        <v>25256.6510040475</v>
      </c>
      <c r="O113" s="105"/>
      <c r="P113" s="105"/>
      <c r="Q113" s="105"/>
    </row>
    <row r="115" spans="1:19">
      <c r="B115" s="3" t="s">
        <v>1052</v>
      </c>
      <c r="D115" s="3" t="s">
        <v>204</v>
      </c>
      <c r="H115" s="241"/>
      <c r="I115" s="241"/>
      <c r="J115" s="241"/>
      <c r="K115" s="241"/>
      <c r="L115" s="241"/>
      <c r="M115" s="10"/>
      <c r="N115" s="10"/>
      <c r="O115" s="53">
        <f>-$F$64*(-SUM(M110:M112)*O30)</f>
        <v>1150113.6604822744</v>
      </c>
      <c r="P115" s="53">
        <f>-$F$64*(-SUM(N110:N113)*P31)</f>
        <v>1297810.407388624</v>
      </c>
      <c r="Q115" s="10"/>
    </row>
    <row r="116" spans="1:19">
      <c r="M116" s="97"/>
      <c r="N116" s="97"/>
      <c r="O116" s="97"/>
    </row>
    <row r="117" spans="1:19" s="253" customFormat="1">
      <c r="B117" s="8" t="s">
        <v>478</v>
      </c>
    </row>
    <row r="119" spans="1:19">
      <c r="B119" s="3" t="s">
        <v>909</v>
      </c>
      <c r="D119" s="3" t="s">
        <v>204</v>
      </c>
      <c r="H119" s="241"/>
      <c r="I119" s="241"/>
      <c r="J119" s="241"/>
      <c r="K119" s="241"/>
      <c r="L119" s="241"/>
      <c r="M119" s="10"/>
      <c r="N119" s="10"/>
      <c r="O119" s="10"/>
      <c r="P119" s="10"/>
      <c r="Q119" s="10"/>
      <c r="S119" s="3" t="s">
        <v>1065</v>
      </c>
    </row>
    <row r="120" spans="1:19">
      <c r="B120" s="3" t="s">
        <v>911</v>
      </c>
      <c r="D120" s="3" t="s">
        <v>204</v>
      </c>
      <c r="H120" s="241"/>
      <c r="I120" s="241"/>
      <c r="J120" s="241"/>
      <c r="K120" s="241"/>
      <c r="L120" s="241"/>
      <c r="M120" s="49">
        <f>SUMIFS('18. Nacalculatie desinv.'!AH$51:AH266,'18. Nacalculatie desinv.'!$H51:$H266,M$10,'18. Nacalculatie desinv.'!$I$51:$I$266,"16 LNG installaties")
-SUMIFS('18. Nacalculatie desinv.'!$J$51:$J$266,'18. Nacalculatie desinv.'!$H51:$H266,M$10,'18. Nacalculatie desinv.'!$I$51:$I$266,"16 LNG installaties")*$F$25</f>
        <v>494801.16396341531</v>
      </c>
      <c r="N120" s="49">
        <f>SUMIFS('18. Nacalculatie desinv.'!AI$51:AI266,'18. Nacalculatie desinv.'!$H51:$H266,N$10,'18. Nacalculatie desinv.'!$I$51:$I$266,"16 LNG installaties")
-SUMIFS('18. Nacalculatie desinv.'!$J$51:$J$266,'18. Nacalculatie desinv.'!$H51:$H266,N$10,'18. Nacalculatie desinv.'!$I$51:$I$266,"16 LNG installaties")*$F$25</f>
        <v>0</v>
      </c>
      <c r="O120" s="10"/>
      <c r="P120" s="10"/>
      <c r="Q120" s="10"/>
    </row>
    <row r="122" spans="1:19">
      <c r="B122" s="3" t="s">
        <v>1052</v>
      </c>
      <c r="D122" s="3" t="s">
        <v>204</v>
      </c>
      <c r="H122" s="241"/>
      <c r="I122" s="241"/>
      <c r="J122" s="241"/>
      <c r="K122" s="241"/>
      <c r="L122" s="241"/>
      <c r="M122" s="10"/>
      <c r="N122" s="10"/>
      <c r="O122" s="49">
        <f>-$F$64*((M120-M119)*O30)</f>
        <v>-404161.50754394103</v>
      </c>
      <c r="P122" s="49">
        <f>-$F$64*((N120-N119)*P31)</f>
        <v>0</v>
      </c>
      <c r="Q122" s="10"/>
    </row>
    <row r="123" spans="1:19">
      <c r="M123" s="97"/>
      <c r="N123" s="97"/>
      <c r="O123" s="97"/>
    </row>
    <row r="124" spans="1:19" s="8" customFormat="1">
      <c r="A124" s="360"/>
      <c r="B124" s="8" t="s">
        <v>1066</v>
      </c>
    </row>
    <row r="126" spans="1:19">
      <c r="B126" s="3" t="s">
        <v>1067</v>
      </c>
      <c r="D126" s="3" t="s">
        <v>204</v>
      </c>
      <c r="H126" s="241"/>
      <c r="I126" s="241"/>
      <c r="J126" s="241"/>
      <c r="K126" s="241"/>
      <c r="L126" s="241"/>
      <c r="M126" s="241"/>
      <c r="N126" s="103"/>
      <c r="O126" s="49">
        <f>O122+O115+O89+O104+O95+O82</f>
        <v>-18511278.687022008</v>
      </c>
      <c r="P126" s="57">
        <f>P122+P115+P89+P104+P95+P82</f>
        <v>-19829873.659733675</v>
      </c>
      <c r="Q126" s="10"/>
    </row>
    <row r="129" spans="13:16">
      <c r="P129" s="97"/>
    </row>
    <row r="132" spans="13:16">
      <c r="M132" s="97"/>
    </row>
    <row r="133" spans="13:16">
      <c r="M133" s="97"/>
    </row>
    <row r="134" spans="13:16">
      <c r="M134" s="97"/>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3"/>
  <sheetViews>
    <sheetView showGridLines="0" zoomScale="80" zoomScaleNormal="80" workbookViewId="0">
      <pane ySplit="3" topLeftCell="A4" activePane="bottomLeft" state="frozen"/>
      <selection activeCell="C40" sqref="C40"/>
      <selection pane="bottomLeft"/>
    </sheetView>
  </sheetViews>
  <sheetFormatPr defaultColWidth="9.140625" defaultRowHeight="12.75"/>
  <cols>
    <col min="1" max="1" width="2.5703125" style="3" customWidth="1"/>
    <col min="2" max="2" width="7.5703125" style="3" customWidth="1"/>
    <col min="3" max="3" width="71.140625" style="3" bestFit="1" customWidth="1"/>
    <col min="4" max="5" width="36.42578125" style="3" customWidth="1"/>
    <col min="6" max="6" width="40.5703125" style="3" customWidth="1"/>
    <col min="7" max="7" width="4.5703125" style="3" customWidth="1"/>
    <col min="8" max="16384" width="9.140625" style="3"/>
  </cols>
  <sheetData>
    <row r="2" spans="2:10" s="12" customFormat="1" ht="18">
      <c r="B2" s="12" t="s">
        <v>95</v>
      </c>
    </row>
    <row r="4" spans="2:10" s="8" customFormat="1">
      <c r="B4" s="8" t="s">
        <v>96</v>
      </c>
    </row>
    <row r="6" spans="2:10">
      <c r="B6" s="17" t="s">
        <v>97</v>
      </c>
    </row>
    <row r="7" spans="2:10">
      <c r="B7" s="17" t="s">
        <v>98</v>
      </c>
    </row>
    <row r="9" spans="2:10">
      <c r="B9" s="11" t="s">
        <v>99</v>
      </c>
      <c r="C9" s="11" t="s">
        <v>100</v>
      </c>
      <c r="D9" s="11" t="s">
        <v>101</v>
      </c>
      <c r="E9" s="11" t="s">
        <v>102</v>
      </c>
      <c r="F9" s="11" t="s">
        <v>103</v>
      </c>
      <c r="J9" s="13"/>
    </row>
    <row r="10" spans="2:10">
      <c r="B10" s="15"/>
      <c r="C10" s="15" t="s">
        <v>104</v>
      </c>
      <c r="D10" s="15" t="s">
        <v>105</v>
      </c>
      <c r="E10" s="15" t="s">
        <v>106</v>
      </c>
      <c r="F10" s="15" t="s">
        <v>107</v>
      </c>
    </row>
    <row r="11" spans="2:10">
      <c r="B11" s="6">
        <v>1</v>
      </c>
      <c r="C11" s="6" t="s">
        <v>108</v>
      </c>
      <c r="D11" s="146" t="s">
        <v>108</v>
      </c>
      <c r="E11" s="140" t="s">
        <v>109</v>
      </c>
      <c r="F11" s="25"/>
    </row>
    <row r="12" spans="2:10">
      <c r="B12" s="6">
        <v>2</v>
      </c>
      <c r="C12" s="6" t="s">
        <v>110</v>
      </c>
      <c r="D12" s="99" t="s">
        <v>111</v>
      </c>
      <c r="E12" t="s">
        <v>112</v>
      </c>
      <c r="F12" s="64"/>
    </row>
    <row r="13" spans="2:10">
      <c r="B13" s="6">
        <v>3</v>
      </c>
      <c r="C13" s="6" t="s">
        <v>113</v>
      </c>
      <c r="D13" s="33" t="s">
        <v>114</v>
      </c>
      <c r="E13" s="6" t="s">
        <v>11</v>
      </c>
      <c r="F13" s="64"/>
    </row>
    <row r="14" spans="2:10" ht="12" customHeight="1">
      <c r="B14" s="6">
        <v>4</v>
      </c>
      <c r="C14" s="65" t="s">
        <v>115</v>
      </c>
      <c r="D14" s="33" t="s">
        <v>116</v>
      </c>
      <c r="E14" s="37" t="s">
        <v>117</v>
      </c>
      <c r="F14" s="25"/>
    </row>
    <row r="15" spans="2:10">
      <c r="B15" s="6">
        <v>5</v>
      </c>
      <c r="C15" s="26" t="s">
        <v>118</v>
      </c>
      <c r="D15" s="163" t="s">
        <v>119</v>
      </c>
      <c r="E15" t="s">
        <v>120</v>
      </c>
      <c r="F15" s="64"/>
    </row>
    <row r="16" spans="2:10">
      <c r="B16" s="6">
        <v>6</v>
      </c>
      <c r="C16" s="6" t="s">
        <v>121</v>
      </c>
      <c r="D16" s="33" t="s">
        <v>122</v>
      </c>
      <c r="E16" s="6" t="s">
        <v>11</v>
      </c>
      <c r="F16" s="36"/>
    </row>
    <row r="17" spans="2:6" ht="25.5">
      <c r="B17" s="6">
        <v>7</v>
      </c>
      <c r="C17" s="6" t="s">
        <v>123</v>
      </c>
      <c r="D17" s="150" t="s">
        <v>124</v>
      </c>
      <c r="E17" s="151" t="s">
        <v>125</v>
      </c>
      <c r="F17" s="63"/>
    </row>
    <row r="18" spans="2:6">
      <c r="B18" s="6">
        <v>8</v>
      </c>
      <c r="C18" s="27" t="s">
        <v>126</v>
      </c>
      <c r="D18" s="204" t="s">
        <v>127</v>
      </c>
      <c r="E18" s="37" t="s">
        <v>128</v>
      </c>
      <c r="F18" s="28"/>
    </row>
    <row r="19" spans="2:6">
      <c r="B19" s="6">
        <v>9</v>
      </c>
      <c r="C19" s="27" t="s">
        <v>129</v>
      </c>
      <c r="D19" s="33" t="s">
        <v>129</v>
      </c>
      <c r="E19" s="37" t="s">
        <v>11</v>
      </c>
      <c r="F19" s="28"/>
    </row>
    <row r="20" spans="2:6">
      <c r="B20" s="6">
        <v>10</v>
      </c>
      <c r="C20" s="6" t="s">
        <v>130</v>
      </c>
      <c r="D20" s="33" t="s">
        <v>130</v>
      </c>
      <c r="E20" t="s">
        <v>131</v>
      </c>
      <c r="F20" s="28"/>
    </row>
    <row r="21" spans="2:6">
      <c r="B21" s="6">
        <v>11</v>
      </c>
      <c r="C21" s="27" t="s">
        <v>132</v>
      </c>
      <c r="D21" s="33" t="s">
        <v>133</v>
      </c>
      <c r="E21" t="s">
        <v>134</v>
      </c>
      <c r="F21" s="28"/>
    </row>
    <row r="22" spans="2:6">
      <c r="B22" s="6">
        <v>12</v>
      </c>
      <c r="C22" s="27" t="s">
        <v>135</v>
      </c>
      <c r="D22" s="33" t="s">
        <v>136</v>
      </c>
      <c r="E22" s="37" t="s">
        <v>131</v>
      </c>
      <c r="F22" s="28"/>
    </row>
    <row r="23" spans="2:6">
      <c r="B23" s="6">
        <v>13</v>
      </c>
      <c r="C23" s="27" t="s">
        <v>137</v>
      </c>
      <c r="D23" s="146" t="s">
        <v>138</v>
      </c>
      <c r="E23" t="s">
        <v>139</v>
      </c>
      <c r="F23" s="28"/>
    </row>
    <row r="24" spans="2:6">
      <c r="B24" s="6">
        <v>14</v>
      </c>
      <c r="C24" s="27" t="s">
        <v>140</v>
      </c>
      <c r="D24" s="375" t="s">
        <v>140</v>
      </c>
      <c r="E24" s="37" t="s">
        <v>1153</v>
      </c>
      <c r="F24" s="28"/>
    </row>
    <row r="25" spans="2:6" ht="25.5">
      <c r="B25" s="6">
        <v>15</v>
      </c>
      <c r="C25" s="27" t="s">
        <v>141</v>
      </c>
      <c r="D25" s="310" t="s">
        <v>1154</v>
      </c>
      <c r="E25" s="100" t="s">
        <v>3</v>
      </c>
      <c r="F25" s="28"/>
    </row>
    <row r="26" spans="2:6">
      <c r="B26" s="6">
        <v>16</v>
      </c>
      <c r="C26" s="27" t="s">
        <v>142</v>
      </c>
      <c r="D26" s="310"/>
      <c r="E26" s="348" t="s">
        <v>3</v>
      </c>
      <c r="F26" s="28"/>
    </row>
    <row r="27" spans="2:6">
      <c r="B27" s="6">
        <v>17</v>
      </c>
      <c r="C27" s="27" t="s">
        <v>143</v>
      </c>
      <c r="D27" s="310"/>
      <c r="E27" s="348" t="s">
        <v>3</v>
      </c>
      <c r="F27" s="28"/>
    </row>
    <row r="28" spans="2:6">
      <c r="B28" s="6">
        <v>18</v>
      </c>
      <c r="C28" s="27" t="s">
        <v>144</v>
      </c>
      <c r="D28" s="310"/>
      <c r="E28" s="348" t="s">
        <v>3</v>
      </c>
      <c r="F28" s="28"/>
    </row>
    <row r="29" spans="2:6">
      <c r="D29" s="308"/>
      <c r="E29" s="309"/>
    </row>
    <row r="30" spans="2:6" s="8" customFormat="1">
      <c r="B30" s="8" t="s">
        <v>145</v>
      </c>
      <c r="E30" s="164"/>
    </row>
    <row r="32" spans="2:6">
      <c r="B32" s="17" t="s">
        <v>146</v>
      </c>
    </row>
    <row r="33" spans="2:2">
      <c r="B33" s="17"/>
    </row>
  </sheetData>
  <phoneticPr fontId="40"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s>
  <pageMargins left="0.75" right="0.75" top="1" bottom="1" header="0.5" footer="0.5"/>
  <pageSetup paperSize="9" scale="45" orientation="portrait" r:id="rId15"/>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3103-AAF6-4BC8-8BDF-B33394CF231F}">
  <sheetPr>
    <tabColor rgb="FFFFFFCC"/>
  </sheetPr>
  <dimension ref="A2:P81"/>
  <sheetViews>
    <sheetView showGridLines="0" zoomScale="80" zoomScaleNormal="80" workbookViewId="0">
      <pane xSplit="6" ySplit="10" topLeftCell="G11" activePane="bottomRight" state="frozen"/>
      <selection pane="topRight" activeCell="G1" sqref="G1"/>
      <selection pane="bottomLeft" activeCell="A11" sqref="A11"/>
      <selection pane="bottomRight"/>
    </sheetView>
  </sheetViews>
  <sheetFormatPr defaultColWidth="9.140625" defaultRowHeight="12.75"/>
  <cols>
    <col min="1" max="1" width="2.5703125" style="357" customWidth="1"/>
    <col min="2" max="2" width="78.5703125" style="3" customWidth="1"/>
    <col min="3" max="3" width="2.5703125" style="3" customWidth="1"/>
    <col min="4" max="4" width="17.85546875" style="3" customWidth="1"/>
    <col min="5" max="5" width="2.5703125" style="3" customWidth="1"/>
    <col min="6" max="6" width="13.5703125" style="3" customWidth="1"/>
    <col min="7" max="7" width="2.5703125" style="3" customWidth="1"/>
    <col min="8" max="12" width="15.5703125" style="3" customWidth="1"/>
    <col min="13" max="13" width="17.5703125" style="3" bestFit="1" customWidth="1"/>
    <col min="14" max="14" width="15.5703125" style="3" customWidth="1"/>
    <col min="15" max="15" width="2.5703125" style="3" customWidth="1"/>
    <col min="16" max="27" width="13.5703125" style="3" customWidth="1"/>
    <col min="28" max="16384" width="9.140625" style="3"/>
  </cols>
  <sheetData>
    <row r="2" spans="1:16" s="12" customFormat="1" ht="18">
      <c r="B2" s="12" t="s">
        <v>1145</v>
      </c>
    </row>
    <row r="4" spans="1:16">
      <c r="B4" s="16" t="s">
        <v>844</v>
      </c>
      <c r="C4" s="2"/>
    </row>
    <row r="5" spans="1:16" ht="91.5" customHeight="1">
      <c r="B5" s="379" t="s">
        <v>1068</v>
      </c>
      <c r="C5" s="382"/>
      <c r="D5" s="382"/>
      <c r="F5" s="13"/>
    </row>
    <row r="6" spans="1:16" ht="54" customHeight="1">
      <c r="B6" s="128" t="s">
        <v>1142</v>
      </c>
      <c r="F6" s="195"/>
    </row>
    <row r="7" spans="1:16">
      <c r="B7" s="387" t="s">
        <v>846</v>
      </c>
      <c r="C7" s="389"/>
      <c r="D7" s="389"/>
      <c r="F7" s="13"/>
    </row>
    <row r="8" spans="1:16" ht="42" customHeight="1">
      <c r="B8" s="379" t="s">
        <v>1069</v>
      </c>
      <c r="C8" s="379"/>
      <c r="D8" s="379"/>
      <c r="F8" s="13"/>
    </row>
    <row r="9" spans="1:16">
      <c r="F9" s="13"/>
    </row>
    <row r="10" spans="1:16" s="8" customFormat="1">
      <c r="A10" s="360"/>
      <c r="B10" s="8" t="s">
        <v>152</v>
      </c>
      <c r="D10" s="8" t="s">
        <v>194</v>
      </c>
      <c r="F10" s="8" t="s">
        <v>195</v>
      </c>
      <c r="H10" s="52">
        <v>2020</v>
      </c>
      <c r="I10" s="52">
        <v>2021</v>
      </c>
      <c r="J10" s="52">
        <v>2022</v>
      </c>
      <c r="K10" s="52">
        <v>2023</v>
      </c>
      <c r="L10" s="52">
        <v>2024</v>
      </c>
      <c r="M10" s="52">
        <v>2025</v>
      </c>
      <c r="N10" s="52">
        <v>2026</v>
      </c>
      <c r="P10" s="8" t="s">
        <v>197</v>
      </c>
    </row>
    <row r="12" spans="1:16" s="8" customFormat="1">
      <c r="A12" s="360"/>
      <c r="B12" s="8" t="s">
        <v>848</v>
      </c>
    </row>
    <row r="14" spans="1:16">
      <c r="B14" s="16" t="s">
        <v>238</v>
      </c>
    </row>
    <row r="15" spans="1:16">
      <c r="B15" s="32" t="s">
        <v>226</v>
      </c>
      <c r="D15" s="3" t="s">
        <v>850</v>
      </c>
      <c r="H15" s="38">
        <f>'2. Parameters'!K74</f>
        <v>1</v>
      </c>
      <c r="I15" s="38">
        <f>'2. Parameters'!L74</f>
        <v>1.02</v>
      </c>
      <c r="J15" s="38">
        <f>'2. Parameters'!M74</f>
        <v>1.0404</v>
      </c>
      <c r="K15" s="38">
        <f>'2. Parameters'!N74</f>
        <v>1.0612079999999999</v>
      </c>
      <c r="L15" s="38">
        <f>'2. Parameters'!O74</f>
        <v>1.10365632</v>
      </c>
      <c r="M15" s="38">
        <f>'2. Parameters'!P74</f>
        <v>1.1809122624000001</v>
      </c>
      <c r="N15" s="38">
        <f>'2. Parameters'!Q74</f>
        <v>1.2635761207680003</v>
      </c>
    </row>
    <row r="16" spans="1:16">
      <c r="B16" s="32" t="s">
        <v>227</v>
      </c>
      <c r="D16" s="3" t="s">
        <v>850</v>
      </c>
      <c r="H16" s="10"/>
      <c r="I16" s="38">
        <f>'2. Parameters'!L75</f>
        <v>1</v>
      </c>
      <c r="J16" s="38">
        <f>'2. Parameters'!M75</f>
        <v>1.02</v>
      </c>
      <c r="K16" s="38">
        <f>'2. Parameters'!N75</f>
        <v>1.0404</v>
      </c>
      <c r="L16" s="38">
        <f>'2. Parameters'!O75</f>
        <v>1.0820160000000001</v>
      </c>
      <c r="M16" s="38">
        <f>'2. Parameters'!P75</f>
        <v>1.1577571200000001</v>
      </c>
      <c r="N16" s="38">
        <f>'2. Parameters'!Q75</f>
        <v>1.2388001184000001</v>
      </c>
    </row>
    <row r="17" spans="2:14">
      <c r="B17" s="32" t="s">
        <v>228</v>
      </c>
      <c r="D17" s="3" t="s">
        <v>850</v>
      </c>
      <c r="H17" s="10"/>
      <c r="I17" s="10"/>
      <c r="J17" s="38">
        <f>'2. Parameters'!M76</f>
        <v>1</v>
      </c>
      <c r="K17" s="38">
        <f>'2. Parameters'!N76</f>
        <v>1.02</v>
      </c>
      <c r="L17" s="38">
        <f>'2. Parameters'!O76</f>
        <v>1.0608</v>
      </c>
      <c r="M17" s="38">
        <f>'2. Parameters'!P76</f>
        <v>1.1350560000000001</v>
      </c>
      <c r="N17" s="38">
        <f>'2. Parameters'!Q76</f>
        <v>1.2145099200000002</v>
      </c>
    </row>
    <row r="18" spans="2:14">
      <c r="B18" s="32" t="s">
        <v>229</v>
      </c>
      <c r="D18" s="3" t="s">
        <v>850</v>
      </c>
      <c r="H18" s="10"/>
      <c r="I18" s="10"/>
      <c r="J18" s="10"/>
      <c r="K18" s="38">
        <f>'2. Parameters'!N77</f>
        <v>1</v>
      </c>
      <c r="L18" s="38">
        <f>'2. Parameters'!O77</f>
        <v>1.04</v>
      </c>
      <c r="M18" s="38">
        <f>'2. Parameters'!P77</f>
        <v>1.1128</v>
      </c>
      <c r="N18" s="38">
        <f>'2. Parameters'!Q77</f>
        <v>1.190696</v>
      </c>
    </row>
    <row r="19" spans="2:14">
      <c r="B19" s="32" t="s">
        <v>230</v>
      </c>
      <c r="D19" s="3" t="s">
        <v>850</v>
      </c>
      <c r="H19" s="10"/>
      <c r="I19" s="10"/>
      <c r="J19" s="10"/>
      <c r="K19" s="10"/>
      <c r="L19" s="38">
        <f>'2. Parameters'!O78</f>
        <v>1</v>
      </c>
      <c r="M19" s="38">
        <f>'2. Parameters'!P78</f>
        <v>1.07</v>
      </c>
      <c r="N19" s="38">
        <f>'2. Parameters'!Q78</f>
        <v>1.1449</v>
      </c>
    </row>
    <row r="20" spans="2:14">
      <c r="B20" s="32" t="s">
        <v>231</v>
      </c>
      <c r="D20" s="3" t="s">
        <v>850</v>
      </c>
      <c r="H20" s="10"/>
      <c r="I20" s="10"/>
      <c r="J20" s="10"/>
      <c r="K20" s="10"/>
      <c r="L20" s="10"/>
      <c r="M20" s="38">
        <f>'2. Parameters'!P79</f>
        <v>1</v>
      </c>
      <c r="N20" s="38">
        <f>'2. Parameters'!Q79</f>
        <v>1.07</v>
      </c>
    </row>
    <row r="21" spans="2:14">
      <c r="B21" s="32" t="s">
        <v>232</v>
      </c>
      <c r="D21" s="3" t="s">
        <v>850</v>
      </c>
      <c r="H21" s="10"/>
      <c r="I21" s="10"/>
      <c r="J21" s="10"/>
      <c r="K21" s="10"/>
      <c r="L21" s="10"/>
      <c r="M21" s="10"/>
      <c r="N21" s="38">
        <f>'2. Parameters'!Q80</f>
        <v>1</v>
      </c>
    </row>
    <row r="22" spans="2:14">
      <c r="B22" s="32"/>
      <c r="N22" s="302"/>
    </row>
    <row r="23" spans="2:14">
      <c r="B23" s="16" t="s">
        <v>1070</v>
      </c>
      <c r="N23" s="302"/>
    </row>
    <row r="24" spans="2:14">
      <c r="B24" s="303" t="s">
        <v>1071</v>
      </c>
      <c r="N24" s="302"/>
    </row>
    <row r="25" spans="2:14">
      <c r="B25" s="32" t="s">
        <v>468</v>
      </c>
      <c r="D25" s="3" t="s">
        <v>204</v>
      </c>
      <c r="H25" s="10"/>
      <c r="I25" s="10"/>
      <c r="J25" s="179">
        <f>'4. Input nacalculaties'!N33</f>
        <v>929870695.57498884</v>
      </c>
      <c r="K25" s="179">
        <f>'4. Input nacalculaties'!O33</f>
        <v>952373566.40790355</v>
      </c>
      <c r="L25" s="179">
        <f>'4. Input nacalculaties'!P33</f>
        <v>992563730.91031706</v>
      </c>
      <c r="M25" s="320"/>
      <c r="N25" s="321"/>
    </row>
    <row r="26" spans="2:14">
      <c r="B26" s="32"/>
      <c r="J26" s="165"/>
      <c r="K26" s="165"/>
      <c r="L26" s="165"/>
      <c r="M26" s="165"/>
      <c r="N26" s="323"/>
    </row>
    <row r="27" spans="2:14">
      <c r="B27" s="3" t="s">
        <v>471</v>
      </c>
      <c r="D27" s="3" t="s">
        <v>204</v>
      </c>
      <c r="H27" s="10"/>
      <c r="I27" s="10"/>
      <c r="J27" s="179">
        <f>'4. Input nacalculaties'!N36</f>
        <v>119072.05535743562</v>
      </c>
      <c r="K27" s="179">
        <f>'4. Input nacalculaties'!O36</f>
        <v>43971.119724233969</v>
      </c>
      <c r="L27" s="179">
        <f>'4. Input nacalculaties'!P36</f>
        <v>2404144.6778045101</v>
      </c>
      <c r="M27" s="320"/>
      <c r="N27" s="321"/>
    </row>
    <row r="28" spans="2:14">
      <c r="B28" s="3" t="s">
        <v>477</v>
      </c>
      <c r="D28" s="3" t="s">
        <v>204</v>
      </c>
      <c r="H28" s="10"/>
      <c r="I28" s="10"/>
      <c r="J28" s="179">
        <f>'4. Input nacalculaties'!N42</f>
        <v>-6987581.421986118</v>
      </c>
      <c r="K28" s="179">
        <f>'4. Input nacalculaties'!O42</f>
        <v>-26590510.266268313</v>
      </c>
      <c r="L28" s="179">
        <f>'4. Input nacalculaties'!P42</f>
        <v>-37620979.270649046</v>
      </c>
      <c r="M28" s="320"/>
      <c r="N28" s="321"/>
    </row>
    <row r="29" spans="2:14">
      <c r="B29" s="3" t="s">
        <v>490</v>
      </c>
      <c r="D29" s="3" t="s">
        <v>204</v>
      </c>
      <c r="H29" s="10"/>
      <c r="I29" s="10"/>
      <c r="J29" s="320"/>
      <c r="K29" s="320"/>
      <c r="L29" s="179">
        <f>'4. Input nacalculaties'!P43</f>
        <v>2363403.9056672235</v>
      </c>
      <c r="M29" s="320"/>
      <c r="N29" s="321"/>
    </row>
    <row r="30" spans="2:14">
      <c r="B30" s="3" t="s">
        <v>480</v>
      </c>
      <c r="D30" s="3" t="s">
        <v>204</v>
      </c>
      <c r="H30" s="10"/>
      <c r="I30" s="10"/>
      <c r="J30" s="179">
        <f>'4. Input nacalculaties'!N45</f>
        <v>-651743.81498073554</v>
      </c>
      <c r="K30" s="179">
        <f>'4. Input nacalculaties'!O45</f>
        <v>-2713634.922561896</v>
      </c>
      <c r="L30" s="179">
        <f>'4. Input nacalculaties'!P45</f>
        <v>-6263691.195662085</v>
      </c>
      <c r="M30" s="320"/>
      <c r="N30" s="321"/>
    </row>
    <row r="31" spans="2:14">
      <c r="B31" s="3" t="s">
        <v>481</v>
      </c>
      <c r="D31" s="3" t="s">
        <v>204</v>
      </c>
      <c r="H31" s="10"/>
      <c r="I31" s="10"/>
      <c r="J31" s="320"/>
      <c r="K31" s="320"/>
      <c r="L31" s="179">
        <f>'4. Input nacalculaties'!P46</f>
        <v>56578492.792342328</v>
      </c>
      <c r="M31" s="320"/>
      <c r="N31" s="321"/>
    </row>
    <row r="32" spans="2:14">
      <c r="B32" s="3" t="s">
        <v>482</v>
      </c>
      <c r="D32" s="3" t="s">
        <v>204</v>
      </c>
      <c r="H32" s="10"/>
      <c r="I32" s="10"/>
      <c r="J32" s="320"/>
      <c r="K32" s="320"/>
      <c r="L32" s="179">
        <f>'4. Input nacalculaties'!P47</f>
        <v>5993118.6408960866</v>
      </c>
      <c r="M32" s="320"/>
      <c r="N32" s="321"/>
    </row>
    <row r="33" spans="2:16">
      <c r="B33" s="3" t="s">
        <v>485</v>
      </c>
      <c r="D33" s="3" t="s">
        <v>204</v>
      </c>
      <c r="H33" s="10"/>
      <c r="I33" s="10"/>
      <c r="J33" s="10"/>
      <c r="K33" s="179">
        <f>'4. Input nacalculaties'!O50</f>
        <v>-6549650.4501419598</v>
      </c>
      <c r="L33" s="179">
        <f>'4. Input nacalculaties'!P50</f>
        <v>1236097.6837258562</v>
      </c>
      <c r="M33" s="320"/>
      <c r="N33" s="321"/>
    </row>
    <row r="34" spans="2:16">
      <c r="B34" s="3" t="s">
        <v>486</v>
      </c>
      <c r="D34" s="3" t="s">
        <v>204</v>
      </c>
      <c r="H34" s="10"/>
      <c r="I34" s="10"/>
      <c r="J34" s="320"/>
      <c r="K34" s="320"/>
      <c r="L34" s="179">
        <f>'4. Input nacalculaties'!P51</f>
        <v>-18434074.327111505</v>
      </c>
      <c r="M34" s="320"/>
      <c r="N34" s="321"/>
    </row>
    <row r="35" spans="2:16">
      <c r="J35" s="165"/>
      <c r="K35" s="165"/>
      <c r="L35" s="165"/>
      <c r="M35" s="165"/>
      <c r="N35" s="323"/>
    </row>
    <row r="36" spans="2:16">
      <c r="B36" s="303" t="s">
        <v>1072</v>
      </c>
      <c r="J36" s="165"/>
      <c r="K36" s="165"/>
      <c r="L36" s="165"/>
      <c r="M36" s="165"/>
      <c r="N36" s="323"/>
    </row>
    <row r="37" spans="2:16">
      <c r="B37" s="32" t="s">
        <v>468</v>
      </c>
      <c r="D37" s="3" t="s">
        <v>204</v>
      </c>
      <c r="H37" s="10"/>
      <c r="I37" s="10"/>
      <c r="J37" s="179">
        <f>'4. Input nacalculaties'!N56</f>
        <v>994026827.35656655</v>
      </c>
      <c r="K37" s="179">
        <f>'4. Input nacalculaties'!O56</f>
        <v>1024046437.5427349</v>
      </c>
      <c r="L37" s="179">
        <f>'4. Input nacalculaties'!P56</f>
        <v>1073405475.8322947</v>
      </c>
      <c r="M37" s="320"/>
      <c r="N37" s="321"/>
      <c r="P37" s="3" t="s">
        <v>1073</v>
      </c>
    </row>
    <row r="38" spans="2:16">
      <c r="B38" s="32"/>
      <c r="J38" s="165"/>
      <c r="K38" s="165"/>
      <c r="L38" s="165"/>
      <c r="M38" s="165"/>
      <c r="N38" s="323"/>
    </row>
    <row r="39" spans="2:16">
      <c r="B39" s="3" t="s">
        <v>471</v>
      </c>
      <c r="D39" s="3" t="s">
        <v>204</v>
      </c>
      <c r="H39" s="10"/>
      <c r="I39" s="10"/>
      <c r="J39" s="179">
        <f>'4. Input nacalculaties'!N59</f>
        <v>120621.36251406529</v>
      </c>
      <c r="K39" s="179">
        <f>'4. Input nacalculaties'!O59</f>
        <v>45451.204214483361</v>
      </c>
      <c r="L39" s="179">
        <f>'4. Input nacalculaties'!P59</f>
        <v>2567791.5582221644</v>
      </c>
      <c r="M39" s="320"/>
      <c r="N39" s="321"/>
      <c r="P39" s="3" t="s">
        <v>1074</v>
      </c>
    </row>
    <row r="40" spans="2:16">
      <c r="B40" s="3" t="s">
        <v>477</v>
      </c>
      <c r="D40" s="3" t="s">
        <v>204</v>
      </c>
      <c r="H40" s="10"/>
      <c r="I40" s="10"/>
      <c r="J40" s="179">
        <f>'4. Input nacalculaties'!N65</f>
        <v>-12756559.43889554</v>
      </c>
      <c r="K40" s="179">
        <f>'4. Input nacalculaties'!O65</f>
        <v>-37638183.652182847</v>
      </c>
      <c r="L40" s="179">
        <f>'4. Input nacalculaties'!P65</f>
        <v>-66596798.198202893</v>
      </c>
      <c r="M40" s="320"/>
      <c r="N40" s="321"/>
      <c r="P40" s="3" t="s">
        <v>1075</v>
      </c>
    </row>
    <row r="41" spans="2:16">
      <c r="B41" s="3" t="s">
        <v>490</v>
      </c>
      <c r="D41" s="3" t="s">
        <v>204</v>
      </c>
      <c r="H41" s="10"/>
      <c r="I41" s="10"/>
      <c r="J41" s="320"/>
      <c r="K41" s="320"/>
      <c r="L41" s="179">
        <f>'4. Input nacalculaties'!P66</f>
        <v>2312867.6347511886</v>
      </c>
      <c r="M41" s="320"/>
      <c r="N41" s="321"/>
      <c r="P41" s="3" t="s">
        <v>1074</v>
      </c>
    </row>
    <row r="42" spans="2:16">
      <c r="B42" s="3" t="s">
        <v>480</v>
      </c>
      <c r="D42" s="3" t="s">
        <v>204</v>
      </c>
      <c r="H42" s="10"/>
      <c r="I42" s="10"/>
      <c r="J42" s="179">
        <f>'4. Input nacalculaties'!N68</f>
        <v>-675841.58940156468</v>
      </c>
      <c r="K42" s="179">
        <f>'4. Input nacalculaties'!O68</f>
        <v>-2765720.9319584472</v>
      </c>
      <c r="L42" s="179">
        <f>'4. Input nacalculaties'!P68</f>
        <v>-6393701.1689213878</v>
      </c>
      <c r="M42" s="320"/>
      <c r="N42" s="321"/>
      <c r="P42" s="3" t="s">
        <v>1074</v>
      </c>
    </row>
    <row r="43" spans="2:16">
      <c r="B43" s="3" t="s">
        <v>481</v>
      </c>
      <c r="D43" s="3" t="s">
        <v>204</v>
      </c>
      <c r="H43" s="10"/>
      <c r="I43" s="10"/>
      <c r="J43" s="320"/>
      <c r="K43" s="320"/>
      <c r="L43" s="179">
        <f>'4. Input nacalculaties'!P69</f>
        <v>45949029.685100175</v>
      </c>
      <c r="M43" s="320"/>
      <c r="N43" s="321"/>
      <c r="P43" s="3" t="s">
        <v>1074</v>
      </c>
    </row>
    <row r="44" spans="2:16">
      <c r="B44" s="3" t="s">
        <v>482</v>
      </c>
      <c r="D44" s="3" t="s">
        <v>204</v>
      </c>
      <c r="H44" s="10"/>
      <c r="I44" s="10"/>
      <c r="J44" s="320"/>
      <c r="K44" s="320"/>
      <c r="L44" s="179">
        <f>'4. Input nacalculaties'!P70</f>
        <v>6011860.8712883061</v>
      </c>
      <c r="M44" s="320"/>
      <c r="N44" s="321"/>
      <c r="P44" s="3" t="s">
        <v>1074</v>
      </c>
    </row>
    <row r="45" spans="2:16">
      <c r="B45" s="3" t="s">
        <v>485</v>
      </c>
      <c r="D45" s="3" t="s">
        <v>204</v>
      </c>
      <c r="H45" s="10"/>
      <c r="I45" s="10"/>
      <c r="J45" s="10"/>
      <c r="K45" s="179">
        <f>'4. Input nacalculaties'!O73</f>
        <v>-6747985.4932921315</v>
      </c>
      <c r="L45" s="179">
        <f>'4. Input nacalculaties'!P73</f>
        <v>1330902.0369378179</v>
      </c>
      <c r="M45" s="320"/>
      <c r="N45" s="321"/>
      <c r="P45" s="3" t="s">
        <v>1074</v>
      </c>
    </row>
    <row r="46" spans="2:16">
      <c r="B46" s="3" t="s">
        <v>486</v>
      </c>
      <c r="D46" s="3" t="s">
        <v>204</v>
      </c>
      <c r="H46" s="10"/>
      <c r="I46" s="10"/>
      <c r="J46" s="320"/>
      <c r="K46" s="320"/>
      <c r="L46" s="179">
        <f>'4. Input nacalculaties'!P74</f>
        <v>-18511278.687022001</v>
      </c>
      <c r="M46" s="320"/>
      <c r="N46" s="321"/>
      <c r="P46" s="3" t="s">
        <v>1074</v>
      </c>
    </row>
    <row r="47" spans="2:16">
      <c r="J47" s="165"/>
      <c r="K47" s="165"/>
      <c r="L47" s="165"/>
      <c r="M47" s="165"/>
      <c r="N47" s="323"/>
    </row>
    <row r="48" spans="2:16">
      <c r="B48" s="16" t="s">
        <v>493</v>
      </c>
      <c r="J48" s="165"/>
      <c r="K48" s="165"/>
      <c r="L48" s="165"/>
      <c r="M48" s="165"/>
      <c r="N48" s="323"/>
    </row>
    <row r="49" spans="1:16">
      <c r="B49" s="32" t="s">
        <v>494</v>
      </c>
      <c r="D49" s="3" t="s">
        <v>204</v>
      </c>
      <c r="H49" s="10"/>
      <c r="I49" s="10"/>
      <c r="J49" s="179">
        <f>'4. Input nacalculaties'!N81</f>
        <v>929870695.57498884</v>
      </c>
      <c r="K49" s="179">
        <f>'4. Input nacalculaties'!O81</f>
        <v>952373566.40790355</v>
      </c>
      <c r="L49" s="179">
        <f>'4. Input nacalculaties'!P81</f>
        <v>992563730.91031706</v>
      </c>
      <c r="M49" s="317">
        <f>'4. Input nacalculaties'!Q81</f>
        <v>971918405.30738235</v>
      </c>
      <c r="N49" s="317">
        <f>'4. Input nacalculaties'!R81</f>
        <v>951702502.47698867</v>
      </c>
      <c r="P49" s="3" t="s">
        <v>1076</v>
      </c>
    </row>
    <row r="50" spans="1:16">
      <c r="B50" s="32" t="s">
        <v>496</v>
      </c>
      <c r="D50" s="3" t="s">
        <v>204</v>
      </c>
      <c r="H50" s="10"/>
      <c r="I50" s="10"/>
      <c r="J50" s="179">
        <f>'4. Input nacalculaties'!N82</f>
        <v>928922041.52930927</v>
      </c>
      <c r="K50" s="179">
        <f>'4. Input nacalculaties'!O82</f>
        <v>926321059.81302702</v>
      </c>
      <c r="L50" s="179">
        <f>'4. Input nacalculaties'!P82</f>
        <v>965411808.53713679</v>
      </c>
      <c r="M50" s="317">
        <f>'4. Input nacalculaties'!Q82</f>
        <v>945331242.91956425</v>
      </c>
      <c r="N50" s="317">
        <f>'4. Input nacalculaties'!R82</f>
        <v>925668353.06683719</v>
      </c>
      <c r="P50" s="3" t="s">
        <v>1077</v>
      </c>
    </row>
    <row r="51" spans="1:16">
      <c r="B51" s="32"/>
      <c r="H51" s="357"/>
      <c r="I51" s="357"/>
      <c r="J51" s="372"/>
      <c r="K51" s="372"/>
      <c r="L51" s="372"/>
      <c r="M51" s="372"/>
      <c r="N51" s="372"/>
    </row>
    <row r="52" spans="1:16">
      <c r="B52" s="371" t="s">
        <v>1143</v>
      </c>
      <c r="H52" s="357"/>
      <c r="I52" s="357"/>
      <c r="J52" s="372"/>
      <c r="K52" s="372"/>
      <c r="L52" s="372"/>
      <c r="M52" s="372"/>
      <c r="N52" s="372"/>
    </row>
    <row r="53" spans="1:16">
      <c r="B53" s="32" t="s">
        <v>1140</v>
      </c>
      <c r="D53" s="3" t="s">
        <v>204</v>
      </c>
      <c r="H53" s="10"/>
      <c r="I53" s="10"/>
      <c r="J53" s="10"/>
      <c r="K53" s="10"/>
      <c r="L53" s="10"/>
      <c r="M53" s="179">
        <f>'4. Input nacalculaties'!Q86</f>
        <v>10000000</v>
      </c>
      <c r="N53" s="320"/>
    </row>
    <row r="54" spans="1:16">
      <c r="J54" s="165"/>
      <c r="K54" s="165"/>
      <c r="L54" s="165"/>
      <c r="M54" s="165"/>
      <c r="N54" s="165"/>
    </row>
    <row r="55" spans="1:16" s="8" customFormat="1">
      <c r="A55" s="360"/>
      <c r="B55" s="8" t="s">
        <v>1070</v>
      </c>
      <c r="J55" s="324"/>
      <c r="K55" s="324"/>
      <c r="L55" s="324"/>
      <c r="M55" s="324"/>
      <c r="N55" s="324"/>
    </row>
    <row r="56" spans="1:16">
      <c r="J56" s="165"/>
      <c r="K56" s="165"/>
      <c r="L56" s="165"/>
      <c r="M56" s="165"/>
      <c r="N56" s="165"/>
    </row>
    <row r="57" spans="1:16">
      <c r="B57" s="4" t="s">
        <v>1078</v>
      </c>
      <c r="J57" s="165"/>
      <c r="K57" s="165"/>
      <c r="L57" s="165"/>
      <c r="M57" s="165"/>
      <c r="N57" s="165"/>
    </row>
    <row r="58" spans="1:16">
      <c r="B58" s="32" t="s">
        <v>468</v>
      </c>
      <c r="D58" s="3" t="s">
        <v>204</v>
      </c>
      <c r="H58" s="10"/>
      <c r="I58" s="10"/>
      <c r="J58" s="179">
        <f>J37-J25</f>
        <v>64156131.781577706</v>
      </c>
      <c r="K58" s="179">
        <f>K37-K25</f>
        <v>71672871.134831309</v>
      </c>
      <c r="L58" s="179">
        <f>L37-L25</f>
        <v>80841744.921977639</v>
      </c>
      <c r="M58" s="320"/>
      <c r="N58" s="321"/>
    </row>
    <row r="59" spans="1:16">
      <c r="B59" s="32"/>
      <c r="J59" s="165"/>
      <c r="K59" s="165"/>
      <c r="L59" s="165"/>
      <c r="M59" s="165"/>
      <c r="N59" s="323"/>
    </row>
    <row r="60" spans="1:16">
      <c r="B60" s="3" t="s">
        <v>471</v>
      </c>
      <c r="D60" s="3" t="s">
        <v>204</v>
      </c>
      <c r="H60" s="10"/>
      <c r="I60" s="10"/>
      <c r="J60" s="179">
        <f t="shared" ref="J60:L61" si="0">J39-J27</f>
        <v>1549.3071566296712</v>
      </c>
      <c r="K60" s="179">
        <f t="shared" si="0"/>
        <v>1480.0844902493918</v>
      </c>
      <c r="L60" s="179">
        <f t="shared" si="0"/>
        <v>163646.88041765429</v>
      </c>
      <c r="M60" s="320"/>
      <c r="N60" s="321"/>
    </row>
    <row r="61" spans="1:16">
      <c r="B61" s="3" t="s">
        <v>477</v>
      </c>
      <c r="D61" s="3" t="s">
        <v>204</v>
      </c>
      <c r="H61" s="10"/>
      <c r="I61" s="10"/>
      <c r="J61" s="179">
        <f t="shared" si="0"/>
        <v>-5768978.0169094224</v>
      </c>
      <c r="K61" s="179">
        <f t="shared" si="0"/>
        <v>-11047673.385914534</v>
      </c>
      <c r="L61" s="179">
        <f t="shared" si="0"/>
        <v>-28975818.927553847</v>
      </c>
      <c r="M61" s="320"/>
      <c r="N61" s="321"/>
    </row>
    <row r="62" spans="1:16">
      <c r="B62" s="3" t="s">
        <v>490</v>
      </c>
      <c r="D62" s="3" t="s">
        <v>204</v>
      </c>
      <c r="H62" s="10"/>
      <c r="I62" s="10"/>
      <c r="J62" s="320"/>
      <c r="K62" s="320"/>
      <c r="L62" s="179">
        <f t="shared" ref="L62:L67" si="1">L41-L29</f>
        <v>-50536.270916034933</v>
      </c>
      <c r="M62" s="320"/>
      <c r="N62" s="321"/>
    </row>
    <row r="63" spans="1:16">
      <c r="B63" s="3" t="s">
        <v>480</v>
      </c>
      <c r="D63" s="3" t="s">
        <v>204</v>
      </c>
      <c r="H63" s="10"/>
      <c r="I63" s="10"/>
      <c r="J63" s="179">
        <f>J42-J30</f>
        <v>-24097.774420829141</v>
      </c>
      <c r="K63" s="179">
        <f>K42-K30</f>
        <v>-52086.009396551177</v>
      </c>
      <c r="L63" s="179">
        <f t="shared" si="1"/>
        <v>-130009.97325930279</v>
      </c>
      <c r="M63" s="320"/>
      <c r="N63" s="321"/>
    </row>
    <row r="64" spans="1:16">
      <c r="B64" s="3" t="s">
        <v>481</v>
      </c>
      <c r="D64" s="3" t="s">
        <v>204</v>
      </c>
      <c r="H64" s="10"/>
      <c r="I64" s="10"/>
      <c r="J64" s="320"/>
      <c r="K64" s="320"/>
      <c r="L64" s="179">
        <f t="shared" si="1"/>
        <v>-10629463.107242152</v>
      </c>
      <c r="M64" s="320"/>
      <c r="N64" s="321"/>
    </row>
    <row r="65" spans="1:16">
      <c r="B65" s="3" t="s">
        <v>482</v>
      </c>
      <c r="D65" s="3" t="s">
        <v>204</v>
      </c>
      <c r="H65" s="10"/>
      <c r="I65" s="10"/>
      <c r="J65" s="320"/>
      <c r="K65" s="320"/>
      <c r="L65" s="179">
        <f t="shared" si="1"/>
        <v>18742.230392219499</v>
      </c>
      <c r="M65" s="320"/>
      <c r="N65" s="321"/>
    </row>
    <row r="66" spans="1:16">
      <c r="B66" s="3" t="s">
        <v>485</v>
      </c>
      <c r="D66" s="3" t="s">
        <v>204</v>
      </c>
      <c r="H66" s="10"/>
      <c r="I66" s="10"/>
      <c r="J66" s="10"/>
      <c r="K66" s="179">
        <f>K45-K33</f>
        <v>-198335.04315017164</v>
      </c>
      <c r="L66" s="179">
        <f t="shared" si="1"/>
        <v>94804.353211961687</v>
      </c>
      <c r="M66" s="320"/>
      <c r="N66" s="321"/>
    </row>
    <row r="67" spans="1:16">
      <c r="B67" s="3" t="s">
        <v>486</v>
      </c>
      <c r="D67" s="3" t="s">
        <v>204</v>
      </c>
      <c r="H67" s="10"/>
      <c r="I67" s="10"/>
      <c r="J67" s="320"/>
      <c r="K67" s="320"/>
      <c r="L67" s="179">
        <f t="shared" si="1"/>
        <v>-77204.359910495579</v>
      </c>
      <c r="M67" s="320"/>
      <c r="N67" s="321"/>
    </row>
    <row r="68" spans="1:16">
      <c r="J68" s="165"/>
      <c r="K68" s="165"/>
      <c r="L68" s="165"/>
      <c r="M68" s="165"/>
      <c r="N68" s="323"/>
    </row>
    <row r="69" spans="1:16">
      <c r="B69" s="4" t="s">
        <v>1079</v>
      </c>
      <c r="J69" s="165"/>
      <c r="K69" s="165"/>
      <c r="L69" s="165"/>
      <c r="M69" s="165"/>
      <c r="N69" s="165"/>
    </row>
    <row r="70" spans="1:16">
      <c r="B70" s="32" t="s">
        <v>1080</v>
      </c>
      <c r="D70" s="3" t="s">
        <v>204</v>
      </c>
      <c r="H70" s="10"/>
      <c r="I70" s="10"/>
      <c r="J70" s="325">
        <f>SUM(J58:J67)</f>
        <v>58364605.297404088</v>
      </c>
      <c r="K70" s="325">
        <f t="shared" ref="K70:L70" si="2">SUM(K58:K67)</f>
        <v>60376256.780860305</v>
      </c>
      <c r="L70" s="325">
        <f t="shared" si="2"/>
        <v>41255905.747117646</v>
      </c>
      <c r="M70" s="320"/>
      <c r="N70" s="320"/>
    </row>
    <row r="71" spans="1:16">
      <c r="B71" s="3" t="s">
        <v>1081</v>
      </c>
      <c r="D71" s="3" t="s">
        <v>204</v>
      </c>
      <c r="H71" s="10"/>
      <c r="I71" s="10"/>
      <c r="J71" s="320"/>
      <c r="K71" s="320"/>
      <c r="L71" s="320"/>
      <c r="M71" s="326">
        <f>J70*M17+K70*M18+L70*M19</f>
        <v>177577613.12560752</v>
      </c>
      <c r="N71" s="320"/>
    </row>
    <row r="72" spans="1:16">
      <c r="J72" s="165"/>
      <c r="K72" s="165"/>
      <c r="L72" s="165"/>
      <c r="M72" s="165"/>
      <c r="N72" s="165"/>
    </row>
    <row r="73" spans="1:16" s="8" customFormat="1">
      <c r="A73" s="360"/>
      <c r="B73" s="8" t="s">
        <v>493</v>
      </c>
      <c r="J73" s="324"/>
      <c r="K73" s="324"/>
      <c r="L73" s="324"/>
      <c r="M73" s="324"/>
      <c r="N73" s="324"/>
    </row>
    <row r="74" spans="1:16">
      <c r="J74" s="165"/>
      <c r="K74" s="165"/>
      <c r="L74" s="165"/>
      <c r="M74" s="165"/>
      <c r="N74" s="165"/>
    </row>
    <row r="75" spans="1:16">
      <c r="B75" s="3" t="s">
        <v>1082</v>
      </c>
      <c r="D75" s="3" t="s">
        <v>204</v>
      </c>
      <c r="H75" s="10"/>
      <c r="I75" s="10"/>
      <c r="J75" s="319">
        <f>J50-J49</f>
        <v>-948654.04567956924</v>
      </c>
      <c r="K75" s="319">
        <f>K50-K49</f>
        <v>-26052506.594876528</v>
      </c>
      <c r="L75" s="319">
        <f>L50-L49</f>
        <v>-27151922.37318027</v>
      </c>
      <c r="M75" s="317">
        <f>M50-M49</f>
        <v>-26587162.387818098</v>
      </c>
      <c r="N75" s="317">
        <f>N50-N49</f>
        <v>-26034149.410151482</v>
      </c>
      <c r="P75" s="3" t="s">
        <v>1083</v>
      </c>
    </row>
    <row r="76" spans="1:16">
      <c r="B76" s="3" t="s">
        <v>1084</v>
      </c>
      <c r="D76" s="3" t="s">
        <v>204</v>
      </c>
      <c r="H76" s="10"/>
      <c r="I76" s="10"/>
      <c r="J76" s="10"/>
      <c r="K76" s="10"/>
      <c r="L76" s="10"/>
      <c r="M76" s="336">
        <f>SUM(J75:N75)</f>
        <v>-106774394.81170595</v>
      </c>
      <c r="N76" s="10"/>
    </row>
    <row r="78" spans="1:16" s="8" customFormat="1">
      <c r="A78" s="360"/>
      <c r="B78" s="8" t="s">
        <v>1143</v>
      </c>
      <c r="J78" s="324"/>
      <c r="K78" s="324"/>
      <c r="L78" s="324"/>
      <c r="M78" s="324"/>
      <c r="N78" s="324"/>
    </row>
    <row r="79" spans="1:16">
      <c r="J79" s="165"/>
      <c r="K79" s="165"/>
      <c r="L79" s="165"/>
      <c r="M79" s="165"/>
      <c r="N79" s="165"/>
    </row>
    <row r="80" spans="1:16">
      <c r="B80" s="3" t="s">
        <v>1140</v>
      </c>
      <c r="D80" s="3" t="s">
        <v>204</v>
      </c>
      <c r="H80" s="10"/>
      <c r="I80" s="10"/>
      <c r="J80" s="10"/>
      <c r="K80" s="10"/>
      <c r="L80" s="10"/>
      <c r="M80" s="179">
        <f>M53</f>
        <v>10000000</v>
      </c>
      <c r="N80" s="10"/>
    </row>
    <row r="81" spans="2:14">
      <c r="B81" s="3" t="s">
        <v>1144</v>
      </c>
      <c r="D81" s="3" t="s">
        <v>204</v>
      </c>
      <c r="H81" s="10"/>
      <c r="I81" s="10"/>
      <c r="J81" s="10"/>
      <c r="K81" s="10"/>
      <c r="L81" s="10"/>
      <c r="M81" s="336">
        <f>-M80</f>
        <v>-10000000</v>
      </c>
      <c r="N81" s="10"/>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A2:S23"/>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57" customWidth="1"/>
    <col min="2" max="2" width="57.42578125" style="3" customWidth="1"/>
    <col min="3" max="3" width="2.5703125" style="3" customWidth="1"/>
    <col min="4" max="4" width="13.5703125" style="3" customWidth="1"/>
    <col min="5" max="5" width="2.5703125" style="3" customWidth="1"/>
    <col min="6" max="6" width="13.5703125" style="3" customWidth="1"/>
    <col min="7" max="7" width="2.5703125" style="3" customWidth="1"/>
    <col min="8" max="17" width="14.5703125" style="3" customWidth="1"/>
    <col min="18" max="18" width="2.5703125" style="3" customWidth="1"/>
    <col min="19" max="32" width="13.5703125" style="3" customWidth="1"/>
    <col min="33" max="16384" width="9.140625" style="3"/>
  </cols>
  <sheetData>
    <row r="2" spans="1:19" s="12" customFormat="1" ht="18">
      <c r="B2" s="12" t="s">
        <v>1085</v>
      </c>
    </row>
    <row r="4" spans="1:19">
      <c r="B4" s="16" t="s">
        <v>844</v>
      </c>
      <c r="C4" s="2"/>
    </row>
    <row r="5" spans="1:19" ht="16.5" customHeight="1">
      <c r="B5" s="379" t="s">
        <v>1017</v>
      </c>
      <c r="C5" s="379"/>
      <c r="D5" s="379"/>
      <c r="F5" s="13"/>
    </row>
    <row r="6" spans="1:19">
      <c r="B6" s="4"/>
    </row>
    <row r="7" spans="1:19">
      <c r="B7" s="17" t="s">
        <v>150</v>
      </c>
    </row>
    <row r="8" spans="1:19" ht="42" customHeight="1">
      <c r="B8" s="387" t="s">
        <v>1042</v>
      </c>
      <c r="C8" s="387"/>
      <c r="D8" s="387"/>
    </row>
    <row r="10" spans="1:19" s="8" customFormat="1">
      <c r="A10" s="360"/>
      <c r="B10" s="8" t="s">
        <v>152</v>
      </c>
      <c r="D10" s="8" t="s">
        <v>194</v>
      </c>
      <c r="F10" s="8" t="s">
        <v>195</v>
      </c>
      <c r="H10" s="52">
        <v>2017</v>
      </c>
      <c r="I10" s="52">
        <v>2018</v>
      </c>
      <c r="J10" s="52">
        <v>2019</v>
      </c>
      <c r="K10" s="52">
        <v>2020</v>
      </c>
      <c r="L10" s="52">
        <v>2021</v>
      </c>
      <c r="M10" s="52">
        <v>2022</v>
      </c>
      <c r="N10" s="52">
        <v>2023</v>
      </c>
      <c r="O10" s="52">
        <v>2024</v>
      </c>
      <c r="P10" s="52">
        <v>2025</v>
      </c>
      <c r="Q10" s="52">
        <v>2026</v>
      </c>
      <c r="S10" s="8" t="s">
        <v>197</v>
      </c>
    </row>
    <row r="12" spans="1:19" s="8" customFormat="1">
      <c r="A12" s="360"/>
      <c r="B12" s="8" t="s">
        <v>848</v>
      </c>
    </row>
    <row r="13" spans="1:19">
      <c r="P13" s="97"/>
    </row>
    <row r="15" spans="1:19" s="8" customFormat="1">
      <c r="A15" s="360"/>
      <c r="B15" s="8" t="s">
        <v>1019</v>
      </c>
    </row>
    <row r="18" spans="1:17" s="8" customFormat="1">
      <c r="A18" s="360"/>
      <c r="B18" s="8" t="s">
        <v>1030</v>
      </c>
    </row>
    <row r="20" spans="1:17">
      <c r="B20" s="3" t="s">
        <v>1038</v>
      </c>
      <c r="D20" s="3" t="s">
        <v>204</v>
      </c>
      <c r="M20" s="298"/>
      <c r="N20" s="57"/>
      <c r="O20" s="298"/>
      <c r="P20" s="298"/>
      <c r="Q20" s="298"/>
    </row>
    <row r="23" spans="1:17">
      <c r="P23" s="97"/>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A1:P62"/>
  <sheetViews>
    <sheetView showGridLines="0" zoomScale="80" zoomScaleNormal="80" workbookViewId="0">
      <pane xSplit="4" ySplit="7" topLeftCell="G8" activePane="bottomRight" state="frozen"/>
      <selection pane="topRight" activeCell="E1" sqref="E1"/>
      <selection pane="bottomLeft" activeCell="A8" sqref="A8"/>
      <selection pane="bottomRight"/>
    </sheetView>
  </sheetViews>
  <sheetFormatPr defaultColWidth="9.140625" defaultRowHeight="12.75"/>
  <cols>
    <col min="1" max="1" width="2.5703125" style="3" customWidth="1"/>
    <col min="2" max="2" width="85.140625" style="3" customWidth="1"/>
    <col min="3" max="3" width="2.5703125" style="3" customWidth="1"/>
    <col min="4" max="4" width="15.42578125" style="3" customWidth="1"/>
    <col min="5" max="5" width="2.5703125" style="3" customWidth="1"/>
    <col min="6" max="6" width="13.5703125" style="3" customWidth="1"/>
    <col min="7" max="7" width="2.5703125" style="3" customWidth="1"/>
    <col min="8" max="9" width="14.85546875" style="3" bestFit="1" customWidth="1"/>
    <col min="10" max="10" width="18" style="3" bestFit="1" customWidth="1"/>
    <col min="11" max="11" width="14.85546875" style="3" bestFit="1" customWidth="1"/>
    <col min="12" max="12" width="15.5703125" style="3" bestFit="1" customWidth="1"/>
    <col min="13" max="13" width="13.5703125" style="3" customWidth="1"/>
    <col min="14" max="14" width="7.140625" style="3" customWidth="1"/>
    <col min="15" max="20" width="13.5703125" style="3" customWidth="1"/>
    <col min="21" max="16384" width="9.140625" style="3"/>
  </cols>
  <sheetData>
    <row r="1" spans="1:15">
      <c r="A1" s="357"/>
    </row>
    <row r="2" spans="1:15" s="12" customFormat="1" ht="18">
      <c r="B2" s="12" t="s">
        <v>1086</v>
      </c>
    </row>
    <row r="3" spans="1:15">
      <c r="A3" s="357"/>
    </row>
    <row r="4" spans="1:15">
      <c r="A4" s="357"/>
      <c r="B4" s="16" t="s">
        <v>844</v>
      </c>
      <c r="C4" s="2"/>
    </row>
    <row r="5" spans="1:15" ht="39.75" customHeight="1">
      <c r="A5" s="357"/>
      <c r="B5" s="379" t="s">
        <v>1087</v>
      </c>
      <c r="C5" s="379"/>
      <c r="D5" s="379"/>
      <c r="F5" s="13"/>
    </row>
    <row r="6" spans="1:15">
      <c r="A6" s="357"/>
    </row>
    <row r="7" spans="1:15" s="8" customFormat="1">
      <c r="A7" s="360"/>
      <c r="B7" s="8" t="s">
        <v>152</v>
      </c>
      <c r="D7" s="8" t="s">
        <v>194</v>
      </c>
      <c r="F7" s="8" t="s">
        <v>195</v>
      </c>
      <c r="H7" s="52">
        <v>2021</v>
      </c>
      <c r="I7" s="52">
        <v>2022</v>
      </c>
      <c r="J7" s="52">
        <v>2023</v>
      </c>
      <c r="K7" s="52">
        <v>2024</v>
      </c>
      <c r="L7" s="52">
        <v>2025</v>
      </c>
      <c r="M7" s="52">
        <v>2026</v>
      </c>
      <c r="O7" s="8" t="s">
        <v>197</v>
      </c>
    </row>
    <row r="8" spans="1:15">
      <c r="A8" s="357"/>
    </row>
    <row r="9" spans="1:15" s="8" customFormat="1">
      <c r="A9" s="360"/>
      <c r="B9" s="8" t="s">
        <v>848</v>
      </c>
    </row>
    <row r="10" spans="1:15">
      <c r="A10" s="357"/>
    </row>
    <row r="11" spans="1:15">
      <c r="A11" s="357"/>
      <c r="B11" s="16" t="s">
        <v>198</v>
      </c>
    </row>
    <row r="12" spans="1:15">
      <c r="A12" s="357"/>
      <c r="B12" s="3" t="s">
        <v>1088</v>
      </c>
      <c r="D12" s="3" t="s">
        <v>199</v>
      </c>
      <c r="F12" s="61">
        <f>'2. Parameters'!F11</f>
        <v>3.78E-2</v>
      </c>
    </row>
    <row r="13" spans="1:15">
      <c r="A13" s="357"/>
      <c r="B13" s="3" t="s">
        <v>1089</v>
      </c>
      <c r="D13" s="3" t="s">
        <v>199</v>
      </c>
      <c r="F13" s="61">
        <f>'2. Parameters'!F12</f>
        <v>3.1800000000000002E-2</v>
      </c>
    </row>
    <row r="14" spans="1:15">
      <c r="A14" s="357"/>
    </row>
    <row r="15" spans="1:15">
      <c r="A15" s="357"/>
      <c r="B15" s="16" t="s">
        <v>202</v>
      </c>
    </row>
    <row r="16" spans="1:15">
      <c r="A16" s="357"/>
      <c r="B16" s="3" t="s">
        <v>203</v>
      </c>
      <c r="D16" s="3" t="s">
        <v>204</v>
      </c>
      <c r="H16" s="48">
        <f>'2. Parameters'!L16</f>
        <v>948654045.67944181</v>
      </c>
      <c r="I16" s="50"/>
      <c r="J16" s="50"/>
      <c r="K16" s="50"/>
      <c r="L16" s="50"/>
      <c r="M16" s="50"/>
    </row>
    <row r="17" spans="1:16">
      <c r="A17" s="357"/>
      <c r="B17" s="3" t="s">
        <v>1090</v>
      </c>
      <c r="D17" s="3" t="s">
        <v>204</v>
      </c>
      <c r="H17" s="48">
        <f>'2. Parameters'!L17</f>
        <v>1007936348.9723855</v>
      </c>
      <c r="I17" s="50"/>
      <c r="J17" s="50"/>
      <c r="K17" s="50"/>
      <c r="L17" s="50"/>
      <c r="M17" s="50"/>
    </row>
    <row r="18" spans="1:16">
      <c r="A18" s="357"/>
    </row>
    <row r="19" spans="1:16">
      <c r="A19" s="357"/>
      <c r="B19" s="16" t="s">
        <v>218</v>
      </c>
      <c r="F19" s="30"/>
    </row>
    <row r="20" spans="1:16">
      <c r="A20" s="357"/>
      <c r="B20" s="3" t="s">
        <v>218</v>
      </c>
      <c r="D20" s="3" t="s">
        <v>199</v>
      </c>
      <c r="F20" s="30"/>
      <c r="H20" s="50"/>
      <c r="I20" s="85">
        <f>'2. Parameters'!M37</f>
        <v>1.7999999999999999E-2</v>
      </c>
      <c r="J20" s="85">
        <f>'2. Parameters'!N37</f>
        <v>6.2E-2</v>
      </c>
      <c r="K20" s="85">
        <f>'2. Parameters'!O37</f>
        <v>0.08</v>
      </c>
      <c r="L20" s="85">
        <f>'2. Parameters'!P37</f>
        <v>2.8000000000000001E-2</v>
      </c>
      <c r="M20" s="85">
        <f>'2. Parameters'!Q37</f>
        <v>1.7000000000000001E-2</v>
      </c>
    </row>
    <row r="21" spans="1:16">
      <c r="A21" s="357"/>
    </row>
    <row r="22" spans="1:16">
      <c r="A22" s="357"/>
      <c r="B22" s="16" t="s">
        <v>238</v>
      </c>
    </row>
    <row r="23" spans="1:16">
      <c r="A23" s="357"/>
      <c r="B23" s="32" t="s">
        <v>227</v>
      </c>
      <c r="D23" s="3" t="s">
        <v>850</v>
      </c>
      <c r="H23" s="38">
        <f>'2. Parameters'!L75</f>
        <v>1</v>
      </c>
      <c r="I23" s="38">
        <f>'2. Parameters'!M75</f>
        <v>1.02</v>
      </c>
      <c r="J23" s="38">
        <f>'2. Parameters'!N75</f>
        <v>1.0404</v>
      </c>
      <c r="K23" s="38">
        <f>'2. Parameters'!O75</f>
        <v>1.0820160000000001</v>
      </c>
      <c r="L23" s="38">
        <f>'2. Parameters'!P75</f>
        <v>1.1577571200000001</v>
      </c>
      <c r="M23" s="38">
        <f>'2. Parameters'!Q75</f>
        <v>1.2388001184000001</v>
      </c>
    </row>
    <row r="24" spans="1:16">
      <c r="A24" s="357"/>
      <c r="B24" s="32" t="s">
        <v>228</v>
      </c>
      <c r="D24" s="3" t="s">
        <v>850</v>
      </c>
      <c r="H24" s="10"/>
      <c r="I24" s="38">
        <f>'2. Parameters'!M76</f>
        <v>1</v>
      </c>
      <c r="J24" s="38">
        <f>'2. Parameters'!N76</f>
        <v>1.02</v>
      </c>
      <c r="K24" s="38">
        <f>'2. Parameters'!O76</f>
        <v>1.0608</v>
      </c>
      <c r="L24" s="38">
        <f>'2. Parameters'!P76</f>
        <v>1.1350560000000001</v>
      </c>
      <c r="M24" s="38">
        <f>'2. Parameters'!Q76</f>
        <v>1.2145099200000002</v>
      </c>
    </row>
    <row r="25" spans="1:16">
      <c r="A25" s="357"/>
      <c r="B25" s="32" t="s">
        <v>229</v>
      </c>
      <c r="D25" s="3" t="s">
        <v>850</v>
      </c>
      <c r="H25" s="10"/>
      <c r="I25" s="10"/>
      <c r="J25" s="38">
        <f>'2. Parameters'!N77</f>
        <v>1</v>
      </c>
      <c r="K25" s="38">
        <f>'2. Parameters'!O77</f>
        <v>1.04</v>
      </c>
      <c r="L25" s="38">
        <f>'2. Parameters'!P77</f>
        <v>1.1128</v>
      </c>
      <c r="M25" s="38">
        <f>'2. Parameters'!Q77</f>
        <v>1.190696</v>
      </c>
    </row>
    <row r="26" spans="1:16">
      <c r="A26" s="357"/>
      <c r="B26" s="32" t="s">
        <v>230</v>
      </c>
      <c r="D26" s="3" t="s">
        <v>850</v>
      </c>
      <c r="H26" s="10"/>
      <c r="I26" s="10"/>
      <c r="J26" s="10"/>
      <c r="K26" s="38">
        <f>'2. Parameters'!O78</f>
        <v>1</v>
      </c>
      <c r="L26" s="38">
        <f>'2. Parameters'!P78</f>
        <v>1.07</v>
      </c>
      <c r="M26" s="38">
        <f>'2. Parameters'!Q78</f>
        <v>1.1449</v>
      </c>
    </row>
    <row r="27" spans="1:16">
      <c r="A27" s="357"/>
      <c r="B27" s="32" t="s">
        <v>231</v>
      </c>
      <c r="D27" s="3" t="s">
        <v>850</v>
      </c>
      <c r="H27" s="10"/>
      <c r="I27" s="10"/>
      <c r="J27" s="10"/>
      <c r="K27" s="10"/>
      <c r="L27" s="38">
        <f>'2. Parameters'!P79</f>
        <v>1</v>
      </c>
      <c r="M27" s="38">
        <f>'2. Parameters'!Q79</f>
        <v>1.07</v>
      </c>
    </row>
    <row r="28" spans="1:16">
      <c r="A28" s="357"/>
      <c r="B28" s="32" t="s">
        <v>232</v>
      </c>
      <c r="D28" s="3" t="s">
        <v>850</v>
      </c>
      <c r="H28" s="10"/>
      <c r="I28" s="10"/>
      <c r="J28" s="10"/>
      <c r="K28" s="10"/>
      <c r="L28" s="10"/>
      <c r="M28" s="38">
        <f>'2. Parameters'!Q80</f>
        <v>1</v>
      </c>
    </row>
    <row r="29" spans="1:16">
      <c r="A29" s="357"/>
    </row>
    <row r="30" spans="1:16" s="8" customFormat="1">
      <c r="A30" s="360"/>
      <c r="B30" s="8" t="s">
        <v>1091</v>
      </c>
    </row>
    <row r="31" spans="1:16">
      <c r="A31" s="357"/>
    </row>
    <row r="32" spans="1:16">
      <c r="A32" s="357"/>
      <c r="B32" s="3" t="s">
        <v>468</v>
      </c>
      <c r="D32" s="3" t="s">
        <v>204</v>
      </c>
      <c r="H32" s="50"/>
      <c r="I32" s="49">
        <f>H16*(1+I20-F12)</f>
        <v>929870695.57498884</v>
      </c>
      <c r="J32" s="49">
        <f>I32*(1+J20-$F$12)</f>
        <v>952373566.40790355</v>
      </c>
      <c r="K32" s="49">
        <f>J32*(1+K20-$F$12)</f>
        <v>992563730.91031706</v>
      </c>
      <c r="L32" s="186">
        <f>H17*(1+I20-F13)*(1+J20-F13)*(1+K20-F13)*(1+L20-F13)</f>
        <v>1069326535.024132</v>
      </c>
      <c r="M32" s="50"/>
      <c r="O32" s="165" t="s">
        <v>1092</v>
      </c>
      <c r="P32" s="97"/>
    </row>
    <row r="33" spans="1:13">
      <c r="A33" s="357"/>
      <c r="K33" s="97"/>
    </row>
    <row r="34" spans="1:13" s="8" customFormat="1">
      <c r="A34" s="360"/>
      <c r="B34" s="8" t="s">
        <v>1093</v>
      </c>
    </row>
    <row r="35" spans="1:13">
      <c r="A35" s="357"/>
    </row>
    <row r="36" spans="1:13">
      <c r="A36" s="357"/>
      <c r="B36" s="3" t="s">
        <v>470</v>
      </c>
      <c r="D36" s="3" t="s">
        <v>204</v>
      </c>
      <c r="H36" s="50"/>
      <c r="I36" s="176">
        <f>'4. Input nacalculaties'!N35</f>
        <v>0</v>
      </c>
      <c r="J36" s="176">
        <f>'4. Input nacalculaties'!O35</f>
        <v>0</v>
      </c>
      <c r="K36" s="176">
        <f>'4. Input nacalculaties'!P35</f>
        <v>0</v>
      </c>
      <c r="L36" s="176">
        <f>'16. WUI &amp; ombouwtaak'!M84</f>
        <v>53053730.542234212</v>
      </c>
      <c r="M36" s="50"/>
    </row>
    <row r="37" spans="1:13">
      <c r="A37" s="357"/>
      <c r="B37" s="3" t="s">
        <v>471</v>
      </c>
      <c r="D37" s="3" t="s">
        <v>204</v>
      </c>
      <c r="H37" s="50"/>
      <c r="I37" s="176">
        <f>'4. Input nacalculaties'!N36</f>
        <v>119072.05535743562</v>
      </c>
      <c r="J37" s="176">
        <f>'4. Input nacalculaties'!O36</f>
        <v>43971.119724233969</v>
      </c>
      <c r="K37" s="176">
        <f>'4. Input nacalculaties'!P36</f>
        <v>2404144.6778045101</v>
      </c>
      <c r="L37" s="48">
        <f>'16. WUI &amp; ombouwtaak'!M85</f>
        <v>2407837.6116711642</v>
      </c>
      <c r="M37" s="50"/>
    </row>
    <row r="38" spans="1:13">
      <c r="A38" s="357"/>
      <c r="B38" s="3" t="s">
        <v>472</v>
      </c>
      <c r="D38" s="3" t="s">
        <v>204</v>
      </c>
      <c r="H38" s="50"/>
      <c r="I38" s="176">
        <f>'4. Input nacalculaties'!N37</f>
        <v>-2514124.5400079801</v>
      </c>
      <c r="J38" s="48">
        <f>'4. Input nacalculaties'!O37</f>
        <v>-892610.16077459906</v>
      </c>
      <c r="K38" s="48">
        <f>'4. Input nacalculaties'!P37</f>
        <v>-418587875.91763008</v>
      </c>
      <c r="L38" s="48">
        <f>'20. Nacalculaties'!P75</f>
        <v>-31230124.495261651</v>
      </c>
      <c r="M38" s="50"/>
    </row>
    <row r="39" spans="1:13">
      <c r="A39" s="357"/>
      <c r="B39" s="3" t="s">
        <v>473</v>
      </c>
      <c r="D39" s="3" t="s">
        <v>204</v>
      </c>
      <c r="H39" s="50"/>
      <c r="I39" s="176">
        <f>'4. Input nacalculaties'!N38</f>
        <v>-3840127.8443999998</v>
      </c>
      <c r="J39" s="48">
        <f>'4. Input nacalculaties'!O38</f>
        <v>-7019622.9493739996</v>
      </c>
      <c r="K39" s="48">
        <f>'4. Input nacalculaties'!P38</f>
        <v>-17676502.662623998</v>
      </c>
      <c r="L39" s="48">
        <f>'20. Nacalculaties'!P82</f>
        <v>-20334638.624196</v>
      </c>
      <c r="M39" s="50"/>
    </row>
    <row r="40" spans="1:13">
      <c r="A40" s="357"/>
      <c r="B40" s="3" t="s">
        <v>474</v>
      </c>
      <c r="D40" s="3" t="s">
        <v>204</v>
      </c>
      <c r="H40" s="50"/>
      <c r="I40" s="176">
        <f>'4. Input nacalculaties'!N39</f>
        <v>-1510375</v>
      </c>
      <c r="J40" s="48">
        <f>'4. Input nacalculaties'!O39</f>
        <v>-1091840.3578679999</v>
      </c>
      <c r="K40" s="48">
        <f>'4. Input nacalculaties'!P39</f>
        <v>0</v>
      </c>
      <c r="L40" s="48">
        <f>'20. Nacalculaties'!P92</f>
        <v>-430850783.87126899</v>
      </c>
      <c r="M40" s="50"/>
    </row>
    <row r="41" spans="1:13">
      <c r="A41" s="357"/>
      <c r="B41" s="3" t="s">
        <v>475</v>
      </c>
      <c r="D41" s="3" t="s">
        <v>204</v>
      </c>
      <c r="H41" s="50"/>
      <c r="I41" s="176">
        <f>'4. Input nacalculaties'!N40</f>
        <v>37459989.57773035</v>
      </c>
      <c r="J41" s="48">
        <f>'4. Input nacalculaties'!O40</f>
        <v>94853547.603668377</v>
      </c>
      <c r="K41" s="50"/>
      <c r="L41" s="176">
        <f>'20. Nacalculaties'!P144</f>
        <v>218988596.2163403</v>
      </c>
      <c r="M41" s="50"/>
    </row>
    <row r="42" spans="1:13">
      <c r="A42" s="357"/>
      <c r="B42" s="3" t="s">
        <v>476</v>
      </c>
      <c r="D42" s="3" t="s">
        <v>204</v>
      </c>
      <c r="H42" s="50"/>
      <c r="I42" s="176">
        <f>'4. Input nacalculaties'!N41</f>
        <v>7429834.5300000003</v>
      </c>
      <c r="J42" s="48">
        <f>'4. Input nacalculaties'!O41</f>
        <v>22739593.510152001</v>
      </c>
      <c r="K42" s="48">
        <f>'4. Input nacalculaties'!P41</f>
        <v>2370440.480303999</v>
      </c>
      <c r="L42" s="48">
        <f>'20. Nacalculaties'!P99</f>
        <v>84987160.105392396</v>
      </c>
      <c r="M42" s="50"/>
    </row>
    <row r="43" spans="1:13">
      <c r="A43" s="357"/>
      <c r="B43" s="3" t="s">
        <v>477</v>
      </c>
      <c r="D43" s="3" t="s">
        <v>204</v>
      </c>
      <c r="H43" s="50"/>
      <c r="I43" s="176">
        <f>'4. Input nacalculaties'!N42</f>
        <v>-6987581.421986118</v>
      </c>
      <c r="J43" s="48">
        <f>'4. Input nacalculaties'!O42</f>
        <v>-26590510.266268313</v>
      </c>
      <c r="K43" s="48">
        <f>'4. Input nacalculaties'!P42</f>
        <v>-37620979.270649046</v>
      </c>
      <c r="L43" s="318">
        <f>'17. Nacalculatie bijschatten'!M330</f>
        <v>-85362788.83980006</v>
      </c>
      <c r="M43" s="50"/>
    </row>
    <row r="44" spans="1:13">
      <c r="A44" s="357"/>
      <c r="B44" s="3" t="s">
        <v>478</v>
      </c>
      <c r="D44" s="3" t="s">
        <v>204</v>
      </c>
      <c r="H44" s="50"/>
      <c r="I44" s="50"/>
      <c r="J44" s="50"/>
      <c r="K44" s="48">
        <f>'4. Input nacalculaties'!P43</f>
        <v>2363403.9056672235</v>
      </c>
      <c r="L44" s="48">
        <f>'18. Nacalculatie desinv.'!K274</f>
        <v>14755154.906724626</v>
      </c>
      <c r="M44" s="50"/>
    </row>
    <row r="45" spans="1:13">
      <c r="A45" s="357"/>
      <c r="B45" s="3" t="s">
        <v>479</v>
      </c>
      <c r="D45" s="3" t="s">
        <v>204</v>
      </c>
      <c r="H45" s="50"/>
      <c r="I45" s="50"/>
      <c r="J45" s="50"/>
      <c r="K45" s="48">
        <f>'4. Input nacalculaties'!P44</f>
        <v>14652295.895247623</v>
      </c>
      <c r="L45" s="48">
        <f>'20. Nacalculaties'!P106</f>
        <v>16724582.409155497</v>
      </c>
      <c r="M45" s="50"/>
    </row>
    <row r="46" spans="1:13">
      <c r="A46" s="357"/>
      <c r="B46" s="3" t="s">
        <v>480</v>
      </c>
      <c r="D46" s="3" t="s">
        <v>204</v>
      </c>
      <c r="H46" s="50"/>
      <c r="I46" s="176">
        <f>'4. Input nacalculaties'!N45</f>
        <v>-651743.81498073554</v>
      </c>
      <c r="J46" s="48">
        <f>'4. Input nacalculaties'!O45</f>
        <v>-2713634.922561896</v>
      </c>
      <c r="K46" s="48">
        <f>'4. Input nacalculaties'!P45</f>
        <v>-6263691.195662085</v>
      </c>
      <c r="L46" s="48">
        <f>'20. Nacalculaties'!P122</f>
        <v>-7178437.7711590901</v>
      </c>
      <c r="M46" s="50"/>
    </row>
    <row r="47" spans="1:13">
      <c r="A47" s="357"/>
      <c r="B47" s="3" t="s">
        <v>481</v>
      </c>
      <c r="D47" s="3" t="s">
        <v>204</v>
      </c>
      <c r="H47" s="50"/>
      <c r="I47" s="50"/>
      <c r="J47" s="50"/>
      <c r="K47" s="48">
        <f>'4. Input nacalculaties'!P46</f>
        <v>56578492.792342328</v>
      </c>
      <c r="L47" s="48">
        <f>'20. Nacalculaties'!P135</f>
        <v>122315270.04842561</v>
      </c>
      <c r="M47" s="50"/>
    </row>
    <row r="48" spans="1:13">
      <c r="A48" s="357"/>
      <c r="B48" s="3" t="s">
        <v>482</v>
      </c>
      <c r="D48" s="3" t="s">
        <v>204</v>
      </c>
      <c r="H48" s="50"/>
      <c r="I48" s="50"/>
      <c r="J48" s="50"/>
      <c r="K48" s="48">
        <f>'4. Input nacalculaties'!P47</f>
        <v>5993118.6408960866</v>
      </c>
      <c r="L48" s="48">
        <f>'21. Correctie WQA'!K57</f>
        <v>6269821.1828594869</v>
      </c>
      <c r="M48" s="50"/>
    </row>
    <row r="49" spans="1:13">
      <c r="A49" s="357"/>
      <c r="B49" s="3" t="s">
        <v>483</v>
      </c>
      <c r="D49" s="3" t="s">
        <v>204</v>
      </c>
      <c r="H49" s="50"/>
      <c r="I49" s="176">
        <f>'4. Input nacalculaties'!N48</f>
        <v>109745.32379785551</v>
      </c>
      <c r="J49" s="103"/>
      <c r="K49" s="103"/>
      <c r="L49" s="50"/>
      <c r="M49" s="50"/>
    </row>
    <row r="50" spans="1:13">
      <c r="A50" s="357"/>
      <c r="B50" s="3" t="s">
        <v>484</v>
      </c>
      <c r="D50" s="3" t="s">
        <v>204</v>
      </c>
      <c r="H50" s="50"/>
      <c r="I50" s="50"/>
      <c r="J50" s="103"/>
      <c r="K50" s="176">
        <f>'4. Input nacalculaties'!P49</f>
        <v>270388092.45989364</v>
      </c>
      <c r="L50" s="305"/>
      <c r="M50" s="50"/>
    </row>
    <row r="51" spans="1:13">
      <c r="A51" s="357"/>
      <c r="B51" s="3" t="s">
        <v>485</v>
      </c>
      <c r="D51" s="3" t="s">
        <v>204</v>
      </c>
      <c r="H51" s="50"/>
      <c r="I51" s="176">
        <f>'4. Input nacalculaties'!N50</f>
        <v>0</v>
      </c>
      <c r="J51" s="48">
        <f>'4. Input nacalculaties'!O50</f>
        <v>-6549650.4501419598</v>
      </c>
      <c r="K51" s="48">
        <f>'4. Input nacalculaties'!P50</f>
        <v>1236097.6837258562</v>
      </c>
      <c r="L51" s="48">
        <f>'22. Correctie assetoverdracht'!L830</f>
        <v>14624633.370419957</v>
      </c>
      <c r="M51" s="50"/>
    </row>
    <row r="52" spans="1:13">
      <c r="A52" s="357"/>
      <c r="B52" s="3" t="s">
        <v>486</v>
      </c>
      <c r="D52" s="3" t="s">
        <v>204</v>
      </c>
      <c r="H52" s="50"/>
      <c r="I52" s="50"/>
      <c r="J52" s="50"/>
      <c r="K52" s="176">
        <f>'4. Input nacalculaties'!P51</f>
        <v>-18434074.327111505</v>
      </c>
      <c r="L52" s="176">
        <f>'23. Correctie peakshaver'!P126</f>
        <v>-19829873.659733675</v>
      </c>
      <c r="M52" s="50"/>
    </row>
    <row r="53" spans="1:13">
      <c r="A53" s="357"/>
      <c r="B53" s="3" t="s">
        <v>1155</v>
      </c>
      <c r="D53" s="3" t="s">
        <v>204</v>
      </c>
      <c r="H53" s="50"/>
      <c r="I53" s="50"/>
      <c r="J53" s="50"/>
      <c r="K53" s="50"/>
      <c r="L53" s="176">
        <f>'24. Correctie gew. MB, CPI, ITC'!M71</f>
        <v>177577613.12560752</v>
      </c>
      <c r="M53" s="50"/>
    </row>
    <row r="54" spans="1:13">
      <c r="A54" s="357"/>
      <c r="B54" s="3" t="s">
        <v>1094</v>
      </c>
      <c r="D54" s="3" t="s">
        <v>204</v>
      </c>
      <c r="H54" s="50"/>
      <c r="I54" s="50"/>
      <c r="J54" s="50"/>
      <c r="K54" s="50"/>
      <c r="L54" s="176">
        <f>'24. Correctie gew. MB, CPI, ITC'!M76</f>
        <v>-106774394.81170595</v>
      </c>
      <c r="M54" s="50"/>
    </row>
    <row r="55" spans="1:13">
      <c r="A55" s="357"/>
      <c r="B55" s="3" t="s">
        <v>1146</v>
      </c>
      <c r="D55" s="3" t="s">
        <v>204</v>
      </c>
      <c r="H55" s="50"/>
      <c r="I55" s="50"/>
      <c r="J55" s="50"/>
      <c r="K55" s="50"/>
      <c r="L55" s="176">
        <f>'24. Correctie gew. MB, CPI, ITC'!M81</f>
        <v>-10000000</v>
      </c>
      <c r="M55" s="50"/>
    </row>
    <row r="56" spans="1:13">
      <c r="A56" s="357"/>
    </row>
    <row r="57" spans="1:13" s="8" customFormat="1">
      <c r="A57" s="360"/>
      <c r="B57" s="8" t="s">
        <v>1095</v>
      </c>
    </row>
    <row r="58" spans="1:13">
      <c r="A58" s="357"/>
    </row>
    <row r="59" spans="1:13">
      <c r="A59" s="357"/>
      <c r="B59" s="3" t="s">
        <v>1096</v>
      </c>
      <c r="D59" s="3" t="s">
        <v>204</v>
      </c>
      <c r="H59" s="50"/>
      <c r="I59" s="53">
        <f t="shared" ref="I59:K59" si="0">I32+SUM(I36:I54)</f>
        <v>959485384.44049966</v>
      </c>
      <c r="J59" s="53">
        <f t="shared" si="0"/>
        <v>1025152809.5344594</v>
      </c>
      <c r="K59" s="53">
        <f t="shared" si="0"/>
        <v>849966694.07252169</v>
      </c>
      <c r="L59" s="104">
        <f>L32+SUM(L36:L55)</f>
        <v>1069469892.4698374</v>
      </c>
      <c r="M59" s="50"/>
    </row>
    <row r="60" spans="1:13">
      <c r="J60" s="97"/>
    </row>
    <row r="61" spans="1:13">
      <c r="J61" s="23"/>
      <c r="K61" s="97"/>
    </row>
    <row r="62" spans="1:13">
      <c r="I62" s="97"/>
      <c r="J62" s="97"/>
      <c r="K62" s="23"/>
      <c r="L62" s="23"/>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A2:P54"/>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5703125" style="357" customWidth="1"/>
    <col min="2" max="2" width="57.42578125" style="3" bestFit="1" customWidth="1"/>
    <col min="3" max="3" width="2.5703125" style="3" customWidth="1"/>
    <col min="4" max="4" width="25.5703125" style="3" customWidth="1"/>
    <col min="5" max="5" width="2.5703125" style="3" customWidth="1"/>
    <col min="6" max="6" width="14.5703125" style="3" bestFit="1" customWidth="1"/>
    <col min="7" max="7" width="2.5703125" style="3" customWidth="1"/>
    <col min="8" max="8" width="13.5703125" style="3" customWidth="1"/>
    <col min="9" max="10" width="17.5703125" style="3" customWidth="1"/>
    <col min="11" max="12" width="16.85546875" style="3" bestFit="1" customWidth="1"/>
    <col min="13" max="13" width="13.5703125" style="3" customWidth="1"/>
    <col min="14" max="14" width="2.5703125" style="3" customWidth="1"/>
    <col min="15" max="22" width="13.5703125" style="3" customWidth="1"/>
    <col min="23" max="16384" width="9.140625" style="3"/>
  </cols>
  <sheetData>
    <row r="2" spans="1:15" s="12" customFormat="1" ht="18">
      <c r="B2" s="12" t="s">
        <v>1097</v>
      </c>
    </row>
    <row r="4" spans="1:15">
      <c r="B4" s="16" t="s">
        <v>844</v>
      </c>
      <c r="C4" s="2"/>
    </row>
    <row r="5" spans="1:15" ht="97.5" customHeight="1">
      <c r="B5" s="379" t="s">
        <v>1098</v>
      </c>
      <c r="C5" s="379"/>
      <c r="D5" s="379"/>
      <c r="F5" s="13"/>
    </row>
    <row r="7" spans="1:15" s="8" customFormat="1">
      <c r="A7" s="360"/>
      <c r="B7" s="8" t="s">
        <v>152</v>
      </c>
      <c r="D7" s="8" t="s">
        <v>194</v>
      </c>
      <c r="F7" s="8" t="s">
        <v>195</v>
      </c>
      <c r="H7" s="52">
        <v>2021</v>
      </c>
      <c r="I7" s="52">
        <v>2022</v>
      </c>
      <c r="J7" s="52">
        <v>2023</v>
      </c>
      <c r="K7" s="52">
        <v>2024</v>
      </c>
      <c r="L7" s="52">
        <v>2025</v>
      </c>
      <c r="M7" s="52">
        <v>2026</v>
      </c>
      <c r="O7" s="8" t="s">
        <v>197</v>
      </c>
    </row>
    <row r="9" spans="1:15" s="8" customFormat="1">
      <c r="A9" s="360"/>
      <c r="B9" s="8" t="s">
        <v>1099</v>
      </c>
    </row>
    <row r="11" spans="1:15">
      <c r="B11" s="16" t="s">
        <v>787</v>
      </c>
    </row>
    <row r="12" spans="1:15">
      <c r="B12" s="3" t="s">
        <v>788</v>
      </c>
      <c r="D12" s="3" t="s">
        <v>789</v>
      </c>
      <c r="H12" s="10"/>
      <c r="I12" s="10"/>
      <c r="J12" s="10"/>
      <c r="K12" s="103"/>
      <c r="L12" s="48">
        <f>'10. Input capaciteit'!M12</f>
        <v>138087814</v>
      </c>
      <c r="M12" s="10"/>
    </row>
    <row r="13" spans="1:15">
      <c r="B13" s="3" t="s">
        <v>790</v>
      </c>
      <c r="D13" s="3" t="s">
        <v>789</v>
      </c>
      <c r="H13" s="10"/>
      <c r="I13" s="10"/>
      <c r="J13" s="10"/>
      <c r="K13" s="103"/>
      <c r="L13" s="48">
        <f>'10. Input capaciteit'!M13</f>
        <v>236912186</v>
      </c>
      <c r="M13" s="10"/>
    </row>
    <row r="15" spans="1:15">
      <c r="B15" s="3" t="s">
        <v>791</v>
      </c>
      <c r="D15" s="3" t="s">
        <v>789</v>
      </c>
      <c r="H15" s="10"/>
      <c r="I15" s="10"/>
      <c r="J15" s="10"/>
      <c r="K15" s="103"/>
      <c r="L15" s="48">
        <f>'10. Input capaciteit'!M15</f>
        <v>47529361</v>
      </c>
      <c r="M15" s="10"/>
    </row>
    <row r="16" spans="1:15">
      <c r="B16" s="3" t="s">
        <v>792</v>
      </c>
      <c r="D16" s="3" t="s">
        <v>789</v>
      </c>
      <c r="H16" s="10"/>
      <c r="I16" s="10"/>
      <c r="J16" s="10"/>
      <c r="K16" s="103"/>
      <c r="L16" s="48">
        <f>'10. Input capaciteit'!M16</f>
        <v>28422166</v>
      </c>
      <c r="M16" s="10"/>
    </row>
    <row r="18" spans="1:16">
      <c r="B18" s="3" t="s">
        <v>793</v>
      </c>
      <c r="D18" s="3" t="s">
        <v>789</v>
      </c>
      <c r="H18" s="10"/>
      <c r="I18" s="10"/>
      <c r="J18" s="10"/>
      <c r="K18" s="103"/>
      <c r="L18" s="48">
        <f>'10. Input capaciteit'!M18</f>
        <v>31903239</v>
      </c>
      <c r="M18" s="10"/>
    </row>
    <row r="20" spans="1:16">
      <c r="B20" s="2" t="s">
        <v>251</v>
      </c>
    </row>
    <row r="21" spans="1:16">
      <c r="B21" s="3" t="s">
        <v>252</v>
      </c>
      <c r="D21" s="3" t="s">
        <v>199</v>
      </c>
      <c r="F21" s="86">
        <f>'2. Parameters'!F110</f>
        <v>0.75</v>
      </c>
    </row>
    <row r="22" spans="1:16">
      <c r="B22" s="3" t="s">
        <v>253</v>
      </c>
      <c r="D22" s="3" t="s">
        <v>199</v>
      </c>
      <c r="F22" s="86">
        <f>'2. Parameters'!F111</f>
        <v>0.94</v>
      </c>
    </row>
    <row r="23" spans="1:16">
      <c r="B23" s="3" t="s">
        <v>254</v>
      </c>
      <c r="D23" s="3" t="s">
        <v>199</v>
      </c>
      <c r="F23" s="86">
        <f>'2. Parameters'!F112</f>
        <v>0.2</v>
      </c>
    </row>
    <row r="24" spans="1:16">
      <c r="F24" s="19"/>
    </row>
    <row r="25" spans="1:16">
      <c r="B25" s="2" t="s">
        <v>248</v>
      </c>
      <c r="F25" s="19"/>
    </row>
    <row r="26" spans="1:16">
      <c r="B26" s="3" t="s">
        <v>249</v>
      </c>
      <c r="D26" s="3" t="s">
        <v>199</v>
      </c>
      <c r="F26" s="86">
        <f>'2. Parameters'!F105</f>
        <v>0.4</v>
      </c>
    </row>
    <row r="27" spans="1:16">
      <c r="B27" s="3" t="s">
        <v>250</v>
      </c>
      <c r="D27" s="3" t="s">
        <v>199</v>
      </c>
      <c r="F27" s="86">
        <f>'2. Parameters'!F106</f>
        <v>0.6</v>
      </c>
    </row>
    <row r="29" spans="1:16" s="8" customFormat="1">
      <c r="A29" s="360"/>
      <c r="B29" s="8" t="s">
        <v>1100</v>
      </c>
    </row>
    <row r="31" spans="1:16">
      <c r="B31" s="3" t="s">
        <v>1095</v>
      </c>
      <c r="D31" s="3" t="s">
        <v>204</v>
      </c>
      <c r="H31" s="10"/>
      <c r="I31" s="10"/>
      <c r="J31" s="103"/>
      <c r="K31" s="103"/>
      <c r="L31" s="48">
        <f>'26. Toegestane inkomsten'!L59</f>
        <v>1069469892.4698374</v>
      </c>
      <c r="M31" s="10"/>
      <c r="O31" s="97"/>
      <c r="P31" s="23"/>
    </row>
    <row r="33" spans="1:15">
      <c r="B33" s="3" t="s">
        <v>1101</v>
      </c>
      <c r="D33" s="3" t="s">
        <v>1102</v>
      </c>
      <c r="H33" s="10"/>
      <c r="I33" s="10"/>
      <c r="J33" s="10"/>
      <c r="K33" s="252"/>
      <c r="L33" s="31">
        <f>(L$31*$F26)/L12</f>
        <v>3.0979414084137433</v>
      </c>
      <c r="M33" s="10"/>
      <c r="O33" s="376"/>
    </row>
    <row r="34" spans="1:15">
      <c r="B34" s="3" t="s">
        <v>1103</v>
      </c>
      <c r="D34" s="3" t="s">
        <v>1102</v>
      </c>
      <c r="H34" s="10"/>
      <c r="I34" s="10"/>
      <c r="J34" s="10"/>
      <c r="K34" s="311"/>
      <c r="L34" s="31">
        <f>(L$31*$F27)/L13</f>
        <v>2.7085222854762838</v>
      </c>
      <c r="M34" s="10"/>
    </row>
    <row r="36" spans="1:15" s="8" customFormat="1">
      <c r="A36" s="360"/>
      <c r="B36" s="8" t="s">
        <v>1104</v>
      </c>
    </row>
    <row r="38" spans="1:15">
      <c r="B38" s="3" t="s">
        <v>1105</v>
      </c>
      <c r="D38" s="3" t="s">
        <v>204</v>
      </c>
      <c r="H38" s="10"/>
      <c r="I38" s="10"/>
      <c r="J38" s="10"/>
      <c r="K38" s="103"/>
      <c r="L38" s="49">
        <f>$F21*(L15*L33+L16*L34)+F23*L18*L33</f>
        <v>187935807.20951271</v>
      </c>
      <c r="M38" s="10"/>
      <c r="O38" s="97"/>
    </row>
    <row r="39" spans="1:15">
      <c r="B39" s="3" t="s">
        <v>1106</v>
      </c>
      <c r="H39" s="10"/>
      <c r="I39" s="10"/>
      <c r="J39" s="10"/>
      <c r="K39" s="252"/>
      <c r="L39" s="31">
        <f>L31/(L31-L38)</f>
        <v>1.2131917646202117</v>
      </c>
      <c r="M39" s="10"/>
    </row>
    <row r="41" spans="1:15" s="8" customFormat="1">
      <c r="A41" s="360"/>
      <c r="B41" s="8" t="s">
        <v>1107</v>
      </c>
    </row>
    <row r="43" spans="1:15">
      <c r="B43" s="3" t="s">
        <v>1108</v>
      </c>
      <c r="D43" s="3" t="s">
        <v>1102</v>
      </c>
      <c r="H43" s="10"/>
      <c r="I43" s="10"/>
      <c r="J43" s="252"/>
      <c r="K43" s="312"/>
      <c r="L43" s="181">
        <f>L33*L$39</f>
        <v>3.7583970039634931</v>
      </c>
      <c r="M43" s="10"/>
      <c r="O43" s="23"/>
    </row>
    <row r="44" spans="1:15">
      <c r="B44" s="3" t="s">
        <v>1109</v>
      </c>
      <c r="D44" s="3" t="s">
        <v>1102</v>
      </c>
      <c r="H44" s="10"/>
      <c r="I44" s="10"/>
      <c r="J44" s="252"/>
      <c r="K44" s="312"/>
      <c r="L44" s="181">
        <f>L34*L$39</f>
        <v>3.2859569310301415</v>
      </c>
      <c r="M44" s="10"/>
      <c r="O44" s="251"/>
    </row>
    <row r="45" spans="1:15">
      <c r="B45" s="3" t="s">
        <v>1110</v>
      </c>
      <c r="D45" s="3" t="s">
        <v>1102</v>
      </c>
      <c r="H45" s="10"/>
      <c r="I45" s="10"/>
      <c r="J45" s="252"/>
      <c r="K45" s="312"/>
      <c r="L45" s="181">
        <f>(1-$F$21)*L33*L$39</f>
        <v>0.93959925099087327</v>
      </c>
      <c r="M45" s="10"/>
      <c r="O45" s="251"/>
    </row>
    <row r="46" spans="1:15">
      <c r="B46" s="3" t="s">
        <v>1111</v>
      </c>
      <c r="D46" s="3" t="s">
        <v>1102</v>
      </c>
      <c r="H46" s="10"/>
      <c r="I46" s="10"/>
      <c r="J46" s="252"/>
      <c r="K46" s="312"/>
      <c r="L46" s="181">
        <f>(1-$F$21)*L34*L$39</f>
        <v>0.82148923275753538</v>
      </c>
      <c r="M46" s="10"/>
      <c r="O46" s="251"/>
    </row>
    <row r="47" spans="1:15">
      <c r="B47" s="3" t="s">
        <v>1112</v>
      </c>
      <c r="D47" s="3" t="s">
        <v>1102</v>
      </c>
      <c r="H47" s="10"/>
      <c r="I47" s="10"/>
      <c r="J47" s="252"/>
      <c r="K47" s="312"/>
      <c r="L47" s="181">
        <f>(1-F23)*L33*L39</f>
        <v>3.0067176031707947</v>
      </c>
      <c r="M47" s="10"/>
      <c r="O47" s="251"/>
    </row>
    <row r="49" spans="1:13" s="8" customFormat="1">
      <c r="A49" s="360"/>
      <c r="B49" s="8" t="s">
        <v>1113</v>
      </c>
    </row>
    <row r="51" spans="1:13">
      <c r="B51" s="3" t="s">
        <v>1114</v>
      </c>
      <c r="D51" s="3" t="s">
        <v>204</v>
      </c>
      <c r="H51" s="10"/>
      <c r="I51" s="10"/>
      <c r="J51" s="10"/>
      <c r="K51" s="313"/>
      <c r="L51" s="22">
        <f>L12*L33+L13*L34</f>
        <v>1069469892.4698374</v>
      </c>
      <c r="M51" s="10"/>
    </row>
    <row r="52" spans="1:13">
      <c r="B52" s="3" t="s">
        <v>1115</v>
      </c>
      <c r="D52" s="3" t="s">
        <v>204</v>
      </c>
      <c r="H52" s="10"/>
      <c r="I52" s="10"/>
      <c r="J52" s="10"/>
      <c r="K52" s="313"/>
      <c r="L52" s="22">
        <f>(L12-L15-L18)*L43+(L13-L16)*L44+L15*L45+L16*L46+L18*L47</f>
        <v>1069469892.4698375</v>
      </c>
      <c r="M52" s="10"/>
    </row>
    <row r="54" spans="1:13">
      <c r="B54" s="3" t="s">
        <v>1116</v>
      </c>
      <c r="H54" s="10"/>
      <c r="I54" s="10"/>
      <c r="J54" s="10"/>
      <c r="K54" s="313"/>
      <c r="L54" s="22" t="b">
        <f>ROUND(L51,3)=ROUND(L52,3)</f>
        <v>1</v>
      </c>
      <c r="M54" s="10"/>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A2:AG195"/>
  <sheetViews>
    <sheetView showGridLines="0" zoomScale="85" zoomScaleNormal="85" workbookViewId="0"/>
  </sheetViews>
  <sheetFormatPr defaultColWidth="9.140625" defaultRowHeight="12.75"/>
  <cols>
    <col min="1" max="1" width="2.5703125" style="357" customWidth="1"/>
    <col min="2" max="2" width="45.5703125" style="3" customWidth="1"/>
    <col min="3" max="3" width="2.5703125" style="3" customWidth="1"/>
    <col min="4" max="4" width="25.5703125" style="3" customWidth="1"/>
    <col min="5" max="5" width="2.5703125" style="3" customWidth="1"/>
    <col min="6" max="6" width="18.140625"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42578125" style="3" customWidth="1"/>
    <col min="26" max="29" width="15.5703125" style="3" customWidth="1"/>
    <col min="30" max="32" width="2.5703125" style="3" customWidth="1"/>
    <col min="33" max="47" width="13.5703125" style="3" customWidth="1"/>
    <col min="48" max="16384" width="9.140625" style="3"/>
  </cols>
  <sheetData>
    <row r="2" spans="1:26" s="12" customFormat="1" ht="18">
      <c r="B2" s="12" t="s">
        <v>1117</v>
      </c>
    </row>
    <row r="4" spans="1:26">
      <c r="B4" s="16" t="s">
        <v>844</v>
      </c>
      <c r="C4" s="2"/>
    </row>
    <row r="5" spans="1:26" ht="116.25" customHeight="1">
      <c r="B5" s="379" t="s">
        <v>1118</v>
      </c>
      <c r="C5" s="379"/>
      <c r="D5" s="379"/>
    </row>
    <row r="7" spans="1:26" ht="12.6" customHeight="1">
      <c r="B7" s="17" t="s">
        <v>150</v>
      </c>
    </row>
    <row r="8" spans="1:26" ht="65.25" customHeight="1">
      <c r="B8" s="379" t="s">
        <v>1133</v>
      </c>
      <c r="C8" s="379"/>
      <c r="D8" s="379"/>
    </row>
    <row r="10" spans="1:26" s="8" customFormat="1">
      <c r="A10" s="360"/>
      <c r="B10" s="8" t="s">
        <v>152</v>
      </c>
      <c r="D10" s="8" t="s">
        <v>194</v>
      </c>
      <c r="F10" s="8" t="s">
        <v>195</v>
      </c>
      <c r="Z10" s="8" t="s">
        <v>197</v>
      </c>
    </row>
    <row r="12" spans="1:26" s="8" customFormat="1">
      <c r="A12" s="360"/>
      <c r="B12" s="8" t="s">
        <v>848</v>
      </c>
    </row>
    <row r="14" spans="1:26">
      <c r="B14" s="16" t="s">
        <v>255</v>
      </c>
    </row>
    <row r="15" spans="1:26">
      <c r="B15" s="3" t="s">
        <v>256</v>
      </c>
      <c r="F15" s="43">
        <f>'2. Parameters'!F116</f>
        <v>1.25</v>
      </c>
    </row>
    <row r="16" spans="1:26">
      <c r="B16" s="3" t="s">
        <v>257</v>
      </c>
      <c r="F16" s="43">
        <f>'2. Parameters'!F117</f>
        <v>1.5</v>
      </c>
    </row>
    <row r="17" spans="2:6">
      <c r="B17" s="3" t="s">
        <v>258</v>
      </c>
      <c r="F17" s="43">
        <f>'2. Parameters'!F118</f>
        <v>1.75</v>
      </c>
    </row>
    <row r="18" spans="2:6">
      <c r="B18" s="3" t="s">
        <v>259</v>
      </c>
      <c r="F18" s="43">
        <f>'2. Parameters'!F119</f>
        <v>1.75</v>
      </c>
    </row>
    <row r="20" spans="2:6">
      <c r="B20" s="2" t="s">
        <v>261</v>
      </c>
    </row>
    <row r="21" spans="2:6">
      <c r="B21" s="3" t="s">
        <v>262</v>
      </c>
      <c r="F21" s="43">
        <f>'2. Parameters'!F124</f>
        <v>1.482</v>
      </c>
    </row>
    <row r="22" spans="2:6">
      <c r="B22" s="3" t="s">
        <v>263</v>
      </c>
      <c r="F22" s="43">
        <f>'2. Parameters'!F125</f>
        <v>0.78400000000000003</v>
      </c>
    </row>
    <row r="23" spans="2:6">
      <c r="B23" s="3" t="s">
        <v>264</v>
      </c>
      <c r="F23" s="43">
        <f>'2. Parameters'!F126</f>
        <v>0.629</v>
      </c>
    </row>
    <row r="24" spans="2:6">
      <c r="B24" s="3" t="s">
        <v>265</v>
      </c>
      <c r="F24" s="43">
        <f>'2. Parameters'!F127</f>
        <v>1.105</v>
      </c>
    </row>
    <row r="26" spans="2:6">
      <c r="B26" s="2" t="s">
        <v>266</v>
      </c>
    </row>
    <row r="27" spans="2:6">
      <c r="B27" s="3" t="s">
        <v>168</v>
      </c>
      <c r="F27" s="43">
        <f>'2. Parameters'!F130</f>
        <v>1.7150000000000001</v>
      </c>
    </row>
    <row r="28" spans="2:6">
      <c r="B28" s="3" t="s">
        <v>169</v>
      </c>
      <c r="F28" s="43">
        <f>'2. Parameters'!F131</f>
        <v>1.5329999999999999</v>
      </c>
    </row>
    <row r="29" spans="2:6">
      <c r="B29" s="3" t="s">
        <v>170</v>
      </c>
      <c r="F29" s="43">
        <f>'2. Parameters'!F132</f>
        <v>1.1990000000000001</v>
      </c>
    </row>
    <row r="30" spans="2:6">
      <c r="B30" s="3" t="s">
        <v>171</v>
      </c>
      <c r="F30" s="43">
        <f>'2. Parameters'!F133</f>
        <v>0.89400000000000002</v>
      </c>
    </row>
    <row r="31" spans="2:6">
      <c r="B31" s="3" t="s">
        <v>172</v>
      </c>
      <c r="F31" s="43">
        <f>'2. Parameters'!F134</f>
        <v>0.79200000000000004</v>
      </c>
    </row>
    <row r="32" spans="2:6">
      <c r="B32" s="3" t="s">
        <v>173</v>
      </c>
      <c r="F32" s="43">
        <f>'2. Parameters'!F135</f>
        <v>0.66500000000000004</v>
      </c>
    </row>
    <row r="33" spans="2:6">
      <c r="B33" s="3" t="s">
        <v>174</v>
      </c>
      <c r="F33" s="43">
        <f>'2. Parameters'!F136</f>
        <v>0.628</v>
      </c>
    </row>
    <row r="34" spans="2:6">
      <c r="B34" s="3" t="s">
        <v>175</v>
      </c>
      <c r="F34" s="43">
        <f>'2. Parameters'!F137</f>
        <v>0.59699999999999998</v>
      </c>
    </row>
    <row r="35" spans="2:6">
      <c r="B35" s="3" t="s">
        <v>176</v>
      </c>
      <c r="F35" s="43">
        <f>'2. Parameters'!F138</f>
        <v>0.66300000000000003</v>
      </c>
    </row>
    <row r="36" spans="2:6">
      <c r="B36" s="3" t="s">
        <v>177</v>
      </c>
      <c r="F36" s="43">
        <f>'2. Parameters'!F139</f>
        <v>0.76100000000000001</v>
      </c>
    </row>
    <row r="37" spans="2:6">
      <c r="B37" s="3" t="s">
        <v>178</v>
      </c>
      <c r="F37" s="43">
        <f>'2. Parameters'!F140</f>
        <v>1.1299999999999999</v>
      </c>
    </row>
    <row r="38" spans="2:6">
      <c r="B38" s="3" t="s">
        <v>179</v>
      </c>
      <c r="F38" s="43">
        <f>'2. Parameters'!F141</f>
        <v>1.4239999999999999</v>
      </c>
    </row>
    <row r="40" spans="2:6">
      <c r="B40" s="2" t="s">
        <v>267</v>
      </c>
    </row>
    <row r="41" spans="2:6">
      <c r="B41" s="3" t="s">
        <v>168</v>
      </c>
      <c r="F41" s="60">
        <f>'2. Parameters'!F144</f>
        <v>1.7729999999999999</v>
      </c>
    </row>
    <row r="42" spans="2:6">
      <c r="B42" s="3" t="s">
        <v>169</v>
      </c>
      <c r="F42" s="60">
        <f>'2. Parameters'!F145</f>
        <v>1.585</v>
      </c>
    </row>
    <row r="43" spans="2:6">
      <c r="B43" s="3" t="s">
        <v>170</v>
      </c>
      <c r="F43" s="60">
        <f>'2. Parameters'!F146</f>
        <v>1.2390000000000001</v>
      </c>
    </row>
    <row r="44" spans="2:6">
      <c r="B44" s="3" t="s">
        <v>171</v>
      </c>
      <c r="F44" s="60">
        <f>'2. Parameters'!F147</f>
        <v>0.92400000000000004</v>
      </c>
    </row>
    <row r="45" spans="2:6">
      <c r="B45" s="3" t="s">
        <v>172</v>
      </c>
      <c r="F45" s="60">
        <f>'2. Parameters'!F148</f>
        <v>0.81899999999999995</v>
      </c>
    </row>
    <row r="46" spans="2:6">
      <c r="B46" s="3" t="s">
        <v>173</v>
      </c>
      <c r="F46" s="60">
        <f>'2. Parameters'!F149</f>
        <v>0.68799999999999994</v>
      </c>
    </row>
    <row r="47" spans="2:6">
      <c r="B47" s="3" t="s">
        <v>174</v>
      </c>
      <c r="F47" s="60">
        <f>'2. Parameters'!F150</f>
        <v>0.64900000000000002</v>
      </c>
    </row>
    <row r="48" spans="2:6">
      <c r="B48" s="3" t="s">
        <v>175</v>
      </c>
      <c r="F48" s="60">
        <f>'2. Parameters'!F151</f>
        <v>0.61799999999999999</v>
      </c>
    </row>
    <row r="49" spans="2:6">
      <c r="B49" s="3" t="s">
        <v>176</v>
      </c>
      <c r="F49" s="60">
        <f>'2. Parameters'!F152</f>
        <v>0.68600000000000005</v>
      </c>
    </row>
    <row r="50" spans="2:6">
      <c r="B50" s="3" t="s">
        <v>177</v>
      </c>
      <c r="F50" s="60">
        <f>'2. Parameters'!F153</f>
        <v>0.78700000000000003</v>
      </c>
    </row>
    <row r="51" spans="2:6">
      <c r="B51" s="3" t="s">
        <v>178</v>
      </c>
      <c r="F51" s="60">
        <f>'2. Parameters'!F154</f>
        <v>1.1679999999999999</v>
      </c>
    </row>
    <row r="52" spans="2:6">
      <c r="B52" s="3" t="s">
        <v>179</v>
      </c>
      <c r="F52" s="60">
        <f>'2. Parameters'!F155</f>
        <v>1.472</v>
      </c>
    </row>
    <row r="54" spans="2:6">
      <c r="B54" s="2" t="s">
        <v>269</v>
      </c>
    </row>
    <row r="55" spans="2:6">
      <c r="B55" s="3" t="s">
        <v>168</v>
      </c>
      <c r="F55" s="43">
        <f>'2. Parameters'!F160</f>
        <v>31</v>
      </c>
    </row>
    <row r="56" spans="2:6">
      <c r="B56" s="3" t="s">
        <v>169</v>
      </c>
      <c r="F56" s="43">
        <f>'2. Parameters'!F161</f>
        <v>28</v>
      </c>
    </row>
    <row r="57" spans="2:6">
      <c r="B57" s="3" t="s">
        <v>170</v>
      </c>
      <c r="F57" s="43">
        <f>'2. Parameters'!F162</f>
        <v>31</v>
      </c>
    </row>
    <row r="58" spans="2:6">
      <c r="B58" s="3" t="s">
        <v>171</v>
      </c>
      <c r="F58" s="43">
        <f>'2. Parameters'!F163</f>
        <v>30</v>
      </c>
    </row>
    <row r="59" spans="2:6">
      <c r="B59" s="3" t="s">
        <v>172</v>
      </c>
      <c r="F59" s="43">
        <f>'2. Parameters'!F164</f>
        <v>31</v>
      </c>
    </row>
    <row r="60" spans="2:6">
      <c r="B60" s="3" t="s">
        <v>173</v>
      </c>
      <c r="F60" s="43">
        <f>'2. Parameters'!F165</f>
        <v>30</v>
      </c>
    </row>
    <row r="61" spans="2:6">
      <c r="B61" s="3" t="s">
        <v>174</v>
      </c>
      <c r="F61" s="43">
        <f>'2. Parameters'!F166</f>
        <v>31</v>
      </c>
    </row>
    <row r="62" spans="2:6">
      <c r="B62" s="3" t="s">
        <v>175</v>
      </c>
      <c r="F62" s="43">
        <f>'2. Parameters'!F167</f>
        <v>31</v>
      </c>
    </row>
    <row r="63" spans="2:6">
      <c r="B63" s="3" t="s">
        <v>176</v>
      </c>
      <c r="F63" s="43">
        <f>'2. Parameters'!F168</f>
        <v>30</v>
      </c>
    </row>
    <row r="64" spans="2:6">
      <c r="B64" s="3" t="s">
        <v>177</v>
      </c>
      <c r="F64" s="43">
        <f>'2. Parameters'!F169</f>
        <v>31</v>
      </c>
    </row>
    <row r="65" spans="1:6">
      <c r="B65" s="3" t="s">
        <v>178</v>
      </c>
      <c r="F65" s="43">
        <f>'2. Parameters'!F170</f>
        <v>30</v>
      </c>
    </row>
    <row r="66" spans="1:6">
      <c r="B66" s="3" t="s">
        <v>179</v>
      </c>
      <c r="F66" s="43">
        <f>'2. Parameters'!F171</f>
        <v>31</v>
      </c>
    </row>
    <row r="68" spans="1:6">
      <c r="A68" s="359"/>
      <c r="B68" s="2" t="s">
        <v>270</v>
      </c>
    </row>
    <row r="69" spans="1:6">
      <c r="B69" s="3" t="s">
        <v>262</v>
      </c>
      <c r="F69" s="43">
        <f>'2. Parameters'!F174</f>
        <v>90</v>
      </c>
    </row>
    <row r="70" spans="1:6">
      <c r="B70" s="3" t="s">
        <v>263</v>
      </c>
      <c r="F70" s="43">
        <f>'2. Parameters'!F175</f>
        <v>91</v>
      </c>
    </row>
    <row r="71" spans="1:6">
      <c r="B71" s="3" t="s">
        <v>264</v>
      </c>
      <c r="F71" s="43">
        <f>'2. Parameters'!F176</f>
        <v>92</v>
      </c>
    </row>
    <row r="72" spans="1:6">
      <c r="B72" s="3" t="s">
        <v>265</v>
      </c>
      <c r="F72" s="43">
        <f>'2. Parameters'!F177</f>
        <v>92</v>
      </c>
    </row>
    <row r="74" spans="1:6">
      <c r="B74" s="2" t="s">
        <v>271</v>
      </c>
    </row>
    <row r="75" spans="1:6">
      <c r="B75" s="3" t="s">
        <v>272</v>
      </c>
      <c r="F75" s="43">
        <f>'2. Parameters'!F180</f>
        <v>24</v>
      </c>
    </row>
    <row r="76" spans="1:6">
      <c r="B76" s="3" t="s">
        <v>273</v>
      </c>
      <c r="F76" s="43">
        <f>'2. Parameters'!F181</f>
        <v>365</v>
      </c>
    </row>
    <row r="77" spans="1:6">
      <c r="B77" s="3" t="s">
        <v>274</v>
      </c>
      <c r="F77" s="43">
        <f>'2. Parameters'!F182</f>
        <v>8760</v>
      </c>
    </row>
    <row r="78" spans="1:6">
      <c r="B78" s="2"/>
    </row>
    <row r="79" spans="1:6">
      <c r="B79" s="2" t="s">
        <v>251</v>
      </c>
    </row>
    <row r="80" spans="1:6">
      <c r="B80" s="3" t="s">
        <v>1119</v>
      </c>
      <c r="D80" s="3" t="s">
        <v>199</v>
      </c>
      <c r="F80" s="43" t="str">
        <f>'1. Entry- en exittarieven'!J8</f>
        <v>Alle overige entry- en exitpunten</v>
      </c>
    </row>
    <row r="81" spans="1:24">
      <c r="B81" s="3" t="s">
        <v>1128</v>
      </c>
      <c r="D81" s="3" t="s">
        <v>199</v>
      </c>
      <c r="F81" s="85">
        <f>_xlfn.XLOOKUP(F80,'2. Parameters'!B187:B201,'2. Parameters'!F187:F201)</f>
        <v>1E-4</v>
      </c>
    </row>
    <row r="82" spans="1:24">
      <c r="B82" s="3" t="s">
        <v>1129</v>
      </c>
      <c r="D82" s="3" t="s">
        <v>199</v>
      </c>
      <c r="F82" s="85">
        <f>_xlfn.XLOOKUP(F80,'2. Parameters'!B204:B218,'2. Parameters'!F204:F218)</f>
        <v>1E-4</v>
      </c>
    </row>
    <row r="83" spans="1:24">
      <c r="B83" s="3" t="s">
        <v>253</v>
      </c>
      <c r="D83" s="3" t="s">
        <v>199</v>
      </c>
      <c r="F83" s="85">
        <f>'2. Parameters'!F111</f>
        <v>0.94</v>
      </c>
    </row>
    <row r="85" spans="1:24" s="8" customFormat="1">
      <c r="A85" s="360"/>
      <c r="B85" s="8" t="s">
        <v>1120</v>
      </c>
    </row>
    <row r="87" spans="1:24">
      <c r="B87" s="3" t="s">
        <v>1108</v>
      </c>
      <c r="D87" s="3" t="s">
        <v>1121</v>
      </c>
      <c r="F87" s="38">
        <f>'27. RPM'!L43</f>
        <v>3.7583970039634931</v>
      </c>
    </row>
    <row r="88" spans="1:24">
      <c r="B88" s="3" t="s">
        <v>1109</v>
      </c>
      <c r="D88" s="3" t="s">
        <v>1121</v>
      </c>
      <c r="F88" s="38">
        <f>'27. RPM'!L44</f>
        <v>3.2859569310301415</v>
      </c>
    </row>
    <row r="89" spans="1:24">
      <c r="B89" s="3" t="s">
        <v>1110</v>
      </c>
      <c r="D89" s="3" t="s">
        <v>1121</v>
      </c>
      <c r="F89" s="38">
        <f>'27. RPM'!L45</f>
        <v>0.93959925099087327</v>
      </c>
      <c r="I89" s="233"/>
    </row>
    <row r="90" spans="1:24">
      <c r="B90" s="3" t="s">
        <v>1111</v>
      </c>
      <c r="D90" s="3" t="s">
        <v>1121</v>
      </c>
      <c r="F90" s="38">
        <f>'27. RPM'!L46</f>
        <v>0.82148923275753538</v>
      </c>
    </row>
    <row r="91" spans="1:24">
      <c r="B91" s="3" t="s">
        <v>1112</v>
      </c>
      <c r="D91" s="3" t="s">
        <v>1121</v>
      </c>
      <c r="F91" s="38">
        <f>'27. RPM'!L47</f>
        <v>3.0067176031707947</v>
      </c>
    </row>
    <row r="93" spans="1:24" s="39" customFormat="1">
      <c r="A93" s="361"/>
      <c r="B93" s="39" t="s">
        <v>153</v>
      </c>
      <c r="H93" s="39" t="s">
        <v>154</v>
      </c>
      <c r="N93" s="39" t="s">
        <v>155</v>
      </c>
      <c r="T93" s="39" t="s">
        <v>156</v>
      </c>
    </row>
    <row r="94" spans="1:24" s="42" customFormat="1">
      <c r="A94" s="362"/>
      <c r="B94" s="42" t="s">
        <v>157</v>
      </c>
      <c r="H94" s="42" t="s">
        <v>158</v>
      </c>
      <c r="I94" s="42" t="s">
        <v>159</v>
      </c>
      <c r="J94" s="42" t="s">
        <v>160</v>
      </c>
      <c r="K94" s="42" t="s">
        <v>161</v>
      </c>
      <c r="L94" s="42" t="s">
        <v>162</v>
      </c>
      <c r="N94" s="42" t="s">
        <v>158</v>
      </c>
      <c r="O94" s="42" t="s">
        <v>159</v>
      </c>
      <c r="P94" s="42" t="s">
        <v>160</v>
      </c>
      <c r="Q94" s="42" t="s">
        <v>161</v>
      </c>
      <c r="R94" s="42" t="s">
        <v>162</v>
      </c>
      <c r="T94" s="42" t="s">
        <v>158</v>
      </c>
      <c r="U94" s="42" t="s">
        <v>159</v>
      </c>
      <c r="V94" s="42" t="s">
        <v>160</v>
      </c>
      <c r="W94" s="42" t="s">
        <v>161</v>
      </c>
      <c r="X94" s="42" t="s">
        <v>162</v>
      </c>
    </row>
    <row r="95" spans="1:24" s="40" customFormat="1">
      <c r="A95" s="363"/>
      <c r="H95" s="40" t="s">
        <v>163</v>
      </c>
      <c r="I95" s="40" t="s">
        <v>164</v>
      </c>
      <c r="J95" s="40" t="s">
        <v>165</v>
      </c>
      <c r="K95" s="40" t="s">
        <v>166</v>
      </c>
      <c r="L95" s="40" t="s">
        <v>167</v>
      </c>
      <c r="N95" s="40" t="s">
        <v>163</v>
      </c>
      <c r="O95" s="40" t="s">
        <v>164</v>
      </c>
      <c r="P95" s="40" t="s">
        <v>165</v>
      </c>
      <c r="Q95" s="40" t="s">
        <v>166</v>
      </c>
      <c r="R95" s="40" t="s">
        <v>167</v>
      </c>
      <c r="T95" s="40" t="s">
        <v>163</v>
      </c>
      <c r="U95" s="40" t="s">
        <v>164</v>
      </c>
      <c r="V95" s="40" t="s">
        <v>165</v>
      </c>
      <c r="W95" s="40" t="s">
        <v>166</v>
      </c>
      <c r="X95" s="40" t="s">
        <v>167</v>
      </c>
    </row>
    <row r="97" spans="1:33" ht="12.75" customHeight="1">
      <c r="B97" s="3" t="s">
        <v>168</v>
      </c>
      <c r="H97" s="390">
        <f>ROUND(F87,8)</f>
        <v>3.758397</v>
      </c>
      <c r="I97" s="391">
        <f>ROUND($F$15*$F$21*$F$69/$F$76*$F$87,8)</f>
        <v>1.71676367</v>
      </c>
      <c r="J97" s="95">
        <f t="shared" ref="J97:J108" si="0">ROUND($F$16*$F27*$F55/$F$76*$F$87,8)</f>
        <v>0.82115826000000003</v>
      </c>
      <c r="K97" s="95">
        <f t="shared" ref="K97:K108" si="1">ROUND($F$17*$F41/$F$76*$F$87,8)</f>
        <v>3.1948949999999997E-2</v>
      </c>
      <c r="L97" s="267">
        <f t="shared" ref="L97:L108" si="2">ROUNDUP($F$18*$F41/$F$77*$F$87,8)</f>
        <v>1.33121E-3</v>
      </c>
      <c r="M97" s="96"/>
      <c r="N97" s="390">
        <f>ROUND(F89,8)</f>
        <v>0.93959925</v>
      </c>
      <c r="O97" s="391">
        <f>ROUND($F$15*$F$21*$F$69/$F$76*$F$89,8)</f>
        <v>0.42919091999999998</v>
      </c>
      <c r="P97" s="95">
        <f>ROUND($F$16*$F$27*$F$55/$F$76*$F$89,8)</f>
        <v>0.20528957</v>
      </c>
      <c r="Q97" s="95">
        <f>ROUND($F$17*$F$41/$F$76*$F$89,8)</f>
        <v>7.9872399999999996E-3</v>
      </c>
      <c r="R97" s="272">
        <f t="shared" ref="R97:R108" si="3">ROUNDUP($F$18*$F41/$F$77*$F$89,8)</f>
        <v>3.3281000000000001E-4</v>
      </c>
      <c r="S97" s="299"/>
      <c r="T97" s="390">
        <f>ROUND(F91,8)</f>
        <v>3.0067176</v>
      </c>
      <c r="U97" s="391">
        <f>ROUND($F$15*$F$21*$F$69/$F$76*$F$91,8)</f>
        <v>1.3734109400000001</v>
      </c>
      <c r="V97" s="300">
        <f t="shared" ref="V97:V108" si="4">ROUND($F$16*$F27*$F55/$F$76*$F$91,8)</f>
        <v>0.65692660999999997</v>
      </c>
      <c r="W97" s="300">
        <f t="shared" ref="W97:W108" si="5">ROUND($F$17*$F41/$F$76*$F$91,8)</f>
        <v>2.5559160000000001E-2</v>
      </c>
      <c r="X97" s="272">
        <f t="shared" ref="X97:X108" si="6">ROUNDUP($F$18*$F41/$F$77*$F$91,8)</f>
        <v>1.0649699999999999E-3</v>
      </c>
      <c r="Z97" s="392" t="s">
        <v>1122</v>
      </c>
      <c r="AA97" s="392"/>
      <c r="AB97" s="392"/>
      <c r="AG97" s="265"/>
    </row>
    <row r="98" spans="1:33">
      <c r="B98" s="3" t="s">
        <v>169</v>
      </c>
      <c r="H98" s="390"/>
      <c r="I98" s="391"/>
      <c r="J98" s="95">
        <f t="shared" si="0"/>
        <v>0.66298122999999998</v>
      </c>
      <c r="K98" s="95">
        <f t="shared" si="1"/>
        <v>2.8561240000000002E-2</v>
      </c>
      <c r="L98" s="267">
        <f t="shared" si="2"/>
        <v>1.1900599999999999E-3</v>
      </c>
      <c r="M98" s="96"/>
      <c r="N98" s="390"/>
      <c r="O98" s="391"/>
      <c r="P98" s="95">
        <f>ROUND($F$16*$F$28*$F$56/$F$76*$F$89,8)</f>
        <v>0.16574531000000001</v>
      </c>
      <c r="Q98" s="95">
        <f>ROUND($F$17*$F$42/$F$76*$F$89,8)</f>
        <v>7.1403100000000004E-3</v>
      </c>
      <c r="R98" s="272">
        <f t="shared" si="3"/>
        <v>2.9752000000000001E-4</v>
      </c>
      <c r="S98" s="299"/>
      <c r="T98" s="390"/>
      <c r="U98" s="391"/>
      <c r="V98" s="300">
        <f t="shared" si="4"/>
        <v>0.53038498999999995</v>
      </c>
      <c r="W98" s="300">
        <f t="shared" si="5"/>
        <v>2.284899E-2</v>
      </c>
      <c r="X98" s="272">
        <f t="shared" si="6"/>
        <v>9.5205000000000008E-4</v>
      </c>
      <c r="Z98" s="392"/>
      <c r="AA98" s="392"/>
      <c r="AB98" s="392"/>
    </row>
    <row r="99" spans="1:33">
      <c r="B99" s="3" t="s">
        <v>170</v>
      </c>
      <c r="H99" s="390"/>
      <c r="I99" s="391"/>
      <c r="J99" s="95">
        <f t="shared" si="0"/>
        <v>0.57409257000000002</v>
      </c>
      <c r="K99" s="95">
        <f t="shared" si="1"/>
        <v>2.232642E-2</v>
      </c>
      <c r="L99" s="267">
        <f t="shared" si="2"/>
        <v>9.3027000000000008E-4</v>
      </c>
      <c r="M99" s="96"/>
      <c r="N99" s="390"/>
      <c r="O99" s="391"/>
      <c r="P99" s="95">
        <f>ROUND($F$16*$F$29*$F$57/$F$76*$F$89,8)</f>
        <v>0.14352313999999999</v>
      </c>
      <c r="Q99" s="95">
        <f>ROUND($F$17*$F$43/$F$76*$F$89,8)</f>
        <v>5.5816099999999999E-3</v>
      </c>
      <c r="R99" s="272">
        <f t="shared" si="3"/>
        <v>2.3257E-4</v>
      </c>
      <c r="S99" s="299"/>
      <c r="T99" s="390"/>
      <c r="U99" s="391"/>
      <c r="V99" s="300">
        <f t="shared" si="4"/>
        <v>0.45927404999999999</v>
      </c>
      <c r="W99" s="300">
        <f t="shared" si="5"/>
        <v>1.7861140000000001E-2</v>
      </c>
      <c r="X99" s="272">
        <f t="shared" si="6"/>
        <v>7.4422000000000008E-4</v>
      </c>
      <c r="Z99" s="392"/>
      <c r="AA99" s="392"/>
      <c r="AB99" s="392"/>
    </row>
    <row r="100" spans="1:33">
      <c r="B100" s="3" t="s">
        <v>171</v>
      </c>
      <c r="H100" s="390"/>
      <c r="I100" s="391">
        <f>ROUND($F$15*$F$22*$F$70/$F$76*$F$87,8)</f>
        <v>0.91828451</v>
      </c>
      <c r="J100" s="95">
        <f t="shared" si="0"/>
        <v>0.41424743000000003</v>
      </c>
      <c r="K100" s="95">
        <f t="shared" si="1"/>
        <v>1.6650209999999999E-2</v>
      </c>
      <c r="L100" s="267">
        <f t="shared" si="2"/>
        <v>6.9376000000000008E-4</v>
      </c>
      <c r="M100" s="96"/>
      <c r="N100" s="390"/>
      <c r="O100" s="391">
        <f>ROUND($F$15*$F$22*$F$70/$F$76*$F$89,8)</f>
        <v>0.22957113000000001</v>
      </c>
      <c r="P100" s="95">
        <f>ROUND($F$16*$F$30*$F$58/$F$76*$F$89,8)</f>
        <v>0.10356186000000001</v>
      </c>
      <c r="Q100" s="95">
        <f>ROUND($F$17*$F$44/$F$76*$F$89,8)</f>
        <v>4.1625500000000001E-3</v>
      </c>
      <c r="R100" s="272">
        <f t="shared" si="3"/>
        <v>1.7343999999999999E-4</v>
      </c>
      <c r="S100" s="299"/>
      <c r="T100" s="390"/>
      <c r="U100" s="391">
        <f>ROUND($F$15*$F$22*$F$70/$F$76*$F$91,8)</f>
        <v>0.73462760999999999</v>
      </c>
      <c r="V100" s="300">
        <f t="shared" si="4"/>
        <v>0.33139794</v>
      </c>
      <c r="W100" s="300">
        <f t="shared" si="5"/>
        <v>1.3320169999999999E-2</v>
      </c>
      <c r="X100" s="272">
        <f t="shared" si="6"/>
        <v>5.550100000000001E-4</v>
      </c>
      <c r="Z100" s="392"/>
      <c r="AA100" s="392"/>
      <c r="AB100" s="392"/>
    </row>
    <row r="101" spans="1:33">
      <c r="B101" s="3" t="s">
        <v>172</v>
      </c>
      <c r="H101" s="390"/>
      <c r="I101" s="391"/>
      <c r="J101" s="95">
        <f t="shared" si="0"/>
        <v>0.37921711000000002</v>
      </c>
      <c r="K101" s="95">
        <f t="shared" si="1"/>
        <v>1.4758139999999999E-2</v>
      </c>
      <c r="L101" s="267">
        <f t="shared" si="2"/>
        <v>6.1493000000000008E-4</v>
      </c>
      <c r="M101" s="96"/>
      <c r="N101" s="390"/>
      <c r="O101" s="391"/>
      <c r="P101" s="95">
        <f>ROUND($F$16*$F$31*$F$59/$F$76*$F$89,8)</f>
        <v>9.4804280000000005E-2</v>
      </c>
      <c r="Q101" s="95">
        <f>ROUND($F$17*$F$45/$F$76*$F$89,8)</f>
        <v>3.6895399999999998E-3</v>
      </c>
      <c r="R101" s="272">
        <f t="shared" si="3"/>
        <v>1.5374E-4</v>
      </c>
      <c r="S101" s="299"/>
      <c r="T101" s="390"/>
      <c r="U101" s="391"/>
      <c r="V101" s="300">
        <f t="shared" si="4"/>
        <v>0.30337368999999997</v>
      </c>
      <c r="W101" s="300">
        <f t="shared" si="5"/>
        <v>1.1806519999999999E-2</v>
      </c>
      <c r="X101" s="272">
        <f t="shared" si="6"/>
        <v>4.9194000000000006E-4</v>
      </c>
      <c r="Z101" s="392"/>
      <c r="AA101" s="392"/>
      <c r="AB101" s="392"/>
    </row>
    <row r="102" spans="1:33">
      <c r="B102" s="3" t="s">
        <v>173</v>
      </c>
      <c r="H102" s="390"/>
      <c r="I102" s="391"/>
      <c r="J102" s="95">
        <f t="shared" si="0"/>
        <v>0.30813707000000001</v>
      </c>
      <c r="K102" s="95">
        <f t="shared" si="1"/>
        <v>1.239756E-2</v>
      </c>
      <c r="L102" s="267">
        <f t="shared" si="2"/>
        <v>5.1657000000000005E-4</v>
      </c>
      <c r="M102" s="96"/>
      <c r="N102" s="390"/>
      <c r="O102" s="391"/>
      <c r="P102" s="95">
        <f>ROUND($F$16*$F$32*$F$60/$F$76*$F$89,8)</f>
        <v>7.7034270000000002E-2</v>
      </c>
      <c r="Q102" s="95">
        <f>ROUND($F$17*$F$46/$F$76*$F$89,8)</f>
        <v>3.09939E-3</v>
      </c>
      <c r="R102" s="272">
        <f t="shared" si="3"/>
        <v>1.2915E-4</v>
      </c>
      <c r="S102" s="299"/>
      <c r="T102" s="390"/>
      <c r="U102" s="391"/>
      <c r="V102" s="300">
        <f t="shared" si="4"/>
        <v>0.24650965999999999</v>
      </c>
      <c r="W102" s="300">
        <f t="shared" si="5"/>
        <v>9.9180499999999994E-3</v>
      </c>
      <c r="X102" s="272">
        <f t="shared" si="6"/>
        <v>4.1325999999999998E-4</v>
      </c>
      <c r="Z102" s="392"/>
      <c r="AA102" s="392"/>
      <c r="AB102" s="392"/>
    </row>
    <row r="103" spans="1:33">
      <c r="B103" s="3" t="s">
        <v>174</v>
      </c>
      <c r="H103" s="390"/>
      <c r="I103" s="391">
        <f>ROUND($F$15*$F$23*$F$71/$F$76*$F$87,8)</f>
        <v>0.74483191000000004</v>
      </c>
      <c r="J103" s="95">
        <f t="shared" si="0"/>
        <v>0.30069235</v>
      </c>
      <c r="K103" s="95">
        <f t="shared" si="1"/>
        <v>1.169479E-2</v>
      </c>
      <c r="L103" s="267">
        <f t="shared" si="2"/>
        <v>4.8728999999999998E-4</v>
      </c>
      <c r="M103" s="96"/>
      <c r="N103" s="390"/>
      <c r="O103" s="391">
        <f>ROUND($F$15*$F$23*$F$71/$F$76*$F$89,8)</f>
        <v>0.18620798</v>
      </c>
      <c r="P103" s="95">
        <f>ROUND($F$16*$F$33*$F$61/$F$76*$F$89,8)</f>
        <v>7.5173089999999998E-2</v>
      </c>
      <c r="Q103" s="95">
        <f>ROUND($F$17*$F$47/$F$76*$F$89,8)</f>
        <v>2.9237E-3</v>
      </c>
      <c r="R103" s="272">
        <f t="shared" si="3"/>
        <v>1.2182999999999999E-4</v>
      </c>
      <c r="S103" s="299"/>
      <c r="T103" s="390"/>
      <c r="U103" s="391">
        <f>ROUND($F$15*$F$23*$F$71/$F$76*$F$91,8)</f>
        <v>0.59586552999999998</v>
      </c>
      <c r="V103" s="300">
        <f t="shared" si="4"/>
        <v>0.24055388</v>
      </c>
      <c r="W103" s="300">
        <f t="shared" si="5"/>
        <v>9.3558300000000007E-3</v>
      </c>
      <c r="X103" s="272">
        <f t="shared" si="6"/>
        <v>3.8982999999999997E-4</v>
      </c>
      <c r="Z103" s="392"/>
      <c r="AA103" s="392"/>
      <c r="AB103" s="392"/>
    </row>
    <row r="104" spans="1:33">
      <c r="B104" s="3" t="s">
        <v>175</v>
      </c>
      <c r="H104" s="390"/>
      <c r="I104" s="391"/>
      <c r="J104" s="95">
        <f t="shared" si="0"/>
        <v>0.28584925999999999</v>
      </c>
      <c r="K104" s="95">
        <f t="shared" si="1"/>
        <v>1.1136180000000001E-2</v>
      </c>
      <c r="L104" s="267">
        <f t="shared" si="2"/>
        <v>4.6401E-4</v>
      </c>
      <c r="M104" s="96"/>
      <c r="N104" s="390"/>
      <c r="O104" s="391"/>
      <c r="P104" s="95">
        <f>ROUND($F$16*$F$34*$F$62/$F$76*$F$89,8)</f>
        <v>7.1462319999999996E-2</v>
      </c>
      <c r="Q104" s="95">
        <f>ROUND($F$17*$F$48/$F$76*$F$89,8)</f>
        <v>2.7840500000000002E-3</v>
      </c>
      <c r="R104" s="272">
        <f t="shared" si="3"/>
        <v>1.1601E-4</v>
      </c>
      <c r="S104" s="299"/>
      <c r="T104" s="390"/>
      <c r="U104" s="391"/>
      <c r="V104" s="300">
        <f t="shared" si="4"/>
        <v>0.22867941</v>
      </c>
      <c r="W104" s="300">
        <f t="shared" si="5"/>
        <v>8.9089500000000005E-3</v>
      </c>
      <c r="X104" s="272">
        <f t="shared" si="6"/>
        <v>3.7121000000000002E-4</v>
      </c>
      <c r="Z104" s="392"/>
      <c r="AA104" s="392"/>
      <c r="AB104" s="392"/>
    </row>
    <row r="105" spans="1:33">
      <c r="B105" s="3" t="s">
        <v>176</v>
      </c>
      <c r="H105" s="390"/>
      <c r="I105" s="391"/>
      <c r="J105" s="95">
        <f t="shared" si="0"/>
        <v>0.30721034000000003</v>
      </c>
      <c r="K105" s="95">
        <f t="shared" si="1"/>
        <v>1.2361520000000001E-2</v>
      </c>
      <c r="L105" s="267">
        <f t="shared" si="2"/>
        <v>5.1507000000000007E-4</v>
      </c>
      <c r="M105" s="96"/>
      <c r="N105" s="390"/>
      <c r="O105" s="391"/>
      <c r="P105" s="95">
        <f>ROUND($F$16*$F$35*$F$63/$F$76*$F$89,8)</f>
        <v>7.6802590000000004E-2</v>
      </c>
      <c r="Q105" s="95">
        <f>ROUND($F$17*$F$49/$F$76*$F$89,8)</f>
        <v>3.0903800000000002E-3</v>
      </c>
      <c r="R105" s="272">
        <f t="shared" si="3"/>
        <v>1.2877E-4</v>
      </c>
      <c r="S105" s="299"/>
      <c r="T105" s="390"/>
      <c r="U105" s="391"/>
      <c r="V105" s="300">
        <f t="shared" si="4"/>
        <v>0.24576827000000001</v>
      </c>
      <c r="W105" s="300">
        <f t="shared" si="5"/>
        <v>9.8892200000000006E-3</v>
      </c>
      <c r="X105" s="272">
        <f t="shared" si="6"/>
        <v>4.1206000000000001E-4</v>
      </c>
      <c r="Z105" s="392"/>
      <c r="AA105" s="392"/>
      <c r="AB105" s="392"/>
    </row>
    <row r="106" spans="1:33">
      <c r="B106" s="3" t="s">
        <v>177</v>
      </c>
      <c r="H106" s="390"/>
      <c r="I106" s="391">
        <f>ROUND($F$15*$F$24*$F$72/$F$76*$F$87,8)</f>
        <v>1.30848849</v>
      </c>
      <c r="J106" s="95">
        <f t="shared" si="0"/>
        <v>0.36437402000000002</v>
      </c>
      <c r="K106" s="95">
        <f t="shared" si="1"/>
        <v>1.418151E-2</v>
      </c>
      <c r="L106" s="267">
        <f t="shared" si="2"/>
        <v>5.909E-4</v>
      </c>
      <c r="M106" s="96"/>
      <c r="N106" s="390"/>
      <c r="O106" s="391">
        <f>ROUND($F$15*$F$24*$F$72/$F$76*$F$89,8)</f>
        <v>0.32712212000000002</v>
      </c>
      <c r="P106" s="95">
        <f>ROUND($F$16*$F$36*$F$64/$F$76*$F$89,8)</f>
        <v>9.1093499999999994E-2</v>
      </c>
      <c r="Q106" s="95">
        <f>ROUND($F$17*$F$50/$F$76*$F$89,8)</f>
        <v>3.5453799999999999E-3</v>
      </c>
      <c r="R106" s="272">
        <f t="shared" si="3"/>
        <v>1.4773E-4</v>
      </c>
      <c r="S106" s="299"/>
      <c r="T106" s="390"/>
      <c r="U106" s="391">
        <f>ROUND($F$15*$F$24*$F$72/$F$76*$F$91,8)</f>
        <v>1.04679079</v>
      </c>
      <c r="V106" s="300">
        <f t="shared" si="4"/>
        <v>0.29149921000000001</v>
      </c>
      <c r="W106" s="300">
        <f t="shared" si="5"/>
        <v>1.134521E-2</v>
      </c>
      <c r="X106" s="272">
        <f t="shared" si="6"/>
        <v>4.7271999999999999E-4</v>
      </c>
      <c r="Z106" s="392"/>
      <c r="AA106" s="392"/>
      <c r="AB106" s="392"/>
    </row>
    <row r="107" spans="1:33">
      <c r="B107" s="3" t="s">
        <v>178</v>
      </c>
      <c r="H107" s="390"/>
      <c r="I107" s="391"/>
      <c r="J107" s="95">
        <f t="shared" si="0"/>
        <v>0.52360134000000003</v>
      </c>
      <c r="K107" s="95">
        <f t="shared" si="1"/>
        <v>2.104702E-2</v>
      </c>
      <c r="L107" s="267">
        <f t="shared" si="2"/>
        <v>8.7696000000000009E-4</v>
      </c>
      <c r="M107" s="96"/>
      <c r="N107" s="390"/>
      <c r="O107" s="391"/>
      <c r="P107" s="95">
        <f>ROUND($F$16*$F$37*$F$65/$F$76*$F$89,8)</f>
        <v>0.13090033000000001</v>
      </c>
      <c r="Q107" s="95">
        <f>ROUND($F$17*$F$51/$F$76*$F$89,8)</f>
        <v>5.2617599999999999E-3</v>
      </c>
      <c r="R107" s="272">
        <f t="shared" si="3"/>
        <v>2.1923999999999999E-4</v>
      </c>
      <c r="S107" s="299"/>
      <c r="T107" s="390"/>
      <c r="U107" s="391"/>
      <c r="V107" s="300">
        <f t="shared" si="4"/>
        <v>0.41888107000000002</v>
      </c>
      <c r="W107" s="300">
        <f t="shared" si="5"/>
        <v>1.6837620000000001E-2</v>
      </c>
      <c r="X107" s="272">
        <f t="shared" si="6"/>
        <v>7.015700000000001E-4</v>
      </c>
      <c r="Z107" s="392"/>
      <c r="AA107" s="392"/>
      <c r="AB107" s="392"/>
    </row>
    <row r="108" spans="1:33">
      <c r="B108" s="3" t="s">
        <v>179</v>
      </c>
      <c r="H108" s="390"/>
      <c r="I108" s="391"/>
      <c r="J108" s="95">
        <f t="shared" si="0"/>
        <v>0.68182469999999995</v>
      </c>
      <c r="K108" s="95">
        <f t="shared" si="1"/>
        <v>2.652502E-2</v>
      </c>
      <c r="L108" s="267">
        <f t="shared" si="2"/>
        <v>1.1052099999999999E-3</v>
      </c>
      <c r="M108" s="96"/>
      <c r="N108" s="390"/>
      <c r="O108" s="391"/>
      <c r="P108" s="95">
        <f>ROUND($F$16*$F$38*$F$66/$F$76*$F$89,8)</f>
        <v>0.17045618000000001</v>
      </c>
      <c r="Q108" s="95">
        <f>ROUND($F$17*$F$52/$F$76*$F$89,8)</f>
        <v>6.63125E-3</v>
      </c>
      <c r="R108" s="272">
        <f t="shared" si="3"/>
        <v>2.7630999999999999E-4</v>
      </c>
      <c r="S108" s="299"/>
      <c r="T108" s="390"/>
      <c r="U108" s="391"/>
      <c r="V108" s="300">
        <f t="shared" si="4"/>
        <v>0.54545975999999996</v>
      </c>
      <c r="W108" s="300">
        <f t="shared" si="5"/>
        <v>2.1220010000000001E-2</v>
      </c>
      <c r="X108" s="272">
        <f t="shared" si="6"/>
        <v>8.8417000000000009E-4</v>
      </c>
      <c r="Z108" s="392"/>
      <c r="AA108" s="392"/>
      <c r="AB108" s="392"/>
    </row>
    <row r="109" spans="1:33">
      <c r="L109" s="268"/>
      <c r="R109" s="264"/>
      <c r="S109" s="264"/>
      <c r="T109" s="264"/>
      <c r="U109" s="264"/>
      <c r="V109" s="264"/>
      <c r="W109" s="264"/>
      <c r="X109" s="264"/>
    </row>
    <row r="110" spans="1:33">
      <c r="L110" s="268"/>
      <c r="R110" s="264"/>
      <c r="S110" s="264"/>
      <c r="T110" s="264"/>
      <c r="U110" s="264"/>
      <c r="V110" s="264"/>
      <c r="W110" s="264"/>
      <c r="X110" s="264"/>
    </row>
    <row r="111" spans="1:33" s="39" customFormat="1">
      <c r="A111" s="361"/>
      <c r="B111" s="39" t="s">
        <v>180</v>
      </c>
      <c r="H111" s="39" t="s">
        <v>154</v>
      </c>
      <c r="L111" s="269"/>
      <c r="N111" s="39" t="s">
        <v>155</v>
      </c>
      <c r="R111" s="273"/>
      <c r="S111" s="273"/>
      <c r="T111" s="273"/>
      <c r="U111" s="273"/>
      <c r="V111" s="273"/>
      <c r="W111" s="273"/>
      <c r="X111" s="273"/>
    </row>
    <row r="112" spans="1:33" s="42" customFormat="1">
      <c r="A112" s="362"/>
      <c r="B112" s="42" t="s">
        <v>1123</v>
      </c>
      <c r="H112" s="42" t="s">
        <v>158</v>
      </c>
      <c r="I112" s="42" t="s">
        <v>159</v>
      </c>
      <c r="J112" s="42" t="s">
        <v>160</v>
      </c>
      <c r="K112" s="42" t="s">
        <v>161</v>
      </c>
      <c r="L112" s="270" t="s">
        <v>162</v>
      </c>
      <c r="N112" s="42" t="s">
        <v>158</v>
      </c>
      <c r="O112" s="42" t="s">
        <v>159</v>
      </c>
      <c r="P112" s="42" t="s">
        <v>160</v>
      </c>
      <c r="Q112" s="42" t="s">
        <v>161</v>
      </c>
      <c r="R112" s="274" t="s">
        <v>162</v>
      </c>
      <c r="S112" s="274"/>
      <c r="T112" s="274"/>
      <c r="U112" s="274"/>
      <c r="V112" s="274"/>
      <c r="W112" s="274"/>
      <c r="X112" s="274"/>
    </row>
    <row r="113" spans="1:24" s="40" customFormat="1">
      <c r="A113" s="363"/>
      <c r="H113" s="40" t="s">
        <v>163</v>
      </c>
      <c r="I113" s="40" t="s">
        <v>164</v>
      </c>
      <c r="J113" s="40" t="s">
        <v>165</v>
      </c>
      <c r="K113" s="40" t="s">
        <v>166</v>
      </c>
      <c r="L113" s="271" t="s">
        <v>167</v>
      </c>
      <c r="N113" s="40" t="s">
        <v>163</v>
      </c>
      <c r="O113" s="40" t="s">
        <v>164</v>
      </c>
      <c r="P113" s="40" t="s">
        <v>165</v>
      </c>
      <c r="Q113" s="40" t="s">
        <v>166</v>
      </c>
      <c r="R113" s="275" t="s">
        <v>167</v>
      </c>
      <c r="S113" s="275"/>
      <c r="T113" s="275"/>
      <c r="U113" s="275"/>
      <c r="V113" s="275"/>
      <c r="W113" s="275"/>
      <c r="X113" s="275"/>
    </row>
    <row r="114" spans="1:24">
      <c r="L114" s="268"/>
      <c r="R114" s="264"/>
      <c r="S114" s="264"/>
      <c r="T114" s="264"/>
      <c r="U114" s="264"/>
      <c r="V114" s="264"/>
      <c r="W114" s="264"/>
      <c r="X114" s="264"/>
    </row>
    <row r="115" spans="1:24" ht="12.75" customHeight="1">
      <c r="B115" s="3" t="s">
        <v>168</v>
      </c>
      <c r="H115" s="390">
        <f>ROUND(F88,8)</f>
        <v>3.2859569300000002</v>
      </c>
      <c r="I115" s="391">
        <f>ROUND($F$15*$F$21*$F$69/$F$76*$F$88,8)</f>
        <v>1.5009621099999999</v>
      </c>
      <c r="J115" s="95">
        <f t="shared" ref="J115:J126" si="7">ROUND($F$16*$F27*$F55/$F$76*$F$88,8)</f>
        <v>0.71793658000000005</v>
      </c>
      <c r="K115" s="95">
        <f t="shared" ref="K115:K126" si="8">ROUND($F$17*$F41/$F$76*$F$88,8)</f>
        <v>2.793288E-2</v>
      </c>
      <c r="L115" s="267">
        <f t="shared" ref="L115:L126" si="9">ROUNDUP($F$18*$F41/$F$77*$F$88,8)</f>
        <v>1.1638799999999999E-3</v>
      </c>
      <c r="N115" s="390">
        <f>ROUND(F90,8)</f>
        <v>0.82148922999999996</v>
      </c>
      <c r="O115" s="391">
        <f>ROUND($F$15*$F$21*$F$69/$F$76*$F$90,8)</f>
        <v>0.37524053000000002</v>
      </c>
      <c r="P115" s="95">
        <f t="shared" ref="P115:P126" si="10">ROUND($F$16*$F27*$F55/$F$76*$F$90,8)</f>
        <v>0.17948413999999999</v>
      </c>
      <c r="Q115" s="95">
        <f t="shared" ref="Q115:Q126" si="11">ROUND($F$17*$F41/$F$76*$F$90,8)</f>
        <v>6.9832200000000001E-3</v>
      </c>
      <c r="R115" s="272">
        <f t="shared" ref="R115:R126" si="12">ROUNDUP($F$18*$F41/$F$77*$F$90,8)</f>
        <v>2.9096999999999999E-4</v>
      </c>
      <c r="S115" s="299"/>
      <c r="T115" s="392" t="s">
        <v>1122</v>
      </c>
      <c r="U115" s="392"/>
      <c r="V115" s="392"/>
      <c r="W115" s="299"/>
      <c r="X115" s="299"/>
    </row>
    <row r="116" spans="1:24">
      <c r="B116" s="3" t="s">
        <v>169</v>
      </c>
      <c r="H116" s="390"/>
      <c r="I116" s="391"/>
      <c r="J116" s="95">
        <f t="shared" si="7"/>
        <v>0.57964280000000001</v>
      </c>
      <c r="K116" s="95">
        <f t="shared" si="8"/>
        <v>2.497102E-2</v>
      </c>
      <c r="L116" s="267">
        <f t="shared" si="9"/>
        <v>1.04046E-3</v>
      </c>
      <c r="N116" s="390"/>
      <c r="O116" s="391"/>
      <c r="P116" s="95">
        <f t="shared" si="10"/>
        <v>0.1449107</v>
      </c>
      <c r="Q116" s="95">
        <f t="shared" si="11"/>
        <v>6.24276E-3</v>
      </c>
      <c r="R116" s="272">
        <f t="shared" si="12"/>
        <v>2.6011999999999997E-4</v>
      </c>
      <c r="S116" s="299"/>
      <c r="T116" s="392"/>
      <c r="U116" s="392"/>
      <c r="V116" s="392"/>
      <c r="W116" s="299"/>
      <c r="X116" s="299"/>
    </row>
    <row r="117" spans="1:24">
      <c r="B117" s="3" t="s">
        <v>170</v>
      </c>
      <c r="H117" s="390"/>
      <c r="I117" s="391"/>
      <c r="J117" s="95">
        <f t="shared" si="7"/>
        <v>0.50192767000000005</v>
      </c>
      <c r="K117" s="95">
        <f t="shared" si="8"/>
        <v>1.9519930000000001E-2</v>
      </c>
      <c r="L117" s="267">
        <f t="shared" si="9"/>
        <v>8.1334000000000007E-4</v>
      </c>
      <c r="N117" s="390"/>
      <c r="O117" s="391"/>
      <c r="P117" s="95">
        <f t="shared" si="10"/>
        <v>0.12548192</v>
      </c>
      <c r="Q117" s="95">
        <f t="shared" si="11"/>
        <v>4.8799799999999999E-3</v>
      </c>
      <c r="R117" s="272">
        <f t="shared" si="12"/>
        <v>2.0333999999999999E-4</v>
      </c>
      <c r="S117" s="299"/>
      <c r="T117" s="392"/>
      <c r="U117" s="392"/>
      <c r="V117" s="392"/>
      <c r="W117" s="299"/>
      <c r="X117" s="299"/>
    </row>
    <row r="118" spans="1:24">
      <c r="B118" s="3" t="s">
        <v>171</v>
      </c>
      <c r="H118" s="390"/>
      <c r="I118" s="391">
        <f>ROUND($F$15*$F$22*$F$70/$F$76*$F$88,8)</f>
        <v>0.80285381</v>
      </c>
      <c r="J118" s="95">
        <f t="shared" si="7"/>
        <v>0.36217547</v>
      </c>
      <c r="K118" s="95">
        <f t="shared" si="8"/>
        <v>1.4557240000000001E-2</v>
      </c>
      <c r="L118" s="267">
        <f t="shared" si="9"/>
        <v>6.0656000000000002E-4</v>
      </c>
      <c r="N118" s="390"/>
      <c r="O118" s="391">
        <f>ROUND($F$15*$F$22*$F$70/$F$76*$F$90,8)</f>
        <v>0.20071344999999999</v>
      </c>
      <c r="P118" s="95">
        <f t="shared" si="10"/>
        <v>9.0543869999999999E-2</v>
      </c>
      <c r="Q118" s="95">
        <f t="shared" si="11"/>
        <v>3.6393100000000002E-3</v>
      </c>
      <c r="R118" s="272">
        <f t="shared" si="12"/>
        <v>1.5164000000000001E-4</v>
      </c>
      <c r="S118" s="299"/>
      <c r="T118" s="392"/>
      <c r="U118" s="392"/>
      <c r="V118" s="392"/>
      <c r="W118" s="299"/>
      <c r="X118" s="299"/>
    </row>
    <row r="119" spans="1:24">
      <c r="B119" s="3" t="s">
        <v>172</v>
      </c>
      <c r="H119" s="390"/>
      <c r="I119" s="391"/>
      <c r="J119" s="95">
        <f t="shared" si="7"/>
        <v>0.33154855</v>
      </c>
      <c r="K119" s="95">
        <f t="shared" si="8"/>
        <v>1.2903009999999999E-2</v>
      </c>
      <c r="L119" s="267">
        <f t="shared" si="9"/>
        <v>5.376300000000001E-4</v>
      </c>
      <c r="N119" s="390"/>
      <c r="O119" s="391"/>
      <c r="P119" s="95">
        <f t="shared" si="10"/>
        <v>8.2887139999999998E-2</v>
      </c>
      <c r="Q119" s="95">
        <f t="shared" si="11"/>
        <v>3.2257499999999999E-3</v>
      </c>
      <c r="R119" s="272">
        <f t="shared" si="12"/>
        <v>1.3440999999999998E-4</v>
      </c>
      <c r="S119" s="299"/>
      <c r="T119" s="392"/>
      <c r="U119" s="392"/>
      <c r="V119" s="392"/>
      <c r="W119" s="299"/>
      <c r="X119" s="299"/>
    </row>
    <row r="120" spans="1:24">
      <c r="B120" s="3" t="s">
        <v>173</v>
      </c>
      <c r="H120" s="390"/>
      <c r="I120" s="391"/>
      <c r="J120" s="95">
        <f t="shared" si="7"/>
        <v>0.26940345999999998</v>
      </c>
      <c r="K120" s="95">
        <f t="shared" si="8"/>
        <v>1.083916E-2</v>
      </c>
      <c r="L120" s="267">
        <f t="shared" si="9"/>
        <v>4.5164000000000001E-4</v>
      </c>
      <c r="N120" s="390"/>
      <c r="O120" s="391"/>
      <c r="P120" s="95">
        <f t="shared" si="10"/>
        <v>6.7350859999999999E-2</v>
      </c>
      <c r="Q120" s="95">
        <f t="shared" si="11"/>
        <v>2.7097900000000001E-3</v>
      </c>
      <c r="R120" s="272">
        <f t="shared" si="12"/>
        <v>1.1291E-4</v>
      </c>
      <c r="S120" s="299"/>
      <c r="T120" s="392"/>
      <c r="U120" s="392"/>
      <c r="V120" s="392"/>
      <c r="W120" s="299"/>
      <c r="X120" s="299"/>
    </row>
    <row r="121" spans="1:24">
      <c r="B121" s="3" t="s">
        <v>174</v>
      </c>
      <c r="H121" s="390"/>
      <c r="I121" s="391">
        <f>ROUND($F$15*$F$23*$F$71/$F$76*$F$88,8)</f>
        <v>0.65120464</v>
      </c>
      <c r="J121" s="95">
        <f t="shared" si="7"/>
        <v>0.26289456</v>
      </c>
      <c r="K121" s="95">
        <f t="shared" si="8"/>
        <v>1.022473E-2</v>
      </c>
      <c r="L121" s="267">
        <f t="shared" si="9"/>
        <v>4.2603999999999998E-4</v>
      </c>
      <c r="N121" s="390"/>
      <c r="O121" s="391">
        <f>ROUND($F$15*$F$23*$F$71/$F$76*$F$90,8)</f>
        <v>0.16280116</v>
      </c>
      <c r="P121" s="95">
        <f t="shared" si="10"/>
        <v>6.572364E-2</v>
      </c>
      <c r="Q121" s="95">
        <f t="shared" si="11"/>
        <v>2.5561799999999999E-3</v>
      </c>
      <c r="R121" s="272">
        <f t="shared" si="12"/>
        <v>1.0650999999999999E-4</v>
      </c>
      <c r="S121" s="299"/>
      <c r="T121" s="392"/>
      <c r="U121" s="392"/>
      <c r="V121" s="392"/>
      <c r="W121" s="299"/>
      <c r="X121" s="299"/>
    </row>
    <row r="122" spans="1:24">
      <c r="B122" s="3" t="s">
        <v>175</v>
      </c>
      <c r="H122" s="390"/>
      <c r="I122" s="391"/>
      <c r="J122" s="95">
        <f t="shared" si="7"/>
        <v>0.24991727999999999</v>
      </c>
      <c r="K122" s="95">
        <f t="shared" si="8"/>
        <v>9.7363399999999996E-3</v>
      </c>
      <c r="L122" s="267">
        <f t="shared" si="9"/>
        <v>4.0569E-4</v>
      </c>
      <c r="N122" s="390"/>
      <c r="O122" s="391"/>
      <c r="P122" s="95">
        <f t="shared" si="10"/>
        <v>6.2479319999999998E-2</v>
      </c>
      <c r="Q122" s="95">
        <f t="shared" si="11"/>
        <v>2.4340799999999999E-3</v>
      </c>
      <c r="R122" s="272">
        <f t="shared" si="12"/>
        <v>1.0143E-4</v>
      </c>
      <c r="S122" s="299"/>
      <c r="T122" s="392"/>
      <c r="U122" s="392"/>
      <c r="V122" s="392"/>
      <c r="W122" s="299"/>
      <c r="X122" s="299"/>
    </row>
    <row r="123" spans="1:24">
      <c r="B123" s="3" t="s">
        <v>176</v>
      </c>
      <c r="H123" s="390"/>
      <c r="I123" s="391"/>
      <c r="J123" s="95">
        <f t="shared" si="7"/>
        <v>0.26859322000000002</v>
      </c>
      <c r="K123" s="95">
        <f t="shared" si="8"/>
        <v>1.080765E-2</v>
      </c>
      <c r="L123" s="267">
        <f t="shared" si="9"/>
        <v>4.5031999999999998E-4</v>
      </c>
      <c r="N123" s="390"/>
      <c r="O123" s="391"/>
      <c r="P123" s="95">
        <f t="shared" si="10"/>
        <v>6.7148299999999994E-2</v>
      </c>
      <c r="Q123" s="95">
        <f t="shared" si="11"/>
        <v>2.7019100000000001E-3</v>
      </c>
      <c r="R123" s="272">
        <f t="shared" si="12"/>
        <v>1.1258E-4</v>
      </c>
      <c r="S123" s="299"/>
      <c r="T123" s="392"/>
      <c r="U123" s="392"/>
      <c r="V123" s="392"/>
      <c r="W123" s="299"/>
      <c r="X123" s="299"/>
    </row>
    <row r="124" spans="1:24">
      <c r="B124" s="3" t="s">
        <v>177</v>
      </c>
      <c r="H124" s="390"/>
      <c r="I124" s="391">
        <f>ROUND($F$15*$F$24*$F$72/$F$76*$F$88,8)</f>
        <v>1.1440081600000001</v>
      </c>
      <c r="J124" s="95">
        <f t="shared" si="7"/>
        <v>0.31857127000000002</v>
      </c>
      <c r="K124" s="95">
        <f t="shared" si="8"/>
        <v>1.2398859999999999E-2</v>
      </c>
      <c r="L124" s="267">
        <f t="shared" si="9"/>
        <v>5.1662000000000008E-4</v>
      </c>
      <c r="N124" s="390"/>
      <c r="O124" s="391">
        <f>ROUND($F$15*$F$24*$F$72/$F$76*$F$90,8)</f>
        <v>0.28600204000000001</v>
      </c>
      <c r="P124" s="95">
        <f t="shared" si="10"/>
        <v>7.9642820000000003E-2</v>
      </c>
      <c r="Q124" s="95">
        <f t="shared" si="11"/>
        <v>3.0997199999999998E-3</v>
      </c>
      <c r="R124" s="272">
        <f t="shared" si="12"/>
        <v>1.2915999999999999E-4</v>
      </c>
      <c r="S124" s="299"/>
      <c r="T124" s="392"/>
      <c r="U124" s="392"/>
      <c r="V124" s="392"/>
      <c r="W124" s="299"/>
      <c r="X124" s="299"/>
    </row>
    <row r="125" spans="1:24">
      <c r="B125" s="3" t="s">
        <v>178</v>
      </c>
      <c r="H125" s="390"/>
      <c r="I125" s="391"/>
      <c r="J125" s="95">
        <f t="shared" si="7"/>
        <v>0.45778331</v>
      </c>
      <c r="K125" s="95">
        <f t="shared" si="8"/>
        <v>1.8401359999999999E-2</v>
      </c>
      <c r="L125" s="267">
        <f t="shared" si="9"/>
        <v>7.6673000000000008E-4</v>
      </c>
      <c r="N125" s="390"/>
      <c r="O125" s="391"/>
      <c r="P125" s="95">
        <f t="shared" si="10"/>
        <v>0.11444583</v>
      </c>
      <c r="Q125" s="95">
        <f t="shared" si="11"/>
        <v>4.6003399999999996E-3</v>
      </c>
      <c r="R125" s="272">
        <f t="shared" si="12"/>
        <v>1.9169E-4</v>
      </c>
      <c r="S125" s="299"/>
      <c r="T125" s="392"/>
      <c r="U125" s="392"/>
      <c r="V125" s="392"/>
      <c r="W125" s="299"/>
      <c r="X125" s="299"/>
    </row>
    <row r="126" spans="1:24">
      <c r="B126" s="3" t="s">
        <v>179</v>
      </c>
      <c r="H126" s="390"/>
      <c r="I126" s="391"/>
      <c r="J126" s="95">
        <f t="shared" si="7"/>
        <v>0.59611760000000003</v>
      </c>
      <c r="K126" s="95">
        <f t="shared" si="8"/>
        <v>2.319075E-2</v>
      </c>
      <c r="L126" s="267">
        <f t="shared" si="9"/>
        <v>9.6629000000000007E-4</v>
      </c>
      <c r="N126" s="390"/>
      <c r="O126" s="391"/>
      <c r="P126" s="95">
        <f t="shared" si="10"/>
        <v>0.14902940000000001</v>
      </c>
      <c r="Q126" s="95">
        <f t="shared" si="11"/>
        <v>5.7976900000000003E-3</v>
      </c>
      <c r="R126" s="272">
        <f t="shared" si="12"/>
        <v>2.4158E-4</v>
      </c>
      <c r="S126" s="299"/>
      <c r="T126" s="392"/>
      <c r="U126" s="392"/>
      <c r="V126" s="392"/>
      <c r="W126" s="299"/>
      <c r="X126" s="299"/>
    </row>
    <row r="127" spans="1:24">
      <c r="L127" s="268"/>
      <c r="R127" s="264"/>
      <c r="S127" s="264"/>
      <c r="T127" s="264"/>
      <c r="U127" s="264"/>
      <c r="V127" s="264"/>
      <c r="W127" s="264"/>
      <c r="X127" s="264"/>
    </row>
    <row r="128" spans="1:24">
      <c r="L128" s="268"/>
      <c r="R128" s="264"/>
      <c r="S128" s="264"/>
      <c r="T128" s="264"/>
      <c r="U128" s="264"/>
      <c r="V128" s="264"/>
      <c r="W128" s="264"/>
      <c r="X128" s="264"/>
    </row>
    <row r="129" spans="1:33" s="39" customFormat="1" ht="25.5">
      <c r="A129" s="361"/>
      <c r="B129" s="205" t="s">
        <v>182</v>
      </c>
      <c r="H129" s="39" t="s">
        <v>154</v>
      </c>
      <c r="L129" s="269"/>
      <c r="N129" s="39" t="s">
        <v>155</v>
      </c>
      <c r="R129" s="273"/>
      <c r="S129" s="273"/>
      <c r="T129" s="39" t="s">
        <v>156</v>
      </c>
    </row>
    <row r="130" spans="1:33" s="42" customFormat="1">
      <c r="A130" s="362"/>
      <c r="B130" s="42" t="s">
        <v>1124</v>
      </c>
      <c r="H130" s="42" t="s">
        <v>158</v>
      </c>
      <c r="I130" s="42" t="s">
        <v>159</v>
      </c>
      <c r="J130" s="42" t="s">
        <v>160</v>
      </c>
      <c r="K130" s="42" t="s">
        <v>161</v>
      </c>
      <c r="L130" s="270" t="s">
        <v>162</v>
      </c>
      <c r="N130" s="42" t="s">
        <v>158</v>
      </c>
      <c r="O130" s="42" t="s">
        <v>159</v>
      </c>
      <c r="P130" s="42" t="s">
        <v>160</v>
      </c>
      <c r="Q130" s="42" t="s">
        <v>161</v>
      </c>
      <c r="R130" s="274" t="s">
        <v>162</v>
      </c>
      <c r="S130" s="274"/>
      <c r="T130" s="42" t="s">
        <v>158</v>
      </c>
      <c r="U130" s="42" t="s">
        <v>159</v>
      </c>
      <c r="V130" s="42" t="s">
        <v>160</v>
      </c>
      <c r="W130" s="42" t="s">
        <v>161</v>
      </c>
      <c r="X130" s="42" t="s">
        <v>162</v>
      </c>
    </row>
    <row r="131" spans="1:33" s="40" customFormat="1">
      <c r="A131" s="363"/>
      <c r="H131" s="40" t="s">
        <v>163</v>
      </c>
      <c r="I131" s="40" t="s">
        <v>164</v>
      </c>
      <c r="J131" s="40" t="s">
        <v>165</v>
      </c>
      <c r="K131" s="40" t="s">
        <v>166</v>
      </c>
      <c r="L131" s="271" t="s">
        <v>167</v>
      </c>
      <c r="N131" s="40" t="s">
        <v>163</v>
      </c>
      <c r="O131" s="40" t="s">
        <v>164</v>
      </c>
      <c r="P131" s="40" t="s">
        <v>165</v>
      </c>
      <c r="Q131" s="40" t="s">
        <v>166</v>
      </c>
      <c r="R131" s="275" t="s">
        <v>167</v>
      </c>
      <c r="S131" s="275"/>
      <c r="T131" s="40" t="s">
        <v>163</v>
      </c>
      <c r="U131" s="40" t="s">
        <v>164</v>
      </c>
      <c r="V131" s="40" t="s">
        <v>165</v>
      </c>
      <c r="W131" s="40" t="s">
        <v>166</v>
      </c>
      <c r="X131" s="40" t="s">
        <v>167</v>
      </c>
    </row>
    <row r="132" spans="1:33">
      <c r="J132" s="96"/>
      <c r="L132" s="268"/>
      <c r="R132" s="264"/>
      <c r="S132" s="264"/>
      <c r="T132" s="264"/>
      <c r="U132" s="264"/>
      <c r="V132" s="264"/>
      <c r="W132" s="264"/>
      <c r="X132" s="264"/>
    </row>
    <row r="133" spans="1:33">
      <c r="B133" s="3" t="s">
        <v>168</v>
      </c>
      <c r="H133" s="390">
        <f>ROUND((1-$F$81)*F87,8)</f>
        <v>3.7580211600000002</v>
      </c>
      <c r="I133" s="391">
        <f>ROUND((1-$F$81)*$F$15*$F$21*$F$69/$F$76*$F$87,8)</f>
        <v>1.7165919999999999</v>
      </c>
      <c r="J133" s="95">
        <f t="shared" ref="J133:J144" si="13">ROUND((1-$F$81)*$F$16*$F27*$F55/$F$76*$F$87,8)</f>
        <v>0.82107613999999995</v>
      </c>
      <c r="K133" s="95">
        <f t="shared" ref="K133:K144" si="14">ROUND((1-$F$81)*$F$17*$F41/$F$76*$F$87,8)</f>
        <v>3.1945750000000002E-2</v>
      </c>
      <c r="L133" s="267">
        <f t="shared" ref="L133:L144" si="15">ROUNDUP((1-$F$81)*$F$18*$F41/$F$77*$F$87,8)</f>
        <v>1.3310799999999999E-3</v>
      </c>
      <c r="N133" s="390">
        <f>ROUND((1-F81)*F89,8)</f>
        <v>0.93950529000000005</v>
      </c>
      <c r="O133" s="391">
        <f>ROUND((1-$F$81)*$F$15*$F$21*$F$69/$F$76*$F$89,8)</f>
        <v>0.42914799999999997</v>
      </c>
      <c r="P133" s="95">
        <f t="shared" ref="P133:P144" si="16">ROUND((1-$F$81)*$F$16*$F27*$F55/$F$76*$F$89,8)</f>
        <v>0.20526904000000001</v>
      </c>
      <c r="Q133" s="95">
        <f t="shared" ref="Q133:Q144" si="17">ROUND((1-$F$81)*$F$17*$F41/$F$76*$F$89,8)</f>
        <v>7.9864399999999992E-3</v>
      </c>
      <c r="R133" s="272">
        <f t="shared" ref="R133:R144" si="18">ROUNDUP((1-$F$81)*$F$18*$F41/$F$77*$F$89,8)</f>
        <v>3.3276999999999997E-4</v>
      </c>
      <c r="S133" s="299"/>
      <c r="T133" s="390">
        <f>ROUND((1-F81)*F91,8)</f>
        <v>3.0064169299999999</v>
      </c>
      <c r="U133" s="391">
        <f>ROUND((1-$F$81)*$F$15*$F$21*$F$69/$F$76*$F$91,8)</f>
        <v>1.3732736000000001</v>
      </c>
      <c r="V133" s="300">
        <f t="shared" ref="V133:V144" si="19">ROUND((1-$F$81)*$F$16*$F27*$F55/$F$76*$F$91,8)</f>
        <v>0.65686091999999996</v>
      </c>
      <c r="W133" s="300">
        <f t="shared" ref="W133:W144" si="20">ROUND((1-$F$81)*$F$17*$F41/$F$76*$F$91,8)</f>
        <v>2.5556599999999999E-2</v>
      </c>
      <c r="X133" s="272">
        <f t="shared" ref="X133:X144" si="21">ROUNDUP((1-$F$81)*$F$18*$F41/$F$77*$F$91,8)</f>
        <v>1.0648599999999999E-3</v>
      </c>
      <c r="AG133" s="266"/>
    </row>
    <row r="134" spans="1:33">
      <c r="B134" s="3" t="s">
        <v>169</v>
      </c>
      <c r="H134" s="390"/>
      <c r="I134" s="391"/>
      <c r="J134" s="95">
        <f t="shared" si="13"/>
        <v>0.66291493000000001</v>
      </c>
      <c r="K134" s="95">
        <f t="shared" si="14"/>
        <v>2.8558389999999999E-2</v>
      </c>
      <c r="L134" s="267">
        <f t="shared" si="15"/>
        <v>1.18994E-3</v>
      </c>
      <c r="N134" s="390"/>
      <c r="O134" s="391"/>
      <c r="P134" s="95">
        <f t="shared" si="16"/>
        <v>0.16572872999999999</v>
      </c>
      <c r="Q134" s="95">
        <f t="shared" si="17"/>
        <v>7.1396000000000003E-3</v>
      </c>
      <c r="R134" s="272">
        <f t="shared" si="18"/>
        <v>2.9748999999999997E-4</v>
      </c>
      <c r="S134" s="299"/>
      <c r="T134" s="390"/>
      <c r="U134" s="391"/>
      <c r="V134" s="300">
        <f t="shared" si="19"/>
        <v>0.53033195</v>
      </c>
      <c r="W134" s="300">
        <f t="shared" si="20"/>
        <v>2.2846709999999999E-2</v>
      </c>
      <c r="X134" s="272">
        <f t="shared" si="21"/>
        <v>9.5195000000000002E-4</v>
      </c>
      <c r="AG134" s="266"/>
    </row>
    <row r="135" spans="1:33">
      <c r="B135" s="3" t="s">
        <v>170</v>
      </c>
      <c r="H135" s="390"/>
      <c r="I135" s="391"/>
      <c r="J135" s="95">
        <f t="shared" si="13"/>
        <v>0.57403515999999999</v>
      </c>
      <c r="K135" s="95">
        <f t="shared" si="14"/>
        <v>2.2324190000000001E-2</v>
      </c>
      <c r="L135" s="267">
        <f t="shared" si="15"/>
        <v>9.3018000000000007E-4</v>
      </c>
      <c r="N135" s="390"/>
      <c r="O135" s="391"/>
      <c r="P135" s="95">
        <f t="shared" si="16"/>
        <v>0.14350879</v>
      </c>
      <c r="Q135" s="95">
        <f t="shared" si="17"/>
        <v>5.5810499999999997E-3</v>
      </c>
      <c r="R135" s="272">
        <f t="shared" si="18"/>
        <v>2.3254999999999999E-4</v>
      </c>
      <c r="S135" s="299"/>
      <c r="T135" s="390"/>
      <c r="U135" s="391"/>
      <c r="V135" s="300">
        <f t="shared" si="19"/>
        <v>0.45922813000000001</v>
      </c>
      <c r="W135" s="300">
        <f t="shared" si="20"/>
        <v>1.785935E-2</v>
      </c>
      <c r="X135" s="272">
        <f t="shared" si="21"/>
        <v>7.4414000000000001E-4</v>
      </c>
    </row>
    <row r="136" spans="1:33">
      <c r="B136" s="3" t="s">
        <v>171</v>
      </c>
      <c r="H136" s="390"/>
      <c r="I136" s="391">
        <f>ROUND((1-$F$81)*$F$15*$F$22*$F$70/$F$76*$F$87,8)</f>
        <v>0.91819267999999998</v>
      </c>
      <c r="J136" s="95">
        <f t="shared" si="13"/>
        <v>0.41420600000000002</v>
      </c>
      <c r="K136" s="95">
        <f t="shared" si="14"/>
        <v>1.6648550000000002E-2</v>
      </c>
      <c r="L136" s="267">
        <f t="shared" si="15"/>
        <v>6.9369000000000006E-4</v>
      </c>
      <c r="N136" s="390"/>
      <c r="O136" s="391">
        <f>ROUND((1-$F$81)*$F$15*$F$22*$F$70/$F$76*$F$89,8)</f>
        <v>0.22954817</v>
      </c>
      <c r="P136" s="95">
        <f t="shared" si="16"/>
        <v>0.1035515</v>
      </c>
      <c r="Q136" s="95">
        <f t="shared" si="17"/>
        <v>4.1621399999999999E-3</v>
      </c>
      <c r="R136" s="272">
        <f t="shared" si="18"/>
        <v>1.7343E-4</v>
      </c>
      <c r="S136" s="299"/>
      <c r="T136" s="390"/>
      <c r="U136" s="391">
        <f>ROUND((1-$F$81)*$F$15*$F$22*$F$70/$F$76*$F$91,8)</f>
        <v>0.73455413999999997</v>
      </c>
      <c r="V136" s="300">
        <f t="shared" si="19"/>
        <v>0.33136480000000001</v>
      </c>
      <c r="W136" s="300">
        <f t="shared" si="20"/>
        <v>1.331884E-2</v>
      </c>
      <c r="X136" s="272">
        <f t="shared" si="21"/>
        <v>5.5496000000000007E-4</v>
      </c>
    </row>
    <row r="137" spans="1:33">
      <c r="B137" s="3" t="s">
        <v>172</v>
      </c>
      <c r="H137" s="390"/>
      <c r="I137" s="391"/>
      <c r="J137" s="95">
        <f t="shared" si="13"/>
        <v>0.37917919</v>
      </c>
      <c r="K137" s="95">
        <f t="shared" si="14"/>
        <v>1.475667E-2</v>
      </c>
      <c r="L137" s="267">
        <f t="shared" si="15"/>
        <v>6.1487E-4</v>
      </c>
      <c r="N137" s="390"/>
      <c r="O137" s="391"/>
      <c r="P137" s="95">
        <f t="shared" si="16"/>
        <v>9.4794799999999999E-2</v>
      </c>
      <c r="Q137" s="95">
        <f t="shared" si="17"/>
        <v>3.6891699999999999E-3</v>
      </c>
      <c r="R137" s="272">
        <f t="shared" si="18"/>
        <v>1.5371999999999999E-4</v>
      </c>
      <c r="S137" s="299"/>
      <c r="T137" s="390"/>
      <c r="U137" s="391"/>
      <c r="V137" s="300">
        <f t="shared" si="19"/>
        <v>0.30334335000000001</v>
      </c>
      <c r="W137" s="300">
        <f t="shared" si="20"/>
        <v>1.1805329999999999E-2</v>
      </c>
      <c r="X137" s="272">
        <f t="shared" si="21"/>
        <v>4.9189000000000004E-4</v>
      </c>
    </row>
    <row r="138" spans="1:33">
      <c r="B138" s="3" t="s">
        <v>173</v>
      </c>
      <c r="H138" s="390"/>
      <c r="I138" s="391"/>
      <c r="J138" s="95">
        <f t="shared" si="13"/>
        <v>0.30810626000000002</v>
      </c>
      <c r="K138" s="95">
        <f t="shared" si="14"/>
        <v>1.2396320000000001E-2</v>
      </c>
      <c r="L138" s="267">
        <f t="shared" si="15"/>
        <v>5.1652000000000002E-4</v>
      </c>
      <c r="N138" s="390"/>
      <c r="O138" s="391"/>
      <c r="P138" s="95">
        <f t="shared" si="16"/>
        <v>7.7026559999999994E-2</v>
      </c>
      <c r="Q138" s="95">
        <f t="shared" si="17"/>
        <v>3.0990800000000002E-3</v>
      </c>
      <c r="R138" s="272">
        <f t="shared" si="18"/>
        <v>1.2913000000000001E-4</v>
      </c>
      <c r="S138" s="299"/>
      <c r="T138" s="390"/>
      <c r="U138" s="391"/>
      <c r="V138" s="300">
        <f t="shared" si="19"/>
        <v>0.24648500000000001</v>
      </c>
      <c r="W138" s="300">
        <f t="shared" si="20"/>
        <v>9.9170600000000001E-3</v>
      </c>
      <c r="X138" s="272">
        <f t="shared" si="21"/>
        <v>4.1322E-4</v>
      </c>
    </row>
    <row r="139" spans="1:33">
      <c r="B139" s="3" t="s">
        <v>174</v>
      </c>
      <c r="H139" s="390"/>
      <c r="I139" s="391">
        <f>ROUND((1-$F$81)*$F$15*$F$23*$F$71/$F$76*$F$87,8)</f>
        <v>0.74475743000000005</v>
      </c>
      <c r="J139" s="95">
        <f t="shared" si="13"/>
        <v>0.30066229</v>
      </c>
      <c r="K139" s="95">
        <f t="shared" si="14"/>
        <v>1.169362E-2</v>
      </c>
      <c r="L139" s="267">
        <f t="shared" si="15"/>
        <v>4.8724E-4</v>
      </c>
      <c r="N139" s="390"/>
      <c r="O139" s="391">
        <f>ROUND((1-$F$81)*$F$15*$F$23*$F$71/$F$76*$F$89,8)</f>
        <v>0.18618936</v>
      </c>
      <c r="P139" s="95">
        <f t="shared" si="16"/>
        <v>7.5165570000000001E-2</v>
      </c>
      <c r="Q139" s="95">
        <f t="shared" si="17"/>
        <v>2.92341E-3</v>
      </c>
      <c r="R139" s="272">
        <f t="shared" si="18"/>
        <v>1.2181E-4</v>
      </c>
      <c r="S139" s="299"/>
      <c r="T139" s="390"/>
      <c r="U139" s="391">
        <f>ROUND((1-$F$81)*$F$15*$F$23*$F$71/$F$76*$F$91,8)</f>
        <v>0.59580593999999998</v>
      </c>
      <c r="V139" s="300">
        <f t="shared" si="19"/>
        <v>0.24052983</v>
      </c>
      <c r="W139" s="300">
        <f t="shared" si="20"/>
        <v>9.3548999999999993E-3</v>
      </c>
      <c r="X139" s="272">
        <f t="shared" si="21"/>
        <v>3.8978999999999999E-4</v>
      </c>
    </row>
    <row r="140" spans="1:33">
      <c r="B140" s="3" t="s">
        <v>175</v>
      </c>
      <c r="H140" s="390"/>
      <c r="I140" s="391"/>
      <c r="J140" s="95">
        <f t="shared" si="13"/>
        <v>0.28582067999999999</v>
      </c>
      <c r="K140" s="95">
        <f t="shared" si="14"/>
        <v>1.113507E-2</v>
      </c>
      <c r="L140" s="267">
        <f t="shared" si="15"/>
        <v>4.6397000000000002E-4</v>
      </c>
      <c r="N140" s="390"/>
      <c r="O140" s="391"/>
      <c r="P140" s="95">
        <f t="shared" si="16"/>
        <v>7.1455169999999998E-2</v>
      </c>
      <c r="Q140" s="95">
        <f t="shared" si="17"/>
        <v>2.7837700000000001E-3</v>
      </c>
      <c r="R140" s="272">
        <f t="shared" si="18"/>
        <v>1.16E-4</v>
      </c>
      <c r="S140" s="299"/>
      <c r="T140" s="390"/>
      <c r="U140" s="391"/>
      <c r="V140" s="300">
        <f t="shared" si="19"/>
        <v>0.22865653999999999</v>
      </c>
      <c r="W140" s="300">
        <f t="shared" si="20"/>
        <v>8.9080500000000007E-3</v>
      </c>
      <c r="X140" s="272">
        <f t="shared" si="21"/>
        <v>3.7116999999999999E-4</v>
      </c>
    </row>
    <row r="141" spans="1:33">
      <c r="B141" s="3" t="s">
        <v>176</v>
      </c>
      <c r="H141" s="390"/>
      <c r="I141" s="391"/>
      <c r="J141" s="95">
        <f t="shared" si="13"/>
        <v>0.30717961999999999</v>
      </c>
      <c r="K141" s="95">
        <f t="shared" si="14"/>
        <v>1.2360289999999999E-2</v>
      </c>
      <c r="L141" s="267">
        <f t="shared" si="15"/>
        <v>5.1502000000000004E-4</v>
      </c>
      <c r="N141" s="390"/>
      <c r="O141" s="391"/>
      <c r="P141" s="95">
        <f t="shared" si="16"/>
        <v>7.6794909999999994E-2</v>
      </c>
      <c r="Q141" s="95">
        <f t="shared" si="17"/>
        <v>3.0900699999999999E-3</v>
      </c>
      <c r="R141" s="272">
        <f t="shared" si="18"/>
        <v>1.2876000000000001E-4</v>
      </c>
      <c r="S141" s="299"/>
      <c r="T141" s="390"/>
      <c r="U141" s="391"/>
      <c r="V141" s="300">
        <f t="shared" si="19"/>
        <v>0.24574370000000001</v>
      </c>
      <c r="W141" s="300">
        <f t="shared" si="20"/>
        <v>9.8882299999999996E-3</v>
      </c>
      <c r="X141" s="272">
        <f t="shared" si="21"/>
        <v>4.1200999999999998E-4</v>
      </c>
    </row>
    <row r="142" spans="1:33">
      <c r="B142" s="3" t="s">
        <v>177</v>
      </c>
      <c r="H142" s="390"/>
      <c r="I142" s="391">
        <f>ROUND((1-$F$81)*$F$15*$F$24*$F$72/$F$76*$F$87,8)</f>
        <v>1.3083576400000001</v>
      </c>
      <c r="J142" s="95">
        <f t="shared" si="13"/>
        <v>0.36433757999999999</v>
      </c>
      <c r="K142" s="95">
        <f t="shared" si="14"/>
        <v>1.4180089999999999E-2</v>
      </c>
      <c r="L142" s="267">
        <f t="shared" si="15"/>
        <v>5.9084000000000003E-4</v>
      </c>
      <c r="N142" s="390"/>
      <c r="O142" s="391">
        <f>ROUND((1-$F$81)*$F$15*$F$24*$F$72/$F$76*$F$89,8)</f>
        <v>0.32708941000000002</v>
      </c>
      <c r="P142" s="95">
        <f t="shared" si="16"/>
        <v>9.1084390000000001E-2</v>
      </c>
      <c r="Q142" s="95">
        <f t="shared" si="17"/>
        <v>3.5450199999999999E-3</v>
      </c>
      <c r="R142" s="272">
        <f t="shared" si="18"/>
        <v>1.4771000000000001E-4</v>
      </c>
      <c r="S142" s="299"/>
      <c r="T142" s="390"/>
      <c r="U142" s="391">
        <f>ROUND((1-$F$81)*$F$15*$F$24*$F$72/$F$76*$F$91,8)</f>
        <v>1.04668611</v>
      </c>
      <c r="V142" s="300">
        <f t="shared" si="19"/>
        <v>0.29147005999999998</v>
      </c>
      <c r="W142" s="300">
        <f t="shared" si="20"/>
        <v>1.1344079999999999E-2</v>
      </c>
      <c r="X142" s="272">
        <f t="shared" si="21"/>
        <v>4.7267000000000001E-4</v>
      </c>
    </row>
    <row r="143" spans="1:33">
      <c r="B143" s="3" t="s">
        <v>178</v>
      </c>
      <c r="H143" s="390"/>
      <c r="I143" s="391"/>
      <c r="J143" s="95">
        <f t="shared" si="13"/>
        <v>0.52354898000000005</v>
      </c>
      <c r="K143" s="95">
        <f t="shared" si="14"/>
        <v>2.1044920000000002E-2</v>
      </c>
      <c r="L143" s="267">
        <f t="shared" si="15"/>
        <v>8.7688000000000002E-4</v>
      </c>
      <c r="N143" s="390"/>
      <c r="O143" s="391"/>
      <c r="P143" s="95">
        <f t="shared" si="16"/>
        <v>0.13088723999999999</v>
      </c>
      <c r="Q143" s="95">
        <f t="shared" si="17"/>
        <v>5.2612300000000004E-3</v>
      </c>
      <c r="R143" s="272">
        <f t="shared" si="18"/>
        <v>2.1922000000000001E-4</v>
      </c>
      <c r="S143" s="299"/>
      <c r="T143" s="390"/>
      <c r="U143" s="391"/>
      <c r="V143" s="300">
        <f t="shared" si="19"/>
        <v>0.41883917999999998</v>
      </c>
      <c r="W143" s="300">
        <f t="shared" si="20"/>
        <v>1.6835929999999999E-2</v>
      </c>
      <c r="X143" s="272">
        <f t="shared" si="21"/>
        <v>7.0150000000000008E-4</v>
      </c>
    </row>
    <row r="144" spans="1:33">
      <c r="B144" s="3" t="s">
        <v>179</v>
      </c>
      <c r="H144" s="390"/>
      <c r="I144" s="391"/>
      <c r="J144" s="95">
        <f t="shared" si="13"/>
        <v>0.68175651999999998</v>
      </c>
      <c r="K144" s="95">
        <f t="shared" si="14"/>
        <v>2.6522359999999998E-2</v>
      </c>
      <c r="L144" s="267">
        <f t="shared" si="15"/>
        <v>1.1050999999999999E-3</v>
      </c>
      <c r="N144" s="390"/>
      <c r="O144" s="391"/>
      <c r="P144" s="95">
        <f t="shared" si="16"/>
        <v>0.17043912999999999</v>
      </c>
      <c r="Q144" s="95">
        <f t="shared" si="17"/>
        <v>6.6305899999999996E-3</v>
      </c>
      <c r="R144" s="272">
        <f t="shared" si="18"/>
        <v>2.7628E-4</v>
      </c>
      <c r="S144" s="299"/>
      <c r="T144" s="390"/>
      <c r="U144" s="391"/>
      <c r="V144" s="300">
        <f t="shared" si="19"/>
        <v>0.54540522000000002</v>
      </c>
      <c r="W144" s="300">
        <f t="shared" si="20"/>
        <v>2.121789E-2</v>
      </c>
      <c r="X144" s="272">
        <f t="shared" si="21"/>
        <v>8.8408000000000009E-4</v>
      </c>
    </row>
    <row r="145" spans="1:24">
      <c r="L145" s="268"/>
      <c r="R145" s="264"/>
      <c r="S145" s="264"/>
      <c r="T145" s="264"/>
      <c r="U145" s="264"/>
      <c r="V145" s="264"/>
      <c r="W145" s="264"/>
      <c r="X145" s="264"/>
    </row>
    <row r="146" spans="1:24" s="39" customFormat="1" ht="25.5">
      <c r="A146" s="361"/>
      <c r="B146" s="205" t="s">
        <v>1125</v>
      </c>
      <c r="H146" s="39" t="s">
        <v>154</v>
      </c>
      <c r="L146" s="269"/>
      <c r="N146" s="39" t="s">
        <v>155</v>
      </c>
      <c r="R146" s="273"/>
      <c r="S146" s="273"/>
      <c r="T146" s="273"/>
      <c r="U146" s="273"/>
      <c r="V146" s="273"/>
      <c r="W146" s="273"/>
      <c r="X146" s="273"/>
    </row>
    <row r="147" spans="1:24" s="42" customFormat="1">
      <c r="A147" s="362"/>
      <c r="B147" s="42" t="s">
        <v>185</v>
      </c>
      <c r="H147" s="42" t="s">
        <v>158</v>
      </c>
      <c r="I147" s="42" t="s">
        <v>159</v>
      </c>
      <c r="J147" s="42" t="s">
        <v>160</v>
      </c>
      <c r="K147" s="42" t="s">
        <v>161</v>
      </c>
      <c r="L147" s="270" t="s">
        <v>162</v>
      </c>
      <c r="N147" s="42" t="s">
        <v>158</v>
      </c>
      <c r="O147" s="42" t="s">
        <v>159</v>
      </c>
      <c r="P147" s="42" t="s">
        <v>160</v>
      </c>
      <c r="Q147" s="42" t="s">
        <v>161</v>
      </c>
      <c r="R147" s="274" t="s">
        <v>162</v>
      </c>
      <c r="S147" s="274"/>
      <c r="T147" s="274"/>
      <c r="U147" s="274"/>
      <c r="V147" s="274"/>
      <c r="W147" s="274"/>
      <c r="X147" s="274"/>
    </row>
    <row r="148" spans="1:24" s="40" customFormat="1">
      <c r="A148" s="363"/>
      <c r="H148" s="40" t="s">
        <v>163</v>
      </c>
      <c r="I148" s="40" t="s">
        <v>164</v>
      </c>
      <c r="J148" s="40" t="s">
        <v>165</v>
      </c>
      <c r="K148" s="40" t="s">
        <v>166</v>
      </c>
      <c r="L148" s="271" t="s">
        <v>167</v>
      </c>
      <c r="N148" s="40" t="s">
        <v>163</v>
      </c>
      <c r="O148" s="40" t="s">
        <v>164</v>
      </c>
      <c r="P148" s="40" t="s">
        <v>165</v>
      </c>
      <c r="Q148" s="40" t="s">
        <v>166</v>
      </c>
      <c r="R148" s="275" t="s">
        <v>167</v>
      </c>
      <c r="S148" s="275"/>
      <c r="T148" s="275"/>
      <c r="U148" s="275"/>
      <c r="V148" s="275"/>
      <c r="W148" s="275"/>
      <c r="X148" s="275"/>
    </row>
    <row r="149" spans="1:24">
      <c r="L149" s="268"/>
      <c r="R149" s="264"/>
      <c r="S149" s="264"/>
      <c r="T149" s="264"/>
      <c r="U149" s="264"/>
      <c r="V149" s="264"/>
      <c r="W149" s="264"/>
      <c r="X149" s="264"/>
    </row>
    <row r="150" spans="1:24">
      <c r="B150" s="3" t="s">
        <v>168</v>
      </c>
      <c r="H150" s="390">
        <f>ROUND((1-$F$82)*F88,8)</f>
        <v>3.2856283400000001</v>
      </c>
      <c r="I150" s="391">
        <f>ROUND((1-$F$82)*$F$15*$F$21*$F$69/$F$76*$F$88,8)</f>
        <v>1.50081201</v>
      </c>
      <c r="J150" s="95">
        <f t="shared" ref="J150:J161" si="22">ROUND((1-$F$82)*$F$16*$F27*$F55/$F$76*$F$88,8)</f>
        <v>0.71786477999999998</v>
      </c>
      <c r="K150" s="95">
        <f t="shared" ref="K150:K161" si="23">ROUND((1-$F$82)*$F$17*$F41/$F$76*$F$88,8)</f>
        <v>2.7930090000000001E-2</v>
      </c>
      <c r="L150" s="267">
        <f t="shared" ref="L150:L161" si="24">ROUNDUP((1-$F$82)*$F$18*$F41/$F$77*$F$88,8)</f>
        <v>1.16376E-3</v>
      </c>
      <c r="N150" s="390">
        <f>ROUND((1-$F$82)*F90,8)</f>
        <v>0.82140707999999996</v>
      </c>
      <c r="O150" s="391">
        <f>ROUND((1-$F$82)*$F$15*$F$21*$F$69/$F$76*$F$90,8)</f>
        <v>0.37520300000000001</v>
      </c>
      <c r="P150" s="95">
        <f t="shared" ref="P150:P161" si="25">ROUND((1-$F$82)*$F$16*$F27*$F55/$F$76*$F$90,8)</f>
        <v>0.17946619999999999</v>
      </c>
      <c r="Q150" s="95">
        <f t="shared" ref="Q150:Q161" si="26">ROUND((1-$F$82)*$F$17*$F41/$F$76*$F$90,8)</f>
        <v>6.9825199999999999E-3</v>
      </c>
      <c r="R150" s="272">
        <f t="shared" ref="R150:R161" si="27">ROUNDUP((1-$F$82)*$F$18*$F41/$F$77*$F$90,8)</f>
        <v>2.9094E-4</v>
      </c>
      <c r="S150" s="299"/>
      <c r="T150" s="299"/>
      <c r="U150" s="299"/>
      <c r="V150" s="299"/>
      <c r="W150" s="299"/>
      <c r="X150" s="299"/>
    </row>
    <row r="151" spans="1:24">
      <c r="B151" s="3" t="s">
        <v>169</v>
      </c>
      <c r="H151" s="390"/>
      <c r="I151" s="391"/>
      <c r="J151" s="95">
        <f t="shared" si="22"/>
        <v>0.57958483999999999</v>
      </c>
      <c r="K151" s="95">
        <f t="shared" si="23"/>
        <v>2.4968520000000001E-2</v>
      </c>
      <c r="L151" s="267">
        <f t="shared" si="24"/>
        <v>1.0403599999999999E-3</v>
      </c>
      <c r="N151" s="390"/>
      <c r="O151" s="391"/>
      <c r="P151" s="95">
        <f t="shared" si="25"/>
        <v>0.14489621</v>
      </c>
      <c r="Q151" s="95">
        <f t="shared" si="26"/>
        <v>6.2421300000000002E-3</v>
      </c>
      <c r="R151" s="272">
        <f t="shared" si="27"/>
        <v>2.6008999999999998E-4</v>
      </c>
      <c r="S151" s="299"/>
      <c r="T151" s="299"/>
      <c r="U151" s="299"/>
      <c r="V151" s="299"/>
      <c r="W151" s="299"/>
      <c r="X151" s="299"/>
    </row>
    <row r="152" spans="1:24">
      <c r="B152" s="3" t="s">
        <v>170</v>
      </c>
      <c r="H152" s="390"/>
      <c r="I152" s="391"/>
      <c r="J152" s="95">
        <f t="shared" si="22"/>
        <v>0.50187747999999999</v>
      </c>
      <c r="K152" s="95">
        <f t="shared" si="23"/>
        <v>1.9517980000000001E-2</v>
      </c>
      <c r="L152" s="267">
        <f t="shared" si="24"/>
        <v>8.1325000000000006E-4</v>
      </c>
      <c r="N152" s="390"/>
      <c r="O152" s="391"/>
      <c r="P152" s="95">
        <f t="shared" si="25"/>
        <v>0.12546937</v>
      </c>
      <c r="Q152" s="95">
        <f t="shared" si="26"/>
        <v>4.8795000000000002E-3</v>
      </c>
      <c r="R152" s="272">
        <f t="shared" si="27"/>
        <v>2.0332E-4</v>
      </c>
      <c r="S152" s="299"/>
      <c r="T152" s="299"/>
      <c r="U152" s="299"/>
      <c r="V152" s="299"/>
      <c r="W152" s="299"/>
      <c r="X152" s="299"/>
    </row>
    <row r="153" spans="1:24">
      <c r="B153" s="3" t="s">
        <v>171</v>
      </c>
      <c r="H153" s="390"/>
      <c r="I153" s="391">
        <f>ROUND((1-$F$82)*$F$15*$F$22*$F$70/$F$76*$F$88,8)</f>
        <v>0.80277352000000002</v>
      </c>
      <c r="J153" s="95">
        <f t="shared" si="22"/>
        <v>0.36213925000000002</v>
      </c>
      <c r="K153" s="95">
        <f t="shared" si="23"/>
        <v>1.4555780000000001E-2</v>
      </c>
      <c r="L153" s="267">
        <f t="shared" si="24"/>
        <v>6.0650000000000005E-4</v>
      </c>
      <c r="N153" s="390"/>
      <c r="O153" s="391">
        <f>ROUND((1-$F$82)*$F$15*$F$22*$F$70/$F$76*$F$90,8)</f>
        <v>0.20069338</v>
      </c>
      <c r="P153" s="95">
        <f t="shared" si="25"/>
        <v>9.0534809999999993E-2</v>
      </c>
      <c r="Q153" s="95">
        <f t="shared" si="26"/>
        <v>3.6389500000000002E-3</v>
      </c>
      <c r="R153" s="272">
        <f t="shared" si="27"/>
        <v>1.5162999999999998E-4</v>
      </c>
      <c r="S153" s="299"/>
      <c r="T153" s="299"/>
      <c r="U153" s="299"/>
      <c r="V153" s="299"/>
      <c r="W153" s="299"/>
      <c r="X153" s="299"/>
    </row>
    <row r="154" spans="1:24">
      <c r="B154" s="3" t="s">
        <v>172</v>
      </c>
      <c r="H154" s="390"/>
      <c r="I154" s="391"/>
      <c r="J154" s="95">
        <f t="shared" si="22"/>
        <v>0.33151540000000002</v>
      </c>
      <c r="K154" s="95">
        <f t="shared" si="23"/>
        <v>1.290172E-2</v>
      </c>
      <c r="L154" s="267">
        <f t="shared" si="24"/>
        <v>5.3758000000000007E-4</v>
      </c>
      <c r="N154" s="390"/>
      <c r="O154" s="391"/>
      <c r="P154" s="95">
        <f t="shared" si="25"/>
        <v>8.2878850000000004E-2</v>
      </c>
      <c r="Q154" s="95">
        <f t="shared" si="26"/>
        <v>3.2254300000000001E-3</v>
      </c>
      <c r="R154" s="272">
        <f t="shared" si="27"/>
        <v>1.3439999999999999E-4</v>
      </c>
      <c r="S154" s="299"/>
      <c r="T154" s="299"/>
      <c r="U154" s="299"/>
      <c r="V154" s="299"/>
      <c r="W154" s="299"/>
      <c r="X154" s="299"/>
    </row>
    <row r="155" spans="1:24">
      <c r="B155" s="3" t="s">
        <v>173</v>
      </c>
      <c r="H155" s="390"/>
      <c r="I155" s="391"/>
      <c r="J155" s="95">
        <f t="shared" si="22"/>
        <v>0.26937651000000001</v>
      </c>
      <c r="K155" s="95">
        <f t="shared" si="23"/>
        <v>1.083807E-2</v>
      </c>
      <c r="L155" s="267">
        <f t="shared" si="24"/>
        <v>4.5158999999999998E-4</v>
      </c>
      <c r="N155" s="390"/>
      <c r="O155" s="391"/>
      <c r="P155" s="95">
        <f t="shared" si="25"/>
        <v>6.7344130000000002E-2</v>
      </c>
      <c r="Q155" s="95">
        <f t="shared" si="26"/>
        <v>2.70952E-3</v>
      </c>
      <c r="R155" s="272">
        <f t="shared" si="27"/>
        <v>1.1289999999999999E-4</v>
      </c>
      <c r="S155" s="299"/>
      <c r="T155" s="299"/>
      <c r="U155" s="299"/>
      <c r="V155" s="299"/>
      <c r="W155" s="299"/>
      <c r="X155" s="299"/>
    </row>
    <row r="156" spans="1:24">
      <c r="B156" s="3" t="s">
        <v>174</v>
      </c>
      <c r="H156" s="390"/>
      <c r="I156" s="391">
        <f>ROUND((1-$F$82)*$F$15*$F$23*$F$71/$F$76*$F$88,8)</f>
        <v>0.65113951999999997</v>
      </c>
      <c r="J156" s="95">
        <f t="shared" si="22"/>
        <v>0.26286827000000001</v>
      </c>
      <c r="K156" s="95">
        <f t="shared" si="23"/>
        <v>1.022371E-2</v>
      </c>
      <c r="L156" s="267">
        <f t="shared" si="24"/>
        <v>4.2599000000000001E-4</v>
      </c>
      <c r="N156" s="390"/>
      <c r="O156" s="391">
        <f>ROUND((1-$F$82)*$F$15*$F$23*$F$71/$F$76*$F$90,8)</f>
        <v>0.16278487999999999</v>
      </c>
      <c r="P156" s="95">
        <f t="shared" si="25"/>
        <v>6.5717070000000002E-2</v>
      </c>
      <c r="Q156" s="95">
        <f t="shared" si="26"/>
        <v>2.5559300000000001E-3</v>
      </c>
      <c r="R156" s="272">
        <f t="shared" si="27"/>
        <v>1.065E-4</v>
      </c>
      <c r="S156" s="299"/>
      <c r="T156" s="299"/>
      <c r="U156" s="299"/>
      <c r="V156" s="299"/>
      <c r="W156" s="299"/>
      <c r="X156" s="299"/>
    </row>
    <row r="157" spans="1:24">
      <c r="B157" s="3" t="s">
        <v>175</v>
      </c>
      <c r="H157" s="390"/>
      <c r="I157" s="391"/>
      <c r="J157" s="95">
        <f t="shared" si="22"/>
        <v>0.24989228999999999</v>
      </c>
      <c r="K157" s="95">
        <f t="shared" si="23"/>
        <v>9.7353600000000002E-3</v>
      </c>
      <c r="L157" s="267">
        <f t="shared" si="24"/>
        <v>4.0565000000000002E-4</v>
      </c>
      <c r="N157" s="390"/>
      <c r="O157" s="391"/>
      <c r="P157" s="95">
        <f t="shared" si="25"/>
        <v>6.2473069999999999E-2</v>
      </c>
      <c r="Q157" s="95">
        <f t="shared" si="26"/>
        <v>2.43384E-3</v>
      </c>
      <c r="R157" s="272">
        <f t="shared" si="27"/>
        <v>1.0142E-4</v>
      </c>
      <c r="S157" s="299"/>
      <c r="T157" s="299"/>
      <c r="U157" s="299"/>
      <c r="V157" s="299"/>
      <c r="W157" s="299"/>
      <c r="X157" s="299"/>
    </row>
    <row r="158" spans="1:24">
      <c r="B158" s="3" t="s">
        <v>176</v>
      </c>
      <c r="H158" s="390"/>
      <c r="I158" s="391"/>
      <c r="J158" s="95">
        <f t="shared" si="22"/>
        <v>0.26856636</v>
      </c>
      <c r="K158" s="95">
        <f t="shared" si="23"/>
        <v>1.080657E-2</v>
      </c>
      <c r="L158" s="267">
        <f t="shared" si="24"/>
        <v>4.5028000000000001E-4</v>
      </c>
      <c r="N158" s="390"/>
      <c r="O158" s="391"/>
      <c r="P158" s="95">
        <f t="shared" si="25"/>
        <v>6.7141590000000001E-2</v>
      </c>
      <c r="Q158" s="95">
        <f t="shared" si="26"/>
        <v>2.7016399999999999E-3</v>
      </c>
      <c r="R158" s="272">
        <f t="shared" si="27"/>
        <v>1.1257E-4</v>
      </c>
      <c r="S158" s="299"/>
      <c r="T158" s="299"/>
      <c r="U158" s="299"/>
      <c r="V158" s="299"/>
      <c r="W158" s="299"/>
      <c r="X158" s="299"/>
    </row>
    <row r="159" spans="1:24">
      <c r="B159" s="3" t="s">
        <v>177</v>
      </c>
      <c r="H159" s="390"/>
      <c r="I159" s="391">
        <f>ROUND((1-$F$82)*$F$15*$F$24*$F$72/$F$76*$F$88,8)</f>
        <v>1.1438937600000001</v>
      </c>
      <c r="J159" s="95">
        <f t="shared" si="22"/>
        <v>0.31853942000000002</v>
      </c>
      <c r="K159" s="95">
        <f t="shared" si="23"/>
        <v>1.239762E-2</v>
      </c>
      <c r="L159" s="267">
        <f t="shared" si="24"/>
        <v>5.1657000000000005E-4</v>
      </c>
      <c r="N159" s="390"/>
      <c r="O159" s="391">
        <f>ROUND((1-$F$82)*$F$15*$F$24*$F$72/$F$76*$F$90,8)</f>
        <v>0.28597344000000002</v>
      </c>
      <c r="P159" s="95">
        <f t="shared" si="25"/>
        <v>7.9634849999999993E-2</v>
      </c>
      <c r="Q159" s="95">
        <f t="shared" si="26"/>
        <v>3.0994099999999999E-3</v>
      </c>
      <c r="R159" s="272">
        <f t="shared" si="27"/>
        <v>1.2915E-4</v>
      </c>
      <c r="S159" s="299"/>
      <c r="T159" s="299"/>
      <c r="U159" s="299"/>
      <c r="V159" s="299"/>
      <c r="W159" s="299"/>
      <c r="X159" s="299"/>
    </row>
    <row r="160" spans="1:24">
      <c r="B160" s="3" t="s">
        <v>178</v>
      </c>
      <c r="H160" s="390"/>
      <c r="I160" s="391"/>
      <c r="J160" s="95">
        <f t="shared" si="22"/>
        <v>0.45773754</v>
      </c>
      <c r="K160" s="95">
        <f t="shared" si="23"/>
        <v>1.8399519999999999E-2</v>
      </c>
      <c r="L160" s="267">
        <f t="shared" si="24"/>
        <v>7.6665000000000001E-4</v>
      </c>
      <c r="N160" s="390"/>
      <c r="O160" s="391"/>
      <c r="P160" s="95">
        <f t="shared" si="25"/>
        <v>0.11443438</v>
      </c>
      <c r="Q160" s="95">
        <f t="shared" si="26"/>
        <v>4.5998799999999998E-3</v>
      </c>
      <c r="R160" s="272">
        <f t="shared" si="27"/>
        <v>1.9166999999999999E-4</v>
      </c>
      <c r="S160" s="299"/>
      <c r="T160" s="299"/>
      <c r="U160" s="299"/>
      <c r="V160" s="299"/>
      <c r="W160" s="299"/>
      <c r="X160" s="299"/>
    </row>
    <row r="161" spans="1:24">
      <c r="B161" s="3" t="s">
        <v>179</v>
      </c>
      <c r="H161" s="390"/>
      <c r="I161" s="391"/>
      <c r="J161" s="95">
        <f t="shared" si="22"/>
        <v>0.59605799000000004</v>
      </c>
      <c r="K161" s="95">
        <f t="shared" si="23"/>
        <v>2.3188429999999999E-2</v>
      </c>
      <c r="L161" s="267">
        <f t="shared" si="24"/>
        <v>9.6619000000000002E-4</v>
      </c>
      <c r="N161" s="390"/>
      <c r="O161" s="391"/>
      <c r="P161" s="95">
        <f t="shared" si="25"/>
        <v>0.14901449999999999</v>
      </c>
      <c r="Q161" s="95">
        <f t="shared" si="26"/>
        <v>5.7971100000000003E-3</v>
      </c>
      <c r="R161" s="272">
        <f t="shared" si="27"/>
        <v>2.4154999999999999E-4</v>
      </c>
      <c r="S161" s="299"/>
      <c r="T161" s="299"/>
      <c r="U161" s="299"/>
      <c r="V161" s="299"/>
      <c r="W161" s="299"/>
      <c r="X161" s="299"/>
    </row>
    <row r="162" spans="1:24">
      <c r="H162" s="206"/>
      <c r="I162" s="207"/>
      <c r="J162" s="208"/>
      <c r="K162" s="208"/>
      <c r="L162" s="209"/>
      <c r="N162" s="206"/>
      <c r="O162" s="207"/>
      <c r="P162" s="208"/>
      <c r="Q162" s="208"/>
      <c r="R162" s="209"/>
      <c r="S162" s="209"/>
      <c r="T162" s="209"/>
      <c r="U162" s="209"/>
      <c r="V162" s="209"/>
      <c r="W162" s="209"/>
      <c r="X162" s="209"/>
    </row>
    <row r="163" spans="1:24" s="39" customFormat="1">
      <c r="A163" s="361"/>
      <c r="B163" s="39" t="s">
        <v>186</v>
      </c>
      <c r="H163" s="39" t="s">
        <v>187</v>
      </c>
      <c r="N163" s="39" t="s">
        <v>188</v>
      </c>
    </row>
    <row r="164" spans="1:24" s="42" customFormat="1">
      <c r="A164" s="362"/>
      <c r="H164" s="42" t="s">
        <v>158</v>
      </c>
      <c r="I164" s="42" t="s">
        <v>159</v>
      </c>
      <c r="J164" s="42" t="s">
        <v>160</v>
      </c>
      <c r="K164" s="42" t="s">
        <v>161</v>
      </c>
      <c r="L164" s="42" t="s">
        <v>162</v>
      </c>
      <c r="N164" s="42" t="s">
        <v>158</v>
      </c>
      <c r="O164" s="42" t="s">
        <v>159</v>
      </c>
      <c r="P164" s="42" t="s">
        <v>160</v>
      </c>
      <c r="Q164" s="42" t="s">
        <v>161</v>
      </c>
      <c r="R164" s="42" t="s">
        <v>162</v>
      </c>
    </row>
    <row r="165" spans="1:24" s="40" customFormat="1">
      <c r="A165" s="363"/>
      <c r="H165" s="40" t="s">
        <v>163</v>
      </c>
      <c r="I165" s="40" t="s">
        <v>164</v>
      </c>
      <c r="J165" s="40" t="s">
        <v>165</v>
      </c>
      <c r="K165" s="40" t="s">
        <v>166</v>
      </c>
      <c r="L165" s="40" t="s">
        <v>167</v>
      </c>
      <c r="N165" s="40" t="s">
        <v>163</v>
      </c>
      <c r="O165" s="40" t="s">
        <v>164</v>
      </c>
      <c r="P165" s="40" t="s">
        <v>165</v>
      </c>
      <c r="Q165" s="40" t="s">
        <v>166</v>
      </c>
      <c r="R165" s="40" t="s">
        <v>167</v>
      </c>
    </row>
    <row r="167" spans="1:24">
      <c r="B167" s="3" t="s">
        <v>168</v>
      </c>
      <c r="H167" s="390">
        <f>ROUND((1-F83)*(F87+F88),8)</f>
        <v>0.42266123999999999</v>
      </c>
      <c r="I167" s="391">
        <f>ROUND($F$15*$F$21*$F$69/$F$76*(1-$F$83)*($F$87+$F$88),8)</f>
        <v>0.19306355</v>
      </c>
      <c r="J167" s="95">
        <f t="shared" ref="J167:J178" si="28">ROUND($F$16*$F27*$F55/$F$76*(1-$F$83)*($F$87+$F$88),8)</f>
        <v>9.2345689999999994E-2</v>
      </c>
      <c r="K167" s="50"/>
      <c r="L167" s="50"/>
      <c r="N167" s="390">
        <f>ROUND((1-F83)*(F87+F90),8)</f>
        <v>0.27479316999999998</v>
      </c>
      <c r="O167" s="391">
        <f>ROUND($F$15*$F$21*$F$69/$F$76*(1-$F$83)*($F$87+$F$90),8)</f>
        <v>0.12552025</v>
      </c>
      <c r="P167" s="95">
        <f t="shared" ref="P167:P178" si="29">ROUND($F$16*$F27*$F55/$F$76*(1-$F$83)*($F$87+$F$90),8)</f>
        <v>6.0038540000000001E-2</v>
      </c>
      <c r="Q167" s="50"/>
      <c r="R167" s="50"/>
      <c r="S167" s="301"/>
      <c r="T167" s="301"/>
      <c r="U167" s="301"/>
      <c r="V167" s="301"/>
      <c r="W167" s="301"/>
      <c r="X167" s="301"/>
    </row>
    <row r="168" spans="1:24">
      <c r="B168" s="3" t="s">
        <v>169</v>
      </c>
      <c r="H168" s="390"/>
      <c r="I168" s="391"/>
      <c r="J168" s="95">
        <f t="shared" si="28"/>
        <v>7.4557440000000003E-2</v>
      </c>
      <c r="K168" s="50"/>
      <c r="L168" s="50"/>
      <c r="N168" s="390"/>
      <c r="O168" s="391"/>
      <c r="P168" s="95">
        <f t="shared" si="29"/>
        <v>4.8473519999999999E-2</v>
      </c>
      <c r="Q168" s="50"/>
      <c r="R168" s="50"/>
      <c r="S168" s="301"/>
      <c r="T168" s="301"/>
      <c r="U168" s="301"/>
      <c r="V168" s="301"/>
      <c r="W168" s="301"/>
      <c r="X168" s="301"/>
    </row>
    <row r="169" spans="1:24">
      <c r="B169" s="3" t="s">
        <v>170</v>
      </c>
      <c r="H169" s="390"/>
      <c r="I169" s="391"/>
      <c r="J169" s="95">
        <f t="shared" si="28"/>
        <v>6.4561209999999994E-2</v>
      </c>
      <c r="K169" s="50"/>
      <c r="L169" s="50"/>
      <c r="N169" s="390"/>
      <c r="O169" s="391"/>
      <c r="P169" s="95">
        <f t="shared" si="29"/>
        <v>4.197447E-2</v>
      </c>
      <c r="Q169" s="50"/>
      <c r="R169" s="50"/>
      <c r="S169" s="301"/>
      <c r="T169" s="301"/>
      <c r="U169" s="301"/>
      <c r="V169" s="301"/>
      <c r="W169" s="301"/>
      <c r="X169" s="301"/>
    </row>
    <row r="170" spans="1:24">
      <c r="B170" s="3" t="s">
        <v>171</v>
      </c>
      <c r="H170" s="390"/>
      <c r="I170" s="391">
        <f>ROUND($F$15*$F$22*$F$70/$F$76*(1-$F$83)*($F$87+$F$88),8)</f>
        <v>0.10326829999999999</v>
      </c>
      <c r="J170" s="95">
        <f t="shared" si="28"/>
        <v>4.6585370000000001E-2</v>
      </c>
      <c r="K170" s="50"/>
      <c r="L170" s="50"/>
      <c r="N170" s="390"/>
      <c r="O170" s="391">
        <f>ROUND($F$15*$F$22*$F$70/$F$76*(1-$F$83)*($F$87+$F$90),8)</f>
        <v>6.7139879999999999E-2</v>
      </c>
      <c r="P170" s="95">
        <f t="shared" si="29"/>
        <v>3.0287479999999999E-2</v>
      </c>
      <c r="Q170" s="50"/>
      <c r="R170" s="50"/>
      <c r="S170" s="301"/>
      <c r="T170" s="301"/>
      <c r="U170" s="301"/>
      <c r="V170" s="301"/>
      <c r="W170" s="301"/>
      <c r="X170" s="301"/>
    </row>
    <row r="171" spans="1:24">
      <c r="B171" s="3" t="s">
        <v>172</v>
      </c>
      <c r="H171" s="390"/>
      <c r="I171" s="391"/>
      <c r="J171" s="95">
        <f t="shared" si="28"/>
        <v>4.264594E-2</v>
      </c>
      <c r="K171" s="50"/>
      <c r="L171" s="50"/>
      <c r="N171" s="390"/>
      <c r="O171" s="391"/>
      <c r="P171" s="95">
        <f t="shared" si="29"/>
        <v>2.7726250000000001E-2</v>
      </c>
      <c r="Q171" s="50"/>
      <c r="R171" s="50"/>
      <c r="S171" s="301"/>
      <c r="T171" s="301"/>
      <c r="U171" s="301"/>
      <c r="V171" s="301"/>
      <c r="W171" s="301"/>
      <c r="X171" s="301"/>
    </row>
    <row r="172" spans="1:24">
      <c r="B172" s="3" t="s">
        <v>173</v>
      </c>
      <c r="H172" s="390"/>
      <c r="I172" s="391"/>
      <c r="J172" s="95">
        <f t="shared" si="28"/>
        <v>3.4652429999999998E-2</v>
      </c>
      <c r="K172" s="50"/>
      <c r="L172" s="50"/>
      <c r="N172" s="390"/>
      <c r="O172" s="391"/>
      <c r="P172" s="95">
        <f t="shared" si="29"/>
        <v>2.2529279999999999E-2</v>
      </c>
      <c r="Q172" s="50"/>
      <c r="R172" s="50"/>
      <c r="S172" s="301"/>
      <c r="T172" s="301"/>
      <c r="U172" s="301"/>
      <c r="V172" s="301"/>
      <c r="W172" s="301"/>
      <c r="X172" s="301"/>
    </row>
    <row r="173" spans="1:24">
      <c r="B173" s="3" t="s">
        <v>174</v>
      </c>
      <c r="H173" s="390"/>
      <c r="I173" s="391">
        <f>ROUND($F$15*$F$23*$F$71/$F$76*(1-$F$83)*($F$87+$F$88),8)</f>
        <v>8.376219E-2</v>
      </c>
      <c r="J173" s="95">
        <f t="shared" si="28"/>
        <v>3.3815209999999998E-2</v>
      </c>
      <c r="K173" s="50"/>
      <c r="L173" s="50"/>
      <c r="N173" s="390"/>
      <c r="O173" s="391">
        <f>ROUND($F$15*$F$23*$F$71/$F$76*(1-$F$83)*($F$87+$F$90),8)</f>
        <v>5.4457980000000003E-2</v>
      </c>
      <c r="P173" s="95">
        <f t="shared" si="29"/>
        <v>2.1984960000000001E-2</v>
      </c>
      <c r="Q173" s="50"/>
      <c r="R173" s="50"/>
      <c r="S173" s="301"/>
      <c r="T173" s="301"/>
      <c r="U173" s="301"/>
      <c r="V173" s="301"/>
      <c r="W173" s="301"/>
      <c r="X173" s="301"/>
    </row>
    <row r="174" spans="1:24">
      <c r="B174" s="3" t="s">
        <v>175</v>
      </c>
      <c r="H174" s="390"/>
      <c r="I174" s="391"/>
      <c r="J174" s="95">
        <f t="shared" si="28"/>
        <v>3.2145989999999999E-2</v>
      </c>
      <c r="K174" s="50"/>
      <c r="L174" s="50"/>
      <c r="N174" s="390"/>
      <c r="O174" s="391"/>
      <c r="P174" s="95">
        <f t="shared" si="29"/>
        <v>2.0899709999999998E-2</v>
      </c>
      <c r="Q174" s="50"/>
      <c r="R174" s="50"/>
      <c r="S174" s="301"/>
      <c r="T174" s="301"/>
      <c r="U174" s="301"/>
      <c r="V174" s="301"/>
      <c r="W174" s="301"/>
      <c r="X174" s="301"/>
    </row>
    <row r="175" spans="1:24">
      <c r="B175" s="3" t="s">
        <v>176</v>
      </c>
      <c r="H175" s="390"/>
      <c r="I175" s="391"/>
      <c r="J175" s="95">
        <f t="shared" si="28"/>
        <v>3.4548210000000003E-2</v>
      </c>
      <c r="K175" s="50"/>
      <c r="L175" s="50"/>
      <c r="N175" s="390"/>
      <c r="O175" s="391"/>
      <c r="P175" s="95">
        <f t="shared" si="29"/>
        <v>2.2461519999999999E-2</v>
      </c>
      <c r="Q175" s="50"/>
      <c r="R175" s="50"/>
      <c r="S175" s="301"/>
      <c r="T175" s="301"/>
      <c r="U175" s="301"/>
      <c r="V175" s="301"/>
      <c r="W175" s="301"/>
      <c r="X175" s="301"/>
    </row>
    <row r="176" spans="1:24">
      <c r="B176" s="3" t="s">
        <v>177</v>
      </c>
      <c r="H176" s="390"/>
      <c r="I176" s="391">
        <f>ROUND($F$15*$F$24*$F$72/$F$76*(1-$F$83)*($F$87+$F$88),8)</f>
        <v>0.1471498</v>
      </c>
      <c r="J176" s="95">
        <f t="shared" si="28"/>
        <v>4.0976720000000001E-2</v>
      </c>
      <c r="K176" s="50"/>
      <c r="L176" s="50"/>
      <c r="N176" s="390"/>
      <c r="O176" s="391">
        <f>ROUND($F$15*$F$24*$F$72/$F$76*(1-$F$83)*($F$87+$F$90),8)</f>
        <v>9.566943E-2</v>
      </c>
      <c r="P176" s="95">
        <f t="shared" si="29"/>
        <v>2.664101E-2</v>
      </c>
      <c r="Q176" s="50"/>
      <c r="R176" s="50"/>
      <c r="S176" s="301"/>
      <c r="T176" s="301"/>
      <c r="U176" s="301"/>
      <c r="V176" s="301"/>
      <c r="W176" s="301"/>
      <c r="X176" s="301"/>
    </row>
    <row r="177" spans="1:24">
      <c r="B177" s="3" t="s">
        <v>178</v>
      </c>
      <c r="H177" s="390"/>
      <c r="I177" s="391"/>
      <c r="J177" s="95">
        <f t="shared" si="28"/>
        <v>5.8883079999999997E-2</v>
      </c>
      <c r="K177" s="50"/>
      <c r="L177" s="50"/>
      <c r="N177" s="390"/>
      <c r="O177" s="391"/>
      <c r="P177" s="95">
        <f t="shared" si="29"/>
        <v>3.8282829999999997E-2</v>
      </c>
      <c r="Q177" s="50"/>
      <c r="R177" s="50"/>
      <c r="S177" s="301"/>
      <c r="T177" s="301"/>
      <c r="U177" s="301"/>
      <c r="V177" s="301"/>
      <c r="W177" s="301"/>
      <c r="X177" s="301"/>
    </row>
    <row r="178" spans="1:24">
      <c r="B178" s="3" t="s">
        <v>179</v>
      </c>
      <c r="H178" s="390"/>
      <c r="I178" s="391"/>
      <c r="J178" s="95">
        <f t="shared" si="28"/>
        <v>7.6676540000000001E-2</v>
      </c>
      <c r="K178" s="50"/>
      <c r="L178" s="50"/>
      <c r="N178" s="390"/>
      <c r="O178" s="391"/>
      <c r="P178" s="95">
        <f t="shared" si="29"/>
        <v>4.985125E-2</v>
      </c>
      <c r="Q178" s="50"/>
      <c r="R178" s="50"/>
      <c r="S178" s="301"/>
      <c r="T178" s="301"/>
      <c r="U178" s="301"/>
      <c r="V178" s="301"/>
      <c r="W178" s="301"/>
      <c r="X178" s="301"/>
    </row>
    <row r="180" spans="1:24" s="39" customFormat="1">
      <c r="A180" s="361"/>
      <c r="B180" s="39" t="s">
        <v>186</v>
      </c>
      <c r="H180" s="39" t="s">
        <v>189</v>
      </c>
      <c r="N180" s="39" t="s">
        <v>190</v>
      </c>
    </row>
    <row r="181" spans="1:24" s="42" customFormat="1">
      <c r="A181" s="362"/>
      <c r="H181" s="42" t="s">
        <v>158</v>
      </c>
      <c r="I181" s="42" t="s">
        <v>159</v>
      </c>
      <c r="J181" s="42" t="s">
        <v>160</v>
      </c>
      <c r="K181" s="42" t="s">
        <v>161</v>
      </c>
      <c r="L181" s="42" t="s">
        <v>162</v>
      </c>
      <c r="N181" s="42" t="s">
        <v>158</v>
      </c>
      <c r="O181" s="42" t="s">
        <v>159</v>
      </c>
      <c r="P181" s="42" t="s">
        <v>160</v>
      </c>
      <c r="Q181" s="42" t="s">
        <v>161</v>
      </c>
      <c r="R181" s="42" t="s">
        <v>162</v>
      </c>
    </row>
    <row r="182" spans="1:24" s="40" customFormat="1">
      <c r="A182" s="363"/>
      <c r="H182" s="40" t="s">
        <v>163</v>
      </c>
      <c r="I182" s="40" t="s">
        <v>164</v>
      </c>
      <c r="J182" s="40" t="s">
        <v>165</v>
      </c>
      <c r="K182" s="40" t="s">
        <v>166</v>
      </c>
      <c r="L182" s="40" t="s">
        <v>167</v>
      </c>
      <c r="N182" s="40" t="s">
        <v>163</v>
      </c>
      <c r="O182" s="40" t="s">
        <v>164</v>
      </c>
      <c r="P182" s="40" t="s">
        <v>165</v>
      </c>
      <c r="Q182" s="40" t="s">
        <v>166</v>
      </c>
      <c r="R182" s="40" t="s">
        <v>167</v>
      </c>
    </row>
    <row r="184" spans="1:24">
      <c r="B184" s="3" t="s">
        <v>168</v>
      </c>
      <c r="H184" s="390">
        <f>ROUND((1-F83)*(F88+F89),8)</f>
        <v>0.25353336999999998</v>
      </c>
      <c r="I184" s="391">
        <f>ROUND($F$15*$F$21*$F$69/$F$76*(1-$F$83)*($F$88+$F$89),8)</f>
        <v>0.11580918</v>
      </c>
      <c r="J184" s="95">
        <f t="shared" ref="J184:J195" si="30">ROUND($F$16*$F27*$F55/$F$76*(1-$F$83)*($F$88+$F$89),8)</f>
        <v>5.5393570000000003E-2</v>
      </c>
      <c r="K184" s="50"/>
      <c r="L184" s="50"/>
      <c r="N184" s="391">
        <f>ROUND((1-F83)*(F89+F90),8)</f>
        <v>0.10566531</v>
      </c>
      <c r="O184" s="391">
        <f>ROUND($F$15*$F$21*$F$69/$F$76*(1-$F$83)*($F$89+$F$90),8)</f>
        <v>4.8265889999999999E-2</v>
      </c>
      <c r="P184" s="62">
        <f t="shared" ref="P184:P195" si="31">ROUND($F$16*$F27*$F55/$F$76*(1-$F$83)*($F$89+$F$90),8)</f>
        <v>2.308642E-2</v>
      </c>
      <c r="Q184" s="50"/>
      <c r="R184" s="50"/>
      <c r="S184" s="301"/>
      <c r="T184" s="301"/>
      <c r="U184" s="301"/>
      <c r="V184" s="301"/>
      <c r="W184" s="301"/>
      <c r="X184" s="301"/>
    </row>
    <row r="185" spans="1:24">
      <c r="B185" s="3" t="s">
        <v>169</v>
      </c>
      <c r="H185" s="390"/>
      <c r="I185" s="391"/>
      <c r="J185" s="95">
        <f t="shared" si="30"/>
        <v>4.4723289999999999E-2</v>
      </c>
      <c r="K185" s="50"/>
      <c r="L185" s="50"/>
      <c r="N185" s="391"/>
      <c r="O185" s="391"/>
      <c r="P185" s="62">
        <f t="shared" si="31"/>
        <v>1.8639360000000001E-2</v>
      </c>
      <c r="Q185" s="50"/>
      <c r="R185" s="50"/>
      <c r="S185" s="301"/>
      <c r="T185" s="301"/>
      <c r="U185" s="301"/>
      <c r="V185" s="301"/>
      <c r="W185" s="301"/>
      <c r="X185" s="301"/>
    </row>
    <row r="186" spans="1:24">
      <c r="B186" s="3" t="s">
        <v>170</v>
      </c>
      <c r="H186" s="390"/>
      <c r="I186" s="391"/>
      <c r="J186" s="95">
        <f t="shared" si="30"/>
        <v>3.8727049999999999E-2</v>
      </c>
      <c r="K186" s="50"/>
      <c r="L186" s="50"/>
      <c r="N186" s="391"/>
      <c r="O186" s="391"/>
      <c r="P186" s="62">
        <f t="shared" si="31"/>
        <v>1.61403E-2</v>
      </c>
      <c r="Q186" s="50"/>
      <c r="R186" s="50"/>
      <c r="S186" s="301"/>
      <c r="T186" s="301"/>
      <c r="U186" s="301"/>
      <c r="V186" s="301"/>
      <c r="W186" s="301"/>
      <c r="X186" s="301"/>
    </row>
    <row r="187" spans="1:24">
      <c r="B187" s="3" t="s">
        <v>171</v>
      </c>
      <c r="H187" s="390"/>
      <c r="I187" s="391">
        <f>ROUND($F$15*$F$22*$F$70/$F$76*(1-$F$83)*($F$88+$F$89),8)</f>
        <v>6.1945500000000001E-2</v>
      </c>
      <c r="J187" s="95">
        <f t="shared" si="30"/>
        <v>2.7944239999999999E-2</v>
      </c>
      <c r="K187" s="50"/>
      <c r="L187" s="50"/>
      <c r="N187" s="391"/>
      <c r="O187" s="391">
        <f>ROUND($F$15*$F$22*$F$70/$F$76*(1-$F$83)*($F$89+$F$90),8)</f>
        <v>2.5817070000000001E-2</v>
      </c>
      <c r="P187" s="62">
        <f t="shared" si="31"/>
        <v>1.164634E-2</v>
      </c>
      <c r="Q187" s="50"/>
      <c r="R187" s="50"/>
      <c r="S187" s="301"/>
      <c r="T187" s="301"/>
      <c r="U187" s="301"/>
      <c r="V187" s="301"/>
      <c r="W187" s="301"/>
      <c r="X187" s="301"/>
    </row>
    <row r="188" spans="1:24">
      <c r="B188" s="3" t="s">
        <v>172</v>
      </c>
      <c r="H188" s="390"/>
      <c r="I188" s="391"/>
      <c r="J188" s="95">
        <f t="shared" si="30"/>
        <v>2.558117E-2</v>
      </c>
      <c r="K188" s="50"/>
      <c r="L188" s="50"/>
      <c r="N188" s="391"/>
      <c r="O188" s="391"/>
      <c r="P188" s="62">
        <f t="shared" si="31"/>
        <v>1.0661479999999999E-2</v>
      </c>
      <c r="Q188" s="50"/>
      <c r="R188" s="50"/>
      <c r="S188" s="301"/>
      <c r="T188" s="301"/>
      <c r="U188" s="301"/>
      <c r="V188" s="301"/>
      <c r="W188" s="301"/>
      <c r="X188" s="301"/>
    </row>
    <row r="189" spans="1:24">
      <c r="B189" s="3" t="s">
        <v>173</v>
      </c>
      <c r="H189" s="390"/>
      <c r="I189" s="391"/>
      <c r="J189" s="95">
        <f t="shared" si="30"/>
        <v>2.0786260000000001E-2</v>
      </c>
      <c r="K189" s="50"/>
      <c r="L189" s="50"/>
      <c r="N189" s="391"/>
      <c r="O189" s="391"/>
      <c r="P189" s="62">
        <f t="shared" si="31"/>
        <v>8.6631099999999999E-3</v>
      </c>
      <c r="Q189" s="50"/>
      <c r="R189" s="50"/>
      <c r="S189" s="301"/>
      <c r="T189" s="301"/>
      <c r="U189" s="301"/>
      <c r="V189" s="301"/>
      <c r="W189" s="301"/>
      <c r="X189" s="301"/>
    </row>
    <row r="190" spans="1:24">
      <c r="B190" s="3" t="s">
        <v>174</v>
      </c>
      <c r="H190" s="390"/>
      <c r="I190" s="391">
        <f>ROUND($F$15*$F$23*$F$71/$F$76*(1-$F$83)*($F$88+$F$89),8)</f>
        <v>5.0244759999999999E-2</v>
      </c>
      <c r="J190" s="95">
        <f t="shared" si="30"/>
        <v>2.028406E-2</v>
      </c>
      <c r="K190" s="50"/>
      <c r="L190" s="50"/>
      <c r="N190" s="391"/>
      <c r="O190" s="391">
        <f>ROUND($F$15*$F$23*$F$71/$F$76*(1-$F$83)*($F$89+$F$90),8)</f>
        <v>2.0940549999999999E-2</v>
      </c>
      <c r="P190" s="62">
        <f t="shared" si="31"/>
        <v>8.4537999999999992E-3</v>
      </c>
      <c r="Q190" s="50"/>
      <c r="R190" s="50"/>
      <c r="S190" s="301"/>
      <c r="T190" s="301"/>
      <c r="U190" s="301"/>
      <c r="V190" s="301"/>
      <c r="W190" s="301"/>
      <c r="X190" s="301"/>
    </row>
    <row r="191" spans="1:24">
      <c r="B191" s="3" t="s">
        <v>175</v>
      </c>
      <c r="H191" s="390"/>
      <c r="I191" s="391"/>
      <c r="J191" s="95">
        <f t="shared" si="30"/>
        <v>1.9282779999999999E-2</v>
      </c>
      <c r="K191" s="50"/>
      <c r="L191" s="50"/>
      <c r="N191" s="391"/>
      <c r="O191" s="391"/>
      <c r="P191" s="62">
        <f t="shared" si="31"/>
        <v>8.0365000000000002E-3</v>
      </c>
      <c r="Q191" s="50"/>
      <c r="R191" s="50"/>
      <c r="S191" s="301"/>
      <c r="T191" s="301"/>
      <c r="U191" s="301"/>
      <c r="V191" s="301"/>
      <c r="W191" s="301"/>
      <c r="X191" s="301"/>
    </row>
    <row r="192" spans="1:24">
      <c r="B192" s="3" t="s">
        <v>176</v>
      </c>
      <c r="H192" s="390"/>
      <c r="I192" s="391"/>
      <c r="J192" s="95">
        <f t="shared" si="30"/>
        <v>2.0723749999999999E-2</v>
      </c>
      <c r="K192" s="50"/>
      <c r="L192" s="50"/>
      <c r="N192" s="391"/>
      <c r="O192" s="391"/>
      <c r="P192" s="62">
        <f t="shared" si="31"/>
        <v>8.6370500000000003E-3</v>
      </c>
      <c r="Q192" s="50"/>
      <c r="R192" s="50"/>
      <c r="S192" s="301"/>
      <c r="T192" s="301"/>
      <c r="U192" s="301"/>
      <c r="V192" s="301"/>
      <c r="W192" s="301"/>
      <c r="X192" s="301"/>
    </row>
    <row r="193" spans="2:24">
      <c r="B193" s="3" t="s">
        <v>177</v>
      </c>
      <c r="H193" s="390"/>
      <c r="I193" s="391">
        <f>ROUND($F$15*$F$24*$F$72/$F$76*(1-$F$83)*($F$88+$F$89),8)</f>
        <v>8.8267819999999997E-2</v>
      </c>
      <c r="J193" s="95">
        <f t="shared" si="30"/>
        <v>2.457989E-2</v>
      </c>
      <c r="K193" s="50"/>
      <c r="L193" s="50"/>
      <c r="N193" s="391"/>
      <c r="O193" s="391">
        <f>ROUND($F$15*$F$24*$F$72/$F$76*(1-$F$83)*($F$89+$F$90),8)</f>
        <v>3.6787449999999999E-2</v>
      </c>
      <c r="P193" s="62">
        <f t="shared" si="31"/>
        <v>1.024418E-2</v>
      </c>
      <c r="Q193" s="50"/>
      <c r="R193" s="50"/>
      <c r="S193" s="301"/>
      <c r="T193" s="301"/>
      <c r="U193" s="301"/>
      <c r="V193" s="301"/>
      <c r="W193" s="301"/>
      <c r="X193" s="301"/>
    </row>
    <row r="194" spans="2:24">
      <c r="B194" s="3" t="s">
        <v>178</v>
      </c>
      <c r="H194" s="390"/>
      <c r="I194" s="391"/>
      <c r="J194" s="95">
        <f t="shared" si="30"/>
        <v>3.5321020000000002E-2</v>
      </c>
      <c r="K194" s="50"/>
      <c r="L194" s="50"/>
      <c r="N194" s="391"/>
      <c r="O194" s="391"/>
      <c r="P194" s="62">
        <f t="shared" si="31"/>
        <v>1.4720769999999999E-2</v>
      </c>
      <c r="Q194" s="50"/>
      <c r="R194" s="50"/>
      <c r="S194" s="301"/>
      <c r="T194" s="301"/>
      <c r="U194" s="301"/>
      <c r="V194" s="301"/>
      <c r="W194" s="301"/>
      <c r="X194" s="301"/>
    </row>
    <row r="195" spans="2:24">
      <c r="B195" s="3" t="s">
        <v>179</v>
      </c>
      <c r="H195" s="390"/>
      <c r="I195" s="391"/>
      <c r="J195" s="95">
        <f t="shared" si="30"/>
        <v>4.5994430000000003E-2</v>
      </c>
      <c r="K195" s="50"/>
      <c r="L195" s="50"/>
      <c r="N195" s="391"/>
      <c r="O195" s="391"/>
      <c r="P195" s="62">
        <f t="shared" si="31"/>
        <v>1.916913E-2</v>
      </c>
      <c r="Q195" s="50"/>
      <c r="R195" s="50"/>
      <c r="S195" s="301"/>
      <c r="T195" s="301"/>
      <c r="U195" s="301"/>
      <c r="V195" s="301"/>
      <c r="W195" s="301"/>
      <c r="X195" s="301"/>
    </row>
  </sheetData>
  <mergeCells count="74">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H184:H195"/>
    <mergeCell ref="I184:I186"/>
    <mergeCell ref="N184:N195"/>
    <mergeCell ref="O184:O186"/>
    <mergeCell ref="I187:I189"/>
    <mergeCell ref="O187:O189"/>
    <mergeCell ref="I190:I192"/>
    <mergeCell ref="O190:O192"/>
    <mergeCell ref="I193:I195"/>
    <mergeCell ref="O193:O195"/>
    <mergeCell ref="I136:I138"/>
    <mergeCell ref="O136:O138"/>
    <mergeCell ref="I139:I141"/>
    <mergeCell ref="O139:O141"/>
    <mergeCell ref="I142:I144"/>
    <mergeCell ref="O142:O144"/>
    <mergeCell ref="H150:H161"/>
    <mergeCell ref="I150:I152"/>
    <mergeCell ref="N150:N161"/>
    <mergeCell ref="O150:O152"/>
    <mergeCell ref="I153:I155"/>
    <mergeCell ref="O153:O155"/>
    <mergeCell ref="I156:I158"/>
    <mergeCell ref="O156:O158"/>
    <mergeCell ref="I159:I161"/>
    <mergeCell ref="O159:O161"/>
  </mergeCells>
  <phoneticPr fontId="40"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EC6E08B-FD95-4AF5-B252-B9BD0519008B}">
          <x14:formula1>
            <xm:f>'2. Parameters'!$B$187:$B$204</xm:f>
          </x14:formula1>
          <xm:sqref>H5:J5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zoomScale="80" zoomScaleNormal="80" workbookViewId="0">
      <pane xSplit="6" ySplit="10" topLeftCell="G11" activePane="bottomRight" state="frozen"/>
      <selection pane="topRight" activeCell="C40" sqref="C40"/>
      <selection pane="bottomLeft" activeCell="C40" sqref="C40"/>
      <selection pane="bottomRight"/>
    </sheetView>
  </sheetViews>
  <sheetFormatPr defaultColWidth="9.140625" defaultRowHeight="12.75"/>
  <cols>
    <col min="1" max="1" width="2.5703125" style="3" customWidth="1"/>
    <col min="2" max="2" width="45.5703125" style="3" customWidth="1"/>
    <col min="3" max="5" width="2.5703125" style="3" customWidth="1"/>
    <col min="6" max="6" width="25.5703125" style="3" customWidth="1"/>
    <col min="7" max="7" width="2.5703125" style="3" customWidth="1"/>
    <col min="8" max="8" width="17.42578125" style="3" bestFit="1" customWidth="1"/>
    <col min="9" max="9" width="21.5703125" style="3" bestFit="1" customWidth="1"/>
    <col min="10" max="10" width="20" style="3" bestFit="1" customWidth="1"/>
    <col min="11" max="11" width="17" style="3" bestFit="1" customWidth="1"/>
    <col min="12" max="12" width="16.5703125" style="3" bestFit="1" customWidth="1"/>
    <col min="13" max="13" width="18.5703125" style="3" customWidth="1"/>
    <col min="14" max="14" width="17.42578125" style="3" bestFit="1" customWidth="1"/>
    <col min="15" max="15" width="21.5703125" style="3" bestFit="1" customWidth="1"/>
    <col min="16" max="16" width="20" style="3" bestFit="1" customWidth="1"/>
    <col min="17" max="17" width="17" style="3" bestFit="1" customWidth="1"/>
    <col min="18" max="18" width="16.5703125" style="3" bestFit="1" customWidth="1"/>
    <col min="19" max="19" width="15.5703125" style="3" customWidth="1"/>
    <col min="20" max="20" width="17.85546875" style="3" bestFit="1" customWidth="1"/>
    <col min="21" max="34" width="13.5703125" style="3" customWidth="1"/>
    <col min="35" max="16384" width="9.140625" style="3"/>
  </cols>
  <sheetData>
    <row r="2" spans="2:24" s="12" customFormat="1" ht="18">
      <c r="B2" s="12" t="s">
        <v>147</v>
      </c>
    </row>
    <row r="4" spans="2:24">
      <c r="B4" s="16" t="s">
        <v>148</v>
      </c>
      <c r="C4" s="2"/>
      <c r="D4" s="2"/>
      <c r="E4" s="2"/>
    </row>
    <row r="5" spans="2:24" ht="91.5" customHeight="1">
      <c r="B5" s="379" t="s">
        <v>149</v>
      </c>
      <c r="C5" s="382"/>
      <c r="D5" s="382"/>
      <c r="E5" s="382"/>
      <c r="F5" s="382"/>
    </row>
    <row r="6" spans="2:24">
      <c r="B6" s="1"/>
      <c r="C6" s="127"/>
      <c r="D6" s="127"/>
      <c r="E6" s="127"/>
      <c r="F6" s="127"/>
    </row>
    <row r="7" spans="2:24">
      <c r="B7" s="17" t="s">
        <v>150</v>
      </c>
      <c r="E7" s="127"/>
      <c r="F7" s="127"/>
    </row>
    <row r="8" spans="2:24" ht="131.25" customHeight="1">
      <c r="B8" s="379" t="s">
        <v>1139</v>
      </c>
      <c r="C8" s="379"/>
      <c r="D8" s="379"/>
      <c r="E8" s="379"/>
      <c r="F8" s="379"/>
      <c r="H8" s="370" t="s">
        <v>1138</v>
      </c>
      <c r="J8" s="333" t="s">
        <v>277</v>
      </c>
      <c r="K8" s="306"/>
    </row>
    <row r="9" spans="2:24">
      <c r="B9" s="4"/>
    </row>
    <row r="10" spans="2:24" s="8" customFormat="1" ht="12.75" customHeight="1">
      <c r="B10" s="8" t="s">
        <v>152</v>
      </c>
    </row>
    <row r="12" spans="2:24" s="39" customFormat="1" ht="12.75" customHeight="1">
      <c r="B12" s="39" t="s">
        <v>153</v>
      </c>
      <c r="H12" s="39" t="s">
        <v>154</v>
      </c>
      <c r="N12" s="39" t="s">
        <v>155</v>
      </c>
      <c r="T12" s="39" t="s">
        <v>156</v>
      </c>
    </row>
    <row r="13" spans="2:24" s="42" customFormat="1">
      <c r="B13" s="42" t="s">
        <v>157</v>
      </c>
      <c r="H13" s="42" t="s">
        <v>158</v>
      </c>
      <c r="I13" s="42" t="s">
        <v>159</v>
      </c>
      <c r="J13" s="42" t="s">
        <v>160</v>
      </c>
      <c r="K13" s="42" t="s">
        <v>161</v>
      </c>
      <c r="L13" s="42" t="s">
        <v>162</v>
      </c>
      <c r="N13" s="42" t="s">
        <v>158</v>
      </c>
      <c r="O13" s="42" t="s">
        <v>159</v>
      </c>
      <c r="P13" s="42" t="s">
        <v>160</v>
      </c>
      <c r="Q13" s="42" t="s">
        <v>161</v>
      </c>
      <c r="R13" s="42" t="s">
        <v>162</v>
      </c>
      <c r="T13" s="42" t="s">
        <v>158</v>
      </c>
      <c r="U13" s="42" t="s">
        <v>159</v>
      </c>
      <c r="V13" s="42" t="s">
        <v>160</v>
      </c>
      <c r="W13" s="42" t="s">
        <v>161</v>
      </c>
      <c r="X13" s="42" t="s">
        <v>162</v>
      </c>
    </row>
    <row r="14" spans="2:24" s="40" customFormat="1">
      <c r="H14" s="40" t="s">
        <v>163</v>
      </c>
      <c r="I14" s="40" t="s">
        <v>164</v>
      </c>
      <c r="J14" s="40" t="s">
        <v>165</v>
      </c>
      <c r="K14" s="40" t="s">
        <v>166</v>
      </c>
      <c r="L14" s="40" t="s">
        <v>167</v>
      </c>
      <c r="N14" s="40" t="s">
        <v>163</v>
      </c>
      <c r="O14" s="40" t="s">
        <v>164</v>
      </c>
      <c r="P14" s="40" t="s">
        <v>165</v>
      </c>
      <c r="Q14" s="40" t="s">
        <v>166</v>
      </c>
      <c r="R14" s="40" t="s">
        <v>167</v>
      </c>
      <c r="T14" s="40" t="s">
        <v>163</v>
      </c>
      <c r="U14" s="40" t="s">
        <v>164</v>
      </c>
      <c r="V14" s="40" t="s">
        <v>165</v>
      </c>
      <c r="W14" s="40" t="s">
        <v>166</v>
      </c>
      <c r="X14" s="40" t="s">
        <v>167</v>
      </c>
    </row>
    <row r="16" spans="2:24">
      <c r="B16" s="88" t="s">
        <v>168</v>
      </c>
      <c r="C16" s="88"/>
      <c r="D16" s="88"/>
      <c r="E16" s="88"/>
      <c r="F16" s="88"/>
      <c r="G16" s="88"/>
      <c r="H16" s="380">
        <f>'28. Entry- en exittarieven '!H97</f>
        <v>3.758397</v>
      </c>
      <c r="I16" s="381">
        <f>'28. Entry- en exittarieven '!I97</f>
        <v>1.71676367</v>
      </c>
      <c r="J16" s="244">
        <f>'28. Entry- en exittarieven '!J97</f>
        <v>0.82115826000000003</v>
      </c>
      <c r="K16" s="244">
        <f>'28. Entry- en exittarieven '!K97</f>
        <v>3.1948949999999997E-2</v>
      </c>
      <c r="L16" s="276">
        <f>'28. Entry- en exittarieven '!L97</f>
        <v>1.33121E-3</v>
      </c>
      <c r="M16" s="248"/>
      <c r="N16" s="380">
        <f>'28. Entry- en exittarieven '!N97</f>
        <v>0.93959925</v>
      </c>
      <c r="O16" s="381">
        <f>'28. Entry- en exittarieven '!O97</f>
        <v>0.42919091999999998</v>
      </c>
      <c r="P16" s="244">
        <f>'28. Entry- en exittarieven '!P97</f>
        <v>0.20528957</v>
      </c>
      <c r="Q16" s="244">
        <f>'28. Entry- en exittarieven '!Q97</f>
        <v>7.9872399999999996E-3</v>
      </c>
      <c r="R16" s="276">
        <f>'28. Entry- en exittarieven '!R97</f>
        <v>3.3281000000000001E-4</v>
      </c>
      <c r="T16" s="381">
        <f>'28. Entry- en exittarieven '!T97</f>
        <v>3.0067176</v>
      </c>
      <c r="U16" s="381">
        <f>'28. Entry- en exittarieven '!U97</f>
        <v>1.3734109400000001</v>
      </c>
      <c r="V16" s="62">
        <f>'28. Entry- en exittarieven '!V97</f>
        <v>0.65692660999999997</v>
      </c>
      <c r="W16" s="62">
        <f>'28. Entry- en exittarieven '!W97</f>
        <v>2.5559160000000001E-2</v>
      </c>
      <c r="X16" s="282">
        <f>'28. Entry- en exittarieven '!X97</f>
        <v>1.0649699999999999E-3</v>
      </c>
    </row>
    <row r="17" spans="2:24">
      <c r="B17" s="88" t="s">
        <v>169</v>
      </c>
      <c r="C17" s="88"/>
      <c r="D17" s="88"/>
      <c r="E17" s="88"/>
      <c r="F17" s="88"/>
      <c r="G17" s="88"/>
      <c r="H17" s="380"/>
      <c r="I17" s="381"/>
      <c r="J17" s="244">
        <f>'28. Entry- en exittarieven '!J98</f>
        <v>0.66298122999999998</v>
      </c>
      <c r="K17" s="244">
        <f>'28. Entry- en exittarieven '!K98</f>
        <v>2.8561240000000002E-2</v>
      </c>
      <c r="L17" s="276">
        <f>'28. Entry- en exittarieven '!L98</f>
        <v>1.1900599999999999E-3</v>
      </c>
      <c r="M17" s="248"/>
      <c r="N17" s="380"/>
      <c r="O17" s="381"/>
      <c r="P17" s="244">
        <f>'28. Entry- en exittarieven '!P98</f>
        <v>0.16574531000000001</v>
      </c>
      <c r="Q17" s="244">
        <f>'28. Entry- en exittarieven '!Q98</f>
        <v>7.1403100000000004E-3</v>
      </c>
      <c r="R17" s="276">
        <f>'28. Entry- en exittarieven '!R98</f>
        <v>2.9752000000000001E-4</v>
      </c>
      <c r="T17" s="381"/>
      <c r="U17" s="381"/>
      <c r="V17" s="62">
        <f>'28. Entry- en exittarieven '!V98</f>
        <v>0.53038498999999995</v>
      </c>
      <c r="W17" s="62">
        <f>'28. Entry- en exittarieven '!W98</f>
        <v>2.284899E-2</v>
      </c>
      <c r="X17" s="282">
        <f>'28. Entry- en exittarieven '!X98</f>
        <v>9.5205000000000008E-4</v>
      </c>
    </row>
    <row r="18" spans="2:24">
      <c r="B18" s="88" t="s">
        <v>170</v>
      </c>
      <c r="C18" s="88"/>
      <c r="D18" s="88"/>
      <c r="E18" s="88"/>
      <c r="F18" s="88"/>
      <c r="G18" s="88"/>
      <c r="H18" s="380"/>
      <c r="I18" s="381"/>
      <c r="J18" s="244">
        <f>'28. Entry- en exittarieven '!J99</f>
        <v>0.57409257000000002</v>
      </c>
      <c r="K18" s="244">
        <f>'28. Entry- en exittarieven '!K99</f>
        <v>2.232642E-2</v>
      </c>
      <c r="L18" s="276">
        <f>'28. Entry- en exittarieven '!L99</f>
        <v>9.3027000000000008E-4</v>
      </c>
      <c r="M18" s="248"/>
      <c r="N18" s="380"/>
      <c r="O18" s="381"/>
      <c r="P18" s="244">
        <f>'28. Entry- en exittarieven '!P99</f>
        <v>0.14352313999999999</v>
      </c>
      <c r="Q18" s="244">
        <f>'28. Entry- en exittarieven '!Q99</f>
        <v>5.5816099999999999E-3</v>
      </c>
      <c r="R18" s="276">
        <f>'28. Entry- en exittarieven '!R99</f>
        <v>2.3257E-4</v>
      </c>
      <c r="T18" s="381"/>
      <c r="U18" s="381"/>
      <c r="V18" s="62">
        <f>'28. Entry- en exittarieven '!V99</f>
        <v>0.45927404999999999</v>
      </c>
      <c r="W18" s="62">
        <f>'28. Entry- en exittarieven '!W99</f>
        <v>1.7861140000000001E-2</v>
      </c>
      <c r="X18" s="282">
        <f>'28. Entry- en exittarieven '!X99</f>
        <v>7.4422000000000008E-4</v>
      </c>
    </row>
    <row r="19" spans="2:24">
      <c r="B19" s="88" t="s">
        <v>171</v>
      </c>
      <c r="C19" s="88"/>
      <c r="D19" s="88"/>
      <c r="E19" s="88"/>
      <c r="F19" s="88"/>
      <c r="G19" s="88"/>
      <c r="H19" s="380"/>
      <c r="I19" s="381">
        <f>'28. Entry- en exittarieven '!I100</f>
        <v>0.91828451</v>
      </c>
      <c r="J19" s="244">
        <f>'28. Entry- en exittarieven '!J100</f>
        <v>0.41424743000000003</v>
      </c>
      <c r="K19" s="244">
        <f>'28. Entry- en exittarieven '!K100</f>
        <v>1.6650209999999999E-2</v>
      </c>
      <c r="L19" s="276">
        <f>'28. Entry- en exittarieven '!L100</f>
        <v>6.9376000000000008E-4</v>
      </c>
      <c r="M19" s="248"/>
      <c r="N19" s="380"/>
      <c r="O19" s="381">
        <f>'28. Entry- en exittarieven '!O100</f>
        <v>0.22957113000000001</v>
      </c>
      <c r="P19" s="244">
        <f>'28. Entry- en exittarieven '!P100</f>
        <v>0.10356186000000001</v>
      </c>
      <c r="Q19" s="244">
        <f>'28. Entry- en exittarieven '!Q100</f>
        <v>4.1625500000000001E-3</v>
      </c>
      <c r="R19" s="276">
        <f>'28. Entry- en exittarieven '!R100</f>
        <v>1.7343999999999999E-4</v>
      </c>
      <c r="T19" s="381"/>
      <c r="U19" s="381">
        <f>'28. Entry- en exittarieven '!U100</f>
        <v>0.73462760999999999</v>
      </c>
      <c r="V19" s="62">
        <f>'28. Entry- en exittarieven '!V100</f>
        <v>0.33139794</v>
      </c>
      <c r="W19" s="62">
        <f>'28. Entry- en exittarieven '!W100</f>
        <v>1.3320169999999999E-2</v>
      </c>
      <c r="X19" s="282">
        <f>'28. Entry- en exittarieven '!X100</f>
        <v>5.550100000000001E-4</v>
      </c>
    </row>
    <row r="20" spans="2:24">
      <c r="B20" s="88" t="s">
        <v>172</v>
      </c>
      <c r="C20" s="88"/>
      <c r="D20" s="88"/>
      <c r="E20" s="88"/>
      <c r="F20" s="88"/>
      <c r="G20" s="88"/>
      <c r="H20" s="380"/>
      <c r="I20" s="381"/>
      <c r="J20" s="244">
        <f>'28. Entry- en exittarieven '!J101</f>
        <v>0.37921711000000002</v>
      </c>
      <c r="K20" s="244">
        <f>'28. Entry- en exittarieven '!K101</f>
        <v>1.4758139999999999E-2</v>
      </c>
      <c r="L20" s="276">
        <f>'28. Entry- en exittarieven '!L101</f>
        <v>6.1493000000000008E-4</v>
      </c>
      <c r="M20" s="248"/>
      <c r="N20" s="380"/>
      <c r="O20" s="381"/>
      <c r="P20" s="244">
        <f>'28. Entry- en exittarieven '!P101</f>
        <v>9.4804280000000005E-2</v>
      </c>
      <c r="Q20" s="244">
        <f>'28. Entry- en exittarieven '!Q101</f>
        <v>3.6895399999999998E-3</v>
      </c>
      <c r="R20" s="276">
        <f>'28. Entry- en exittarieven '!R101</f>
        <v>1.5374E-4</v>
      </c>
      <c r="T20" s="381"/>
      <c r="U20" s="381"/>
      <c r="V20" s="62">
        <f>'28. Entry- en exittarieven '!V101</f>
        <v>0.30337368999999997</v>
      </c>
      <c r="W20" s="62">
        <f>'28. Entry- en exittarieven '!W101</f>
        <v>1.1806519999999999E-2</v>
      </c>
      <c r="X20" s="282">
        <f>'28. Entry- en exittarieven '!X101</f>
        <v>4.9194000000000006E-4</v>
      </c>
    </row>
    <row r="21" spans="2:24">
      <c r="B21" s="88" t="s">
        <v>173</v>
      </c>
      <c r="C21" s="88"/>
      <c r="D21" s="88"/>
      <c r="E21" s="88"/>
      <c r="F21" s="88"/>
      <c r="G21" s="88"/>
      <c r="H21" s="380"/>
      <c r="I21" s="381"/>
      <c r="J21" s="244">
        <f>'28. Entry- en exittarieven '!J102</f>
        <v>0.30813707000000001</v>
      </c>
      <c r="K21" s="244">
        <f>'28. Entry- en exittarieven '!K102</f>
        <v>1.239756E-2</v>
      </c>
      <c r="L21" s="276">
        <f>'28. Entry- en exittarieven '!L102</f>
        <v>5.1657000000000005E-4</v>
      </c>
      <c r="M21" s="248"/>
      <c r="N21" s="380"/>
      <c r="O21" s="381"/>
      <c r="P21" s="244">
        <f>'28. Entry- en exittarieven '!P102</f>
        <v>7.7034270000000002E-2</v>
      </c>
      <c r="Q21" s="244">
        <f>'28. Entry- en exittarieven '!Q102</f>
        <v>3.09939E-3</v>
      </c>
      <c r="R21" s="276">
        <f>'28. Entry- en exittarieven '!R102</f>
        <v>1.2915E-4</v>
      </c>
      <c r="T21" s="381"/>
      <c r="U21" s="381"/>
      <c r="V21" s="62">
        <f>'28. Entry- en exittarieven '!V102</f>
        <v>0.24650965999999999</v>
      </c>
      <c r="W21" s="62">
        <f>'28. Entry- en exittarieven '!W102</f>
        <v>9.9180499999999994E-3</v>
      </c>
      <c r="X21" s="282">
        <f>'28. Entry- en exittarieven '!X102</f>
        <v>4.1325999999999998E-4</v>
      </c>
    </row>
    <row r="22" spans="2:24">
      <c r="B22" s="88" t="s">
        <v>174</v>
      </c>
      <c r="C22" s="88"/>
      <c r="D22" s="88"/>
      <c r="E22" s="88"/>
      <c r="F22" s="88"/>
      <c r="G22" s="88"/>
      <c r="H22" s="380"/>
      <c r="I22" s="381">
        <f>'28. Entry- en exittarieven '!I103</f>
        <v>0.74483191000000004</v>
      </c>
      <c r="J22" s="244">
        <f>'28. Entry- en exittarieven '!J103</f>
        <v>0.30069235</v>
      </c>
      <c r="K22" s="244">
        <f>'28. Entry- en exittarieven '!K103</f>
        <v>1.169479E-2</v>
      </c>
      <c r="L22" s="276">
        <f>'28. Entry- en exittarieven '!L103</f>
        <v>4.8728999999999998E-4</v>
      </c>
      <c r="M22" s="248"/>
      <c r="N22" s="380"/>
      <c r="O22" s="381">
        <f>'28. Entry- en exittarieven '!O103</f>
        <v>0.18620798</v>
      </c>
      <c r="P22" s="244">
        <f>'28. Entry- en exittarieven '!P103</f>
        <v>7.5173089999999998E-2</v>
      </c>
      <c r="Q22" s="244">
        <f>'28. Entry- en exittarieven '!Q103</f>
        <v>2.9237E-3</v>
      </c>
      <c r="R22" s="276">
        <f>'28. Entry- en exittarieven '!R103</f>
        <v>1.2182999999999999E-4</v>
      </c>
      <c r="T22" s="381"/>
      <c r="U22" s="381">
        <f>'28. Entry- en exittarieven '!U103</f>
        <v>0.59586552999999998</v>
      </c>
      <c r="V22" s="62">
        <f>'28. Entry- en exittarieven '!V103</f>
        <v>0.24055388</v>
      </c>
      <c r="W22" s="62">
        <f>'28. Entry- en exittarieven '!W103</f>
        <v>9.3558300000000007E-3</v>
      </c>
      <c r="X22" s="282">
        <f>'28. Entry- en exittarieven '!X103</f>
        <v>3.8982999999999997E-4</v>
      </c>
    </row>
    <row r="23" spans="2:24">
      <c r="B23" s="88" t="s">
        <v>175</v>
      </c>
      <c r="C23" s="88"/>
      <c r="D23" s="88"/>
      <c r="E23" s="88"/>
      <c r="F23" s="88"/>
      <c r="G23" s="88"/>
      <c r="H23" s="380"/>
      <c r="I23" s="381"/>
      <c r="J23" s="244">
        <f>'28. Entry- en exittarieven '!J104</f>
        <v>0.28584925999999999</v>
      </c>
      <c r="K23" s="244">
        <f>'28. Entry- en exittarieven '!K104</f>
        <v>1.1136180000000001E-2</v>
      </c>
      <c r="L23" s="276">
        <f>'28. Entry- en exittarieven '!L104</f>
        <v>4.6401E-4</v>
      </c>
      <c r="M23" s="248"/>
      <c r="N23" s="380"/>
      <c r="O23" s="381"/>
      <c r="P23" s="244">
        <f>'28. Entry- en exittarieven '!P104</f>
        <v>7.1462319999999996E-2</v>
      </c>
      <c r="Q23" s="244">
        <f>'28. Entry- en exittarieven '!Q104</f>
        <v>2.7840500000000002E-3</v>
      </c>
      <c r="R23" s="276">
        <f>'28. Entry- en exittarieven '!R104</f>
        <v>1.1601E-4</v>
      </c>
      <c r="T23" s="381"/>
      <c r="U23" s="381"/>
      <c r="V23" s="62">
        <f>'28. Entry- en exittarieven '!V104</f>
        <v>0.22867941</v>
      </c>
      <c r="W23" s="62">
        <f>'28. Entry- en exittarieven '!W104</f>
        <v>8.9089500000000005E-3</v>
      </c>
      <c r="X23" s="282">
        <f>'28. Entry- en exittarieven '!X104</f>
        <v>3.7121000000000002E-4</v>
      </c>
    </row>
    <row r="24" spans="2:24">
      <c r="B24" s="88" t="s">
        <v>176</v>
      </c>
      <c r="C24" s="88"/>
      <c r="D24" s="88"/>
      <c r="E24" s="88"/>
      <c r="F24" s="88"/>
      <c r="G24" s="88"/>
      <c r="H24" s="380"/>
      <c r="I24" s="381"/>
      <c r="J24" s="244">
        <f>'28. Entry- en exittarieven '!J105</f>
        <v>0.30721034000000003</v>
      </c>
      <c r="K24" s="244">
        <f>'28. Entry- en exittarieven '!K105</f>
        <v>1.2361520000000001E-2</v>
      </c>
      <c r="L24" s="276">
        <f>'28. Entry- en exittarieven '!L105</f>
        <v>5.1507000000000007E-4</v>
      </c>
      <c r="M24" s="248"/>
      <c r="N24" s="380"/>
      <c r="O24" s="381"/>
      <c r="P24" s="244">
        <f>'28. Entry- en exittarieven '!P105</f>
        <v>7.6802590000000004E-2</v>
      </c>
      <c r="Q24" s="244">
        <f>'28. Entry- en exittarieven '!Q105</f>
        <v>3.0903800000000002E-3</v>
      </c>
      <c r="R24" s="276">
        <f>'28. Entry- en exittarieven '!R105</f>
        <v>1.2877E-4</v>
      </c>
      <c r="T24" s="381"/>
      <c r="U24" s="381"/>
      <c r="V24" s="62">
        <f>'28. Entry- en exittarieven '!V105</f>
        <v>0.24576827000000001</v>
      </c>
      <c r="W24" s="62">
        <f>'28. Entry- en exittarieven '!W105</f>
        <v>9.8892200000000006E-3</v>
      </c>
      <c r="X24" s="282">
        <f>'28. Entry- en exittarieven '!X105</f>
        <v>4.1206000000000001E-4</v>
      </c>
    </row>
    <row r="25" spans="2:24">
      <c r="B25" s="88" t="s">
        <v>177</v>
      </c>
      <c r="C25" s="88"/>
      <c r="D25" s="88"/>
      <c r="E25" s="88"/>
      <c r="F25" s="88"/>
      <c r="G25" s="88"/>
      <c r="H25" s="380"/>
      <c r="I25" s="381">
        <f>'28. Entry- en exittarieven '!I106</f>
        <v>1.30848849</v>
      </c>
      <c r="J25" s="244">
        <f>'28. Entry- en exittarieven '!J106</f>
        <v>0.36437402000000002</v>
      </c>
      <c r="K25" s="244">
        <f>'28. Entry- en exittarieven '!K106</f>
        <v>1.418151E-2</v>
      </c>
      <c r="L25" s="276">
        <f>'28. Entry- en exittarieven '!L106</f>
        <v>5.909E-4</v>
      </c>
      <c r="M25" s="248"/>
      <c r="N25" s="380"/>
      <c r="O25" s="381">
        <f>'28. Entry- en exittarieven '!O106</f>
        <v>0.32712212000000002</v>
      </c>
      <c r="P25" s="244">
        <f>'28. Entry- en exittarieven '!P106</f>
        <v>9.1093499999999994E-2</v>
      </c>
      <c r="Q25" s="244">
        <f>'28. Entry- en exittarieven '!Q106</f>
        <v>3.5453799999999999E-3</v>
      </c>
      <c r="R25" s="276">
        <f>'28. Entry- en exittarieven '!R106</f>
        <v>1.4773E-4</v>
      </c>
      <c r="T25" s="381"/>
      <c r="U25" s="381">
        <f>'28. Entry- en exittarieven '!U106</f>
        <v>1.04679079</v>
      </c>
      <c r="V25" s="62">
        <f>'28. Entry- en exittarieven '!V106</f>
        <v>0.29149921000000001</v>
      </c>
      <c r="W25" s="62">
        <f>'28. Entry- en exittarieven '!W106</f>
        <v>1.134521E-2</v>
      </c>
      <c r="X25" s="282">
        <f>'28. Entry- en exittarieven '!X106</f>
        <v>4.7271999999999999E-4</v>
      </c>
    </row>
    <row r="26" spans="2:24">
      <c r="B26" s="88" t="s">
        <v>178</v>
      </c>
      <c r="C26" s="88"/>
      <c r="D26" s="88"/>
      <c r="E26" s="88"/>
      <c r="F26" s="88"/>
      <c r="G26" s="88"/>
      <c r="H26" s="380"/>
      <c r="I26" s="381"/>
      <c r="J26" s="244">
        <f>'28. Entry- en exittarieven '!J107</f>
        <v>0.52360134000000003</v>
      </c>
      <c r="K26" s="244">
        <f>'28. Entry- en exittarieven '!K107</f>
        <v>2.104702E-2</v>
      </c>
      <c r="L26" s="276">
        <f>'28. Entry- en exittarieven '!L107</f>
        <v>8.7696000000000009E-4</v>
      </c>
      <c r="M26" s="248"/>
      <c r="N26" s="380"/>
      <c r="O26" s="381"/>
      <c r="P26" s="244">
        <f>'28. Entry- en exittarieven '!P107</f>
        <v>0.13090033000000001</v>
      </c>
      <c r="Q26" s="244">
        <f>'28. Entry- en exittarieven '!Q107</f>
        <v>5.2617599999999999E-3</v>
      </c>
      <c r="R26" s="276">
        <f>'28. Entry- en exittarieven '!R107</f>
        <v>2.1923999999999999E-4</v>
      </c>
      <c r="T26" s="381"/>
      <c r="U26" s="381"/>
      <c r="V26" s="62">
        <f>'28. Entry- en exittarieven '!V107</f>
        <v>0.41888107000000002</v>
      </c>
      <c r="W26" s="62">
        <f>'28. Entry- en exittarieven '!W107</f>
        <v>1.6837620000000001E-2</v>
      </c>
      <c r="X26" s="282">
        <f>'28. Entry- en exittarieven '!X107</f>
        <v>7.015700000000001E-4</v>
      </c>
    </row>
    <row r="27" spans="2:24">
      <c r="B27" s="88" t="s">
        <v>179</v>
      </c>
      <c r="C27" s="88"/>
      <c r="D27" s="88"/>
      <c r="E27" s="88"/>
      <c r="F27" s="88"/>
      <c r="G27" s="88"/>
      <c r="H27" s="380"/>
      <c r="I27" s="381"/>
      <c r="J27" s="244">
        <f>'28. Entry- en exittarieven '!J108</f>
        <v>0.68182469999999995</v>
      </c>
      <c r="K27" s="244">
        <f>'28. Entry- en exittarieven '!K108</f>
        <v>2.652502E-2</v>
      </c>
      <c r="L27" s="276">
        <f>'28. Entry- en exittarieven '!L108</f>
        <v>1.1052099999999999E-3</v>
      </c>
      <c r="M27" s="248"/>
      <c r="N27" s="380"/>
      <c r="O27" s="381"/>
      <c r="P27" s="244">
        <f>'28. Entry- en exittarieven '!P108</f>
        <v>0.17045618000000001</v>
      </c>
      <c r="Q27" s="244">
        <f>'28. Entry- en exittarieven '!Q108</f>
        <v>6.63125E-3</v>
      </c>
      <c r="R27" s="276">
        <f>'28. Entry- en exittarieven '!R108</f>
        <v>2.7630999999999999E-4</v>
      </c>
      <c r="T27" s="381"/>
      <c r="U27" s="381"/>
      <c r="V27" s="62">
        <f>'28. Entry- en exittarieven '!V108</f>
        <v>0.54545975999999996</v>
      </c>
      <c r="W27" s="62">
        <f>'28. Entry- en exittarieven '!W108</f>
        <v>2.1220010000000001E-2</v>
      </c>
      <c r="X27" s="282">
        <f>'28. Entry- en exittarieven '!X108</f>
        <v>8.8417000000000009E-4</v>
      </c>
    </row>
    <row r="28" spans="2:24">
      <c r="B28" s="88"/>
      <c r="C28" s="88"/>
      <c r="D28" s="88"/>
      <c r="E28" s="88"/>
      <c r="F28" s="88"/>
      <c r="G28" s="88"/>
      <c r="H28" s="88"/>
      <c r="I28" s="88"/>
      <c r="J28" s="88"/>
      <c r="K28" s="88"/>
      <c r="L28" s="277"/>
      <c r="M28" s="88"/>
      <c r="N28" s="88"/>
      <c r="O28" s="88"/>
      <c r="P28" s="88"/>
      <c r="Q28" s="88"/>
      <c r="R28" s="284"/>
    </row>
    <row r="29" spans="2:24" s="39" customFormat="1">
      <c r="B29" s="89" t="s">
        <v>180</v>
      </c>
      <c r="C29" s="89"/>
      <c r="D29" s="89"/>
      <c r="E29" s="89"/>
      <c r="F29" s="89"/>
      <c r="G29" s="89"/>
      <c r="H29" s="89" t="s">
        <v>154</v>
      </c>
      <c r="I29" s="89"/>
      <c r="J29" s="89"/>
      <c r="K29" s="89"/>
      <c r="L29" s="278"/>
      <c r="M29" s="89"/>
      <c r="N29" s="89" t="s">
        <v>155</v>
      </c>
      <c r="O29" s="89"/>
      <c r="P29" s="89"/>
      <c r="Q29" s="89"/>
      <c r="R29" s="285"/>
    </row>
    <row r="30" spans="2:24" s="42" customFormat="1">
      <c r="B30" s="90" t="s">
        <v>181</v>
      </c>
      <c r="C30" s="90"/>
      <c r="D30" s="90"/>
      <c r="E30" s="90"/>
      <c r="F30" s="90"/>
      <c r="G30" s="90"/>
      <c r="H30" s="90" t="s">
        <v>158</v>
      </c>
      <c r="I30" s="90" t="s">
        <v>159</v>
      </c>
      <c r="J30" s="90" t="s">
        <v>160</v>
      </c>
      <c r="K30" s="90" t="s">
        <v>161</v>
      </c>
      <c r="L30" s="279" t="s">
        <v>162</v>
      </c>
      <c r="M30" s="90"/>
      <c r="N30" s="90" t="s">
        <v>158</v>
      </c>
      <c r="O30" s="90" t="s">
        <v>159</v>
      </c>
      <c r="P30" s="90" t="s">
        <v>160</v>
      </c>
      <c r="Q30" s="90" t="s">
        <v>161</v>
      </c>
      <c r="R30" s="286" t="s">
        <v>162</v>
      </c>
    </row>
    <row r="31" spans="2:24" s="40" customFormat="1">
      <c r="B31" s="91"/>
      <c r="C31" s="91"/>
      <c r="D31" s="91"/>
      <c r="E31" s="91"/>
      <c r="F31" s="91"/>
      <c r="G31" s="91"/>
      <c r="H31" s="91" t="s">
        <v>163</v>
      </c>
      <c r="I31" s="91" t="s">
        <v>164</v>
      </c>
      <c r="J31" s="91" t="s">
        <v>165</v>
      </c>
      <c r="K31" s="91" t="s">
        <v>166</v>
      </c>
      <c r="L31" s="280" t="s">
        <v>167</v>
      </c>
      <c r="M31" s="91"/>
      <c r="N31" s="91" t="s">
        <v>163</v>
      </c>
      <c r="O31" s="91" t="s">
        <v>164</v>
      </c>
      <c r="P31" s="91" t="s">
        <v>165</v>
      </c>
      <c r="Q31" s="91" t="s">
        <v>166</v>
      </c>
      <c r="R31" s="287" t="s">
        <v>167</v>
      </c>
    </row>
    <row r="32" spans="2:24">
      <c r="B32" s="88"/>
      <c r="C32" s="88"/>
      <c r="D32" s="88"/>
      <c r="E32" s="88"/>
      <c r="F32" s="88"/>
      <c r="G32" s="88"/>
      <c r="H32" s="88"/>
      <c r="I32" s="88"/>
      <c r="J32" s="88"/>
      <c r="K32" s="88"/>
      <c r="L32" s="277"/>
      <c r="M32" s="88"/>
      <c r="N32" s="88"/>
      <c r="O32" s="88"/>
      <c r="P32" s="88"/>
      <c r="Q32" s="88"/>
      <c r="R32" s="284"/>
    </row>
    <row r="33" spans="2:24">
      <c r="B33" s="88" t="s">
        <v>168</v>
      </c>
      <c r="C33" s="88"/>
      <c r="D33" s="88"/>
      <c r="E33" s="88"/>
      <c r="F33" s="88"/>
      <c r="G33" s="88"/>
      <c r="H33" s="380">
        <f>'28. Entry- en exittarieven '!H115</f>
        <v>3.2859569300000002</v>
      </c>
      <c r="I33" s="381">
        <f>'28. Entry- en exittarieven '!I115</f>
        <v>1.5009621099999999</v>
      </c>
      <c r="J33" s="244">
        <f>'28. Entry- en exittarieven '!J115</f>
        <v>0.71793658000000005</v>
      </c>
      <c r="K33" s="244">
        <f>'28. Entry- en exittarieven '!K115</f>
        <v>2.793288E-2</v>
      </c>
      <c r="L33" s="276">
        <f>'28. Entry- en exittarieven '!L115</f>
        <v>1.1638799999999999E-3</v>
      </c>
      <c r="M33" s="88"/>
      <c r="N33" s="380">
        <f>'28. Entry- en exittarieven '!N115</f>
        <v>0.82148922999999996</v>
      </c>
      <c r="O33" s="381">
        <f>'28. Entry- en exittarieven '!O115</f>
        <v>0.37524053000000002</v>
      </c>
      <c r="P33" s="244">
        <f>'28. Entry- en exittarieven '!P115</f>
        <v>0.17948413999999999</v>
      </c>
      <c r="Q33" s="244">
        <f>'28. Entry- en exittarieven '!Q115</f>
        <v>6.9832200000000001E-3</v>
      </c>
      <c r="R33" s="276">
        <f>'28. Entry- en exittarieven '!R115</f>
        <v>2.9096999999999999E-4</v>
      </c>
    </row>
    <row r="34" spans="2:24">
      <c r="B34" s="88" t="s">
        <v>169</v>
      </c>
      <c r="C34" s="88"/>
      <c r="D34" s="88"/>
      <c r="E34" s="88"/>
      <c r="F34" s="88"/>
      <c r="G34" s="88"/>
      <c r="H34" s="380"/>
      <c r="I34" s="381"/>
      <c r="J34" s="244">
        <f>'28. Entry- en exittarieven '!J116</f>
        <v>0.57964280000000001</v>
      </c>
      <c r="K34" s="244">
        <f>'28. Entry- en exittarieven '!K116</f>
        <v>2.497102E-2</v>
      </c>
      <c r="L34" s="276">
        <f>'28. Entry- en exittarieven '!L116</f>
        <v>1.04046E-3</v>
      </c>
      <c r="M34" s="88"/>
      <c r="N34" s="380"/>
      <c r="O34" s="381"/>
      <c r="P34" s="244">
        <f>'28. Entry- en exittarieven '!P116</f>
        <v>0.1449107</v>
      </c>
      <c r="Q34" s="244">
        <f>'28. Entry- en exittarieven '!Q116</f>
        <v>6.24276E-3</v>
      </c>
      <c r="R34" s="276">
        <f>'28. Entry- en exittarieven '!R116</f>
        <v>2.6011999999999997E-4</v>
      </c>
    </row>
    <row r="35" spans="2:24">
      <c r="B35" s="88" t="s">
        <v>170</v>
      </c>
      <c r="C35" s="88"/>
      <c r="D35" s="88"/>
      <c r="E35" s="88"/>
      <c r="F35" s="88"/>
      <c r="G35" s="88"/>
      <c r="H35" s="380"/>
      <c r="I35" s="381"/>
      <c r="J35" s="244">
        <f>'28. Entry- en exittarieven '!J117</f>
        <v>0.50192767000000005</v>
      </c>
      <c r="K35" s="244">
        <f>'28. Entry- en exittarieven '!K117</f>
        <v>1.9519930000000001E-2</v>
      </c>
      <c r="L35" s="276">
        <f>'28. Entry- en exittarieven '!L117</f>
        <v>8.1334000000000007E-4</v>
      </c>
      <c r="M35" s="88"/>
      <c r="N35" s="380"/>
      <c r="O35" s="381"/>
      <c r="P35" s="244">
        <f>'28. Entry- en exittarieven '!P117</f>
        <v>0.12548192</v>
      </c>
      <c r="Q35" s="244">
        <f>'28. Entry- en exittarieven '!Q117</f>
        <v>4.8799799999999999E-3</v>
      </c>
      <c r="R35" s="276">
        <f>'28. Entry- en exittarieven '!R117</f>
        <v>2.0333999999999999E-4</v>
      </c>
    </row>
    <row r="36" spans="2:24">
      <c r="B36" s="88" t="s">
        <v>171</v>
      </c>
      <c r="C36" s="88"/>
      <c r="D36" s="88"/>
      <c r="E36" s="88"/>
      <c r="F36" s="88"/>
      <c r="G36" s="88"/>
      <c r="H36" s="380"/>
      <c r="I36" s="381">
        <f>'28. Entry- en exittarieven '!I118</f>
        <v>0.80285381</v>
      </c>
      <c r="J36" s="244">
        <f>'28. Entry- en exittarieven '!J118</f>
        <v>0.36217547</v>
      </c>
      <c r="K36" s="244">
        <f>'28. Entry- en exittarieven '!K118</f>
        <v>1.4557240000000001E-2</v>
      </c>
      <c r="L36" s="276">
        <f>'28. Entry- en exittarieven '!L118</f>
        <v>6.0656000000000002E-4</v>
      </c>
      <c r="M36" s="88"/>
      <c r="N36" s="380"/>
      <c r="O36" s="381">
        <f>'28. Entry- en exittarieven '!O118</f>
        <v>0.20071344999999999</v>
      </c>
      <c r="P36" s="244">
        <f>'28. Entry- en exittarieven '!P118</f>
        <v>9.0543869999999999E-2</v>
      </c>
      <c r="Q36" s="244">
        <f>'28. Entry- en exittarieven '!Q118</f>
        <v>3.6393100000000002E-3</v>
      </c>
      <c r="R36" s="276">
        <f>'28. Entry- en exittarieven '!R118</f>
        <v>1.5164000000000001E-4</v>
      </c>
    </row>
    <row r="37" spans="2:24">
      <c r="B37" s="88" t="s">
        <v>172</v>
      </c>
      <c r="C37" s="88"/>
      <c r="D37" s="88"/>
      <c r="E37" s="88"/>
      <c r="F37" s="88"/>
      <c r="G37" s="88"/>
      <c r="H37" s="380"/>
      <c r="I37" s="381"/>
      <c r="J37" s="244">
        <f>'28. Entry- en exittarieven '!J119</f>
        <v>0.33154855</v>
      </c>
      <c r="K37" s="244">
        <f>'28. Entry- en exittarieven '!K119</f>
        <v>1.2903009999999999E-2</v>
      </c>
      <c r="L37" s="276">
        <f>'28. Entry- en exittarieven '!L119</f>
        <v>5.376300000000001E-4</v>
      </c>
      <c r="M37" s="88"/>
      <c r="N37" s="380"/>
      <c r="O37" s="381"/>
      <c r="P37" s="244">
        <f>'28. Entry- en exittarieven '!P119</f>
        <v>8.2887139999999998E-2</v>
      </c>
      <c r="Q37" s="244">
        <f>'28. Entry- en exittarieven '!Q119</f>
        <v>3.2257499999999999E-3</v>
      </c>
      <c r="R37" s="276">
        <f>'28. Entry- en exittarieven '!R119</f>
        <v>1.3440999999999998E-4</v>
      </c>
    </row>
    <row r="38" spans="2:24">
      <c r="B38" s="88" t="s">
        <v>173</v>
      </c>
      <c r="C38" s="88"/>
      <c r="D38" s="88"/>
      <c r="E38" s="88"/>
      <c r="F38" s="88"/>
      <c r="G38" s="88"/>
      <c r="H38" s="380"/>
      <c r="I38" s="381"/>
      <c r="J38" s="244">
        <f>'28. Entry- en exittarieven '!J120</f>
        <v>0.26940345999999998</v>
      </c>
      <c r="K38" s="244">
        <f>'28. Entry- en exittarieven '!K120</f>
        <v>1.083916E-2</v>
      </c>
      <c r="L38" s="276">
        <f>'28. Entry- en exittarieven '!L120</f>
        <v>4.5164000000000001E-4</v>
      </c>
      <c r="M38" s="88"/>
      <c r="N38" s="380"/>
      <c r="O38" s="381"/>
      <c r="P38" s="244">
        <f>'28. Entry- en exittarieven '!P120</f>
        <v>6.7350859999999999E-2</v>
      </c>
      <c r="Q38" s="244">
        <f>'28. Entry- en exittarieven '!Q120</f>
        <v>2.7097900000000001E-3</v>
      </c>
      <c r="R38" s="276">
        <f>'28. Entry- en exittarieven '!R120</f>
        <v>1.1291E-4</v>
      </c>
    </row>
    <row r="39" spans="2:24">
      <c r="B39" s="88" t="s">
        <v>174</v>
      </c>
      <c r="C39" s="88"/>
      <c r="D39" s="88"/>
      <c r="E39" s="88"/>
      <c r="F39" s="88"/>
      <c r="G39" s="88"/>
      <c r="H39" s="380"/>
      <c r="I39" s="381">
        <f>'28. Entry- en exittarieven '!I121</f>
        <v>0.65120464</v>
      </c>
      <c r="J39" s="244">
        <f>'28. Entry- en exittarieven '!J121</f>
        <v>0.26289456</v>
      </c>
      <c r="K39" s="244">
        <f>'28. Entry- en exittarieven '!K121</f>
        <v>1.022473E-2</v>
      </c>
      <c r="L39" s="276">
        <f>'28. Entry- en exittarieven '!L121</f>
        <v>4.2603999999999998E-4</v>
      </c>
      <c r="M39" s="88"/>
      <c r="N39" s="380"/>
      <c r="O39" s="381">
        <f>'28. Entry- en exittarieven '!O121</f>
        <v>0.16280116</v>
      </c>
      <c r="P39" s="244">
        <f>'28. Entry- en exittarieven '!P121</f>
        <v>6.572364E-2</v>
      </c>
      <c r="Q39" s="244">
        <f>'28. Entry- en exittarieven '!Q121</f>
        <v>2.5561799999999999E-3</v>
      </c>
      <c r="R39" s="276">
        <f>'28. Entry- en exittarieven '!R121</f>
        <v>1.0650999999999999E-4</v>
      </c>
    </row>
    <row r="40" spans="2:24">
      <c r="B40" s="88" t="s">
        <v>175</v>
      </c>
      <c r="C40" s="88"/>
      <c r="D40" s="88"/>
      <c r="E40" s="88"/>
      <c r="F40" s="88"/>
      <c r="G40" s="88"/>
      <c r="H40" s="380"/>
      <c r="I40" s="381"/>
      <c r="J40" s="244">
        <f>'28. Entry- en exittarieven '!J122</f>
        <v>0.24991727999999999</v>
      </c>
      <c r="K40" s="244">
        <f>'28. Entry- en exittarieven '!K122</f>
        <v>9.7363399999999996E-3</v>
      </c>
      <c r="L40" s="276">
        <f>'28. Entry- en exittarieven '!L122</f>
        <v>4.0569E-4</v>
      </c>
      <c r="M40" s="88"/>
      <c r="N40" s="380"/>
      <c r="O40" s="381"/>
      <c r="P40" s="244">
        <f>'28. Entry- en exittarieven '!P122</f>
        <v>6.2479319999999998E-2</v>
      </c>
      <c r="Q40" s="244">
        <f>'28. Entry- en exittarieven '!Q122</f>
        <v>2.4340799999999999E-3</v>
      </c>
      <c r="R40" s="276">
        <f>'28. Entry- en exittarieven '!R122</f>
        <v>1.0143E-4</v>
      </c>
    </row>
    <row r="41" spans="2:24">
      <c r="B41" s="88" t="s">
        <v>176</v>
      </c>
      <c r="C41" s="88"/>
      <c r="D41" s="88"/>
      <c r="E41" s="88"/>
      <c r="F41" s="88"/>
      <c r="G41" s="88"/>
      <c r="H41" s="380"/>
      <c r="I41" s="381"/>
      <c r="J41" s="244">
        <f>'28. Entry- en exittarieven '!J123</f>
        <v>0.26859322000000002</v>
      </c>
      <c r="K41" s="244">
        <f>'28. Entry- en exittarieven '!K123</f>
        <v>1.080765E-2</v>
      </c>
      <c r="L41" s="276">
        <f>'28. Entry- en exittarieven '!L123</f>
        <v>4.5031999999999998E-4</v>
      </c>
      <c r="M41" s="88"/>
      <c r="N41" s="380"/>
      <c r="O41" s="381"/>
      <c r="P41" s="244">
        <f>'28. Entry- en exittarieven '!P123</f>
        <v>6.7148299999999994E-2</v>
      </c>
      <c r="Q41" s="244">
        <f>'28. Entry- en exittarieven '!Q123</f>
        <v>2.7019100000000001E-3</v>
      </c>
      <c r="R41" s="276">
        <f>'28. Entry- en exittarieven '!R123</f>
        <v>1.1258E-4</v>
      </c>
    </row>
    <row r="42" spans="2:24">
      <c r="B42" s="88" t="s">
        <v>177</v>
      </c>
      <c r="C42" s="88"/>
      <c r="D42" s="88"/>
      <c r="E42" s="88"/>
      <c r="F42" s="88"/>
      <c r="G42" s="88"/>
      <c r="H42" s="380"/>
      <c r="I42" s="381">
        <f>'28. Entry- en exittarieven '!I124</f>
        <v>1.1440081600000001</v>
      </c>
      <c r="J42" s="244">
        <f>'28. Entry- en exittarieven '!J124</f>
        <v>0.31857127000000002</v>
      </c>
      <c r="K42" s="244">
        <f>'28. Entry- en exittarieven '!K124</f>
        <v>1.2398859999999999E-2</v>
      </c>
      <c r="L42" s="276">
        <f>'28. Entry- en exittarieven '!L124</f>
        <v>5.1662000000000008E-4</v>
      </c>
      <c r="M42" s="88"/>
      <c r="N42" s="380"/>
      <c r="O42" s="381">
        <f>'28. Entry- en exittarieven '!O124</f>
        <v>0.28600204000000001</v>
      </c>
      <c r="P42" s="244">
        <f>'28. Entry- en exittarieven '!P124</f>
        <v>7.9642820000000003E-2</v>
      </c>
      <c r="Q42" s="244">
        <f>'28. Entry- en exittarieven '!Q124</f>
        <v>3.0997199999999998E-3</v>
      </c>
      <c r="R42" s="276">
        <f>'28. Entry- en exittarieven '!R124</f>
        <v>1.2915999999999999E-4</v>
      </c>
    </row>
    <row r="43" spans="2:24">
      <c r="B43" s="88" t="s">
        <v>178</v>
      </c>
      <c r="C43" s="88"/>
      <c r="D43" s="88"/>
      <c r="E43" s="88"/>
      <c r="F43" s="88"/>
      <c r="G43" s="88"/>
      <c r="H43" s="380"/>
      <c r="I43" s="381"/>
      <c r="J43" s="244">
        <f>'28. Entry- en exittarieven '!J125</f>
        <v>0.45778331</v>
      </c>
      <c r="K43" s="244">
        <f>'28. Entry- en exittarieven '!K125</f>
        <v>1.8401359999999999E-2</v>
      </c>
      <c r="L43" s="276">
        <f>'28. Entry- en exittarieven '!L125</f>
        <v>7.6673000000000008E-4</v>
      </c>
      <c r="M43" s="88"/>
      <c r="N43" s="380"/>
      <c r="O43" s="381"/>
      <c r="P43" s="244">
        <f>'28. Entry- en exittarieven '!P125</f>
        <v>0.11444583</v>
      </c>
      <c r="Q43" s="244">
        <f>'28. Entry- en exittarieven '!Q125</f>
        <v>4.6003399999999996E-3</v>
      </c>
      <c r="R43" s="276">
        <f>'28. Entry- en exittarieven '!R125</f>
        <v>1.9169E-4</v>
      </c>
    </row>
    <row r="44" spans="2:24">
      <c r="B44" s="88" t="s">
        <v>179</v>
      </c>
      <c r="C44" s="88"/>
      <c r="D44" s="88"/>
      <c r="E44" s="88"/>
      <c r="F44" s="88"/>
      <c r="G44" s="88"/>
      <c r="H44" s="380"/>
      <c r="I44" s="381"/>
      <c r="J44" s="244">
        <f>'28. Entry- en exittarieven '!J126</f>
        <v>0.59611760000000003</v>
      </c>
      <c r="K44" s="244">
        <f>'28. Entry- en exittarieven '!K126</f>
        <v>2.319075E-2</v>
      </c>
      <c r="L44" s="276">
        <f>'28. Entry- en exittarieven '!L126</f>
        <v>9.6629000000000007E-4</v>
      </c>
      <c r="M44" s="88"/>
      <c r="N44" s="380"/>
      <c r="O44" s="381"/>
      <c r="P44" s="244">
        <f>'28. Entry- en exittarieven '!P126</f>
        <v>0.14902940000000001</v>
      </c>
      <c r="Q44" s="244">
        <f>'28. Entry- en exittarieven '!Q126</f>
        <v>5.7976900000000003E-3</v>
      </c>
      <c r="R44" s="276">
        <f>'28. Entry- en exittarieven '!R126</f>
        <v>2.4158E-4</v>
      </c>
    </row>
    <row r="45" spans="2:24">
      <c r="H45" s="206"/>
      <c r="I45" s="210"/>
      <c r="J45" s="211"/>
      <c r="K45" s="211"/>
      <c r="L45" s="281"/>
      <c r="N45" s="206"/>
      <c r="O45" s="210"/>
      <c r="P45" s="211"/>
      <c r="Q45" s="211"/>
      <c r="R45" s="288"/>
    </row>
    <row r="46" spans="2:24" s="39" customFormat="1" ht="25.5">
      <c r="B46" s="205" t="s">
        <v>182</v>
      </c>
      <c r="H46" s="39" t="s">
        <v>154</v>
      </c>
      <c r="L46" s="269"/>
      <c r="N46" s="39" t="s">
        <v>155</v>
      </c>
      <c r="R46" s="289"/>
      <c r="T46" s="39" t="s">
        <v>156</v>
      </c>
    </row>
    <row r="47" spans="2:24" s="42" customFormat="1">
      <c r="B47" s="42" t="s">
        <v>183</v>
      </c>
      <c r="H47" s="42" t="s">
        <v>158</v>
      </c>
      <c r="I47" s="42" t="s">
        <v>159</v>
      </c>
      <c r="J47" s="42" t="s">
        <v>160</v>
      </c>
      <c r="K47" s="42" t="s">
        <v>161</v>
      </c>
      <c r="L47" s="270" t="s">
        <v>162</v>
      </c>
      <c r="N47" s="42" t="s">
        <v>158</v>
      </c>
      <c r="O47" s="42" t="s">
        <v>159</v>
      </c>
      <c r="P47" s="42" t="s">
        <v>160</v>
      </c>
      <c r="Q47" s="42" t="s">
        <v>161</v>
      </c>
      <c r="R47" s="290" t="s">
        <v>162</v>
      </c>
      <c r="T47" s="42" t="s">
        <v>158</v>
      </c>
      <c r="U47" s="42" t="s">
        <v>159</v>
      </c>
      <c r="V47" s="42" t="s">
        <v>160</v>
      </c>
      <c r="W47" s="42" t="s">
        <v>161</v>
      </c>
      <c r="X47" s="42" t="s">
        <v>162</v>
      </c>
    </row>
    <row r="48" spans="2:24" s="40" customFormat="1">
      <c r="H48" s="40" t="s">
        <v>163</v>
      </c>
      <c r="I48" s="40" t="s">
        <v>164</v>
      </c>
      <c r="J48" s="40" t="s">
        <v>165</v>
      </c>
      <c r="K48" s="40" t="s">
        <v>166</v>
      </c>
      <c r="L48" s="271" t="s">
        <v>167</v>
      </c>
      <c r="N48" s="40" t="s">
        <v>163</v>
      </c>
      <c r="O48" s="40" t="s">
        <v>164</v>
      </c>
      <c r="P48" s="40" t="s">
        <v>165</v>
      </c>
      <c r="Q48" s="40" t="s">
        <v>166</v>
      </c>
      <c r="R48" s="291" t="s">
        <v>167</v>
      </c>
      <c r="T48" s="40" t="s">
        <v>163</v>
      </c>
      <c r="U48" s="40" t="s">
        <v>164</v>
      </c>
      <c r="V48" s="40" t="s">
        <v>165</v>
      </c>
      <c r="W48" s="40" t="s">
        <v>166</v>
      </c>
      <c r="X48" s="40" t="s">
        <v>167</v>
      </c>
    </row>
    <row r="49" spans="2:24">
      <c r="J49" s="96"/>
      <c r="L49" s="268"/>
      <c r="R49" s="292"/>
    </row>
    <row r="50" spans="2:24">
      <c r="B50" s="3" t="s">
        <v>168</v>
      </c>
      <c r="H50" s="380">
        <f>'28. Entry- en exittarieven '!H133</f>
        <v>3.7580211600000002</v>
      </c>
      <c r="I50" s="383">
        <f>'28. Entry- en exittarieven '!I133</f>
        <v>1.7165919999999999</v>
      </c>
      <c r="J50" s="95">
        <f>'28. Entry- en exittarieven '!J133</f>
        <v>0.82107613999999995</v>
      </c>
      <c r="K50" s="95">
        <f>'28. Entry- en exittarieven '!K133</f>
        <v>3.1945750000000002E-2</v>
      </c>
      <c r="L50" s="282">
        <f>'28. Entry- en exittarieven '!L133</f>
        <v>1.3310799999999999E-3</v>
      </c>
      <c r="N50" s="385">
        <f>'28. Entry- en exittarieven '!N133</f>
        <v>0.93950529000000005</v>
      </c>
      <c r="O50" s="386">
        <f>'28. Entry- en exittarieven '!O133</f>
        <v>0.42914799999999997</v>
      </c>
      <c r="P50" s="245">
        <f>'28. Entry- en exittarieven '!P133</f>
        <v>0.20526904000000001</v>
      </c>
      <c r="Q50" s="245">
        <f>'28. Entry- en exittarieven '!Q133</f>
        <v>7.9864399999999992E-3</v>
      </c>
      <c r="R50" s="377">
        <f>'28. Entry- en exittarieven '!R133</f>
        <v>3.3276999999999997E-4</v>
      </c>
      <c r="T50" s="384">
        <f>'28. Entry- en exittarieven '!T133</f>
        <v>3.0064169299999999</v>
      </c>
      <c r="U50" s="384">
        <f>'28. Entry- en exittarieven '!U133</f>
        <v>1.3732736000000001</v>
      </c>
      <c r="V50" s="62">
        <f>'28. Entry- en exittarieven '!V133</f>
        <v>0.65686091999999996</v>
      </c>
      <c r="W50" s="62">
        <f>'28. Entry- en exittarieven '!W133</f>
        <v>2.5556599999999999E-2</v>
      </c>
      <c r="X50" s="282">
        <f>'28. Entry- en exittarieven '!X133</f>
        <v>1.0648599999999999E-3</v>
      </c>
    </row>
    <row r="51" spans="2:24">
      <c r="B51" s="3" t="s">
        <v>169</v>
      </c>
      <c r="H51" s="380"/>
      <c r="I51" s="383"/>
      <c r="J51" s="95">
        <f>'28. Entry- en exittarieven '!J134</f>
        <v>0.66291493000000001</v>
      </c>
      <c r="K51" s="95">
        <f>'28. Entry- en exittarieven '!K134</f>
        <v>2.8558389999999999E-2</v>
      </c>
      <c r="L51" s="282">
        <f>'28. Entry- en exittarieven '!L134</f>
        <v>1.18994E-3</v>
      </c>
      <c r="N51" s="385"/>
      <c r="O51" s="386"/>
      <c r="P51" s="245">
        <f>'28. Entry- en exittarieven '!P134</f>
        <v>0.16572872999999999</v>
      </c>
      <c r="Q51" s="245">
        <f>'28. Entry- en exittarieven '!Q134</f>
        <v>7.1396000000000003E-3</v>
      </c>
      <c r="R51" s="377">
        <f>'28. Entry- en exittarieven '!R134</f>
        <v>2.9748999999999997E-4</v>
      </c>
      <c r="T51" s="384"/>
      <c r="U51" s="384"/>
      <c r="V51" s="62">
        <f>'28. Entry- en exittarieven '!V134</f>
        <v>0.53033195</v>
      </c>
      <c r="W51" s="62">
        <f>'28. Entry- en exittarieven '!W134</f>
        <v>2.2846709999999999E-2</v>
      </c>
      <c r="X51" s="282">
        <f>'28. Entry- en exittarieven '!X134</f>
        <v>9.5195000000000002E-4</v>
      </c>
    </row>
    <row r="52" spans="2:24">
      <c r="B52" s="3" t="s">
        <v>170</v>
      </c>
      <c r="H52" s="380"/>
      <c r="I52" s="383"/>
      <c r="J52" s="95">
        <f>'28. Entry- en exittarieven '!J135</f>
        <v>0.57403515999999999</v>
      </c>
      <c r="K52" s="95">
        <f>'28. Entry- en exittarieven '!K135</f>
        <v>2.2324190000000001E-2</v>
      </c>
      <c r="L52" s="282">
        <f>'28. Entry- en exittarieven '!L135</f>
        <v>9.3018000000000007E-4</v>
      </c>
      <c r="N52" s="385"/>
      <c r="O52" s="386"/>
      <c r="P52" s="245">
        <f>'28. Entry- en exittarieven '!P135</f>
        <v>0.14350879</v>
      </c>
      <c r="Q52" s="245">
        <f>'28. Entry- en exittarieven '!Q135</f>
        <v>5.5810499999999997E-3</v>
      </c>
      <c r="R52" s="377">
        <f>'28. Entry- en exittarieven '!R135</f>
        <v>2.3254999999999999E-4</v>
      </c>
      <c r="T52" s="384"/>
      <c r="U52" s="384"/>
      <c r="V52" s="62">
        <f>'28. Entry- en exittarieven '!V135</f>
        <v>0.45922813000000001</v>
      </c>
      <c r="W52" s="62">
        <f>'28. Entry- en exittarieven '!W135</f>
        <v>1.785935E-2</v>
      </c>
      <c r="X52" s="282">
        <f>'28. Entry- en exittarieven '!X135</f>
        <v>7.4414000000000001E-4</v>
      </c>
    </row>
    <row r="53" spans="2:24">
      <c r="B53" s="3" t="s">
        <v>171</v>
      </c>
      <c r="H53" s="380"/>
      <c r="I53" s="383">
        <f>'28. Entry- en exittarieven '!I136</f>
        <v>0.91819267999999998</v>
      </c>
      <c r="J53" s="95">
        <f>'28. Entry- en exittarieven '!J136</f>
        <v>0.41420600000000002</v>
      </c>
      <c r="K53" s="95">
        <f>'28. Entry- en exittarieven '!K136</f>
        <v>1.6648550000000002E-2</v>
      </c>
      <c r="L53" s="282">
        <f>'28. Entry- en exittarieven '!L136</f>
        <v>6.9369000000000006E-4</v>
      </c>
      <c r="N53" s="385"/>
      <c r="O53" s="386">
        <f>'28. Entry- en exittarieven '!O136</f>
        <v>0.22954817</v>
      </c>
      <c r="P53" s="245">
        <f>'28. Entry- en exittarieven '!P136</f>
        <v>0.1035515</v>
      </c>
      <c r="Q53" s="245">
        <f>'28. Entry- en exittarieven '!Q136</f>
        <v>4.1621399999999999E-3</v>
      </c>
      <c r="R53" s="377">
        <f>'28. Entry- en exittarieven '!R136</f>
        <v>1.7343E-4</v>
      </c>
      <c r="T53" s="384"/>
      <c r="U53" s="384">
        <f>'28. Entry- en exittarieven '!U136</f>
        <v>0.73455413999999997</v>
      </c>
      <c r="V53" s="62">
        <f>'28. Entry- en exittarieven '!V136</f>
        <v>0.33136480000000001</v>
      </c>
      <c r="W53" s="62">
        <f>'28. Entry- en exittarieven '!W136</f>
        <v>1.331884E-2</v>
      </c>
      <c r="X53" s="282">
        <f>'28. Entry- en exittarieven '!X136</f>
        <v>5.5496000000000007E-4</v>
      </c>
    </row>
    <row r="54" spans="2:24">
      <c r="B54" s="3" t="s">
        <v>172</v>
      </c>
      <c r="H54" s="380"/>
      <c r="I54" s="383"/>
      <c r="J54" s="95">
        <f>'28. Entry- en exittarieven '!J137</f>
        <v>0.37917919</v>
      </c>
      <c r="K54" s="95">
        <f>'28. Entry- en exittarieven '!K137</f>
        <v>1.475667E-2</v>
      </c>
      <c r="L54" s="282">
        <f>'28. Entry- en exittarieven '!L137</f>
        <v>6.1487E-4</v>
      </c>
      <c r="N54" s="385"/>
      <c r="O54" s="386"/>
      <c r="P54" s="245">
        <f>'28. Entry- en exittarieven '!P137</f>
        <v>9.4794799999999999E-2</v>
      </c>
      <c r="Q54" s="245">
        <f>'28. Entry- en exittarieven '!Q137</f>
        <v>3.6891699999999999E-3</v>
      </c>
      <c r="R54" s="377">
        <f>'28. Entry- en exittarieven '!R137</f>
        <v>1.5371999999999999E-4</v>
      </c>
      <c r="T54" s="384"/>
      <c r="U54" s="384"/>
      <c r="V54" s="62">
        <f>'28. Entry- en exittarieven '!V137</f>
        <v>0.30334335000000001</v>
      </c>
      <c r="W54" s="62">
        <f>'28. Entry- en exittarieven '!W137</f>
        <v>1.1805329999999999E-2</v>
      </c>
      <c r="X54" s="282">
        <f>'28. Entry- en exittarieven '!X137</f>
        <v>4.9189000000000004E-4</v>
      </c>
    </row>
    <row r="55" spans="2:24">
      <c r="B55" s="3" t="s">
        <v>173</v>
      </c>
      <c r="H55" s="380"/>
      <c r="I55" s="383"/>
      <c r="J55" s="95">
        <f>'28. Entry- en exittarieven '!J138</f>
        <v>0.30810626000000002</v>
      </c>
      <c r="K55" s="95">
        <f>'28. Entry- en exittarieven '!K138</f>
        <v>1.2396320000000001E-2</v>
      </c>
      <c r="L55" s="282">
        <f>'28. Entry- en exittarieven '!L138</f>
        <v>5.1652000000000002E-4</v>
      </c>
      <c r="N55" s="385"/>
      <c r="O55" s="386"/>
      <c r="P55" s="245">
        <f>'28. Entry- en exittarieven '!P138</f>
        <v>7.7026559999999994E-2</v>
      </c>
      <c r="Q55" s="245">
        <f>'28. Entry- en exittarieven '!Q138</f>
        <v>3.0990800000000002E-3</v>
      </c>
      <c r="R55" s="377">
        <f>'28. Entry- en exittarieven '!R138</f>
        <v>1.2913000000000001E-4</v>
      </c>
      <c r="T55" s="384"/>
      <c r="U55" s="384"/>
      <c r="V55" s="62">
        <f>'28. Entry- en exittarieven '!V138</f>
        <v>0.24648500000000001</v>
      </c>
      <c r="W55" s="62">
        <f>'28. Entry- en exittarieven '!W138</f>
        <v>9.9170600000000001E-3</v>
      </c>
      <c r="X55" s="282">
        <f>'28. Entry- en exittarieven '!X138</f>
        <v>4.1322E-4</v>
      </c>
    </row>
    <row r="56" spans="2:24">
      <c r="B56" s="3" t="s">
        <v>174</v>
      </c>
      <c r="H56" s="380"/>
      <c r="I56" s="383">
        <f>'28. Entry- en exittarieven '!I139</f>
        <v>0.74475743000000005</v>
      </c>
      <c r="J56" s="95">
        <f>'28. Entry- en exittarieven '!J139</f>
        <v>0.30066229</v>
      </c>
      <c r="K56" s="95">
        <f>'28. Entry- en exittarieven '!K139</f>
        <v>1.169362E-2</v>
      </c>
      <c r="L56" s="282">
        <f>'28. Entry- en exittarieven '!L139</f>
        <v>4.8724E-4</v>
      </c>
      <c r="N56" s="385"/>
      <c r="O56" s="386">
        <f>'28. Entry- en exittarieven '!O139</f>
        <v>0.18618936</v>
      </c>
      <c r="P56" s="245">
        <f>'28. Entry- en exittarieven '!P139</f>
        <v>7.5165570000000001E-2</v>
      </c>
      <c r="Q56" s="245">
        <f>'28. Entry- en exittarieven '!Q139</f>
        <v>2.92341E-3</v>
      </c>
      <c r="R56" s="377">
        <f>'28. Entry- en exittarieven '!R139</f>
        <v>1.2181E-4</v>
      </c>
      <c r="T56" s="384"/>
      <c r="U56" s="384">
        <f>'28. Entry- en exittarieven '!U139</f>
        <v>0.59580593999999998</v>
      </c>
      <c r="V56" s="62">
        <f>'28. Entry- en exittarieven '!V139</f>
        <v>0.24052983</v>
      </c>
      <c r="W56" s="62">
        <f>'28. Entry- en exittarieven '!W139</f>
        <v>9.3548999999999993E-3</v>
      </c>
      <c r="X56" s="282">
        <f>'28. Entry- en exittarieven '!X139</f>
        <v>3.8978999999999999E-4</v>
      </c>
    </row>
    <row r="57" spans="2:24">
      <c r="B57" s="3" t="s">
        <v>175</v>
      </c>
      <c r="H57" s="380"/>
      <c r="I57" s="383"/>
      <c r="J57" s="95">
        <f>'28. Entry- en exittarieven '!J140</f>
        <v>0.28582067999999999</v>
      </c>
      <c r="K57" s="95">
        <f>'28. Entry- en exittarieven '!K140</f>
        <v>1.113507E-2</v>
      </c>
      <c r="L57" s="282">
        <f>'28. Entry- en exittarieven '!L140</f>
        <v>4.6397000000000002E-4</v>
      </c>
      <c r="N57" s="385"/>
      <c r="O57" s="386"/>
      <c r="P57" s="245">
        <f>'28. Entry- en exittarieven '!P140</f>
        <v>7.1455169999999998E-2</v>
      </c>
      <c r="Q57" s="245">
        <f>'28. Entry- en exittarieven '!Q140</f>
        <v>2.7837700000000001E-3</v>
      </c>
      <c r="R57" s="377">
        <f>'28. Entry- en exittarieven '!R140</f>
        <v>1.16E-4</v>
      </c>
      <c r="T57" s="384"/>
      <c r="U57" s="384"/>
      <c r="V57" s="62">
        <f>'28. Entry- en exittarieven '!V140</f>
        <v>0.22865653999999999</v>
      </c>
      <c r="W57" s="62">
        <f>'28. Entry- en exittarieven '!W140</f>
        <v>8.9080500000000007E-3</v>
      </c>
      <c r="X57" s="282">
        <f>'28. Entry- en exittarieven '!X140</f>
        <v>3.7116999999999999E-4</v>
      </c>
    </row>
    <row r="58" spans="2:24">
      <c r="B58" s="3" t="s">
        <v>176</v>
      </c>
      <c r="H58" s="380"/>
      <c r="I58" s="383"/>
      <c r="J58" s="95">
        <f>'28. Entry- en exittarieven '!J141</f>
        <v>0.30717961999999999</v>
      </c>
      <c r="K58" s="95">
        <f>'28. Entry- en exittarieven '!K141</f>
        <v>1.2360289999999999E-2</v>
      </c>
      <c r="L58" s="282">
        <f>'28. Entry- en exittarieven '!L141</f>
        <v>5.1502000000000004E-4</v>
      </c>
      <c r="N58" s="385"/>
      <c r="O58" s="386"/>
      <c r="P58" s="245">
        <f>'28. Entry- en exittarieven '!P141</f>
        <v>7.6794909999999994E-2</v>
      </c>
      <c r="Q58" s="245">
        <f>'28. Entry- en exittarieven '!Q141</f>
        <v>3.0900699999999999E-3</v>
      </c>
      <c r="R58" s="377">
        <f>'28. Entry- en exittarieven '!R141</f>
        <v>1.2876000000000001E-4</v>
      </c>
      <c r="T58" s="384"/>
      <c r="U58" s="384"/>
      <c r="V58" s="62">
        <f>'28. Entry- en exittarieven '!V141</f>
        <v>0.24574370000000001</v>
      </c>
      <c r="W58" s="62">
        <f>'28. Entry- en exittarieven '!W141</f>
        <v>9.8882299999999996E-3</v>
      </c>
      <c r="X58" s="282">
        <f>'28. Entry- en exittarieven '!X141</f>
        <v>4.1200999999999998E-4</v>
      </c>
    </row>
    <row r="59" spans="2:24">
      <c r="B59" s="3" t="s">
        <v>177</v>
      </c>
      <c r="H59" s="380"/>
      <c r="I59" s="383">
        <f>'28. Entry- en exittarieven '!I142</f>
        <v>1.3083576400000001</v>
      </c>
      <c r="J59" s="95">
        <f>'28. Entry- en exittarieven '!J142</f>
        <v>0.36433757999999999</v>
      </c>
      <c r="K59" s="95">
        <f>'28. Entry- en exittarieven '!K142</f>
        <v>1.4180089999999999E-2</v>
      </c>
      <c r="L59" s="282">
        <f>'28. Entry- en exittarieven '!L142</f>
        <v>5.9084000000000003E-4</v>
      </c>
      <c r="N59" s="385"/>
      <c r="O59" s="386">
        <f>'28. Entry- en exittarieven '!O142</f>
        <v>0.32708941000000002</v>
      </c>
      <c r="P59" s="245">
        <f>'28. Entry- en exittarieven '!P142</f>
        <v>9.1084390000000001E-2</v>
      </c>
      <c r="Q59" s="245">
        <f>'28. Entry- en exittarieven '!Q142</f>
        <v>3.5450199999999999E-3</v>
      </c>
      <c r="R59" s="377">
        <f>'28. Entry- en exittarieven '!R142</f>
        <v>1.4771000000000001E-4</v>
      </c>
      <c r="T59" s="384"/>
      <c r="U59" s="384">
        <f>'28. Entry- en exittarieven '!U142</f>
        <v>1.04668611</v>
      </c>
      <c r="V59" s="62">
        <f>'28. Entry- en exittarieven '!V142</f>
        <v>0.29147005999999998</v>
      </c>
      <c r="W59" s="62">
        <f>'28. Entry- en exittarieven '!W142</f>
        <v>1.1344079999999999E-2</v>
      </c>
      <c r="X59" s="282">
        <f>'28. Entry- en exittarieven '!X142</f>
        <v>4.7267000000000001E-4</v>
      </c>
    </row>
    <row r="60" spans="2:24">
      <c r="B60" s="3" t="s">
        <v>178</v>
      </c>
      <c r="H60" s="380"/>
      <c r="I60" s="383"/>
      <c r="J60" s="95">
        <f>'28. Entry- en exittarieven '!J143</f>
        <v>0.52354898000000005</v>
      </c>
      <c r="K60" s="95">
        <f>'28. Entry- en exittarieven '!K143</f>
        <v>2.1044920000000002E-2</v>
      </c>
      <c r="L60" s="282">
        <f>'28. Entry- en exittarieven '!L143</f>
        <v>8.7688000000000002E-4</v>
      </c>
      <c r="N60" s="385"/>
      <c r="O60" s="386"/>
      <c r="P60" s="245">
        <f>'28. Entry- en exittarieven '!P143</f>
        <v>0.13088723999999999</v>
      </c>
      <c r="Q60" s="245">
        <f>'28. Entry- en exittarieven '!Q143</f>
        <v>5.2612300000000004E-3</v>
      </c>
      <c r="R60" s="377">
        <f>'28. Entry- en exittarieven '!R143</f>
        <v>2.1922000000000001E-4</v>
      </c>
      <c r="T60" s="384"/>
      <c r="U60" s="384"/>
      <c r="V60" s="62">
        <f>'28. Entry- en exittarieven '!V143</f>
        <v>0.41883917999999998</v>
      </c>
      <c r="W60" s="62">
        <f>'28. Entry- en exittarieven '!W143</f>
        <v>1.6835929999999999E-2</v>
      </c>
      <c r="X60" s="282">
        <f>'28. Entry- en exittarieven '!X143</f>
        <v>7.0150000000000008E-4</v>
      </c>
    </row>
    <row r="61" spans="2:24">
      <c r="B61" s="3" t="s">
        <v>179</v>
      </c>
      <c r="H61" s="380"/>
      <c r="I61" s="383"/>
      <c r="J61" s="95">
        <f>'28. Entry- en exittarieven '!J144</f>
        <v>0.68175651999999998</v>
      </c>
      <c r="K61" s="95">
        <f>'28. Entry- en exittarieven '!K144</f>
        <v>2.6522359999999998E-2</v>
      </c>
      <c r="L61" s="282">
        <f>'28. Entry- en exittarieven '!L144</f>
        <v>1.1050999999999999E-3</v>
      </c>
      <c r="N61" s="385"/>
      <c r="O61" s="386"/>
      <c r="P61" s="245">
        <f>'28. Entry- en exittarieven '!P144</f>
        <v>0.17043912999999999</v>
      </c>
      <c r="Q61" s="245">
        <f>'28. Entry- en exittarieven '!Q144</f>
        <v>6.6305899999999996E-3</v>
      </c>
      <c r="R61" s="377">
        <f>'28. Entry- en exittarieven '!R144</f>
        <v>2.7628E-4</v>
      </c>
      <c r="T61" s="384"/>
      <c r="U61" s="384"/>
      <c r="V61" s="62">
        <f>'28. Entry- en exittarieven '!V144</f>
        <v>0.54540522000000002</v>
      </c>
      <c r="W61" s="62">
        <f>'28. Entry- en exittarieven '!W144</f>
        <v>2.121789E-2</v>
      </c>
      <c r="X61" s="282">
        <f>'28. Entry- en exittarieven '!X144</f>
        <v>8.8408000000000009E-4</v>
      </c>
    </row>
    <row r="62" spans="2:24">
      <c r="L62" s="268"/>
      <c r="R62" s="292"/>
    </row>
    <row r="63" spans="2:24" s="39" customFormat="1" ht="25.5">
      <c r="B63" s="205" t="s">
        <v>184</v>
      </c>
      <c r="H63" s="39" t="s">
        <v>154</v>
      </c>
      <c r="L63" s="269"/>
      <c r="N63" s="39" t="s">
        <v>155</v>
      </c>
      <c r="R63" s="289"/>
    </row>
    <row r="64" spans="2:24" s="42" customFormat="1">
      <c r="B64" s="42" t="s">
        <v>185</v>
      </c>
      <c r="H64" s="42" t="s">
        <v>158</v>
      </c>
      <c r="I64" s="42" t="s">
        <v>159</v>
      </c>
      <c r="J64" s="42" t="s">
        <v>160</v>
      </c>
      <c r="K64" s="42" t="s">
        <v>161</v>
      </c>
      <c r="L64" s="270" t="s">
        <v>162</v>
      </c>
      <c r="N64" s="42" t="s">
        <v>158</v>
      </c>
      <c r="O64" s="42" t="s">
        <v>159</v>
      </c>
      <c r="P64" s="42" t="s">
        <v>160</v>
      </c>
      <c r="Q64" s="42" t="s">
        <v>161</v>
      </c>
      <c r="R64" s="290" t="s">
        <v>162</v>
      </c>
    </row>
    <row r="65" spans="2:18" s="40" customFormat="1">
      <c r="H65" s="40" t="s">
        <v>163</v>
      </c>
      <c r="I65" s="40" t="s">
        <v>164</v>
      </c>
      <c r="J65" s="40" t="s">
        <v>165</v>
      </c>
      <c r="K65" s="40" t="s">
        <v>166</v>
      </c>
      <c r="L65" s="271" t="s">
        <v>167</v>
      </c>
      <c r="N65" s="40" t="s">
        <v>163</v>
      </c>
      <c r="O65" s="40" t="s">
        <v>164</v>
      </c>
      <c r="P65" s="40" t="s">
        <v>165</v>
      </c>
      <c r="Q65" s="40" t="s">
        <v>166</v>
      </c>
      <c r="R65" s="291" t="s">
        <v>167</v>
      </c>
    </row>
    <row r="66" spans="2:18">
      <c r="L66" s="268"/>
      <c r="R66" s="292"/>
    </row>
    <row r="67" spans="2:18">
      <c r="B67" s="3" t="s">
        <v>168</v>
      </c>
      <c r="H67" s="380">
        <f>'28. Entry- en exittarieven '!H150</f>
        <v>3.2856283400000001</v>
      </c>
      <c r="I67" s="383">
        <f>'28. Entry- en exittarieven '!I150</f>
        <v>1.50081201</v>
      </c>
      <c r="J67" s="95">
        <f>'28. Entry- en exittarieven '!J150</f>
        <v>0.71786477999999998</v>
      </c>
      <c r="K67" s="95">
        <f>'28. Entry- en exittarieven '!K150</f>
        <v>2.7930090000000001E-2</v>
      </c>
      <c r="L67" s="282">
        <f>'28. Entry- en exittarieven '!L150</f>
        <v>1.16376E-3</v>
      </c>
      <c r="N67" s="380">
        <f>'28. Entry- en exittarieven '!N150</f>
        <v>0.82140707999999996</v>
      </c>
      <c r="O67" s="383">
        <f>'28. Entry- en exittarieven '!O150</f>
        <v>0.37520300000000001</v>
      </c>
      <c r="P67" s="95">
        <f>'28. Entry- en exittarieven '!P150</f>
        <v>0.17946619999999999</v>
      </c>
      <c r="Q67" s="95">
        <f>'28. Entry- en exittarieven '!Q150</f>
        <v>6.9825199999999999E-3</v>
      </c>
      <c r="R67" s="282">
        <f>'28. Entry- en exittarieven '!R150</f>
        <v>2.9094E-4</v>
      </c>
    </row>
    <row r="68" spans="2:18">
      <c r="B68" s="3" t="s">
        <v>169</v>
      </c>
      <c r="H68" s="380"/>
      <c r="I68" s="383"/>
      <c r="J68" s="95">
        <f>'28. Entry- en exittarieven '!J151</f>
        <v>0.57958483999999999</v>
      </c>
      <c r="K68" s="95">
        <f>'28. Entry- en exittarieven '!K151</f>
        <v>2.4968520000000001E-2</v>
      </c>
      <c r="L68" s="282">
        <f>'28. Entry- en exittarieven '!L151</f>
        <v>1.0403599999999999E-3</v>
      </c>
      <c r="N68" s="380"/>
      <c r="O68" s="383"/>
      <c r="P68" s="95">
        <f>'28. Entry- en exittarieven '!P151</f>
        <v>0.14489621</v>
      </c>
      <c r="Q68" s="95">
        <f>'28. Entry- en exittarieven '!Q151</f>
        <v>6.2421300000000002E-3</v>
      </c>
      <c r="R68" s="282">
        <f>'28. Entry- en exittarieven '!R151</f>
        <v>2.6008999999999998E-4</v>
      </c>
    </row>
    <row r="69" spans="2:18">
      <c r="B69" s="3" t="s">
        <v>170</v>
      </c>
      <c r="H69" s="380"/>
      <c r="I69" s="383"/>
      <c r="J69" s="95">
        <f>'28. Entry- en exittarieven '!J152</f>
        <v>0.50187747999999999</v>
      </c>
      <c r="K69" s="95">
        <f>'28. Entry- en exittarieven '!K152</f>
        <v>1.9517980000000001E-2</v>
      </c>
      <c r="L69" s="282">
        <f>'28. Entry- en exittarieven '!L152</f>
        <v>8.1325000000000006E-4</v>
      </c>
      <c r="N69" s="380"/>
      <c r="O69" s="383"/>
      <c r="P69" s="95">
        <f>'28. Entry- en exittarieven '!P152</f>
        <v>0.12546937</v>
      </c>
      <c r="Q69" s="95">
        <f>'28. Entry- en exittarieven '!Q152</f>
        <v>4.8795000000000002E-3</v>
      </c>
      <c r="R69" s="282">
        <f>'28. Entry- en exittarieven '!R152</f>
        <v>2.0332E-4</v>
      </c>
    </row>
    <row r="70" spans="2:18">
      <c r="B70" s="3" t="s">
        <v>171</v>
      </c>
      <c r="H70" s="380"/>
      <c r="I70" s="383">
        <f>'28. Entry- en exittarieven '!I153</f>
        <v>0.80277352000000002</v>
      </c>
      <c r="J70" s="95">
        <f>'28. Entry- en exittarieven '!J153</f>
        <v>0.36213925000000002</v>
      </c>
      <c r="K70" s="95">
        <f>'28. Entry- en exittarieven '!K153</f>
        <v>1.4555780000000001E-2</v>
      </c>
      <c r="L70" s="282">
        <f>'28. Entry- en exittarieven '!L153</f>
        <v>6.0650000000000005E-4</v>
      </c>
      <c r="N70" s="380"/>
      <c r="O70" s="383">
        <f>'28. Entry- en exittarieven '!O153</f>
        <v>0.20069338</v>
      </c>
      <c r="P70" s="95">
        <f>'28. Entry- en exittarieven '!P153</f>
        <v>9.0534809999999993E-2</v>
      </c>
      <c r="Q70" s="95">
        <f>'28. Entry- en exittarieven '!Q153</f>
        <v>3.6389500000000002E-3</v>
      </c>
      <c r="R70" s="282">
        <f>'28. Entry- en exittarieven '!R153</f>
        <v>1.5162999999999998E-4</v>
      </c>
    </row>
    <row r="71" spans="2:18">
      <c r="B71" s="3" t="s">
        <v>172</v>
      </c>
      <c r="H71" s="380"/>
      <c r="I71" s="383"/>
      <c r="J71" s="95">
        <f>'28. Entry- en exittarieven '!J154</f>
        <v>0.33151540000000002</v>
      </c>
      <c r="K71" s="95">
        <f>'28. Entry- en exittarieven '!K154</f>
        <v>1.290172E-2</v>
      </c>
      <c r="L71" s="282">
        <f>'28. Entry- en exittarieven '!L154</f>
        <v>5.3758000000000007E-4</v>
      </c>
      <c r="N71" s="380"/>
      <c r="O71" s="383"/>
      <c r="P71" s="95">
        <f>'28. Entry- en exittarieven '!P154</f>
        <v>8.2878850000000004E-2</v>
      </c>
      <c r="Q71" s="95">
        <f>'28. Entry- en exittarieven '!Q154</f>
        <v>3.2254300000000001E-3</v>
      </c>
      <c r="R71" s="282">
        <f>'28. Entry- en exittarieven '!R154</f>
        <v>1.3439999999999999E-4</v>
      </c>
    </row>
    <row r="72" spans="2:18">
      <c r="B72" s="3" t="s">
        <v>173</v>
      </c>
      <c r="H72" s="380"/>
      <c r="I72" s="383"/>
      <c r="J72" s="95">
        <f>'28. Entry- en exittarieven '!J155</f>
        <v>0.26937651000000001</v>
      </c>
      <c r="K72" s="95">
        <f>'28. Entry- en exittarieven '!K155</f>
        <v>1.083807E-2</v>
      </c>
      <c r="L72" s="282">
        <f>'28. Entry- en exittarieven '!L155</f>
        <v>4.5158999999999998E-4</v>
      </c>
      <c r="N72" s="380"/>
      <c r="O72" s="383"/>
      <c r="P72" s="95">
        <f>'28. Entry- en exittarieven '!P155</f>
        <v>6.7344130000000002E-2</v>
      </c>
      <c r="Q72" s="95">
        <f>'28. Entry- en exittarieven '!Q155</f>
        <v>2.70952E-3</v>
      </c>
      <c r="R72" s="282">
        <f>'28. Entry- en exittarieven '!R155</f>
        <v>1.1289999999999999E-4</v>
      </c>
    </row>
    <row r="73" spans="2:18">
      <c r="B73" s="3" t="s">
        <v>174</v>
      </c>
      <c r="H73" s="380"/>
      <c r="I73" s="383">
        <f>'28. Entry- en exittarieven '!I156</f>
        <v>0.65113951999999997</v>
      </c>
      <c r="J73" s="95">
        <f>'28. Entry- en exittarieven '!J156</f>
        <v>0.26286827000000001</v>
      </c>
      <c r="K73" s="95">
        <f>'28. Entry- en exittarieven '!K156</f>
        <v>1.022371E-2</v>
      </c>
      <c r="L73" s="282">
        <f>'28. Entry- en exittarieven '!L156</f>
        <v>4.2599000000000001E-4</v>
      </c>
      <c r="N73" s="380"/>
      <c r="O73" s="383">
        <f>'28. Entry- en exittarieven '!O156</f>
        <v>0.16278487999999999</v>
      </c>
      <c r="P73" s="95">
        <f>'28. Entry- en exittarieven '!P156</f>
        <v>6.5717070000000002E-2</v>
      </c>
      <c r="Q73" s="95">
        <f>'28. Entry- en exittarieven '!Q156</f>
        <v>2.5559300000000001E-3</v>
      </c>
      <c r="R73" s="282">
        <f>'28. Entry- en exittarieven '!R156</f>
        <v>1.065E-4</v>
      </c>
    </row>
    <row r="74" spans="2:18">
      <c r="B74" s="3" t="s">
        <v>175</v>
      </c>
      <c r="H74" s="380"/>
      <c r="I74" s="383"/>
      <c r="J74" s="95">
        <f>'28. Entry- en exittarieven '!J157</f>
        <v>0.24989228999999999</v>
      </c>
      <c r="K74" s="95">
        <f>'28. Entry- en exittarieven '!K157</f>
        <v>9.7353600000000002E-3</v>
      </c>
      <c r="L74" s="282">
        <f>'28. Entry- en exittarieven '!L157</f>
        <v>4.0565000000000002E-4</v>
      </c>
      <c r="N74" s="380"/>
      <c r="O74" s="383"/>
      <c r="P74" s="95">
        <f>'28. Entry- en exittarieven '!P157</f>
        <v>6.2473069999999999E-2</v>
      </c>
      <c r="Q74" s="95">
        <f>'28. Entry- en exittarieven '!Q157</f>
        <v>2.43384E-3</v>
      </c>
      <c r="R74" s="282">
        <f>'28. Entry- en exittarieven '!R157</f>
        <v>1.0142E-4</v>
      </c>
    </row>
    <row r="75" spans="2:18">
      <c r="B75" s="3" t="s">
        <v>176</v>
      </c>
      <c r="H75" s="380"/>
      <c r="I75" s="383"/>
      <c r="J75" s="95">
        <f>'28. Entry- en exittarieven '!J158</f>
        <v>0.26856636</v>
      </c>
      <c r="K75" s="95">
        <f>'28. Entry- en exittarieven '!K158</f>
        <v>1.080657E-2</v>
      </c>
      <c r="L75" s="282">
        <f>'28. Entry- en exittarieven '!L158</f>
        <v>4.5028000000000001E-4</v>
      </c>
      <c r="N75" s="380"/>
      <c r="O75" s="383"/>
      <c r="P75" s="95">
        <f>'28. Entry- en exittarieven '!P158</f>
        <v>6.7141590000000001E-2</v>
      </c>
      <c r="Q75" s="95">
        <f>'28. Entry- en exittarieven '!Q158</f>
        <v>2.7016399999999999E-3</v>
      </c>
      <c r="R75" s="282">
        <f>'28. Entry- en exittarieven '!R158</f>
        <v>1.1257E-4</v>
      </c>
    </row>
    <row r="76" spans="2:18">
      <c r="B76" s="3" t="s">
        <v>177</v>
      </c>
      <c r="H76" s="380"/>
      <c r="I76" s="383">
        <f>'28. Entry- en exittarieven '!I159</f>
        <v>1.1438937600000001</v>
      </c>
      <c r="J76" s="95">
        <f>'28. Entry- en exittarieven '!J159</f>
        <v>0.31853942000000002</v>
      </c>
      <c r="K76" s="95">
        <f>'28. Entry- en exittarieven '!K159</f>
        <v>1.239762E-2</v>
      </c>
      <c r="L76" s="282">
        <f>'28. Entry- en exittarieven '!L159</f>
        <v>5.1657000000000005E-4</v>
      </c>
      <c r="N76" s="380"/>
      <c r="O76" s="383">
        <f>'28. Entry- en exittarieven '!O159</f>
        <v>0.28597344000000002</v>
      </c>
      <c r="P76" s="95">
        <f>'28. Entry- en exittarieven '!P159</f>
        <v>7.9634849999999993E-2</v>
      </c>
      <c r="Q76" s="95">
        <f>'28. Entry- en exittarieven '!Q159</f>
        <v>3.0994099999999999E-3</v>
      </c>
      <c r="R76" s="282">
        <f>'28. Entry- en exittarieven '!R159</f>
        <v>1.2915E-4</v>
      </c>
    </row>
    <row r="77" spans="2:18">
      <c r="B77" s="3" t="s">
        <v>178</v>
      </c>
      <c r="H77" s="380"/>
      <c r="I77" s="383"/>
      <c r="J77" s="95">
        <f>'28. Entry- en exittarieven '!J160</f>
        <v>0.45773754</v>
      </c>
      <c r="K77" s="95">
        <f>'28. Entry- en exittarieven '!K160</f>
        <v>1.8399519999999999E-2</v>
      </c>
      <c r="L77" s="282">
        <f>'28. Entry- en exittarieven '!L160</f>
        <v>7.6665000000000001E-4</v>
      </c>
      <c r="N77" s="380"/>
      <c r="O77" s="383"/>
      <c r="P77" s="95">
        <f>'28. Entry- en exittarieven '!P160</f>
        <v>0.11443438</v>
      </c>
      <c r="Q77" s="95">
        <f>'28. Entry- en exittarieven '!Q160</f>
        <v>4.5998799999999998E-3</v>
      </c>
      <c r="R77" s="282">
        <f>'28. Entry- en exittarieven '!R160</f>
        <v>1.9166999999999999E-4</v>
      </c>
    </row>
    <row r="78" spans="2:18">
      <c r="B78" s="3" t="s">
        <v>179</v>
      </c>
      <c r="H78" s="380"/>
      <c r="I78" s="383"/>
      <c r="J78" s="95">
        <f>'28. Entry- en exittarieven '!J161</f>
        <v>0.59605799000000004</v>
      </c>
      <c r="K78" s="95">
        <f>'28. Entry- en exittarieven '!K161</f>
        <v>2.3188429999999999E-2</v>
      </c>
      <c r="L78" s="282">
        <f>'28. Entry- en exittarieven '!L161</f>
        <v>9.6619000000000002E-4</v>
      </c>
      <c r="N78" s="380"/>
      <c r="O78" s="383"/>
      <c r="P78" s="95">
        <f>'28. Entry- en exittarieven '!P161</f>
        <v>0.14901449999999999</v>
      </c>
      <c r="Q78" s="95">
        <f>'28. Entry- en exittarieven '!Q161</f>
        <v>5.7971100000000003E-3</v>
      </c>
      <c r="R78" s="282">
        <f>'28. Entry- en exittarieven '!R161</f>
        <v>2.4154999999999999E-4</v>
      </c>
    </row>
    <row r="79" spans="2:18">
      <c r="L79" s="268"/>
      <c r="R79" s="292"/>
    </row>
    <row r="80" spans="2:18" s="39" customFormat="1">
      <c r="B80" s="39" t="s">
        <v>186</v>
      </c>
      <c r="H80" s="39" t="s">
        <v>187</v>
      </c>
      <c r="L80" s="269"/>
      <c r="N80" s="39" t="s">
        <v>188</v>
      </c>
      <c r="R80" s="289"/>
    </row>
    <row r="81" spans="2:18" s="42" customFormat="1">
      <c r="H81" s="42" t="s">
        <v>158</v>
      </c>
      <c r="I81" s="42" t="s">
        <v>159</v>
      </c>
      <c r="J81" s="42" t="s">
        <v>160</v>
      </c>
      <c r="K81" s="42" t="s">
        <v>161</v>
      </c>
      <c r="L81" s="270" t="s">
        <v>162</v>
      </c>
      <c r="N81" s="42" t="s">
        <v>158</v>
      </c>
      <c r="O81" s="42" t="s">
        <v>159</v>
      </c>
      <c r="P81" s="42" t="s">
        <v>160</v>
      </c>
      <c r="Q81" s="42" t="s">
        <v>161</v>
      </c>
      <c r="R81" s="290" t="s">
        <v>162</v>
      </c>
    </row>
    <row r="82" spans="2:18" s="40" customFormat="1">
      <c r="H82" s="40" t="s">
        <v>163</v>
      </c>
      <c r="I82" s="40" t="s">
        <v>164</v>
      </c>
      <c r="J82" s="40" t="s">
        <v>165</v>
      </c>
      <c r="K82" s="40" t="s">
        <v>166</v>
      </c>
      <c r="L82" s="271" t="s">
        <v>167</v>
      </c>
      <c r="N82" s="40" t="s">
        <v>163</v>
      </c>
      <c r="O82" s="40" t="s">
        <v>164</v>
      </c>
      <c r="P82" s="40" t="s">
        <v>165</v>
      </c>
      <c r="Q82" s="40" t="s">
        <v>166</v>
      </c>
      <c r="R82" s="291" t="s">
        <v>167</v>
      </c>
    </row>
    <row r="83" spans="2:18">
      <c r="L83" s="268"/>
      <c r="R83" s="292"/>
    </row>
    <row r="84" spans="2:18">
      <c r="B84" s="3" t="s">
        <v>168</v>
      </c>
      <c r="H84" s="380">
        <f>'28. Entry- en exittarieven '!H167</f>
        <v>0.42266123999999999</v>
      </c>
      <c r="I84" s="381">
        <f>'28. Entry- en exittarieven '!I167</f>
        <v>0.19306355</v>
      </c>
      <c r="J84" s="244">
        <f>'28. Entry- en exittarieven '!J167</f>
        <v>9.2345689999999994E-2</v>
      </c>
      <c r="K84" s="246"/>
      <c r="L84" s="283"/>
      <c r="M84" s="247"/>
      <c r="N84" s="380">
        <f>'28. Entry- en exittarieven '!N167</f>
        <v>0.27479316999999998</v>
      </c>
      <c r="O84" s="381">
        <f>'28. Entry- en exittarieven '!O167</f>
        <v>0.12552025</v>
      </c>
      <c r="P84" s="244">
        <f>'28. Entry- en exittarieven '!P167</f>
        <v>6.0038540000000001E-2</v>
      </c>
      <c r="Q84" s="246"/>
      <c r="R84" s="293"/>
    </row>
    <row r="85" spans="2:18">
      <c r="B85" s="3" t="s">
        <v>169</v>
      </c>
      <c r="H85" s="380"/>
      <c r="I85" s="381"/>
      <c r="J85" s="244">
        <f>'28. Entry- en exittarieven '!J168</f>
        <v>7.4557440000000003E-2</v>
      </c>
      <c r="K85" s="246"/>
      <c r="L85" s="283"/>
      <c r="M85" s="247"/>
      <c r="N85" s="380"/>
      <c r="O85" s="381"/>
      <c r="P85" s="244">
        <f>'28. Entry- en exittarieven '!P168</f>
        <v>4.8473519999999999E-2</v>
      </c>
      <c r="Q85" s="246"/>
      <c r="R85" s="293"/>
    </row>
    <row r="86" spans="2:18">
      <c r="B86" s="3" t="s">
        <v>170</v>
      </c>
      <c r="H86" s="380"/>
      <c r="I86" s="381"/>
      <c r="J86" s="244">
        <f>'28. Entry- en exittarieven '!J169</f>
        <v>6.4561209999999994E-2</v>
      </c>
      <c r="K86" s="246"/>
      <c r="L86" s="283"/>
      <c r="M86" s="247"/>
      <c r="N86" s="380"/>
      <c r="O86" s="381"/>
      <c r="P86" s="244">
        <f>'28. Entry- en exittarieven '!P169</f>
        <v>4.197447E-2</v>
      </c>
      <c r="Q86" s="246"/>
      <c r="R86" s="293"/>
    </row>
    <row r="87" spans="2:18">
      <c r="B87" s="3" t="s">
        <v>171</v>
      </c>
      <c r="H87" s="380"/>
      <c r="I87" s="381">
        <f>'28. Entry- en exittarieven '!I170</f>
        <v>0.10326829999999999</v>
      </c>
      <c r="J87" s="244">
        <f>'28. Entry- en exittarieven '!J170</f>
        <v>4.6585370000000001E-2</v>
      </c>
      <c r="K87" s="246"/>
      <c r="L87" s="283"/>
      <c r="M87" s="247"/>
      <c r="N87" s="380"/>
      <c r="O87" s="381">
        <f>'28. Entry- en exittarieven '!O170</f>
        <v>6.7139879999999999E-2</v>
      </c>
      <c r="P87" s="244">
        <f>'28. Entry- en exittarieven '!P170</f>
        <v>3.0287479999999999E-2</v>
      </c>
      <c r="Q87" s="246"/>
      <c r="R87" s="293"/>
    </row>
    <row r="88" spans="2:18">
      <c r="B88" s="3" t="s">
        <v>172</v>
      </c>
      <c r="H88" s="380"/>
      <c r="I88" s="381"/>
      <c r="J88" s="244">
        <f>'28. Entry- en exittarieven '!J171</f>
        <v>4.264594E-2</v>
      </c>
      <c r="K88" s="246"/>
      <c r="L88" s="283"/>
      <c r="M88" s="247"/>
      <c r="N88" s="380"/>
      <c r="O88" s="381"/>
      <c r="P88" s="244">
        <f>'28. Entry- en exittarieven '!P171</f>
        <v>2.7726250000000001E-2</v>
      </c>
      <c r="Q88" s="246"/>
      <c r="R88" s="293"/>
    </row>
    <row r="89" spans="2:18">
      <c r="B89" s="3" t="s">
        <v>173</v>
      </c>
      <c r="H89" s="380"/>
      <c r="I89" s="381"/>
      <c r="J89" s="244">
        <f>'28. Entry- en exittarieven '!J172</f>
        <v>3.4652429999999998E-2</v>
      </c>
      <c r="K89" s="246"/>
      <c r="L89" s="283"/>
      <c r="M89" s="247"/>
      <c r="N89" s="380"/>
      <c r="O89" s="381"/>
      <c r="P89" s="244">
        <f>'28. Entry- en exittarieven '!P172</f>
        <v>2.2529279999999999E-2</v>
      </c>
      <c r="Q89" s="246"/>
      <c r="R89" s="293"/>
    </row>
    <row r="90" spans="2:18">
      <c r="B90" s="3" t="s">
        <v>174</v>
      </c>
      <c r="H90" s="380"/>
      <c r="I90" s="381">
        <f>'28. Entry- en exittarieven '!I173</f>
        <v>8.376219E-2</v>
      </c>
      <c r="J90" s="244">
        <f>'28. Entry- en exittarieven '!J173</f>
        <v>3.3815209999999998E-2</v>
      </c>
      <c r="K90" s="246"/>
      <c r="L90" s="283"/>
      <c r="M90" s="247"/>
      <c r="N90" s="380"/>
      <c r="O90" s="381">
        <f>'28. Entry- en exittarieven '!O173</f>
        <v>5.4457980000000003E-2</v>
      </c>
      <c r="P90" s="244">
        <f>'28. Entry- en exittarieven '!P173</f>
        <v>2.1984960000000001E-2</v>
      </c>
      <c r="Q90" s="246"/>
      <c r="R90" s="293"/>
    </row>
    <row r="91" spans="2:18">
      <c r="B91" s="3" t="s">
        <v>175</v>
      </c>
      <c r="H91" s="380"/>
      <c r="I91" s="381"/>
      <c r="J91" s="244">
        <f>'28. Entry- en exittarieven '!J174</f>
        <v>3.2145989999999999E-2</v>
      </c>
      <c r="K91" s="246"/>
      <c r="L91" s="283"/>
      <c r="M91" s="247"/>
      <c r="N91" s="380"/>
      <c r="O91" s="381"/>
      <c r="P91" s="244">
        <f>'28. Entry- en exittarieven '!P174</f>
        <v>2.0899709999999998E-2</v>
      </c>
      <c r="Q91" s="246"/>
      <c r="R91" s="293"/>
    </row>
    <row r="92" spans="2:18">
      <c r="B92" s="3" t="s">
        <v>176</v>
      </c>
      <c r="H92" s="380"/>
      <c r="I92" s="381"/>
      <c r="J92" s="244">
        <f>'28. Entry- en exittarieven '!J175</f>
        <v>3.4548210000000003E-2</v>
      </c>
      <c r="K92" s="246"/>
      <c r="L92" s="283"/>
      <c r="M92" s="247"/>
      <c r="N92" s="380"/>
      <c r="O92" s="381"/>
      <c r="P92" s="244">
        <f>'28. Entry- en exittarieven '!P175</f>
        <v>2.2461519999999999E-2</v>
      </c>
      <c r="Q92" s="246"/>
      <c r="R92" s="293"/>
    </row>
    <row r="93" spans="2:18">
      <c r="B93" s="3" t="s">
        <v>177</v>
      </c>
      <c r="H93" s="380"/>
      <c r="I93" s="381">
        <f>'28. Entry- en exittarieven '!I176</f>
        <v>0.1471498</v>
      </c>
      <c r="J93" s="244">
        <f>'28. Entry- en exittarieven '!J176</f>
        <v>4.0976720000000001E-2</v>
      </c>
      <c r="K93" s="246"/>
      <c r="L93" s="283"/>
      <c r="M93" s="247"/>
      <c r="N93" s="380"/>
      <c r="O93" s="381">
        <f>'28. Entry- en exittarieven '!O176</f>
        <v>9.566943E-2</v>
      </c>
      <c r="P93" s="244">
        <f>'28. Entry- en exittarieven '!P176</f>
        <v>2.664101E-2</v>
      </c>
      <c r="Q93" s="246"/>
      <c r="R93" s="293"/>
    </row>
    <row r="94" spans="2:18">
      <c r="B94" s="3" t="s">
        <v>178</v>
      </c>
      <c r="H94" s="380"/>
      <c r="I94" s="381"/>
      <c r="J94" s="244">
        <f>'28. Entry- en exittarieven '!J177</f>
        <v>5.8883079999999997E-2</v>
      </c>
      <c r="K94" s="246"/>
      <c r="L94" s="283"/>
      <c r="M94" s="247"/>
      <c r="N94" s="380"/>
      <c r="O94" s="381"/>
      <c r="P94" s="244">
        <f>'28. Entry- en exittarieven '!P177</f>
        <v>3.8282829999999997E-2</v>
      </c>
      <c r="Q94" s="246"/>
      <c r="R94" s="293"/>
    </row>
    <row r="95" spans="2:18">
      <c r="B95" s="3" t="s">
        <v>179</v>
      </c>
      <c r="H95" s="380"/>
      <c r="I95" s="381"/>
      <c r="J95" s="244">
        <f>'28. Entry- en exittarieven '!J178</f>
        <v>7.6676540000000001E-2</v>
      </c>
      <c r="K95" s="246"/>
      <c r="L95" s="283"/>
      <c r="M95" s="247"/>
      <c r="N95" s="380"/>
      <c r="O95" s="381"/>
      <c r="P95" s="244">
        <f>'28. Entry- en exittarieven '!P178</f>
        <v>4.985125E-2</v>
      </c>
      <c r="Q95" s="246"/>
      <c r="R95" s="293"/>
    </row>
    <row r="96" spans="2:18">
      <c r="L96" s="268"/>
      <c r="R96" s="292"/>
    </row>
    <row r="97" spans="2:18" s="39" customFormat="1">
      <c r="B97" s="39" t="s">
        <v>186</v>
      </c>
      <c r="H97" s="39" t="s">
        <v>189</v>
      </c>
      <c r="L97" s="269"/>
      <c r="N97" s="39" t="s">
        <v>190</v>
      </c>
      <c r="R97" s="289"/>
    </row>
    <row r="98" spans="2:18" s="42" customFormat="1">
      <c r="H98" s="42" t="s">
        <v>158</v>
      </c>
      <c r="I98" s="42" t="s">
        <v>159</v>
      </c>
      <c r="J98" s="42" t="s">
        <v>160</v>
      </c>
      <c r="K98" s="42" t="s">
        <v>161</v>
      </c>
      <c r="L98" s="270" t="s">
        <v>162</v>
      </c>
      <c r="N98" s="42" t="s">
        <v>158</v>
      </c>
      <c r="O98" s="42" t="s">
        <v>159</v>
      </c>
      <c r="P98" s="42" t="s">
        <v>160</v>
      </c>
      <c r="Q98" s="42" t="s">
        <v>161</v>
      </c>
      <c r="R98" s="290" t="s">
        <v>162</v>
      </c>
    </row>
    <row r="99" spans="2:18" s="40" customFormat="1">
      <c r="H99" s="40" t="s">
        <v>163</v>
      </c>
      <c r="I99" s="40" t="s">
        <v>164</v>
      </c>
      <c r="J99" s="40" t="s">
        <v>165</v>
      </c>
      <c r="K99" s="40" t="s">
        <v>166</v>
      </c>
      <c r="L99" s="271" t="s">
        <v>167</v>
      </c>
      <c r="N99" s="40" t="s">
        <v>163</v>
      </c>
      <c r="O99" s="40" t="s">
        <v>164</v>
      </c>
      <c r="P99" s="40" t="s">
        <v>165</v>
      </c>
      <c r="Q99" s="40" t="s">
        <v>166</v>
      </c>
      <c r="R99" s="291" t="s">
        <v>167</v>
      </c>
    </row>
    <row r="100" spans="2:18">
      <c r="L100" s="268"/>
      <c r="R100" s="292"/>
    </row>
    <row r="101" spans="2:18">
      <c r="B101" s="3" t="s">
        <v>168</v>
      </c>
      <c r="H101" s="380">
        <f>'28. Entry- en exittarieven '!H184</f>
        <v>0.25353336999999998</v>
      </c>
      <c r="I101" s="381">
        <f>'28. Entry- en exittarieven '!I184</f>
        <v>0.11580918</v>
      </c>
      <c r="J101" s="244">
        <f>'28. Entry- en exittarieven '!J184</f>
        <v>5.5393570000000003E-2</v>
      </c>
      <c r="K101" s="246"/>
      <c r="L101" s="283"/>
      <c r="M101" s="247"/>
      <c r="N101" s="380">
        <f>'28. Entry- en exittarieven '!N184</f>
        <v>0.10566531</v>
      </c>
      <c r="O101" s="381">
        <f>'28. Entry- en exittarieven '!O184</f>
        <v>4.8265889999999999E-2</v>
      </c>
      <c r="P101" s="244">
        <f>'28. Entry- en exittarieven '!P184</f>
        <v>2.308642E-2</v>
      </c>
      <c r="Q101" s="246"/>
      <c r="R101" s="293"/>
    </row>
    <row r="102" spans="2:18">
      <c r="B102" s="3" t="s">
        <v>169</v>
      </c>
      <c r="H102" s="380"/>
      <c r="I102" s="381"/>
      <c r="J102" s="244">
        <f>'28. Entry- en exittarieven '!J185</f>
        <v>4.4723289999999999E-2</v>
      </c>
      <c r="K102" s="246"/>
      <c r="L102" s="283"/>
      <c r="M102" s="247"/>
      <c r="N102" s="380"/>
      <c r="O102" s="381"/>
      <c r="P102" s="244">
        <f>'28. Entry- en exittarieven '!P185</f>
        <v>1.8639360000000001E-2</v>
      </c>
      <c r="Q102" s="246"/>
      <c r="R102" s="293"/>
    </row>
    <row r="103" spans="2:18">
      <c r="B103" s="3" t="s">
        <v>170</v>
      </c>
      <c r="H103" s="380"/>
      <c r="I103" s="381"/>
      <c r="J103" s="244">
        <f>'28. Entry- en exittarieven '!J186</f>
        <v>3.8727049999999999E-2</v>
      </c>
      <c r="K103" s="246"/>
      <c r="L103" s="283"/>
      <c r="M103" s="247"/>
      <c r="N103" s="380"/>
      <c r="O103" s="381"/>
      <c r="P103" s="244">
        <f>'28. Entry- en exittarieven '!P186</f>
        <v>1.61403E-2</v>
      </c>
      <c r="Q103" s="246"/>
      <c r="R103" s="293"/>
    </row>
    <row r="104" spans="2:18">
      <c r="B104" s="3" t="s">
        <v>171</v>
      </c>
      <c r="H104" s="380"/>
      <c r="I104" s="381">
        <f>'28. Entry- en exittarieven '!I187</f>
        <v>6.1945500000000001E-2</v>
      </c>
      <c r="J104" s="244">
        <f>'28. Entry- en exittarieven '!J187</f>
        <v>2.7944239999999999E-2</v>
      </c>
      <c r="K104" s="246"/>
      <c r="L104" s="283"/>
      <c r="M104" s="247"/>
      <c r="N104" s="380"/>
      <c r="O104" s="381">
        <f>'28. Entry- en exittarieven '!O187</f>
        <v>2.5817070000000001E-2</v>
      </c>
      <c r="P104" s="244">
        <f>'28. Entry- en exittarieven '!P187</f>
        <v>1.164634E-2</v>
      </c>
      <c r="Q104" s="246"/>
      <c r="R104" s="293"/>
    </row>
    <row r="105" spans="2:18">
      <c r="B105" s="3" t="s">
        <v>172</v>
      </c>
      <c r="H105" s="380"/>
      <c r="I105" s="381"/>
      <c r="J105" s="244">
        <f>'28. Entry- en exittarieven '!J188</f>
        <v>2.558117E-2</v>
      </c>
      <c r="K105" s="246"/>
      <c r="L105" s="283"/>
      <c r="M105" s="247"/>
      <c r="N105" s="380"/>
      <c r="O105" s="381"/>
      <c r="P105" s="244">
        <f>'28. Entry- en exittarieven '!P188</f>
        <v>1.0661479999999999E-2</v>
      </c>
      <c r="Q105" s="246"/>
      <c r="R105" s="293"/>
    </row>
    <row r="106" spans="2:18">
      <c r="B106" s="3" t="s">
        <v>173</v>
      </c>
      <c r="H106" s="380"/>
      <c r="I106" s="381"/>
      <c r="J106" s="244">
        <f>'28. Entry- en exittarieven '!J189</f>
        <v>2.0786260000000001E-2</v>
      </c>
      <c r="K106" s="246"/>
      <c r="L106" s="283"/>
      <c r="M106" s="247"/>
      <c r="N106" s="380"/>
      <c r="O106" s="381"/>
      <c r="P106" s="244">
        <f>'28. Entry- en exittarieven '!P189</f>
        <v>8.6631099999999999E-3</v>
      </c>
      <c r="Q106" s="246"/>
      <c r="R106" s="293"/>
    </row>
    <row r="107" spans="2:18">
      <c r="B107" s="3" t="s">
        <v>174</v>
      </c>
      <c r="H107" s="380"/>
      <c r="I107" s="381">
        <f>'28. Entry- en exittarieven '!I190</f>
        <v>5.0244759999999999E-2</v>
      </c>
      <c r="J107" s="244">
        <f>'28. Entry- en exittarieven '!J190</f>
        <v>2.028406E-2</v>
      </c>
      <c r="K107" s="246"/>
      <c r="L107" s="283"/>
      <c r="M107" s="247"/>
      <c r="N107" s="380"/>
      <c r="O107" s="381">
        <f>'28. Entry- en exittarieven '!O190</f>
        <v>2.0940549999999999E-2</v>
      </c>
      <c r="P107" s="244">
        <f>'28. Entry- en exittarieven '!P190</f>
        <v>8.4537999999999992E-3</v>
      </c>
      <c r="Q107" s="246"/>
      <c r="R107" s="293"/>
    </row>
    <row r="108" spans="2:18">
      <c r="B108" s="3" t="s">
        <v>175</v>
      </c>
      <c r="H108" s="380"/>
      <c r="I108" s="381"/>
      <c r="J108" s="244">
        <f>'28. Entry- en exittarieven '!J191</f>
        <v>1.9282779999999999E-2</v>
      </c>
      <c r="K108" s="246"/>
      <c r="L108" s="283"/>
      <c r="M108" s="247"/>
      <c r="N108" s="380"/>
      <c r="O108" s="381"/>
      <c r="P108" s="244">
        <f>'28. Entry- en exittarieven '!P191</f>
        <v>8.0365000000000002E-3</v>
      </c>
      <c r="Q108" s="246"/>
      <c r="R108" s="293"/>
    </row>
    <row r="109" spans="2:18">
      <c r="B109" s="3" t="s">
        <v>176</v>
      </c>
      <c r="H109" s="380"/>
      <c r="I109" s="381"/>
      <c r="J109" s="244">
        <f>'28. Entry- en exittarieven '!J192</f>
        <v>2.0723749999999999E-2</v>
      </c>
      <c r="K109" s="246"/>
      <c r="L109" s="283"/>
      <c r="M109" s="247"/>
      <c r="N109" s="380"/>
      <c r="O109" s="381"/>
      <c r="P109" s="244">
        <f>'28. Entry- en exittarieven '!P192</f>
        <v>8.6370500000000003E-3</v>
      </c>
      <c r="Q109" s="246"/>
      <c r="R109" s="293"/>
    </row>
    <row r="110" spans="2:18">
      <c r="B110" s="3" t="s">
        <v>177</v>
      </c>
      <c r="H110" s="380"/>
      <c r="I110" s="381">
        <f>'28. Entry- en exittarieven '!I193</f>
        <v>8.8267819999999997E-2</v>
      </c>
      <c r="J110" s="244">
        <f>'28. Entry- en exittarieven '!J193</f>
        <v>2.457989E-2</v>
      </c>
      <c r="K110" s="246"/>
      <c r="L110" s="283"/>
      <c r="M110" s="247"/>
      <c r="N110" s="380"/>
      <c r="O110" s="381">
        <f>'28. Entry- en exittarieven '!O193</f>
        <v>3.6787449999999999E-2</v>
      </c>
      <c r="P110" s="244">
        <f>'28. Entry- en exittarieven '!P193</f>
        <v>1.024418E-2</v>
      </c>
      <c r="Q110" s="246"/>
      <c r="R110" s="293"/>
    </row>
    <row r="111" spans="2:18">
      <c r="B111" s="3" t="s">
        <v>178</v>
      </c>
      <c r="H111" s="380"/>
      <c r="I111" s="381"/>
      <c r="J111" s="244">
        <f>'28. Entry- en exittarieven '!J194</f>
        <v>3.5321020000000002E-2</v>
      </c>
      <c r="K111" s="246"/>
      <c r="L111" s="283"/>
      <c r="M111" s="247"/>
      <c r="N111" s="380"/>
      <c r="O111" s="381"/>
      <c r="P111" s="244">
        <f>'28. Entry- en exittarieven '!P194</f>
        <v>1.4720769999999999E-2</v>
      </c>
      <c r="Q111" s="246"/>
      <c r="R111" s="293"/>
    </row>
    <row r="112" spans="2:18">
      <c r="B112" s="3" t="s">
        <v>179</v>
      </c>
      <c r="H112" s="380"/>
      <c r="I112" s="381"/>
      <c r="J112" s="244">
        <f>'28. Entry- en exittarieven '!J195</f>
        <v>4.5994430000000003E-2</v>
      </c>
      <c r="K112" s="246"/>
      <c r="L112" s="283"/>
      <c r="M112" s="247"/>
      <c r="N112" s="380"/>
      <c r="O112" s="381"/>
      <c r="P112" s="244">
        <f>'28. Entry- en exittarieven '!P195</f>
        <v>1.916913E-2</v>
      </c>
      <c r="Q112" s="246"/>
      <c r="R112" s="293"/>
    </row>
  </sheetData>
  <mergeCells count="72">
    <mergeCell ref="H50:H61"/>
    <mergeCell ref="I50:I52"/>
    <mergeCell ref="N50:N61"/>
    <mergeCell ref="O50:O52"/>
    <mergeCell ref="I53:I55"/>
    <mergeCell ref="O53:O55"/>
    <mergeCell ref="I56:I58"/>
    <mergeCell ref="O56:O58"/>
    <mergeCell ref="I59:I61"/>
    <mergeCell ref="O59:O61"/>
    <mergeCell ref="T16:T27"/>
    <mergeCell ref="U16:U18"/>
    <mergeCell ref="U19:U21"/>
    <mergeCell ref="U22:U24"/>
    <mergeCell ref="U25:U27"/>
    <mergeCell ref="T50:T61"/>
    <mergeCell ref="U50:U52"/>
    <mergeCell ref="U53:U55"/>
    <mergeCell ref="U56:U58"/>
    <mergeCell ref="U59:U61"/>
    <mergeCell ref="H67:H78"/>
    <mergeCell ref="I67:I69"/>
    <mergeCell ref="N67:N78"/>
    <mergeCell ref="O67:O69"/>
    <mergeCell ref="I70:I72"/>
    <mergeCell ref="O70:O72"/>
    <mergeCell ref="I73:I75"/>
    <mergeCell ref="O73:O75"/>
    <mergeCell ref="I76:I78"/>
    <mergeCell ref="O76:O78"/>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N16:N27"/>
    <mergeCell ref="I16:I18"/>
    <mergeCell ref="I19:I21"/>
    <mergeCell ref="I22:I24"/>
    <mergeCell ref="I25:I27"/>
    <mergeCell ref="O87:O89"/>
    <mergeCell ref="I90:I92"/>
    <mergeCell ref="O90:O92"/>
    <mergeCell ref="I93:I95"/>
    <mergeCell ref="O93:O95"/>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Parameters'!$B$187:$B$201</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2:CH218"/>
  <sheetViews>
    <sheetView showGridLines="0" zoomScale="80" zoomScaleNormal="80" workbookViewId="0">
      <pane xSplit="4" ySplit="7" topLeftCell="E8" activePane="bottomRight" state="frozen"/>
      <selection pane="topRight"/>
      <selection pane="bottomLeft"/>
      <selection pane="bottomRight" activeCell="J214" sqref="J214"/>
    </sheetView>
  </sheetViews>
  <sheetFormatPr defaultColWidth="9.140625" defaultRowHeight="12.75"/>
  <cols>
    <col min="1" max="1" width="2.5703125" style="3" customWidth="1"/>
    <col min="2" max="2" width="53.42578125" style="3" customWidth="1"/>
    <col min="3" max="3" width="2.5703125" style="3" customWidth="1"/>
    <col min="4" max="4" width="15.140625" style="3" bestFit="1" customWidth="1"/>
    <col min="5" max="5" width="2.5703125" style="3" customWidth="1"/>
    <col min="6" max="6" width="13.5703125" style="3" customWidth="1"/>
    <col min="7" max="7" width="2.5703125" style="3" customWidth="1"/>
    <col min="8" max="8" width="13" style="3" bestFit="1" customWidth="1"/>
    <col min="9" max="9" width="12.5703125" style="3" customWidth="1"/>
    <col min="10" max="10" width="13" style="3" bestFit="1" customWidth="1"/>
    <col min="11" max="11" width="12.5703125" style="3" customWidth="1"/>
    <col min="12" max="12" width="17.42578125" style="3" bestFit="1" customWidth="1"/>
    <col min="13" max="17" width="12.5703125" style="3" customWidth="1"/>
    <col min="18" max="18" width="2.5703125" style="3" customWidth="1"/>
    <col min="19" max="19" width="40.140625" style="3" bestFit="1" customWidth="1"/>
    <col min="20" max="20" width="2.5703125" style="3" customWidth="1"/>
    <col min="21" max="34" width="13.5703125" style="3" customWidth="1"/>
    <col min="35" max="16384" width="9.140625" style="3"/>
  </cols>
  <sheetData>
    <row r="2" spans="2:21" s="12" customFormat="1" ht="18">
      <c r="B2" s="12" t="s">
        <v>191</v>
      </c>
    </row>
    <row r="4" spans="2:21">
      <c r="B4" s="16" t="s">
        <v>192</v>
      </c>
      <c r="C4" s="2"/>
      <c r="I4"/>
      <c r="K4"/>
    </row>
    <row r="5" spans="2:21" ht="28.5" customHeight="1">
      <c r="B5" s="379" t="s">
        <v>193</v>
      </c>
      <c r="C5" s="379"/>
      <c r="D5" s="379"/>
      <c r="F5" s="13"/>
    </row>
    <row r="7" spans="2:21" s="8" customFormat="1">
      <c r="B7" s="8" t="s">
        <v>152</v>
      </c>
      <c r="D7" s="8" t="s">
        <v>194</v>
      </c>
      <c r="F7" s="8" t="s">
        <v>195</v>
      </c>
      <c r="H7" s="52">
        <v>2017</v>
      </c>
      <c r="I7" s="59">
        <v>2018</v>
      </c>
      <c r="J7" s="52">
        <v>2019</v>
      </c>
      <c r="K7" s="59">
        <v>2020</v>
      </c>
      <c r="L7" s="52">
        <v>2021</v>
      </c>
      <c r="M7" s="52">
        <v>2022</v>
      </c>
      <c r="N7" s="52">
        <v>2023</v>
      </c>
      <c r="O7" s="52">
        <v>2024</v>
      </c>
      <c r="P7" s="52">
        <v>2025</v>
      </c>
      <c r="Q7" s="52">
        <v>2026</v>
      </c>
      <c r="S7" s="8" t="s">
        <v>196</v>
      </c>
      <c r="U7" s="8" t="s">
        <v>197</v>
      </c>
    </row>
    <row r="9" spans="2:21" s="8" customFormat="1">
      <c r="B9" s="8" t="s">
        <v>198</v>
      </c>
    </row>
    <row r="11" spans="2:21">
      <c r="B11" s="3" t="s">
        <v>198</v>
      </c>
      <c r="D11" s="3" t="s">
        <v>199</v>
      </c>
      <c r="F11" s="143">
        <v>3.78E-2</v>
      </c>
      <c r="S11" s="3" t="s">
        <v>108</v>
      </c>
    </row>
    <row r="12" spans="2:21">
      <c r="B12" s="3" t="s">
        <v>200</v>
      </c>
      <c r="D12" s="3" t="s">
        <v>199</v>
      </c>
      <c r="F12" s="143">
        <v>3.1800000000000002E-2</v>
      </c>
      <c r="S12" s="3" t="s">
        <v>201</v>
      </c>
    </row>
    <row r="14" spans="2:21" s="8" customFormat="1">
      <c r="B14" s="8" t="s">
        <v>202</v>
      </c>
    </row>
    <row r="16" spans="2:21">
      <c r="B16" s="3" t="s">
        <v>203</v>
      </c>
      <c r="D16" s="3" t="s">
        <v>204</v>
      </c>
      <c r="F16" s="93"/>
      <c r="H16" s="10"/>
      <c r="I16" s="10"/>
      <c r="J16" s="10"/>
      <c r="K16" s="10"/>
      <c r="L16" s="352">
        <v>948654045.67944181</v>
      </c>
      <c r="M16" s="10"/>
      <c r="N16" s="10"/>
      <c r="O16" s="10"/>
      <c r="P16" s="10"/>
      <c r="Q16" s="10"/>
      <c r="S16" s="3" t="s">
        <v>108</v>
      </c>
    </row>
    <row r="17" spans="2:27">
      <c r="B17" s="3" t="s">
        <v>205</v>
      </c>
      <c r="D17" s="3" t="s">
        <v>204</v>
      </c>
      <c r="F17" s="93"/>
      <c r="H17" s="10"/>
      <c r="I17" s="10"/>
      <c r="J17" s="10"/>
      <c r="K17" s="10"/>
      <c r="L17" s="352">
        <v>1007936348.9723855</v>
      </c>
      <c r="M17" s="10"/>
      <c r="N17" s="10"/>
      <c r="O17" s="10"/>
      <c r="P17" s="10"/>
      <c r="Q17" s="10"/>
      <c r="S17" s="3" t="s">
        <v>201</v>
      </c>
    </row>
    <row r="19" spans="2:27" s="8" customFormat="1">
      <c r="B19" s="8" t="s">
        <v>206</v>
      </c>
    </row>
    <row r="21" spans="2:27">
      <c r="B21" s="16" t="s">
        <v>207</v>
      </c>
    </row>
    <row r="22" spans="2:27">
      <c r="B22" s="32" t="s">
        <v>208</v>
      </c>
      <c r="D22" s="3" t="s">
        <v>199</v>
      </c>
      <c r="H22" s="259">
        <v>4.2000000000000003E-2</v>
      </c>
      <c r="I22" s="259">
        <v>3.9E-2</v>
      </c>
      <c r="J22" s="259">
        <v>3.5999999999999997E-2</v>
      </c>
      <c r="K22" s="259">
        <v>3.3000000000000002E-2</v>
      </c>
      <c r="L22" s="259">
        <v>0.03</v>
      </c>
      <c r="M22" s="113"/>
      <c r="N22" s="113"/>
      <c r="O22" s="113"/>
      <c r="P22" s="113"/>
      <c r="Q22" s="113"/>
      <c r="S22" s="3" t="s">
        <v>209</v>
      </c>
    </row>
    <row r="23" spans="2:27">
      <c r="B23" s="32" t="s">
        <v>210</v>
      </c>
      <c r="D23" s="3" t="s">
        <v>199</v>
      </c>
      <c r="H23" s="143">
        <v>3.7999999999999999E-2</v>
      </c>
      <c r="I23" s="143">
        <v>3.5999999999999997E-2</v>
      </c>
      <c r="J23" s="143">
        <v>3.4000000000000002E-2</v>
      </c>
      <c r="K23" s="143">
        <v>3.2000000000000001E-2</v>
      </c>
      <c r="L23" s="143">
        <v>0.03</v>
      </c>
      <c r="M23" s="113"/>
      <c r="N23" s="113"/>
      <c r="O23" s="113"/>
      <c r="P23" s="113"/>
      <c r="Q23" s="113"/>
      <c r="S23" s="3" t="s">
        <v>209</v>
      </c>
    </row>
    <row r="24" spans="2:27">
      <c r="B24" s="156" t="s">
        <v>211</v>
      </c>
      <c r="D24" s="3" t="s">
        <v>199</v>
      </c>
      <c r="F24" s="94"/>
      <c r="H24" s="113"/>
      <c r="I24" s="113"/>
      <c r="J24" s="113"/>
      <c r="K24" s="113"/>
      <c r="L24" s="113"/>
      <c r="M24" s="143">
        <v>3.4000000000000002E-2</v>
      </c>
      <c r="N24" s="143">
        <v>3.3000000000000002E-2</v>
      </c>
      <c r="O24" s="143">
        <v>3.7999999999999999E-2</v>
      </c>
      <c r="P24" s="143">
        <v>3.7999999999999999E-2</v>
      </c>
      <c r="Q24" s="143">
        <v>3.7999999999999999E-2</v>
      </c>
      <c r="S24" s="88" t="s">
        <v>212</v>
      </c>
      <c r="U24" s="379"/>
      <c r="V24" s="379"/>
      <c r="W24" s="379"/>
      <c r="X24" s="379"/>
      <c r="Y24" s="379"/>
      <c r="Z24" s="379"/>
      <c r="AA24" s="379"/>
    </row>
    <row r="25" spans="2:27">
      <c r="B25" s="156" t="s">
        <v>213</v>
      </c>
      <c r="D25" s="3" t="s">
        <v>199</v>
      </c>
      <c r="F25" s="94"/>
      <c r="H25" s="113"/>
      <c r="I25" s="113"/>
      <c r="J25" s="113"/>
      <c r="K25" s="113"/>
      <c r="L25" s="113"/>
      <c r="M25" s="143">
        <v>3.2000000000000001E-2</v>
      </c>
      <c r="N25" s="143">
        <v>3.2000000000000001E-2</v>
      </c>
      <c r="O25" s="143">
        <v>3.7999999999999999E-2</v>
      </c>
      <c r="P25" s="143">
        <v>3.7999999999999999E-2</v>
      </c>
      <c r="Q25" s="143">
        <v>3.7999999999999999E-2</v>
      </c>
      <c r="S25" s="88" t="s">
        <v>212</v>
      </c>
      <c r="U25" s="379"/>
      <c r="V25" s="379"/>
      <c r="W25" s="379"/>
      <c r="X25" s="379"/>
      <c r="Y25" s="379"/>
      <c r="Z25" s="379"/>
      <c r="AA25" s="379"/>
    </row>
    <row r="26" spans="2:27">
      <c r="H26" s="23"/>
      <c r="I26" s="23"/>
      <c r="J26" s="23"/>
      <c r="K26" s="23"/>
      <c r="L26" s="23"/>
      <c r="M26" s="23"/>
      <c r="N26" s="23"/>
      <c r="O26" s="23"/>
      <c r="P26" s="23"/>
      <c r="Q26" s="23"/>
    </row>
    <row r="27" spans="2:27">
      <c r="B27" s="2" t="s">
        <v>214</v>
      </c>
      <c r="H27" s="23"/>
      <c r="I27" s="23"/>
      <c r="J27" s="23"/>
      <c r="K27" s="23"/>
      <c r="L27" s="23"/>
      <c r="M27" s="23"/>
      <c r="N27" s="23"/>
      <c r="O27" s="23"/>
      <c r="P27" s="23"/>
      <c r="Q27" s="23"/>
    </row>
    <row r="28" spans="2:27">
      <c r="B28" s="156" t="s">
        <v>211</v>
      </c>
      <c r="D28" s="3" t="s">
        <v>199</v>
      </c>
      <c r="F28" s="94"/>
      <c r="H28" s="113"/>
      <c r="I28" s="113"/>
      <c r="J28" s="113"/>
      <c r="K28" s="113"/>
      <c r="L28" s="113"/>
      <c r="M28" s="143">
        <v>4.1000000000000002E-2</v>
      </c>
      <c r="N28" s="143">
        <v>5.0999999999999997E-2</v>
      </c>
      <c r="O28" s="113"/>
      <c r="P28" s="113"/>
      <c r="Q28" s="113"/>
      <c r="S28" s="3" t="s">
        <v>215</v>
      </c>
    </row>
    <row r="30" spans="2:27" s="8" customFormat="1">
      <c r="B30" s="8" t="s">
        <v>216</v>
      </c>
    </row>
    <row r="32" spans="2:27">
      <c r="B32" s="3" t="s">
        <v>217</v>
      </c>
      <c r="D32" s="3" t="s">
        <v>199</v>
      </c>
      <c r="F32" s="144">
        <v>0.01</v>
      </c>
      <c r="S32" s="88" t="s">
        <v>212</v>
      </c>
    </row>
    <row r="34" spans="2:27" s="8" customFormat="1">
      <c r="B34" s="8" t="s">
        <v>218</v>
      </c>
    </row>
    <row r="36" spans="2:27">
      <c r="B36" s="16" t="s">
        <v>218</v>
      </c>
    </row>
    <row r="37" spans="2:27" ht="12.75" customHeight="1">
      <c r="B37" s="3" t="s">
        <v>218</v>
      </c>
      <c r="D37" s="3" t="s">
        <v>199</v>
      </c>
      <c r="F37" s="23"/>
      <c r="H37" s="142">
        <v>2E-3</v>
      </c>
      <c r="I37" s="142">
        <v>1.4E-2</v>
      </c>
      <c r="J37" s="142">
        <v>1.2E-2</v>
      </c>
      <c r="K37" s="143">
        <v>2.5999999999999999E-2</v>
      </c>
      <c r="L37" s="143">
        <v>1.6E-2</v>
      </c>
      <c r="M37" s="143">
        <v>1.7999999999999999E-2</v>
      </c>
      <c r="N37" s="143">
        <v>6.2E-2</v>
      </c>
      <c r="O37" s="259">
        <v>0.08</v>
      </c>
      <c r="P37" s="143">
        <v>2.8000000000000001E-2</v>
      </c>
      <c r="Q37" s="143">
        <v>1.7000000000000001E-2</v>
      </c>
      <c r="S37" s="3" t="s">
        <v>219</v>
      </c>
      <c r="U37" s="379" t="s">
        <v>220</v>
      </c>
      <c r="V37" s="379"/>
      <c r="W37" s="379"/>
      <c r="X37" s="379"/>
      <c r="Y37" s="379"/>
      <c r="Z37" s="379"/>
      <c r="AA37" s="379"/>
    </row>
    <row r="39" spans="2:27">
      <c r="B39" s="16" t="s">
        <v>221</v>
      </c>
    </row>
    <row r="40" spans="2:27">
      <c r="B40" s="3" t="s">
        <v>222</v>
      </c>
      <c r="D40" s="3" t="s">
        <v>223</v>
      </c>
      <c r="H40" s="3">
        <v>1</v>
      </c>
      <c r="I40" s="31">
        <f>H40*(1+I$37)</f>
        <v>1.014</v>
      </c>
      <c r="J40" s="31">
        <f t="shared" ref="J40:Q40" si="0">I40*(1+J$37)</f>
        <v>1.026168</v>
      </c>
      <c r="K40" s="31">
        <f t="shared" si="0"/>
        <v>1.052848368</v>
      </c>
      <c r="L40" s="31">
        <f t="shared" si="0"/>
        <v>1.069693941888</v>
      </c>
      <c r="M40" s="31">
        <f t="shared" si="0"/>
        <v>1.0889484328419841</v>
      </c>
      <c r="N40" s="31">
        <f t="shared" si="0"/>
        <v>1.1564632356781872</v>
      </c>
      <c r="O40" s="31">
        <f t="shared" si="0"/>
        <v>1.2489802945324422</v>
      </c>
      <c r="P40" s="31">
        <f t="shared" si="0"/>
        <v>1.2839517427793505</v>
      </c>
      <c r="Q40" s="31">
        <f t="shared" si="0"/>
        <v>1.3057789224065994</v>
      </c>
    </row>
    <row r="41" spans="2:27">
      <c r="B41" s="32" t="s">
        <v>224</v>
      </c>
      <c r="D41" s="3" t="s">
        <v>223</v>
      </c>
      <c r="H41" s="10"/>
      <c r="I41" s="3">
        <v>1</v>
      </c>
      <c r="J41" s="31">
        <f>I41*(1+J$37)</f>
        <v>1.012</v>
      </c>
      <c r="K41" s="31">
        <f t="shared" ref="K41:Q41" si="1">J41*(1+K$37)</f>
        <v>1.0383120000000001</v>
      </c>
      <c r="L41" s="31">
        <f t="shared" si="1"/>
        <v>1.0549249920000001</v>
      </c>
      <c r="M41" s="31">
        <f t="shared" si="1"/>
        <v>1.0739136418560002</v>
      </c>
      <c r="N41" s="31">
        <f t="shared" si="1"/>
        <v>1.1404962876510722</v>
      </c>
      <c r="O41" s="31">
        <f t="shared" si="1"/>
        <v>1.2317359906631582</v>
      </c>
      <c r="P41" s="31">
        <f t="shared" si="1"/>
        <v>1.2662245984017266</v>
      </c>
      <c r="Q41" s="31">
        <f t="shared" si="1"/>
        <v>1.2877504165745559</v>
      </c>
    </row>
    <row r="42" spans="2:27">
      <c r="B42" s="32" t="s">
        <v>225</v>
      </c>
      <c r="D42" s="3" t="s">
        <v>223</v>
      </c>
      <c r="H42" s="10"/>
      <c r="I42" s="10"/>
      <c r="J42" s="3">
        <v>1</v>
      </c>
      <c r="K42" s="31">
        <f>J42*(1+K$37)</f>
        <v>1.026</v>
      </c>
      <c r="L42" s="31">
        <f>K42*(1+L$37)</f>
        <v>1.042416</v>
      </c>
      <c r="M42" s="31">
        <f t="shared" ref="M42:Q42" si="2">L42*(1+M$37)</f>
        <v>1.0611794880000001</v>
      </c>
      <c r="N42" s="31">
        <f t="shared" si="2"/>
        <v>1.1269726162560001</v>
      </c>
      <c r="O42" s="31">
        <f t="shared" si="2"/>
        <v>1.2171304255564801</v>
      </c>
      <c r="P42" s="31">
        <f t="shared" si="2"/>
        <v>1.2512100774720616</v>
      </c>
      <c r="Q42" s="31">
        <f t="shared" si="2"/>
        <v>1.2724806487890865</v>
      </c>
    </row>
    <row r="43" spans="2:27">
      <c r="B43" s="32" t="s">
        <v>226</v>
      </c>
      <c r="D43" s="3" t="s">
        <v>223</v>
      </c>
      <c r="H43" s="10"/>
      <c r="I43" s="10"/>
      <c r="J43" s="10"/>
      <c r="K43" s="3">
        <v>1</v>
      </c>
      <c r="L43" s="31">
        <f>K43*(1+L$37)</f>
        <v>1.016</v>
      </c>
      <c r="M43" s="31">
        <f t="shared" ref="M43:Q43" si="3">L43*(1+M$37)</f>
        <v>1.0342880000000001</v>
      </c>
      <c r="N43" s="31">
        <f t="shared" si="3"/>
        <v>1.0984138560000001</v>
      </c>
      <c r="O43" s="31">
        <f t="shared" si="3"/>
        <v>1.1862869644800003</v>
      </c>
      <c r="P43" s="31">
        <f t="shared" si="3"/>
        <v>1.2195029994854403</v>
      </c>
      <c r="Q43" s="31">
        <f t="shared" si="3"/>
        <v>1.2402345504766927</v>
      </c>
    </row>
    <row r="44" spans="2:27">
      <c r="B44" s="32" t="s">
        <v>227</v>
      </c>
      <c r="D44" s="3" t="s">
        <v>223</v>
      </c>
      <c r="H44" s="10"/>
      <c r="I44" s="10"/>
      <c r="J44" s="10"/>
      <c r="K44" s="10"/>
      <c r="L44" s="3">
        <v>1</v>
      </c>
      <c r="M44" s="31">
        <f>L44*(1+M$37)</f>
        <v>1.018</v>
      </c>
      <c r="N44" s="31">
        <f t="shared" ref="N44:O44" si="4">M44*(1+N$37)</f>
        <v>1.081116</v>
      </c>
      <c r="O44" s="31">
        <f t="shared" si="4"/>
        <v>1.1676052800000001</v>
      </c>
      <c r="P44" s="31">
        <f t="shared" ref="P44:Q47" si="5">O44*(1+P$37)</f>
        <v>1.2002982278400001</v>
      </c>
      <c r="Q44" s="31">
        <f t="shared" si="5"/>
        <v>1.2207032977132799</v>
      </c>
    </row>
    <row r="45" spans="2:27">
      <c r="B45" s="32" t="s">
        <v>228</v>
      </c>
      <c r="D45" s="3" t="s">
        <v>223</v>
      </c>
      <c r="H45" s="10"/>
      <c r="I45" s="10"/>
      <c r="J45" s="10"/>
      <c r="K45" s="10"/>
      <c r="L45" s="10"/>
      <c r="M45" s="3">
        <v>1</v>
      </c>
      <c r="N45" s="31">
        <f t="shared" ref="N45:O45" si="6">M45*(1+N$37)</f>
        <v>1.0620000000000001</v>
      </c>
      <c r="O45" s="31">
        <f t="shared" si="6"/>
        <v>1.1469600000000002</v>
      </c>
      <c r="P45" s="31">
        <f t="shared" si="5"/>
        <v>1.1790748800000002</v>
      </c>
      <c r="Q45" s="31">
        <f t="shared" si="5"/>
        <v>1.19911915296</v>
      </c>
    </row>
    <row r="46" spans="2:27">
      <c r="B46" s="32" t="s">
        <v>229</v>
      </c>
      <c r="D46" s="3" t="s">
        <v>223</v>
      </c>
      <c r="H46" s="10"/>
      <c r="I46" s="10"/>
      <c r="J46" s="10"/>
      <c r="K46" s="10"/>
      <c r="L46" s="10"/>
      <c r="M46" s="10"/>
      <c r="N46" s="3">
        <v>1</v>
      </c>
      <c r="O46" s="31">
        <f>N46*(1+O$37)</f>
        <v>1.08</v>
      </c>
      <c r="P46" s="31">
        <f>O46*(1+P$37)</f>
        <v>1.1102400000000001</v>
      </c>
      <c r="Q46" s="31">
        <f t="shared" si="5"/>
        <v>1.1291140799999999</v>
      </c>
    </row>
    <row r="47" spans="2:27">
      <c r="B47" s="32" t="s">
        <v>230</v>
      </c>
      <c r="D47" s="3" t="s">
        <v>223</v>
      </c>
      <c r="H47" s="10"/>
      <c r="I47" s="10"/>
      <c r="J47" s="10"/>
      <c r="K47" s="10"/>
      <c r="L47" s="10"/>
      <c r="M47" s="10"/>
      <c r="N47" s="10"/>
      <c r="O47" s="3">
        <v>1</v>
      </c>
      <c r="P47" s="31">
        <f t="shared" si="5"/>
        <v>1.028</v>
      </c>
      <c r="Q47" s="31">
        <f t="shared" si="5"/>
        <v>1.0454759999999998</v>
      </c>
    </row>
    <row r="48" spans="2:27">
      <c r="B48" s="32" t="s">
        <v>231</v>
      </c>
      <c r="D48" s="3" t="s">
        <v>223</v>
      </c>
      <c r="H48" s="10"/>
      <c r="I48" s="10"/>
      <c r="J48" s="10"/>
      <c r="K48" s="10"/>
      <c r="L48" s="10"/>
      <c r="M48" s="10"/>
      <c r="N48" s="10"/>
      <c r="O48" s="10"/>
      <c r="P48" s="3">
        <v>1</v>
      </c>
      <c r="Q48" s="31">
        <f>P48*(1+Q$37)</f>
        <v>1.0169999999999999</v>
      </c>
    </row>
    <row r="49" spans="2:19">
      <c r="B49" s="32" t="s">
        <v>232</v>
      </c>
      <c r="D49" s="3" t="s">
        <v>223</v>
      </c>
      <c r="H49" s="10"/>
      <c r="I49" s="10"/>
      <c r="J49" s="10"/>
      <c r="K49" s="10"/>
      <c r="L49" s="10"/>
      <c r="M49" s="10"/>
      <c r="N49" s="10"/>
      <c r="O49" s="10"/>
      <c r="P49" s="10"/>
      <c r="Q49" s="3">
        <v>1</v>
      </c>
    </row>
    <row r="51" spans="2:19" s="8" customFormat="1">
      <c r="B51" s="8" t="s">
        <v>233</v>
      </c>
    </row>
    <row r="53" spans="2:19">
      <c r="B53" s="16" t="s">
        <v>233</v>
      </c>
    </row>
    <row r="54" spans="2:19">
      <c r="B54" s="3" t="s">
        <v>234</v>
      </c>
      <c r="D54" s="3" t="s">
        <v>199</v>
      </c>
      <c r="F54" s="94"/>
      <c r="H54" s="144">
        <v>1E-3</v>
      </c>
      <c r="I54" s="144">
        <v>1E-3</v>
      </c>
      <c r="J54" s="144">
        <v>1E-3</v>
      </c>
      <c r="K54" s="144">
        <v>1E-3</v>
      </c>
      <c r="L54" s="144">
        <v>1E-3</v>
      </c>
      <c r="M54" s="144">
        <v>4.0000000000000001E-3</v>
      </c>
      <c r="N54" s="144">
        <v>4.0000000000000001E-3</v>
      </c>
      <c r="O54" s="144">
        <v>4.0000000000000001E-3</v>
      </c>
      <c r="P54" s="144">
        <v>4.0000000000000001E-3</v>
      </c>
      <c r="Q54" s="144">
        <v>4.0000000000000001E-3</v>
      </c>
      <c r="S54" s="3" t="s">
        <v>235</v>
      </c>
    </row>
    <row r="56" spans="2:19">
      <c r="B56" s="16" t="s">
        <v>236</v>
      </c>
    </row>
    <row r="57" spans="2:19">
      <c r="B57" s="3" t="s">
        <v>222</v>
      </c>
      <c r="D57" s="3" t="s">
        <v>237</v>
      </c>
      <c r="H57" s="3">
        <v>1</v>
      </c>
      <c r="I57" s="31">
        <f>H57*(1-I$54)</f>
        <v>0.999</v>
      </c>
      <c r="J57" s="31">
        <f t="shared" ref="J57" si="7">I57*(1-J$54)</f>
        <v>0.99800100000000003</v>
      </c>
      <c r="K57" s="31">
        <f>J57*(1-K$54)</f>
        <v>0.997002999</v>
      </c>
      <c r="L57" s="31">
        <f t="shared" ref="L57:M57" si="8">K57*(1-L$54)</f>
        <v>0.99600599600100004</v>
      </c>
      <c r="M57" s="31">
        <f t="shared" si="8"/>
        <v>0.99202197201699605</v>
      </c>
      <c r="N57" s="31">
        <f t="shared" ref="N57:O57" si="9">M57*(1-N$54)</f>
        <v>0.98805388412892803</v>
      </c>
      <c r="O57" s="31">
        <f t="shared" si="9"/>
        <v>0.98410166859241233</v>
      </c>
      <c r="P57" s="31">
        <f t="shared" ref="P57:Q64" si="10">O57*(1-P$54)</f>
        <v>0.98016526191804265</v>
      </c>
      <c r="Q57" s="31">
        <f t="shared" si="10"/>
        <v>0.97624460087037046</v>
      </c>
    </row>
    <row r="58" spans="2:19">
      <c r="B58" s="32" t="s">
        <v>224</v>
      </c>
      <c r="D58" s="3" t="s">
        <v>237</v>
      </c>
      <c r="H58" s="10"/>
      <c r="I58" s="3">
        <v>1</v>
      </c>
      <c r="J58" s="31">
        <f t="shared" ref="J58:K58" si="11">I58*(1-J$54)</f>
        <v>0.999</v>
      </c>
      <c r="K58" s="31">
        <f t="shared" si="11"/>
        <v>0.99800100000000003</v>
      </c>
      <c r="L58" s="31">
        <f t="shared" ref="L58:M58" si="12">K58*(1-L$54)</f>
        <v>0.997002999</v>
      </c>
      <c r="M58" s="31">
        <f t="shared" si="12"/>
        <v>0.99301498700400004</v>
      </c>
      <c r="N58" s="31">
        <f t="shared" ref="N58:O58" si="13">M58*(1-N$54)</f>
        <v>0.98904292705598407</v>
      </c>
      <c r="O58" s="31">
        <f t="shared" si="13"/>
        <v>0.98508675534776013</v>
      </c>
      <c r="P58" s="31">
        <f t="shared" si="10"/>
        <v>0.98114640832636912</v>
      </c>
      <c r="Q58" s="31">
        <f t="shared" si="10"/>
        <v>0.97722182269306368</v>
      </c>
    </row>
    <row r="59" spans="2:19">
      <c r="B59" s="32" t="s">
        <v>225</v>
      </c>
      <c r="D59" s="3" t="s">
        <v>237</v>
      </c>
      <c r="H59" s="10"/>
      <c r="I59" s="10"/>
      <c r="J59" s="3">
        <v>1</v>
      </c>
      <c r="K59" s="31">
        <f>J59*(1-K$54)</f>
        <v>0.999</v>
      </c>
      <c r="L59" s="31">
        <f t="shared" ref="L59:M59" si="14">K59*(1-L$54)</f>
        <v>0.99800100000000003</v>
      </c>
      <c r="M59" s="31">
        <f t="shared" si="14"/>
        <v>0.99400899600000003</v>
      </c>
      <c r="N59" s="31">
        <f t="shared" ref="N59:O59" si="15">M59*(1-N$54)</f>
        <v>0.99003296001600005</v>
      </c>
      <c r="O59" s="31">
        <f t="shared" si="15"/>
        <v>0.986072828175936</v>
      </c>
      <c r="P59" s="31">
        <f t="shared" si="10"/>
        <v>0.9821285368632322</v>
      </c>
      <c r="Q59" s="31">
        <f t="shared" si="10"/>
        <v>0.97820002271577933</v>
      </c>
    </row>
    <row r="60" spans="2:19">
      <c r="B60" s="32" t="s">
        <v>226</v>
      </c>
      <c r="D60" s="3" t="s">
        <v>237</v>
      </c>
      <c r="H60" s="10"/>
      <c r="I60" s="10"/>
      <c r="J60" s="10"/>
      <c r="K60" s="3">
        <v>1</v>
      </c>
      <c r="L60" s="31">
        <f t="shared" ref="L60:M60" si="16">K60*(1-L$54)</f>
        <v>0.999</v>
      </c>
      <c r="M60" s="31">
        <f t="shared" si="16"/>
        <v>0.995004</v>
      </c>
      <c r="N60" s="31">
        <f t="shared" ref="N60:O60" si="17">M60*(1-N$54)</f>
        <v>0.99102398400000002</v>
      </c>
      <c r="O60" s="31">
        <f t="shared" si="17"/>
        <v>0.98705988806400002</v>
      </c>
      <c r="P60" s="31">
        <f t="shared" si="10"/>
        <v>0.98311164851174404</v>
      </c>
      <c r="Q60" s="31">
        <f t="shared" si="10"/>
        <v>0.97917920191769703</v>
      </c>
    </row>
    <row r="61" spans="2:19">
      <c r="B61" s="32" t="s">
        <v>227</v>
      </c>
      <c r="D61" s="3" t="s">
        <v>237</v>
      </c>
      <c r="H61" s="10"/>
      <c r="I61" s="10"/>
      <c r="J61" s="10"/>
      <c r="K61" s="10"/>
      <c r="L61" s="3">
        <v>1</v>
      </c>
      <c r="M61" s="31">
        <f t="shared" ref="M61" si="18">L61*(1-M$54)</f>
        <v>0.996</v>
      </c>
      <c r="N61" s="31">
        <f t="shared" ref="N61:O61" si="19">M61*(1-N$54)</f>
        <v>0.99201600000000001</v>
      </c>
      <c r="O61" s="31">
        <f t="shared" si="19"/>
        <v>0.98804793599999996</v>
      </c>
      <c r="P61" s="31">
        <f t="shared" si="10"/>
        <v>0.98409574425599999</v>
      </c>
      <c r="Q61" s="31">
        <f t="shared" si="10"/>
        <v>0.98015936127897596</v>
      </c>
    </row>
    <row r="62" spans="2:19">
      <c r="B62" s="32" t="s">
        <v>228</v>
      </c>
      <c r="D62" s="3" t="s">
        <v>237</v>
      </c>
      <c r="H62" s="10"/>
      <c r="I62" s="10"/>
      <c r="J62" s="10"/>
      <c r="K62" s="10"/>
      <c r="L62" s="10"/>
      <c r="M62" s="3">
        <v>1</v>
      </c>
      <c r="N62" s="31">
        <f t="shared" ref="N62:O62" si="20">M62*(1-N$54)</f>
        <v>0.996</v>
      </c>
      <c r="O62" s="31">
        <f t="shared" si="20"/>
        <v>0.99201600000000001</v>
      </c>
      <c r="P62" s="31">
        <f t="shared" si="10"/>
        <v>0.98804793599999996</v>
      </c>
      <c r="Q62" s="31">
        <f t="shared" si="10"/>
        <v>0.98409574425599999</v>
      </c>
    </row>
    <row r="63" spans="2:19">
      <c r="B63" s="32" t="s">
        <v>229</v>
      </c>
      <c r="D63" s="3" t="s">
        <v>237</v>
      </c>
      <c r="H63" s="10"/>
      <c r="I63" s="10"/>
      <c r="J63" s="10"/>
      <c r="K63" s="10"/>
      <c r="L63" s="10"/>
      <c r="M63" s="10"/>
      <c r="N63" s="3">
        <v>1</v>
      </c>
      <c r="O63" s="31">
        <f t="shared" ref="O63" si="21">N63*(1-O$54)</f>
        <v>0.996</v>
      </c>
      <c r="P63" s="31">
        <f t="shared" si="10"/>
        <v>0.99201600000000001</v>
      </c>
      <c r="Q63" s="31">
        <f t="shared" si="10"/>
        <v>0.98804793599999996</v>
      </c>
    </row>
    <row r="64" spans="2:19">
      <c r="B64" s="32" t="s">
        <v>230</v>
      </c>
      <c r="D64" s="3" t="s">
        <v>237</v>
      </c>
      <c r="H64" s="10"/>
      <c r="I64" s="10"/>
      <c r="J64" s="10"/>
      <c r="K64" s="10"/>
      <c r="L64" s="10"/>
      <c r="M64" s="10"/>
      <c r="N64" s="10"/>
      <c r="O64" s="3">
        <v>1</v>
      </c>
      <c r="P64" s="31">
        <f t="shared" si="10"/>
        <v>0.996</v>
      </c>
      <c r="Q64" s="31">
        <f t="shared" si="10"/>
        <v>0.99201600000000001</v>
      </c>
    </row>
    <row r="65" spans="1:21">
      <c r="B65" s="32" t="s">
        <v>231</v>
      </c>
      <c r="D65" s="3" t="s">
        <v>237</v>
      </c>
      <c r="H65" s="10"/>
      <c r="I65" s="10"/>
      <c r="J65" s="10"/>
      <c r="K65" s="10"/>
      <c r="L65" s="10"/>
      <c r="M65" s="10"/>
      <c r="N65" s="10"/>
      <c r="O65" s="10"/>
      <c r="P65" s="3">
        <v>1</v>
      </c>
      <c r="Q65" s="31">
        <f>P65*(1-Q$54)</f>
        <v>0.996</v>
      </c>
    </row>
    <row r="66" spans="1:21">
      <c r="B66" s="32" t="s">
        <v>232</v>
      </c>
      <c r="D66" s="3" t="s">
        <v>237</v>
      </c>
      <c r="H66" s="10"/>
      <c r="I66" s="10"/>
      <c r="J66" s="10"/>
      <c r="K66" s="10"/>
      <c r="L66" s="10"/>
      <c r="M66" s="10"/>
      <c r="N66" s="10"/>
      <c r="O66" s="10"/>
      <c r="P66" s="10"/>
      <c r="Q66" s="3">
        <v>1</v>
      </c>
    </row>
    <row r="67" spans="1:21" ht="13.5" customHeight="1"/>
    <row r="68" spans="1:21" s="8" customFormat="1">
      <c r="B68" s="8" t="s">
        <v>238</v>
      </c>
    </row>
    <row r="70" spans="1:21">
      <c r="B70" s="152" t="s">
        <v>238</v>
      </c>
    </row>
    <row r="71" spans="1:21">
      <c r="A71" s="2"/>
      <c r="B71" s="3" t="s">
        <v>122</v>
      </c>
      <c r="L71" s="142">
        <v>0.02</v>
      </c>
      <c r="M71" s="142">
        <v>0.02</v>
      </c>
      <c r="N71" s="142">
        <v>0.02</v>
      </c>
      <c r="O71" s="142">
        <v>0.04</v>
      </c>
      <c r="P71" s="349">
        <v>7.0000000000000007E-2</v>
      </c>
      <c r="Q71" s="113">
        <v>7.0000000000000007E-2</v>
      </c>
      <c r="S71" s="3" t="s">
        <v>1147</v>
      </c>
      <c r="U71" s="3" t="s">
        <v>1148</v>
      </c>
    </row>
    <row r="73" spans="1:21">
      <c r="B73" s="2" t="s">
        <v>239</v>
      </c>
    </row>
    <row r="74" spans="1:21">
      <c r="B74" s="32" t="s">
        <v>226</v>
      </c>
      <c r="D74" s="3" t="s">
        <v>240</v>
      </c>
      <c r="H74" s="10"/>
      <c r="I74" s="10"/>
      <c r="J74" s="10"/>
      <c r="K74" s="3">
        <v>1</v>
      </c>
      <c r="L74" s="31">
        <f t="shared" ref="L74:Q74" si="22">K74*(1+L$71)</f>
        <v>1.02</v>
      </c>
      <c r="M74" s="31">
        <f t="shared" si="22"/>
        <v>1.0404</v>
      </c>
      <c r="N74" s="31">
        <f t="shared" si="22"/>
        <v>1.0612079999999999</v>
      </c>
      <c r="O74" s="31">
        <f t="shared" si="22"/>
        <v>1.10365632</v>
      </c>
      <c r="P74" s="31">
        <f t="shared" si="22"/>
        <v>1.1809122624000001</v>
      </c>
      <c r="Q74" s="31">
        <f t="shared" si="22"/>
        <v>1.2635761207680003</v>
      </c>
    </row>
    <row r="75" spans="1:21">
      <c r="B75" s="32" t="s">
        <v>227</v>
      </c>
      <c r="D75" s="3" t="s">
        <v>240</v>
      </c>
      <c r="H75" s="10"/>
      <c r="I75" s="10"/>
      <c r="J75" s="10"/>
      <c r="K75" s="10"/>
      <c r="L75" s="3">
        <v>1</v>
      </c>
      <c r="M75" s="31">
        <f>L75*(1+M$71)</f>
        <v>1.02</v>
      </c>
      <c r="N75" s="31">
        <f>M75*(1+N$71)</f>
        <v>1.0404</v>
      </c>
      <c r="O75" s="31">
        <f>N75*(1+O$71)</f>
        <v>1.0820160000000001</v>
      </c>
      <c r="P75" s="31">
        <f>O75*(1+P$71)</f>
        <v>1.1577571200000001</v>
      </c>
      <c r="Q75" s="31">
        <f>P75*(1+Q$71)</f>
        <v>1.2388001184000001</v>
      </c>
    </row>
    <row r="76" spans="1:21">
      <c r="B76" s="32" t="s">
        <v>228</v>
      </c>
      <c r="D76" s="3" t="s">
        <v>240</v>
      </c>
      <c r="H76" s="10"/>
      <c r="I76" s="10"/>
      <c r="J76" s="10"/>
      <c r="K76" s="10"/>
      <c r="L76" s="10"/>
      <c r="M76" s="3">
        <v>1</v>
      </c>
      <c r="N76" s="31">
        <f>M76*(1+N$71)</f>
        <v>1.02</v>
      </c>
      <c r="O76" s="31">
        <f>N76*(1+O$71)</f>
        <v>1.0608</v>
      </c>
      <c r="P76" s="31">
        <f>O76*(1+P$71)</f>
        <v>1.1350560000000001</v>
      </c>
      <c r="Q76" s="31">
        <f>P76*(1+Q$71)</f>
        <v>1.2145099200000002</v>
      </c>
    </row>
    <row r="77" spans="1:21">
      <c r="B77" s="32" t="s">
        <v>229</v>
      </c>
      <c r="D77" s="3" t="s">
        <v>240</v>
      </c>
      <c r="H77" s="10"/>
      <c r="I77" s="10"/>
      <c r="J77" s="10"/>
      <c r="K77" s="10"/>
      <c r="L77" s="10"/>
      <c r="M77" s="10"/>
      <c r="N77" s="3">
        <v>1</v>
      </c>
      <c r="O77" s="31">
        <f>N77*(1+O$71)</f>
        <v>1.04</v>
      </c>
      <c r="P77" s="31">
        <f>O77*(1+P$71)</f>
        <v>1.1128</v>
      </c>
      <c r="Q77" s="31">
        <f>P77*(1+Q$71)</f>
        <v>1.190696</v>
      </c>
    </row>
    <row r="78" spans="1:21">
      <c r="B78" s="32" t="s">
        <v>230</v>
      </c>
      <c r="D78" s="3" t="s">
        <v>240</v>
      </c>
      <c r="H78" s="10"/>
      <c r="I78" s="10"/>
      <c r="J78" s="10"/>
      <c r="K78" s="10"/>
      <c r="L78" s="10"/>
      <c r="M78" s="10"/>
      <c r="N78" s="10"/>
      <c r="O78" s="3">
        <v>1</v>
      </c>
      <c r="P78" s="31">
        <f>O78*(1+P$71)</f>
        <v>1.07</v>
      </c>
      <c r="Q78" s="31">
        <f>P78*(1+Q$71)</f>
        <v>1.1449</v>
      </c>
    </row>
    <row r="79" spans="1:21">
      <c r="B79" s="32" t="s">
        <v>231</v>
      </c>
      <c r="D79" s="3" t="s">
        <v>240</v>
      </c>
      <c r="H79" s="10"/>
      <c r="I79" s="10"/>
      <c r="J79" s="10"/>
      <c r="K79" s="10"/>
      <c r="L79" s="10"/>
      <c r="M79" s="10"/>
      <c r="N79" s="10"/>
      <c r="O79" s="10"/>
      <c r="P79" s="3">
        <v>1</v>
      </c>
      <c r="Q79" s="31">
        <f>P79*(1+Q$71)</f>
        <v>1.07</v>
      </c>
    </row>
    <row r="80" spans="1:21">
      <c r="B80" s="32" t="s">
        <v>232</v>
      </c>
      <c r="D80" s="3" t="s">
        <v>240</v>
      </c>
      <c r="H80" s="10"/>
      <c r="I80" s="10"/>
      <c r="J80" s="10"/>
      <c r="K80" s="10"/>
      <c r="L80" s="10"/>
      <c r="M80" s="10"/>
      <c r="N80" s="10"/>
      <c r="O80" s="10"/>
      <c r="P80" s="10"/>
      <c r="Q80" s="3">
        <v>1</v>
      </c>
    </row>
    <row r="82" spans="2:86" s="8" customFormat="1">
      <c r="B82" s="8" t="s">
        <v>241</v>
      </c>
    </row>
    <row r="84" spans="2:86">
      <c r="B84" s="3" t="s">
        <v>241</v>
      </c>
      <c r="D84" s="3" t="s">
        <v>199</v>
      </c>
      <c r="F84" s="144">
        <v>1</v>
      </c>
      <c r="S84" s="3" t="s">
        <v>212</v>
      </c>
    </row>
    <row r="86" spans="2:86" s="8" customFormat="1">
      <c r="B86" s="8" t="s">
        <v>242</v>
      </c>
    </row>
    <row r="88" spans="2:86">
      <c r="B88" s="3" t="s">
        <v>242</v>
      </c>
      <c r="D88" s="3" t="s">
        <v>199</v>
      </c>
      <c r="F88" s="148">
        <v>1.3</v>
      </c>
      <c r="S88" s="3" t="s">
        <v>212</v>
      </c>
    </row>
    <row r="89" spans="2:86">
      <c r="F89" s="102"/>
    </row>
    <row r="90" spans="2:86" s="8" customFormat="1">
      <c r="B90" s="8" t="s">
        <v>243</v>
      </c>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row>
    <row r="92" spans="2:86">
      <c r="B92" s="3" t="s">
        <v>243</v>
      </c>
      <c r="D92" s="3" t="s">
        <v>199</v>
      </c>
      <c r="F92" s="153">
        <v>0.1</v>
      </c>
      <c r="S92" s="3" t="s">
        <v>212</v>
      </c>
    </row>
    <row r="93" spans="2:86" s="154" customFormat="1">
      <c r="D93" s="155"/>
    </row>
    <row r="94" spans="2:86" s="8" customFormat="1">
      <c r="B94" s="8" t="s">
        <v>244</v>
      </c>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row>
    <row r="96" spans="2:86">
      <c r="B96" s="3" t="s">
        <v>244</v>
      </c>
      <c r="D96" s="3" t="s">
        <v>199</v>
      </c>
      <c r="F96" s="153">
        <v>0.9</v>
      </c>
      <c r="S96" s="3" t="s">
        <v>212</v>
      </c>
      <c r="AQ96"/>
      <c r="AR96"/>
      <c r="AS96"/>
      <c r="AT96"/>
      <c r="AU96"/>
      <c r="AV96"/>
      <c r="AW96"/>
    </row>
    <row r="97" spans="2:86">
      <c r="AQ97"/>
      <c r="AR97"/>
      <c r="AS97"/>
      <c r="AT97"/>
      <c r="AU97"/>
      <c r="AV97"/>
      <c r="AW97"/>
    </row>
    <row r="98" spans="2:86" s="8" customFormat="1">
      <c r="B98" s="8" t="s">
        <v>245</v>
      </c>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row>
    <row r="99" spans="2:86" s="98" customFormat="1">
      <c r="B99" s="115"/>
    </row>
    <row r="100" spans="2:86" s="98" customFormat="1">
      <c r="B100" s="98" t="s">
        <v>246</v>
      </c>
      <c r="D100" s="98" t="s">
        <v>199</v>
      </c>
      <c r="F100" s="153">
        <v>0.25</v>
      </c>
      <c r="S100" s="3" t="s">
        <v>212</v>
      </c>
    </row>
    <row r="101" spans="2:86">
      <c r="B101" s="3" t="s">
        <v>247</v>
      </c>
      <c r="D101" s="3" t="s">
        <v>199</v>
      </c>
      <c r="F101" s="153">
        <v>0.2</v>
      </c>
      <c r="S101" s="3" t="s">
        <v>212</v>
      </c>
    </row>
    <row r="103" spans="2:86" s="8" customFormat="1">
      <c r="B103" s="8" t="s">
        <v>248</v>
      </c>
    </row>
    <row r="105" spans="2:86">
      <c r="B105" s="3" t="s">
        <v>249</v>
      </c>
      <c r="D105" s="3" t="s">
        <v>199</v>
      </c>
      <c r="F105" s="142">
        <v>0.4</v>
      </c>
      <c r="S105" s="3" t="s">
        <v>129</v>
      </c>
    </row>
    <row r="106" spans="2:86">
      <c r="B106" s="3" t="s">
        <v>250</v>
      </c>
      <c r="D106" s="3" t="s">
        <v>199</v>
      </c>
      <c r="F106" s="34">
        <f>1-F105</f>
        <v>0.6</v>
      </c>
      <c r="S106" s="3" t="s">
        <v>129</v>
      </c>
    </row>
    <row r="108" spans="2:86" s="8" customFormat="1">
      <c r="B108" s="8" t="s">
        <v>251</v>
      </c>
    </row>
    <row r="110" spans="2:86">
      <c r="B110" s="3" t="s">
        <v>252</v>
      </c>
      <c r="D110" s="3" t="s">
        <v>199</v>
      </c>
      <c r="F110" s="142">
        <v>0.75</v>
      </c>
      <c r="S110" s="3" t="s">
        <v>129</v>
      </c>
    </row>
    <row r="111" spans="2:86">
      <c r="B111" s="3" t="s">
        <v>253</v>
      </c>
      <c r="D111" s="3" t="s">
        <v>199</v>
      </c>
      <c r="F111" s="142">
        <v>0.94</v>
      </c>
      <c r="S111" s="3" t="s">
        <v>129</v>
      </c>
    </row>
    <row r="112" spans="2:86">
      <c r="B112" s="3" t="s">
        <v>254</v>
      </c>
      <c r="D112" s="3" t="s">
        <v>199</v>
      </c>
      <c r="F112" s="142">
        <v>0.2</v>
      </c>
      <c r="S112" s="3" t="s">
        <v>129</v>
      </c>
    </row>
    <row r="114" spans="2:19" s="8" customFormat="1">
      <c r="B114" s="8" t="s">
        <v>255</v>
      </c>
    </row>
    <row r="116" spans="2:19">
      <c r="B116" s="3" t="s">
        <v>256</v>
      </c>
      <c r="F116" s="101">
        <v>1.25</v>
      </c>
      <c r="S116" s="3" t="s">
        <v>129</v>
      </c>
    </row>
    <row r="117" spans="2:19">
      <c r="B117" s="3" t="s">
        <v>257</v>
      </c>
      <c r="F117" s="101">
        <v>1.5</v>
      </c>
      <c r="S117" s="3" t="s">
        <v>129</v>
      </c>
    </row>
    <row r="118" spans="2:19">
      <c r="B118" s="3" t="s">
        <v>258</v>
      </c>
      <c r="F118" s="101">
        <v>1.75</v>
      </c>
      <c r="S118" s="3" t="s">
        <v>129</v>
      </c>
    </row>
    <row r="119" spans="2:19">
      <c r="B119" s="3" t="s">
        <v>259</v>
      </c>
      <c r="F119" s="101">
        <v>1.75</v>
      </c>
      <c r="S119" s="3" t="s">
        <v>129</v>
      </c>
    </row>
    <row r="121" spans="2:19" s="8" customFormat="1">
      <c r="B121" s="8" t="s">
        <v>260</v>
      </c>
    </row>
    <row r="123" spans="2:19">
      <c r="B123" s="2" t="s">
        <v>261</v>
      </c>
      <c r="F123" s="29"/>
    </row>
    <row r="124" spans="2:19">
      <c r="B124" s="3" t="s">
        <v>262</v>
      </c>
      <c r="F124" s="101">
        <v>1.482</v>
      </c>
      <c r="S124" s="3" t="s">
        <v>129</v>
      </c>
    </row>
    <row r="125" spans="2:19">
      <c r="B125" s="3" t="s">
        <v>263</v>
      </c>
      <c r="F125" s="101">
        <v>0.78400000000000003</v>
      </c>
      <c r="S125" s="3" t="s">
        <v>129</v>
      </c>
    </row>
    <row r="126" spans="2:19">
      <c r="B126" s="3" t="s">
        <v>264</v>
      </c>
      <c r="F126" s="101">
        <v>0.629</v>
      </c>
      <c r="S126" s="3" t="s">
        <v>129</v>
      </c>
    </row>
    <row r="127" spans="2:19">
      <c r="B127" s="3" t="s">
        <v>265</v>
      </c>
      <c r="F127" s="101">
        <v>1.105</v>
      </c>
      <c r="S127" s="3" t="s">
        <v>129</v>
      </c>
    </row>
    <row r="129" spans="2:19">
      <c r="B129" s="2" t="s">
        <v>266</v>
      </c>
    </row>
    <row r="130" spans="2:19">
      <c r="B130" s="3" t="s">
        <v>168</v>
      </c>
      <c r="F130" s="101">
        <v>1.7150000000000001</v>
      </c>
      <c r="S130" s="3" t="s">
        <v>129</v>
      </c>
    </row>
    <row r="131" spans="2:19">
      <c r="B131" s="3" t="s">
        <v>169</v>
      </c>
      <c r="F131" s="101">
        <v>1.5329999999999999</v>
      </c>
      <c r="S131" s="3" t="s">
        <v>129</v>
      </c>
    </row>
    <row r="132" spans="2:19">
      <c r="B132" s="3" t="s">
        <v>170</v>
      </c>
      <c r="F132" s="101">
        <v>1.1990000000000001</v>
      </c>
      <c r="S132" s="3" t="s">
        <v>129</v>
      </c>
    </row>
    <row r="133" spans="2:19">
      <c r="B133" s="3" t="s">
        <v>171</v>
      </c>
      <c r="F133" s="101">
        <v>0.89400000000000002</v>
      </c>
      <c r="S133" s="3" t="s">
        <v>129</v>
      </c>
    </row>
    <row r="134" spans="2:19">
      <c r="B134" s="3" t="s">
        <v>172</v>
      </c>
      <c r="F134" s="101">
        <v>0.79200000000000004</v>
      </c>
      <c r="S134" s="3" t="s">
        <v>129</v>
      </c>
    </row>
    <row r="135" spans="2:19">
      <c r="B135" s="3" t="s">
        <v>173</v>
      </c>
      <c r="F135" s="101">
        <v>0.66500000000000004</v>
      </c>
      <c r="S135" s="3" t="s">
        <v>129</v>
      </c>
    </row>
    <row r="136" spans="2:19">
      <c r="B136" s="3" t="s">
        <v>174</v>
      </c>
      <c r="F136" s="101">
        <v>0.628</v>
      </c>
      <c r="S136" s="3" t="s">
        <v>129</v>
      </c>
    </row>
    <row r="137" spans="2:19">
      <c r="B137" s="3" t="s">
        <v>175</v>
      </c>
      <c r="F137" s="101">
        <v>0.59699999999999998</v>
      </c>
      <c r="S137" s="3" t="s">
        <v>129</v>
      </c>
    </row>
    <row r="138" spans="2:19">
      <c r="B138" s="3" t="s">
        <v>176</v>
      </c>
      <c r="F138" s="101">
        <v>0.66300000000000003</v>
      </c>
      <c r="S138" s="3" t="s">
        <v>129</v>
      </c>
    </row>
    <row r="139" spans="2:19">
      <c r="B139" s="3" t="s">
        <v>177</v>
      </c>
      <c r="F139" s="101">
        <v>0.76100000000000001</v>
      </c>
      <c r="S139" s="3" t="s">
        <v>129</v>
      </c>
    </row>
    <row r="140" spans="2:19">
      <c r="B140" s="3" t="s">
        <v>178</v>
      </c>
      <c r="F140" s="327">
        <v>1.1299999999999999</v>
      </c>
      <c r="S140" s="3" t="s">
        <v>129</v>
      </c>
    </row>
    <row r="141" spans="2:19">
      <c r="B141" s="3" t="s">
        <v>179</v>
      </c>
      <c r="F141" s="101">
        <v>1.4239999999999999</v>
      </c>
      <c r="S141" s="3" t="s">
        <v>129</v>
      </c>
    </row>
    <row r="143" spans="2:19">
      <c r="B143" s="2" t="s">
        <v>267</v>
      </c>
    </row>
    <row r="144" spans="2:19">
      <c r="B144" s="3" t="s">
        <v>168</v>
      </c>
      <c r="F144" s="101">
        <v>1.7729999999999999</v>
      </c>
      <c r="S144" s="3" t="s">
        <v>129</v>
      </c>
    </row>
    <row r="145" spans="2:19">
      <c r="B145" s="3" t="s">
        <v>169</v>
      </c>
      <c r="F145" s="101">
        <v>1.585</v>
      </c>
      <c r="S145" s="3" t="s">
        <v>129</v>
      </c>
    </row>
    <row r="146" spans="2:19">
      <c r="B146" s="3" t="s">
        <v>170</v>
      </c>
      <c r="F146" s="101">
        <v>1.2390000000000001</v>
      </c>
      <c r="S146" s="3" t="s">
        <v>129</v>
      </c>
    </row>
    <row r="147" spans="2:19">
      <c r="B147" s="3" t="s">
        <v>171</v>
      </c>
      <c r="F147" s="101">
        <v>0.92400000000000004</v>
      </c>
      <c r="S147" s="3" t="s">
        <v>129</v>
      </c>
    </row>
    <row r="148" spans="2:19">
      <c r="B148" s="3" t="s">
        <v>172</v>
      </c>
      <c r="F148" s="101">
        <v>0.81899999999999995</v>
      </c>
      <c r="S148" s="3" t="s">
        <v>129</v>
      </c>
    </row>
    <row r="149" spans="2:19">
      <c r="B149" s="3" t="s">
        <v>173</v>
      </c>
      <c r="F149" s="101">
        <v>0.68799999999999994</v>
      </c>
      <c r="S149" s="3" t="s">
        <v>129</v>
      </c>
    </row>
    <row r="150" spans="2:19">
      <c r="B150" s="3" t="s">
        <v>174</v>
      </c>
      <c r="F150" s="101">
        <v>0.64900000000000002</v>
      </c>
      <c r="S150" s="3" t="s">
        <v>129</v>
      </c>
    </row>
    <row r="151" spans="2:19">
      <c r="B151" s="3" t="s">
        <v>175</v>
      </c>
      <c r="F151" s="101">
        <v>0.61799999999999999</v>
      </c>
      <c r="S151" s="3" t="s">
        <v>129</v>
      </c>
    </row>
    <row r="152" spans="2:19">
      <c r="B152" s="3" t="s">
        <v>176</v>
      </c>
      <c r="F152" s="101">
        <v>0.68600000000000005</v>
      </c>
      <c r="S152" s="3" t="s">
        <v>129</v>
      </c>
    </row>
    <row r="153" spans="2:19">
      <c r="B153" s="3" t="s">
        <v>177</v>
      </c>
      <c r="F153" s="101">
        <v>0.78700000000000003</v>
      </c>
      <c r="S153" s="3" t="s">
        <v>129</v>
      </c>
    </row>
    <row r="154" spans="2:19">
      <c r="B154" s="3" t="s">
        <v>178</v>
      </c>
      <c r="F154" s="101">
        <v>1.1679999999999999</v>
      </c>
      <c r="S154" s="3" t="s">
        <v>129</v>
      </c>
    </row>
    <row r="155" spans="2:19">
      <c r="B155" s="3" t="s">
        <v>179</v>
      </c>
      <c r="F155" s="101">
        <v>1.472</v>
      </c>
      <c r="S155" s="3" t="s">
        <v>129</v>
      </c>
    </row>
    <row r="157" spans="2:19" s="8" customFormat="1">
      <c r="B157" s="8" t="s">
        <v>268</v>
      </c>
    </row>
    <row r="159" spans="2:19">
      <c r="B159" s="2" t="s">
        <v>269</v>
      </c>
      <c r="F159" s="29"/>
    </row>
    <row r="160" spans="2:19">
      <c r="B160" s="3" t="s">
        <v>168</v>
      </c>
      <c r="F160" s="101">
        <v>31</v>
      </c>
    </row>
    <row r="161" spans="2:6">
      <c r="B161" s="3" t="s">
        <v>169</v>
      </c>
      <c r="F161" s="101">
        <v>28</v>
      </c>
    </row>
    <row r="162" spans="2:6">
      <c r="B162" s="3" t="s">
        <v>170</v>
      </c>
      <c r="F162" s="101">
        <v>31</v>
      </c>
    </row>
    <row r="163" spans="2:6">
      <c r="B163" s="3" t="s">
        <v>171</v>
      </c>
      <c r="F163" s="101">
        <v>30</v>
      </c>
    </row>
    <row r="164" spans="2:6">
      <c r="B164" s="3" t="s">
        <v>172</v>
      </c>
      <c r="F164" s="101">
        <v>31</v>
      </c>
    </row>
    <row r="165" spans="2:6">
      <c r="B165" s="3" t="s">
        <v>173</v>
      </c>
      <c r="F165" s="101">
        <v>30</v>
      </c>
    </row>
    <row r="166" spans="2:6">
      <c r="B166" s="3" t="s">
        <v>174</v>
      </c>
      <c r="F166" s="101">
        <v>31</v>
      </c>
    </row>
    <row r="167" spans="2:6">
      <c r="B167" s="3" t="s">
        <v>175</v>
      </c>
      <c r="F167" s="101">
        <v>31</v>
      </c>
    </row>
    <row r="168" spans="2:6">
      <c r="B168" s="3" t="s">
        <v>176</v>
      </c>
      <c r="F168" s="101">
        <v>30</v>
      </c>
    </row>
    <row r="169" spans="2:6">
      <c r="B169" s="3" t="s">
        <v>177</v>
      </c>
      <c r="F169" s="101">
        <v>31</v>
      </c>
    </row>
    <row r="170" spans="2:6">
      <c r="B170" s="3" t="s">
        <v>178</v>
      </c>
      <c r="F170" s="101">
        <v>30</v>
      </c>
    </row>
    <row r="171" spans="2:6">
      <c r="B171" s="3" t="s">
        <v>179</v>
      </c>
      <c r="F171" s="101">
        <v>31</v>
      </c>
    </row>
    <row r="173" spans="2:6">
      <c r="B173" s="2" t="s">
        <v>270</v>
      </c>
    </row>
    <row r="174" spans="2:6">
      <c r="B174" s="3" t="s">
        <v>262</v>
      </c>
      <c r="F174" s="35">
        <f>SUM(F160:F162)</f>
        <v>90</v>
      </c>
    </row>
    <row r="175" spans="2:6">
      <c r="B175" s="3" t="s">
        <v>263</v>
      </c>
      <c r="F175" s="35">
        <f>SUM(F163:F165)</f>
        <v>91</v>
      </c>
    </row>
    <row r="176" spans="2:6">
      <c r="B176" s="3" t="s">
        <v>264</v>
      </c>
      <c r="F176" s="35">
        <f>SUM(F166:F168)</f>
        <v>92</v>
      </c>
    </row>
    <row r="177" spans="2:21">
      <c r="B177" s="3" t="s">
        <v>265</v>
      </c>
      <c r="F177" s="35">
        <f>SUM(F169:F171)</f>
        <v>92</v>
      </c>
    </row>
    <row r="179" spans="2:21">
      <c r="B179" s="2" t="s">
        <v>271</v>
      </c>
    </row>
    <row r="180" spans="2:21">
      <c r="B180" s="3" t="s">
        <v>272</v>
      </c>
      <c r="F180" s="101">
        <v>24</v>
      </c>
    </row>
    <row r="181" spans="2:21">
      <c r="B181" s="3" t="s">
        <v>273</v>
      </c>
      <c r="F181" s="35">
        <f>SUM(F160:F171)</f>
        <v>365</v>
      </c>
    </row>
    <row r="182" spans="2:21">
      <c r="B182" s="3" t="s">
        <v>274</v>
      </c>
      <c r="F182" s="35">
        <f>F180*F181</f>
        <v>8760</v>
      </c>
    </row>
    <row r="184" spans="2:21" s="8" customFormat="1">
      <c r="B184" s="8" t="s">
        <v>275</v>
      </c>
    </row>
    <row r="186" spans="2:21">
      <c r="B186" s="2" t="s">
        <v>1126</v>
      </c>
    </row>
    <row r="187" spans="2:21">
      <c r="B187" s="3" t="s">
        <v>151</v>
      </c>
      <c r="F187" s="358">
        <v>0.33189999999999997</v>
      </c>
      <c r="S187" s="3" t="s">
        <v>129</v>
      </c>
    </row>
    <row r="188" spans="2:21">
      <c r="B188" s="3" t="s">
        <v>1156</v>
      </c>
      <c r="F188" s="358">
        <v>0.2586</v>
      </c>
      <c r="S188" s="3" t="s">
        <v>129</v>
      </c>
    </row>
    <row r="189" spans="2:21">
      <c r="B189" s="3" t="s">
        <v>276</v>
      </c>
      <c r="F189" s="358">
        <v>0.97860000000000003</v>
      </c>
      <c r="S189" s="3" t="s">
        <v>129</v>
      </c>
    </row>
    <row r="190" spans="2:21">
      <c r="B190" s="3" t="s">
        <v>1160</v>
      </c>
      <c r="F190" s="378">
        <v>1E-4</v>
      </c>
      <c r="S190" s="3" t="s">
        <v>129</v>
      </c>
      <c r="U190" s="3" t="s">
        <v>1169</v>
      </c>
    </row>
    <row r="191" spans="2:21">
      <c r="B191" s="3" t="s">
        <v>1157</v>
      </c>
      <c r="F191" s="378">
        <v>1E-4</v>
      </c>
      <c r="S191" s="3" t="s">
        <v>129</v>
      </c>
      <c r="U191" s="3" t="s">
        <v>1169</v>
      </c>
    </row>
    <row r="192" spans="2:21">
      <c r="B192" s="3" t="s">
        <v>1158</v>
      </c>
      <c r="F192" s="358">
        <v>1E-4</v>
      </c>
      <c r="S192" s="3" t="s">
        <v>129</v>
      </c>
    </row>
    <row r="193" spans="1:21">
      <c r="B193" s="3" t="s">
        <v>1159</v>
      </c>
      <c r="F193" s="358">
        <v>1E-4</v>
      </c>
      <c r="S193" s="3" t="s">
        <v>129</v>
      </c>
    </row>
    <row r="194" spans="1:21">
      <c r="B194" s="3" t="s">
        <v>1161</v>
      </c>
      <c r="F194" s="378">
        <v>1E-4</v>
      </c>
      <c r="S194" s="3" t="s">
        <v>129</v>
      </c>
      <c r="U194" s="3" t="s">
        <v>1169</v>
      </c>
    </row>
    <row r="195" spans="1:21">
      <c r="B195" s="3" t="s">
        <v>1162</v>
      </c>
      <c r="F195" s="358">
        <v>0.51200000000000001</v>
      </c>
      <c r="S195" s="3" t="s">
        <v>129</v>
      </c>
    </row>
    <row r="196" spans="1:21">
      <c r="B196" s="3" t="s">
        <v>1163</v>
      </c>
      <c r="F196" s="358">
        <v>0.64590000000000003</v>
      </c>
      <c r="S196" s="3" t="s">
        <v>129</v>
      </c>
    </row>
    <row r="197" spans="1:21">
      <c r="B197" s="3" t="s">
        <v>1164</v>
      </c>
      <c r="F197" s="358">
        <v>0.625</v>
      </c>
      <c r="S197" s="3" t="s">
        <v>129</v>
      </c>
    </row>
    <row r="198" spans="1:21">
      <c r="B198" s="3" t="s">
        <v>1165</v>
      </c>
      <c r="F198" s="378">
        <v>1E-4</v>
      </c>
      <c r="S198" s="3" t="s">
        <v>129</v>
      </c>
      <c r="U198" s="3" t="s">
        <v>1169</v>
      </c>
    </row>
    <row r="199" spans="1:21">
      <c r="B199" s="3" t="s">
        <v>1166</v>
      </c>
      <c r="F199" s="358">
        <v>0.31780000000000003</v>
      </c>
      <c r="S199" s="3" t="s">
        <v>129</v>
      </c>
    </row>
    <row r="200" spans="1:21">
      <c r="B200" s="3" t="s">
        <v>1167</v>
      </c>
      <c r="F200" s="358">
        <v>4.6800000000000001E-2</v>
      </c>
      <c r="S200" s="3" t="s">
        <v>129</v>
      </c>
    </row>
    <row r="201" spans="1:21">
      <c r="B201" s="3" t="s">
        <v>277</v>
      </c>
      <c r="F201" s="358">
        <v>1E-4</v>
      </c>
      <c r="S201" s="3" t="s">
        <v>129</v>
      </c>
    </row>
    <row r="202" spans="1:21">
      <c r="F202" s="355"/>
    </row>
    <row r="203" spans="1:21">
      <c r="B203" s="2" t="s">
        <v>1127</v>
      </c>
      <c r="F203" s="355"/>
    </row>
    <row r="204" spans="1:21">
      <c r="A204" s="357"/>
      <c r="B204" s="3" t="s">
        <v>151</v>
      </c>
      <c r="F204" s="378">
        <v>1E-4</v>
      </c>
      <c r="S204" s="3" t="s">
        <v>129</v>
      </c>
      <c r="U204" s="3" t="s">
        <v>1169</v>
      </c>
    </row>
    <row r="205" spans="1:21">
      <c r="A205" s="357"/>
      <c r="B205" s="3" t="s">
        <v>1156</v>
      </c>
      <c r="F205" s="358">
        <v>1E-4</v>
      </c>
      <c r="S205" s="3" t="s">
        <v>129</v>
      </c>
    </row>
    <row r="206" spans="1:21">
      <c r="A206" s="357"/>
      <c r="B206" s="3" t="s">
        <v>276</v>
      </c>
      <c r="F206" s="378">
        <v>1E-4</v>
      </c>
      <c r="S206" s="3" t="s">
        <v>129</v>
      </c>
      <c r="U206" s="3" t="s">
        <v>1169</v>
      </c>
    </row>
    <row r="207" spans="1:21">
      <c r="A207" s="357"/>
      <c r="B207" s="3" t="s">
        <v>1160</v>
      </c>
      <c r="F207" s="358">
        <v>0.71899999999999997</v>
      </c>
      <c r="S207" s="3" t="s">
        <v>129</v>
      </c>
    </row>
    <row r="208" spans="1:21">
      <c r="A208" s="357"/>
      <c r="B208" s="3" t="s">
        <v>1157</v>
      </c>
      <c r="F208" s="358">
        <v>0.49359999999999998</v>
      </c>
      <c r="S208" s="3" t="s">
        <v>129</v>
      </c>
    </row>
    <row r="209" spans="1:21">
      <c r="A209" s="357"/>
      <c r="B209" s="3" t="s">
        <v>1158</v>
      </c>
      <c r="F209" s="358">
        <v>0.33329999999999999</v>
      </c>
      <c r="S209" s="3" t="s">
        <v>129</v>
      </c>
    </row>
    <row r="210" spans="1:21">
      <c r="A210" s="357"/>
      <c r="B210" s="3" t="s">
        <v>1159</v>
      </c>
      <c r="F210" s="358">
        <v>0.95730000000000004</v>
      </c>
      <c r="S210" s="3" t="s">
        <v>129</v>
      </c>
    </row>
    <row r="211" spans="1:21">
      <c r="A211" s="357"/>
      <c r="B211" s="3" t="s">
        <v>1161</v>
      </c>
      <c r="F211" s="358">
        <v>0.1525</v>
      </c>
      <c r="S211" s="3" t="s">
        <v>129</v>
      </c>
    </row>
    <row r="212" spans="1:21">
      <c r="A212" s="357"/>
      <c r="B212" s="3" t="s">
        <v>1162</v>
      </c>
      <c r="F212" s="358">
        <v>0.13930000000000001</v>
      </c>
      <c r="S212" s="3" t="s">
        <v>129</v>
      </c>
    </row>
    <row r="213" spans="1:21">
      <c r="A213" s="357"/>
      <c r="B213" s="3" t="s">
        <v>1163</v>
      </c>
      <c r="F213" s="378">
        <v>1E-4</v>
      </c>
      <c r="S213" s="3" t="s">
        <v>129</v>
      </c>
      <c r="U213" s="3" t="s">
        <v>1169</v>
      </c>
    </row>
    <row r="214" spans="1:21">
      <c r="A214" s="357"/>
      <c r="B214" s="3" t="s">
        <v>1164</v>
      </c>
      <c r="F214" s="358">
        <v>0.62209999999999999</v>
      </c>
      <c r="S214" s="3" t="s">
        <v>129</v>
      </c>
    </row>
    <row r="215" spans="1:21">
      <c r="A215" s="357"/>
      <c r="B215" s="3" t="s">
        <v>1165</v>
      </c>
      <c r="F215" s="358">
        <v>1.47E-2</v>
      </c>
      <c r="S215" s="3" t="s">
        <v>129</v>
      </c>
    </row>
    <row r="216" spans="1:21">
      <c r="A216" s="357"/>
      <c r="B216" s="3" t="s">
        <v>1166</v>
      </c>
      <c r="F216" s="378">
        <v>1E-4</v>
      </c>
      <c r="S216" s="3" t="s">
        <v>129</v>
      </c>
      <c r="U216" s="3" t="s">
        <v>1169</v>
      </c>
    </row>
    <row r="217" spans="1:21">
      <c r="A217" s="357"/>
      <c r="B217" s="3" t="s">
        <v>1167</v>
      </c>
      <c r="F217" s="358">
        <v>0.34539999999999998</v>
      </c>
      <c r="S217" s="3" t="s">
        <v>129</v>
      </c>
    </row>
    <row r="218" spans="1:21">
      <c r="A218" s="357"/>
      <c r="B218" s="3" t="s">
        <v>277</v>
      </c>
      <c r="F218" s="358">
        <v>1E-4</v>
      </c>
      <c r="S218" s="3" t="s">
        <v>129</v>
      </c>
    </row>
  </sheetData>
  <mergeCells count="4">
    <mergeCell ref="B5:D5"/>
    <mergeCell ref="U24:AA24"/>
    <mergeCell ref="U25:AA25"/>
    <mergeCell ref="U37:AA37"/>
  </mergeCells>
  <phoneticPr fontId="40" type="noConversion"/>
  <pageMargins left="0.7" right="0.7" top="0.75" bottom="0.75" header="0.3" footer="0.3"/>
  <pageSetup paperSize="9" orientation="portrait" r:id="rId1"/>
  <headerFooter>
    <oddFooter>&amp;C_x000D_&amp;1#&amp;"Calibri"&amp;10&amp;K000000 Vertrouwelijk/Confidential</oddFooter>
  </headerFooter>
  <ignoredErrors>
    <ignoredError sqref="F174:F17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H229"/>
  <sheetViews>
    <sheetView showGridLines="0" zoomScale="80" zoomScaleNormal="80" workbookViewId="0"/>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6" width="20" style="3" bestFit="1" customWidth="1"/>
    <col min="7" max="7" width="68.5703125" style="3" bestFit="1" customWidth="1"/>
    <col min="8" max="8" width="25.42578125" style="3" customWidth="1"/>
    <col min="9" max="16384" width="13.5703125" style="3"/>
  </cols>
  <sheetData>
    <row r="2" spans="1:12" s="12" customFormat="1" ht="18">
      <c r="B2" s="12" t="s">
        <v>278</v>
      </c>
    </row>
    <row r="4" spans="1:12">
      <c r="B4" s="16" t="s">
        <v>279</v>
      </c>
    </row>
    <row r="5" spans="1:12" ht="58.5" customHeight="1">
      <c r="B5" s="379" t="s">
        <v>280</v>
      </c>
      <c r="C5" s="379"/>
      <c r="D5" s="379"/>
      <c r="E5" s="379"/>
    </row>
    <row r="7" spans="1:12" s="8" customFormat="1">
      <c r="A7" s="160"/>
      <c r="B7" s="8" t="s">
        <v>152</v>
      </c>
      <c r="G7" s="52"/>
      <c r="H7" s="52"/>
      <c r="I7" s="52"/>
      <c r="J7" s="52"/>
      <c r="K7" s="52"/>
      <c r="L7" s="52"/>
    </row>
    <row r="8" spans="1:12" ht="12" customHeight="1"/>
    <row r="9" spans="1:12" s="8" customFormat="1">
      <c r="A9" s="160"/>
      <c r="B9" s="8" t="s">
        <v>281</v>
      </c>
      <c r="D9" s="8" t="s">
        <v>282</v>
      </c>
      <c r="E9" s="8" t="s">
        <v>283</v>
      </c>
      <c r="G9" s="8" t="s">
        <v>196</v>
      </c>
      <c r="H9" s="192"/>
      <c r="I9" s="192"/>
    </row>
    <row r="11" spans="1:12">
      <c r="B11" s="101" t="s">
        <v>284</v>
      </c>
      <c r="D11" s="101">
        <v>55</v>
      </c>
      <c r="E11" s="101">
        <v>1</v>
      </c>
      <c r="G11" s="3" t="s">
        <v>285</v>
      </c>
    </row>
    <row r="12" spans="1:12">
      <c r="B12" s="101" t="s">
        <v>286</v>
      </c>
      <c r="D12" s="101">
        <v>55</v>
      </c>
      <c r="E12" s="101">
        <v>0</v>
      </c>
      <c r="G12" s="3" t="s">
        <v>285</v>
      </c>
    </row>
    <row r="13" spans="1:12">
      <c r="B13" s="101" t="s">
        <v>287</v>
      </c>
      <c r="D13" s="101">
        <v>55</v>
      </c>
      <c r="E13" s="101">
        <v>0</v>
      </c>
      <c r="G13" s="3" t="s">
        <v>285</v>
      </c>
    </row>
    <row r="14" spans="1:12">
      <c r="B14" s="101" t="s">
        <v>288</v>
      </c>
      <c r="D14" s="101">
        <v>30</v>
      </c>
      <c r="E14" s="101">
        <v>0</v>
      </c>
      <c r="G14" s="3" t="s">
        <v>285</v>
      </c>
    </row>
    <row r="15" spans="1:12">
      <c r="B15" s="101" t="s">
        <v>289</v>
      </c>
      <c r="D15" s="101">
        <v>30</v>
      </c>
      <c r="E15" s="101">
        <v>0</v>
      </c>
      <c r="G15" s="3" t="s">
        <v>285</v>
      </c>
    </row>
    <row r="16" spans="1:12">
      <c r="B16" s="101" t="s">
        <v>290</v>
      </c>
      <c r="D16" s="101">
        <v>5</v>
      </c>
      <c r="E16" s="101">
        <v>1</v>
      </c>
      <c r="G16" s="3" t="s">
        <v>285</v>
      </c>
    </row>
    <row r="17" spans="2:7">
      <c r="B17" s="101" t="s">
        <v>291</v>
      </c>
      <c r="D17" s="101">
        <v>0</v>
      </c>
      <c r="E17" s="101">
        <v>0</v>
      </c>
      <c r="G17" s="3" t="s">
        <v>285</v>
      </c>
    </row>
    <row r="18" spans="2:7">
      <c r="B18" s="101" t="s">
        <v>292</v>
      </c>
      <c r="D18" s="101">
        <v>0</v>
      </c>
      <c r="E18" s="101">
        <v>0</v>
      </c>
      <c r="G18" s="3" t="s">
        <v>285</v>
      </c>
    </row>
    <row r="19" spans="2:7">
      <c r="B19" s="101" t="s">
        <v>293</v>
      </c>
      <c r="D19" s="101">
        <v>10</v>
      </c>
      <c r="E19" s="101">
        <v>0</v>
      </c>
      <c r="G19" s="3" t="s">
        <v>285</v>
      </c>
    </row>
    <row r="20" spans="2:7">
      <c r="B20" s="306" t="s">
        <v>294</v>
      </c>
      <c r="C20" s="306"/>
      <c r="D20" s="306">
        <v>10</v>
      </c>
      <c r="E20" s="306">
        <v>0</v>
      </c>
      <c r="G20" s="3" t="s">
        <v>295</v>
      </c>
    </row>
    <row r="21" spans="2:7">
      <c r="B21" s="101" t="s">
        <v>296</v>
      </c>
      <c r="D21" s="101">
        <v>10</v>
      </c>
      <c r="E21" s="101">
        <v>0</v>
      </c>
      <c r="G21" s="3" t="s">
        <v>285</v>
      </c>
    </row>
    <row r="22" spans="2:7">
      <c r="B22" s="101" t="s">
        <v>297</v>
      </c>
      <c r="D22" s="101">
        <v>30</v>
      </c>
      <c r="E22" s="101">
        <v>0</v>
      </c>
      <c r="G22" s="3" t="s">
        <v>285</v>
      </c>
    </row>
    <row r="23" spans="2:7">
      <c r="B23" s="101" t="s">
        <v>298</v>
      </c>
      <c r="D23" s="101">
        <v>30</v>
      </c>
      <c r="E23" s="101">
        <v>0</v>
      </c>
      <c r="G23" s="3" t="s">
        <v>285</v>
      </c>
    </row>
    <row r="24" spans="2:7">
      <c r="B24" s="101" t="s">
        <v>299</v>
      </c>
      <c r="D24" s="101">
        <v>30</v>
      </c>
      <c r="E24" s="101">
        <v>0</v>
      </c>
      <c r="G24" s="3" t="s">
        <v>285</v>
      </c>
    </row>
    <row r="25" spans="2:7">
      <c r="B25" s="101" t="s">
        <v>300</v>
      </c>
      <c r="D25" s="101">
        <v>55</v>
      </c>
      <c r="E25" s="101">
        <v>0</v>
      </c>
      <c r="G25" s="3" t="s">
        <v>285</v>
      </c>
    </row>
    <row r="26" spans="2:7">
      <c r="B26" s="101" t="s">
        <v>301</v>
      </c>
      <c r="D26" s="101">
        <v>10</v>
      </c>
      <c r="E26" s="101">
        <v>0</v>
      </c>
      <c r="G26" s="3" t="s">
        <v>285</v>
      </c>
    </row>
    <row r="27" spans="2:7">
      <c r="B27" s="101" t="s">
        <v>302</v>
      </c>
      <c r="D27" s="101">
        <v>10</v>
      </c>
      <c r="E27" s="101">
        <v>1</v>
      </c>
      <c r="G27" s="3" t="s">
        <v>285</v>
      </c>
    </row>
    <row r="28" spans="2:7">
      <c r="B28" s="101" t="s">
        <v>303</v>
      </c>
      <c r="D28" s="101">
        <v>10</v>
      </c>
      <c r="E28" s="101">
        <v>1</v>
      </c>
      <c r="G28" s="3" t="s">
        <v>285</v>
      </c>
    </row>
    <row r="29" spans="2:7">
      <c r="B29" s="101" t="s">
        <v>304</v>
      </c>
      <c r="D29" s="101">
        <v>10</v>
      </c>
      <c r="E29" s="101">
        <v>0</v>
      </c>
      <c r="G29" s="3" t="s">
        <v>285</v>
      </c>
    </row>
    <row r="30" spans="2:7">
      <c r="B30" s="101" t="s">
        <v>305</v>
      </c>
      <c r="D30" s="101">
        <v>10</v>
      </c>
      <c r="E30" s="101">
        <v>0</v>
      </c>
      <c r="G30" s="3" t="s">
        <v>285</v>
      </c>
    </row>
    <row r="31" spans="2:7">
      <c r="B31" s="101" t="s">
        <v>306</v>
      </c>
      <c r="D31" s="101">
        <v>10</v>
      </c>
      <c r="E31" s="101">
        <v>0</v>
      </c>
      <c r="G31" s="3" t="s">
        <v>285</v>
      </c>
    </row>
    <row r="32" spans="2:7">
      <c r="B32" s="101" t="s">
        <v>307</v>
      </c>
      <c r="D32" s="101">
        <v>10</v>
      </c>
      <c r="E32" s="101">
        <v>1</v>
      </c>
      <c r="G32" s="3" t="s">
        <v>285</v>
      </c>
    </row>
    <row r="33" spans="2:7">
      <c r="B33" s="101" t="s">
        <v>308</v>
      </c>
      <c r="D33" s="101">
        <v>10</v>
      </c>
      <c r="E33" s="101">
        <v>0</v>
      </c>
      <c r="G33" s="3" t="s">
        <v>285</v>
      </c>
    </row>
    <row r="34" spans="2:7">
      <c r="B34" s="101" t="s">
        <v>309</v>
      </c>
      <c r="D34" s="101">
        <v>10</v>
      </c>
      <c r="E34" s="101">
        <v>0</v>
      </c>
      <c r="G34" s="3" t="s">
        <v>285</v>
      </c>
    </row>
    <row r="35" spans="2:7">
      <c r="B35" s="101" t="s">
        <v>310</v>
      </c>
      <c r="D35" s="101">
        <v>10</v>
      </c>
      <c r="E35" s="101">
        <v>0</v>
      </c>
      <c r="G35" s="3" t="s">
        <v>285</v>
      </c>
    </row>
    <row r="36" spans="2:7">
      <c r="B36" s="101" t="s">
        <v>311</v>
      </c>
      <c r="D36" s="101">
        <v>10</v>
      </c>
      <c r="E36" s="101">
        <v>1</v>
      </c>
      <c r="G36" s="3" t="s">
        <v>285</v>
      </c>
    </row>
    <row r="37" spans="2:7">
      <c r="B37" s="101" t="s">
        <v>312</v>
      </c>
      <c r="D37" s="101">
        <v>10</v>
      </c>
      <c r="E37" s="101">
        <v>1</v>
      </c>
      <c r="G37" s="3" t="s">
        <v>285</v>
      </c>
    </row>
    <row r="38" spans="2:7">
      <c r="B38" s="101" t="s">
        <v>313</v>
      </c>
      <c r="D38" s="101">
        <v>10</v>
      </c>
      <c r="E38" s="101">
        <v>0</v>
      </c>
      <c r="G38" s="3" t="s">
        <v>285</v>
      </c>
    </row>
    <row r="39" spans="2:7">
      <c r="B39" s="101" t="s">
        <v>314</v>
      </c>
      <c r="D39" s="101">
        <v>10</v>
      </c>
      <c r="E39" s="101">
        <v>1</v>
      </c>
      <c r="G39" s="3" t="s">
        <v>285</v>
      </c>
    </row>
    <row r="40" spans="2:7">
      <c r="B40" s="101" t="s">
        <v>315</v>
      </c>
      <c r="D40" s="101">
        <v>10</v>
      </c>
      <c r="E40" s="101">
        <v>0</v>
      </c>
      <c r="G40" s="3" t="s">
        <v>285</v>
      </c>
    </row>
    <row r="41" spans="2:7">
      <c r="B41" s="101" t="s">
        <v>316</v>
      </c>
      <c r="D41" s="101">
        <v>10</v>
      </c>
      <c r="E41" s="101">
        <v>0</v>
      </c>
      <c r="G41" s="3" t="s">
        <v>285</v>
      </c>
    </row>
    <row r="42" spans="2:7">
      <c r="B42" s="101" t="s">
        <v>317</v>
      </c>
      <c r="D42" s="101">
        <v>30</v>
      </c>
      <c r="E42" s="101">
        <v>1</v>
      </c>
      <c r="G42" s="3" t="s">
        <v>285</v>
      </c>
    </row>
    <row r="43" spans="2:7">
      <c r="B43" s="101" t="s">
        <v>318</v>
      </c>
      <c r="D43" s="101">
        <v>30</v>
      </c>
      <c r="E43" s="101">
        <v>0</v>
      </c>
      <c r="G43" s="3" t="s">
        <v>285</v>
      </c>
    </row>
    <row r="44" spans="2:7">
      <c r="B44" s="101" t="s">
        <v>319</v>
      </c>
      <c r="D44" s="101">
        <v>30</v>
      </c>
      <c r="E44" s="101">
        <v>0</v>
      </c>
      <c r="G44" s="3" t="s">
        <v>285</v>
      </c>
    </row>
    <row r="45" spans="2:7">
      <c r="B45" s="101" t="s">
        <v>320</v>
      </c>
      <c r="D45" s="101">
        <v>30</v>
      </c>
      <c r="E45" s="101">
        <v>0</v>
      </c>
      <c r="G45" s="3" t="s">
        <v>285</v>
      </c>
    </row>
    <row r="46" spans="2:7">
      <c r="B46" s="101" t="s">
        <v>321</v>
      </c>
      <c r="D46" s="101">
        <v>30</v>
      </c>
      <c r="E46" s="101">
        <v>0</v>
      </c>
      <c r="G46" s="3" t="s">
        <v>285</v>
      </c>
    </row>
    <row r="47" spans="2:7">
      <c r="B47" s="101" t="s">
        <v>322</v>
      </c>
      <c r="D47" s="101">
        <v>30</v>
      </c>
      <c r="E47" s="101">
        <v>1</v>
      </c>
      <c r="G47" s="3" t="s">
        <v>285</v>
      </c>
    </row>
    <row r="48" spans="2:7">
      <c r="B48" s="101" t="s">
        <v>323</v>
      </c>
      <c r="D48" s="101">
        <v>30</v>
      </c>
      <c r="E48" s="101">
        <v>1</v>
      </c>
      <c r="G48" s="3" t="s">
        <v>285</v>
      </c>
    </row>
    <row r="49" spans="2:7">
      <c r="B49" s="101" t="s">
        <v>324</v>
      </c>
      <c r="D49" s="101">
        <v>30</v>
      </c>
      <c r="E49" s="101">
        <v>0</v>
      </c>
      <c r="G49" s="3" t="s">
        <v>285</v>
      </c>
    </row>
    <row r="50" spans="2:7">
      <c r="B50" s="101" t="s">
        <v>325</v>
      </c>
      <c r="D50" s="101">
        <v>55</v>
      </c>
      <c r="E50" s="101">
        <v>1</v>
      </c>
      <c r="G50" s="3" t="s">
        <v>285</v>
      </c>
    </row>
    <row r="51" spans="2:7">
      <c r="B51" s="101" t="s">
        <v>326</v>
      </c>
      <c r="D51" s="101">
        <v>55</v>
      </c>
      <c r="E51" s="101">
        <v>0</v>
      </c>
      <c r="G51" s="3" t="s">
        <v>285</v>
      </c>
    </row>
    <row r="52" spans="2:7">
      <c r="B52" s="101" t="s">
        <v>327</v>
      </c>
      <c r="D52" s="101">
        <v>55</v>
      </c>
      <c r="E52" s="101">
        <v>0</v>
      </c>
      <c r="G52" s="3" t="s">
        <v>285</v>
      </c>
    </row>
    <row r="53" spans="2:7">
      <c r="B53" s="101" t="s">
        <v>328</v>
      </c>
      <c r="D53" s="101">
        <v>55</v>
      </c>
      <c r="E53" s="101">
        <v>0</v>
      </c>
      <c r="G53" s="3" t="s">
        <v>285</v>
      </c>
    </row>
    <row r="54" spans="2:7">
      <c r="B54" s="101" t="s">
        <v>329</v>
      </c>
      <c r="D54" s="101">
        <v>55</v>
      </c>
      <c r="E54" s="101">
        <v>1</v>
      </c>
      <c r="G54" s="3" t="s">
        <v>285</v>
      </c>
    </row>
    <row r="55" spans="2:7">
      <c r="B55" s="101" t="s">
        <v>330</v>
      </c>
      <c r="D55" s="101">
        <v>55</v>
      </c>
      <c r="E55" s="101">
        <v>1</v>
      </c>
      <c r="G55" s="3" t="s">
        <v>285</v>
      </c>
    </row>
    <row r="56" spans="2:7">
      <c r="B56" s="101" t="s">
        <v>331</v>
      </c>
      <c r="D56" s="101">
        <v>30</v>
      </c>
      <c r="E56" s="101">
        <v>1</v>
      </c>
      <c r="G56" s="3" t="s">
        <v>285</v>
      </c>
    </row>
    <row r="57" spans="2:7">
      <c r="B57" s="101" t="s">
        <v>332</v>
      </c>
      <c r="D57" s="101">
        <v>30</v>
      </c>
      <c r="E57" s="101">
        <v>0</v>
      </c>
      <c r="G57" s="3" t="s">
        <v>285</v>
      </c>
    </row>
    <row r="58" spans="2:7">
      <c r="B58" s="101" t="s">
        <v>333</v>
      </c>
      <c r="D58" s="101">
        <v>30</v>
      </c>
      <c r="E58" s="101">
        <v>0</v>
      </c>
      <c r="G58" s="3" t="s">
        <v>285</v>
      </c>
    </row>
    <row r="59" spans="2:7">
      <c r="B59" s="101" t="s">
        <v>334</v>
      </c>
      <c r="D59" s="101">
        <v>30</v>
      </c>
      <c r="E59" s="101">
        <v>1</v>
      </c>
      <c r="G59" s="3" t="s">
        <v>285</v>
      </c>
    </row>
    <row r="60" spans="2:7">
      <c r="B60" s="101" t="s">
        <v>335</v>
      </c>
      <c r="D60" s="101">
        <v>30</v>
      </c>
      <c r="E60" s="101">
        <v>0</v>
      </c>
      <c r="G60" s="3" t="s">
        <v>285</v>
      </c>
    </row>
    <row r="61" spans="2:7">
      <c r="B61" s="101" t="s">
        <v>336</v>
      </c>
      <c r="D61" s="101">
        <v>30</v>
      </c>
      <c r="E61" s="101">
        <v>1</v>
      </c>
      <c r="G61" s="3" t="s">
        <v>285</v>
      </c>
    </row>
    <row r="62" spans="2:7">
      <c r="B62" s="101" t="s">
        <v>337</v>
      </c>
      <c r="D62" s="101">
        <v>30</v>
      </c>
      <c r="E62" s="101">
        <v>0</v>
      </c>
      <c r="G62" s="3" t="s">
        <v>285</v>
      </c>
    </row>
    <row r="63" spans="2:7">
      <c r="B63" s="101" t="s">
        <v>338</v>
      </c>
      <c r="D63" s="101">
        <v>30</v>
      </c>
      <c r="E63" s="101">
        <v>0</v>
      </c>
      <c r="G63" s="3" t="s">
        <v>285</v>
      </c>
    </row>
    <row r="64" spans="2:7">
      <c r="B64" s="101" t="s">
        <v>339</v>
      </c>
      <c r="D64" s="101">
        <v>30</v>
      </c>
      <c r="E64" s="101">
        <v>1</v>
      </c>
      <c r="G64" s="3" t="s">
        <v>285</v>
      </c>
    </row>
    <row r="65" spans="2:7">
      <c r="B65" s="101" t="s">
        <v>340</v>
      </c>
      <c r="D65" s="101">
        <v>30</v>
      </c>
      <c r="E65" s="101">
        <v>0</v>
      </c>
      <c r="G65" s="3" t="s">
        <v>285</v>
      </c>
    </row>
    <row r="66" spans="2:7">
      <c r="B66" s="101" t="s">
        <v>341</v>
      </c>
      <c r="D66" s="101">
        <v>5</v>
      </c>
      <c r="E66" s="101">
        <v>1</v>
      </c>
      <c r="G66" s="3" t="s">
        <v>285</v>
      </c>
    </row>
    <row r="67" spans="2:7">
      <c r="B67" s="101" t="s">
        <v>342</v>
      </c>
      <c r="D67" s="101">
        <v>5</v>
      </c>
      <c r="E67" s="101">
        <v>0</v>
      </c>
      <c r="G67" s="3" t="s">
        <v>285</v>
      </c>
    </row>
    <row r="68" spans="2:7">
      <c r="B68" s="101" t="s">
        <v>343</v>
      </c>
      <c r="D68" s="101">
        <v>5</v>
      </c>
      <c r="E68" s="101">
        <v>0</v>
      </c>
      <c r="G68" s="3" t="s">
        <v>285</v>
      </c>
    </row>
    <row r="69" spans="2:7">
      <c r="B69" s="101" t="s">
        <v>344</v>
      </c>
      <c r="D69" s="101">
        <v>5</v>
      </c>
      <c r="E69" s="101">
        <v>0</v>
      </c>
      <c r="G69" s="3" t="s">
        <v>285</v>
      </c>
    </row>
    <row r="70" spans="2:7">
      <c r="B70" s="101" t="s">
        <v>345</v>
      </c>
      <c r="D70" s="101">
        <v>5</v>
      </c>
      <c r="E70" s="101">
        <v>0</v>
      </c>
      <c r="G70" s="3" t="s">
        <v>285</v>
      </c>
    </row>
    <row r="71" spans="2:7">
      <c r="B71" s="101" t="s">
        <v>346</v>
      </c>
      <c r="D71" s="101">
        <v>10</v>
      </c>
      <c r="E71" s="101">
        <v>1</v>
      </c>
      <c r="G71" s="3" t="s">
        <v>285</v>
      </c>
    </row>
    <row r="72" spans="2:7">
      <c r="B72" s="101" t="s">
        <v>347</v>
      </c>
      <c r="D72" s="101">
        <v>15</v>
      </c>
      <c r="E72" s="101">
        <v>1</v>
      </c>
      <c r="G72" s="3" t="s">
        <v>285</v>
      </c>
    </row>
    <row r="73" spans="2:7">
      <c r="B73" s="101" t="s">
        <v>348</v>
      </c>
      <c r="D73" s="101">
        <v>15</v>
      </c>
      <c r="E73" s="101">
        <v>0</v>
      </c>
      <c r="G73" s="3" t="s">
        <v>285</v>
      </c>
    </row>
    <row r="74" spans="2:7">
      <c r="B74" s="101" t="s">
        <v>349</v>
      </c>
      <c r="D74" s="101">
        <v>15</v>
      </c>
      <c r="E74" s="101">
        <v>0</v>
      </c>
      <c r="G74" s="3" t="s">
        <v>285</v>
      </c>
    </row>
    <row r="75" spans="2:7">
      <c r="B75" s="101" t="s">
        <v>350</v>
      </c>
      <c r="D75" s="101">
        <v>55</v>
      </c>
      <c r="E75" s="101">
        <v>1</v>
      </c>
      <c r="G75" s="3" t="s">
        <v>285</v>
      </c>
    </row>
    <row r="76" spans="2:7">
      <c r="B76" s="101" t="s">
        <v>351</v>
      </c>
      <c r="D76" s="101">
        <v>30</v>
      </c>
      <c r="E76" s="101">
        <v>0</v>
      </c>
      <c r="G76" s="3" t="s">
        <v>285</v>
      </c>
    </row>
    <row r="77" spans="2:7">
      <c r="B77" s="101" t="s">
        <v>352</v>
      </c>
      <c r="D77" s="101">
        <v>0</v>
      </c>
      <c r="E77" s="101">
        <v>0</v>
      </c>
      <c r="G77" s="3" t="s">
        <v>285</v>
      </c>
    </row>
    <row r="78" spans="2:7">
      <c r="B78" s="101" t="s">
        <v>353</v>
      </c>
      <c r="D78" s="101">
        <v>0</v>
      </c>
      <c r="E78" s="101">
        <v>0</v>
      </c>
      <c r="G78" s="3" t="s">
        <v>285</v>
      </c>
    </row>
    <row r="79" spans="2:7">
      <c r="B79" s="101" t="s">
        <v>354</v>
      </c>
      <c r="D79" s="101">
        <v>0</v>
      </c>
      <c r="E79" s="101">
        <v>0</v>
      </c>
      <c r="G79" s="3" t="s">
        <v>285</v>
      </c>
    </row>
    <row r="80" spans="2:7">
      <c r="B80" s="101" t="s">
        <v>355</v>
      </c>
      <c r="D80" s="101">
        <v>55</v>
      </c>
      <c r="E80" s="101">
        <v>0</v>
      </c>
      <c r="G80" s="3" t="s">
        <v>285</v>
      </c>
    </row>
    <row r="81" spans="2:11">
      <c r="B81" s="101" t="s">
        <v>356</v>
      </c>
      <c r="D81" s="101">
        <v>30</v>
      </c>
      <c r="E81" s="101">
        <v>0</v>
      </c>
      <c r="G81" s="3" t="s">
        <v>285</v>
      </c>
    </row>
    <row r="83" spans="2:11" s="39" customFormat="1">
      <c r="B83" s="39" t="s">
        <v>357</v>
      </c>
    </row>
    <row r="84" spans="2:11" s="45" customFormat="1">
      <c r="B84" s="45" t="s">
        <v>358</v>
      </c>
      <c r="D84" s="45" t="s">
        <v>359</v>
      </c>
      <c r="F84" s="46" t="s">
        <v>360</v>
      </c>
      <c r="G84" s="45" t="s">
        <v>281</v>
      </c>
      <c r="H84" s="46" t="s">
        <v>282</v>
      </c>
      <c r="I84" s="47" t="s">
        <v>361</v>
      </c>
      <c r="J84" s="47"/>
      <c r="K84" s="40" t="s">
        <v>196</v>
      </c>
    </row>
    <row r="85" spans="2:11" s="54" customFormat="1">
      <c r="F85" s="55"/>
      <c r="H85" s="55"/>
      <c r="I85" s="56"/>
    </row>
    <row r="86" spans="2:11">
      <c r="B86" s="307">
        <v>1529</v>
      </c>
      <c r="D86" s="157">
        <v>0</v>
      </c>
      <c r="F86" s="101">
        <v>2020</v>
      </c>
      <c r="G86" s="101" t="s">
        <v>362</v>
      </c>
      <c r="H86" s="101">
        <v>0</v>
      </c>
      <c r="I86" s="101">
        <v>1</v>
      </c>
      <c r="K86" s="3" t="s">
        <v>123</v>
      </c>
    </row>
    <row r="87" spans="2:11">
      <c r="B87" s="307">
        <v>1530</v>
      </c>
      <c r="D87" s="157">
        <v>16428371.587765666</v>
      </c>
      <c r="F87" s="101">
        <v>2020</v>
      </c>
      <c r="G87" s="101" t="s">
        <v>362</v>
      </c>
      <c r="H87" s="101">
        <v>5</v>
      </c>
      <c r="I87" s="101">
        <v>1</v>
      </c>
      <c r="K87" s="3" t="s">
        <v>123</v>
      </c>
    </row>
    <row r="88" spans="2:11">
      <c r="B88" s="307">
        <v>1531</v>
      </c>
      <c r="D88" s="157">
        <v>4983079.8391110003</v>
      </c>
      <c r="F88" s="101">
        <v>2020</v>
      </c>
      <c r="G88" s="101" t="s">
        <v>362</v>
      </c>
      <c r="H88" s="101">
        <v>10</v>
      </c>
      <c r="I88" s="101">
        <v>1</v>
      </c>
      <c r="K88" s="3" t="s">
        <v>123</v>
      </c>
    </row>
    <row r="89" spans="2:11">
      <c r="B89" s="307">
        <v>1532</v>
      </c>
      <c r="D89" s="157">
        <v>23504856.52408703</v>
      </c>
      <c r="F89" s="101">
        <v>2020</v>
      </c>
      <c r="G89" s="101" t="s">
        <v>362</v>
      </c>
      <c r="H89" s="101">
        <v>15</v>
      </c>
      <c r="I89" s="101">
        <v>1</v>
      </c>
      <c r="K89" s="3" t="s">
        <v>123</v>
      </c>
    </row>
    <row r="90" spans="2:11">
      <c r="B90" s="307">
        <v>1533</v>
      </c>
      <c r="D90" s="157">
        <v>28868891.250722278</v>
      </c>
      <c r="F90" s="101">
        <v>2020</v>
      </c>
      <c r="G90" s="101" t="s">
        <v>362</v>
      </c>
      <c r="H90" s="101">
        <v>30</v>
      </c>
      <c r="I90" s="101">
        <v>1</v>
      </c>
      <c r="K90" s="3" t="s">
        <v>123</v>
      </c>
    </row>
    <row r="91" spans="2:11">
      <c r="B91" s="307">
        <v>1534</v>
      </c>
      <c r="D91" s="157">
        <v>79913166.073822603</v>
      </c>
      <c r="F91" s="101">
        <v>2020</v>
      </c>
      <c r="G91" s="101" t="s">
        <v>362</v>
      </c>
      <c r="H91" s="101">
        <v>55</v>
      </c>
      <c r="I91" s="101">
        <v>1</v>
      </c>
      <c r="K91" s="3" t="s">
        <v>123</v>
      </c>
    </row>
    <row r="92" spans="2:11">
      <c r="B92" s="307">
        <v>1535</v>
      </c>
      <c r="D92" s="157">
        <v>-30502.390165910823</v>
      </c>
      <c r="F92" s="101">
        <v>2020</v>
      </c>
      <c r="G92" s="101" t="s">
        <v>362</v>
      </c>
      <c r="H92" s="101">
        <v>0</v>
      </c>
      <c r="I92" s="101">
        <v>0</v>
      </c>
      <c r="K92" s="3" t="s">
        <v>123</v>
      </c>
    </row>
    <row r="93" spans="2:11">
      <c r="B93" s="307">
        <v>1536</v>
      </c>
      <c r="D93" s="157">
        <v>429610.71824132768</v>
      </c>
      <c r="F93" s="101">
        <v>2020</v>
      </c>
      <c r="G93" s="101" t="s">
        <v>362</v>
      </c>
      <c r="H93" s="101">
        <v>5</v>
      </c>
      <c r="I93" s="101">
        <v>0</v>
      </c>
      <c r="K93" s="3" t="s">
        <v>123</v>
      </c>
    </row>
    <row r="94" spans="2:11">
      <c r="B94" s="307">
        <v>1537</v>
      </c>
      <c r="D94" s="157">
        <v>1540614.7503467209</v>
      </c>
      <c r="F94" s="101">
        <v>2020</v>
      </c>
      <c r="G94" s="101" t="s">
        <v>362</v>
      </c>
      <c r="H94" s="101">
        <v>10</v>
      </c>
      <c r="I94" s="101">
        <v>0</v>
      </c>
      <c r="K94" s="3" t="s">
        <v>123</v>
      </c>
    </row>
    <row r="95" spans="2:11">
      <c r="B95" s="307">
        <v>1538</v>
      </c>
      <c r="D95" s="157">
        <v>4629744.6502016177</v>
      </c>
      <c r="F95" s="101">
        <v>2020</v>
      </c>
      <c r="G95" s="101" t="s">
        <v>362</v>
      </c>
      <c r="H95" s="101">
        <v>15</v>
      </c>
      <c r="I95" s="101">
        <v>0</v>
      </c>
      <c r="K95" s="3" t="s">
        <v>123</v>
      </c>
    </row>
    <row r="96" spans="2:11">
      <c r="B96" s="307">
        <v>1539</v>
      </c>
      <c r="D96" s="157">
        <v>26259145.971940324</v>
      </c>
      <c r="F96" s="101">
        <v>2020</v>
      </c>
      <c r="G96" s="101" t="s">
        <v>362</v>
      </c>
      <c r="H96" s="101">
        <v>30</v>
      </c>
      <c r="I96" s="101">
        <v>0</v>
      </c>
      <c r="K96" s="3" t="s">
        <v>123</v>
      </c>
    </row>
    <row r="97" spans="2:11">
      <c r="B97" s="307">
        <v>1540</v>
      </c>
      <c r="D97" s="157">
        <v>37094.77163904941</v>
      </c>
      <c r="F97" s="101">
        <v>2020</v>
      </c>
      <c r="G97" s="101" t="s">
        <v>362</v>
      </c>
      <c r="H97" s="101">
        <v>55</v>
      </c>
      <c r="I97" s="101">
        <v>0</v>
      </c>
      <c r="K97" s="3" t="s">
        <v>123</v>
      </c>
    </row>
    <row r="98" spans="2:11">
      <c r="B98" s="307">
        <v>1541</v>
      </c>
      <c r="D98" s="157">
        <v>0</v>
      </c>
      <c r="F98" s="101">
        <v>2020</v>
      </c>
      <c r="G98" s="101" t="s">
        <v>362</v>
      </c>
      <c r="H98" s="101">
        <v>0</v>
      </c>
      <c r="I98" s="101">
        <v>0</v>
      </c>
      <c r="K98" s="3" t="s">
        <v>123</v>
      </c>
    </row>
    <row r="99" spans="2:11" ht="12" customHeight="1">
      <c r="B99" s="307">
        <v>1542</v>
      </c>
      <c r="D99" s="157">
        <v>617395.17786534363</v>
      </c>
      <c r="F99" s="101">
        <v>2020</v>
      </c>
      <c r="G99" s="101" t="s">
        <v>362</v>
      </c>
      <c r="H99" s="101">
        <v>5</v>
      </c>
      <c r="I99" s="101">
        <v>0</v>
      </c>
      <c r="K99" s="3" t="s">
        <v>123</v>
      </c>
    </row>
    <row r="100" spans="2:11">
      <c r="B100" s="307">
        <v>1543</v>
      </c>
      <c r="D100" s="157">
        <v>4570297.1729062358</v>
      </c>
      <c r="F100" s="101">
        <v>2020</v>
      </c>
      <c r="G100" s="101" t="s">
        <v>362</v>
      </c>
      <c r="H100" s="101">
        <v>10</v>
      </c>
      <c r="I100" s="101">
        <v>0</v>
      </c>
      <c r="K100" s="3" t="s">
        <v>123</v>
      </c>
    </row>
    <row r="101" spans="2:11">
      <c r="B101" s="307">
        <v>1544</v>
      </c>
      <c r="D101" s="157">
        <v>7478818.3856429011</v>
      </c>
      <c r="F101" s="101">
        <v>2020</v>
      </c>
      <c r="G101" s="101" t="s">
        <v>362</v>
      </c>
      <c r="H101" s="101">
        <v>15</v>
      </c>
      <c r="I101" s="101">
        <v>0</v>
      </c>
      <c r="K101" s="3" t="s">
        <v>123</v>
      </c>
    </row>
    <row r="102" spans="2:11">
      <c r="B102" s="307">
        <v>1545</v>
      </c>
      <c r="D102" s="157">
        <v>7420552.1500870837</v>
      </c>
      <c r="F102" s="101">
        <v>2020</v>
      </c>
      <c r="G102" s="101" t="s">
        <v>362</v>
      </c>
      <c r="H102" s="101">
        <v>30</v>
      </c>
      <c r="I102" s="101">
        <v>0</v>
      </c>
      <c r="K102" s="3" t="s">
        <v>123</v>
      </c>
    </row>
    <row r="103" spans="2:11">
      <c r="B103" s="307">
        <v>1546</v>
      </c>
      <c r="D103" s="157">
        <v>0</v>
      </c>
      <c r="F103" s="101">
        <v>2020</v>
      </c>
      <c r="G103" s="101" t="s">
        <v>362</v>
      </c>
      <c r="H103" s="101">
        <v>55</v>
      </c>
      <c r="I103" s="101">
        <v>0</v>
      </c>
      <c r="K103" s="3" t="s">
        <v>123</v>
      </c>
    </row>
    <row r="104" spans="2:11">
      <c r="B104" s="307">
        <v>1547</v>
      </c>
      <c r="D104" s="157">
        <v>0</v>
      </c>
      <c r="F104" s="101">
        <v>2021</v>
      </c>
      <c r="G104" s="101" t="s">
        <v>362</v>
      </c>
      <c r="H104" s="101">
        <v>0</v>
      </c>
      <c r="I104" s="101">
        <v>1</v>
      </c>
      <c r="K104" s="3" t="s">
        <v>123</v>
      </c>
    </row>
    <row r="105" spans="2:11">
      <c r="B105" s="307">
        <v>1548</v>
      </c>
      <c r="D105" s="157">
        <v>16674534.307636745</v>
      </c>
      <c r="F105" s="101">
        <v>2021</v>
      </c>
      <c r="G105" s="101" t="s">
        <v>362</v>
      </c>
      <c r="H105" s="101">
        <v>5</v>
      </c>
      <c r="I105" s="101">
        <v>1</v>
      </c>
      <c r="K105" s="3" t="s">
        <v>123</v>
      </c>
    </row>
    <row r="106" spans="2:11">
      <c r="B106" s="307">
        <v>1549</v>
      </c>
      <c r="D106" s="157">
        <v>5057746.3074202398</v>
      </c>
      <c r="F106" s="101">
        <v>2021</v>
      </c>
      <c r="G106" s="101" t="s">
        <v>362</v>
      </c>
      <c r="H106" s="101">
        <v>10</v>
      </c>
      <c r="I106" s="101">
        <v>1</v>
      </c>
      <c r="K106" s="3" t="s">
        <v>123</v>
      </c>
    </row>
    <row r="107" spans="2:11">
      <c r="B107" s="307">
        <v>1550</v>
      </c>
      <c r="D107" s="157">
        <v>23857053.29424395</v>
      </c>
      <c r="F107" s="101">
        <v>2021</v>
      </c>
      <c r="G107" s="101" t="s">
        <v>362</v>
      </c>
      <c r="H107" s="101">
        <v>15</v>
      </c>
      <c r="I107" s="101">
        <v>1</v>
      </c>
      <c r="K107" s="3" t="s">
        <v>123</v>
      </c>
    </row>
    <row r="108" spans="2:11">
      <c r="B108" s="307">
        <v>1551</v>
      </c>
      <c r="D108" s="157">
        <v>29301462.7172231</v>
      </c>
      <c r="F108" s="101">
        <v>2021</v>
      </c>
      <c r="G108" s="101" t="s">
        <v>362</v>
      </c>
      <c r="H108" s="101">
        <v>30</v>
      </c>
      <c r="I108" s="101">
        <v>1</v>
      </c>
      <c r="K108" s="3" t="s">
        <v>123</v>
      </c>
    </row>
    <row r="109" spans="2:11">
      <c r="B109" s="307">
        <v>1552</v>
      </c>
      <c r="D109" s="157">
        <v>81110584.954272762</v>
      </c>
      <c r="F109" s="101">
        <v>2021</v>
      </c>
      <c r="G109" s="101" t="s">
        <v>362</v>
      </c>
      <c r="H109" s="101">
        <v>55</v>
      </c>
      <c r="I109" s="101">
        <v>1</v>
      </c>
      <c r="K109" s="3" t="s">
        <v>123</v>
      </c>
    </row>
    <row r="110" spans="2:11">
      <c r="B110" s="307">
        <v>1553</v>
      </c>
      <c r="D110" s="157">
        <v>-30959.437980156832</v>
      </c>
      <c r="F110" s="101">
        <v>2021</v>
      </c>
      <c r="G110" s="101" t="s">
        <v>362</v>
      </c>
      <c r="H110" s="101">
        <v>0</v>
      </c>
      <c r="I110" s="101">
        <v>0</v>
      </c>
      <c r="K110" s="3" t="s">
        <v>123</v>
      </c>
    </row>
    <row r="111" spans="2:11">
      <c r="B111" s="307">
        <v>1554</v>
      </c>
      <c r="D111" s="157">
        <v>436048.00524345576</v>
      </c>
      <c r="F111" s="101">
        <v>2021</v>
      </c>
      <c r="G111" s="101" t="s">
        <v>362</v>
      </c>
      <c r="H111" s="101">
        <v>5</v>
      </c>
      <c r="I111" s="101">
        <v>0</v>
      </c>
      <c r="K111" s="3" t="s">
        <v>123</v>
      </c>
    </row>
    <row r="112" spans="2:11">
      <c r="B112" s="307">
        <v>1555</v>
      </c>
      <c r="D112" s="157">
        <v>1563699.3217659162</v>
      </c>
      <c r="F112" s="101">
        <v>2021</v>
      </c>
      <c r="G112" s="101" t="s">
        <v>362</v>
      </c>
      <c r="H112" s="101">
        <v>10</v>
      </c>
      <c r="I112" s="101">
        <v>0</v>
      </c>
      <c r="K112" s="3" t="s">
        <v>123</v>
      </c>
    </row>
    <row r="113" spans="2:11">
      <c r="B113" s="307">
        <v>1556</v>
      </c>
      <c r="D113" s="157">
        <v>4699116.7440402387</v>
      </c>
      <c r="F113" s="101">
        <v>2021</v>
      </c>
      <c r="G113" s="101" t="s">
        <v>362</v>
      </c>
      <c r="H113" s="101">
        <v>15</v>
      </c>
      <c r="I113" s="101">
        <v>0</v>
      </c>
      <c r="K113" s="3" t="s">
        <v>123</v>
      </c>
    </row>
    <row r="114" spans="2:11">
      <c r="B114" s="307">
        <v>1557</v>
      </c>
      <c r="D114" s="157">
        <v>26652613.015183877</v>
      </c>
      <c r="F114" s="101">
        <v>2021</v>
      </c>
      <c r="G114" s="101" t="s">
        <v>362</v>
      </c>
      <c r="H114" s="101">
        <v>30</v>
      </c>
      <c r="I114" s="101">
        <v>0</v>
      </c>
      <c r="K114" s="3" t="s">
        <v>123</v>
      </c>
    </row>
    <row r="115" spans="2:11">
      <c r="B115" s="307">
        <v>1558</v>
      </c>
      <c r="D115" s="157">
        <v>37650.599697288933</v>
      </c>
      <c r="F115" s="101">
        <v>2021</v>
      </c>
      <c r="G115" s="101" t="s">
        <v>362</v>
      </c>
      <c r="H115" s="101">
        <v>55</v>
      </c>
      <c r="I115" s="101">
        <v>0</v>
      </c>
      <c r="K115" s="3" t="s">
        <v>123</v>
      </c>
    </row>
    <row r="116" spans="2:11">
      <c r="B116" s="307">
        <v>1559</v>
      </c>
      <c r="D116" s="157">
        <v>0</v>
      </c>
      <c r="F116" s="101">
        <v>2021</v>
      </c>
      <c r="G116" s="101" t="s">
        <v>362</v>
      </c>
      <c r="H116" s="101">
        <v>0</v>
      </c>
      <c r="I116" s="101">
        <v>0</v>
      </c>
      <c r="K116" s="3" t="s">
        <v>123</v>
      </c>
    </row>
    <row r="117" spans="2:11">
      <c r="B117" s="307">
        <v>1560</v>
      </c>
      <c r="D117" s="157">
        <v>626646.22721047793</v>
      </c>
      <c r="F117" s="101">
        <v>2021</v>
      </c>
      <c r="G117" s="101" t="s">
        <v>362</v>
      </c>
      <c r="H117" s="101">
        <v>5</v>
      </c>
      <c r="I117" s="101">
        <v>0</v>
      </c>
      <c r="K117" s="3" t="s">
        <v>123</v>
      </c>
    </row>
    <row r="118" spans="2:11">
      <c r="B118" s="307">
        <v>1561</v>
      </c>
      <c r="D118" s="157">
        <v>4638778.5057450626</v>
      </c>
      <c r="F118" s="101">
        <v>2021</v>
      </c>
      <c r="G118" s="101" t="s">
        <v>362</v>
      </c>
      <c r="H118" s="101">
        <v>10</v>
      </c>
      <c r="I118" s="101">
        <v>0</v>
      </c>
      <c r="K118" s="3" t="s">
        <v>123</v>
      </c>
    </row>
    <row r="119" spans="2:11">
      <c r="B119" s="307">
        <v>1562</v>
      </c>
      <c r="D119" s="157">
        <v>7590881.0003333744</v>
      </c>
      <c r="F119" s="101">
        <v>2021</v>
      </c>
      <c r="G119" s="101" t="s">
        <v>362</v>
      </c>
      <c r="H119" s="101">
        <v>15</v>
      </c>
      <c r="I119" s="101">
        <v>0</v>
      </c>
      <c r="K119" s="3" t="s">
        <v>123</v>
      </c>
    </row>
    <row r="120" spans="2:11">
      <c r="B120" s="307">
        <v>1563</v>
      </c>
      <c r="D120" s="157">
        <v>7531741.7035039887</v>
      </c>
      <c r="F120" s="101">
        <v>2021</v>
      </c>
      <c r="G120" s="101" t="s">
        <v>362</v>
      </c>
      <c r="H120" s="101">
        <v>30</v>
      </c>
      <c r="I120" s="101">
        <v>0</v>
      </c>
      <c r="K120" s="3" t="s">
        <v>123</v>
      </c>
    </row>
    <row r="121" spans="2:11">
      <c r="B121" s="307">
        <v>1564</v>
      </c>
      <c r="D121" s="157">
        <v>0</v>
      </c>
      <c r="F121" s="101">
        <v>2021</v>
      </c>
      <c r="G121" s="101" t="s">
        <v>362</v>
      </c>
      <c r="H121" s="101">
        <v>55</v>
      </c>
      <c r="I121" s="101">
        <v>0</v>
      </c>
      <c r="K121" s="3" t="s">
        <v>123</v>
      </c>
    </row>
    <row r="122" spans="2:11">
      <c r="B122" s="307">
        <v>1565</v>
      </c>
      <c r="D122" s="157">
        <v>0</v>
      </c>
      <c r="F122" s="101">
        <v>2022</v>
      </c>
      <c r="G122" s="101" t="s">
        <v>362</v>
      </c>
      <c r="H122" s="101">
        <v>0</v>
      </c>
      <c r="I122" s="101">
        <v>1</v>
      </c>
      <c r="K122" s="3" t="s">
        <v>123</v>
      </c>
    </row>
    <row r="123" spans="2:11">
      <c r="B123" s="307">
        <v>1566</v>
      </c>
      <c r="D123" s="157">
        <v>16890169.385303106</v>
      </c>
      <c r="F123" s="101">
        <v>2022</v>
      </c>
      <c r="G123" s="101" t="s">
        <v>362</v>
      </c>
      <c r="H123" s="101">
        <v>5</v>
      </c>
      <c r="I123" s="101">
        <v>1</v>
      </c>
      <c r="K123" s="3" t="s">
        <v>123</v>
      </c>
    </row>
    <row r="124" spans="2:11">
      <c r="B124" s="307">
        <v>1567</v>
      </c>
      <c r="D124" s="157">
        <v>5123153.0826677978</v>
      </c>
      <c r="F124" s="101">
        <v>2022</v>
      </c>
      <c r="G124" s="101" t="s">
        <v>362</v>
      </c>
      <c r="H124" s="101">
        <v>10</v>
      </c>
      <c r="I124" s="101">
        <v>1</v>
      </c>
      <c r="K124" s="3" t="s">
        <v>123</v>
      </c>
    </row>
    <row r="125" spans="2:11">
      <c r="B125" s="307">
        <v>1568</v>
      </c>
      <c r="D125" s="157">
        <v>24165572.707445111</v>
      </c>
      <c r="F125" s="101">
        <v>2022</v>
      </c>
      <c r="G125" s="101" t="s">
        <v>362</v>
      </c>
      <c r="H125" s="101">
        <v>15</v>
      </c>
      <c r="I125" s="101">
        <v>1</v>
      </c>
      <c r="K125" s="3" t="s">
        <v>123</v>
      </c>
    </row>
    <row r="126" spans="2:11">
      <c r="B126" s="307">
        <v>1569</v>
      </c>
      <c r="D126" s="157">
        <v>29680389.233082227</v>
      </c>
      <c r="F126" s="101">
        <v>2022</v>
      </c>
      <c r="G126" s="101" t="s">
        <v>362</v>
      </c>
      <c r="H126" s="101">
        <v>30</v>
      </c>
      <c r="I126" s="101">
        <v>1</v>
      </c>
      <c r="K126" s="3" t="s">
        <v>123</v>
      </c>
    </row>
    <row r="127" spans="2:11">
      <c r="B127" s="307">
        <v>1570</v>
      </c>
      <c r="D127" s="157">
        <v>82159507.038901418</v>
      </c>
      <c r="F127" s="101">
        <v>2022</v>
      </c>
      <c r="G127" s="101" t="s">
        <v>362</v>
      </c>
      <c r="H127" s="101">
        <v>55</v>
      </c>
      <c r="I127" s="101">
        <v>1</v>
      </c>
      <c r="K127" s="3" t="s">
        <v>123</v>
      </c>
    </row>
    <row r="128" spans="2:11">
      <c r="B128" s="307">
        <v>1571</v>
      </c>
      <c r="D128" s="157">
        <v>-31359.805432116216</v>
      </c>
      <c r="F128" s="101">
        <v>2022</v>
      </c>
      <c r="G128" s="101" t="s">
        <v>362</v>
      </c>
      <c r="H128" s="101">
        <v>0</v>
      </c>
      <c r="I128" s="101">
        <v>0</v>
      </c>
      <c r="K128" s="3" t="s">
        <v>123</v>
      </c>
    </row>
    <row r="129" spans="2:11">
      <c r="B129" s="307">
        <v>1572</v>
      </c>
      <c r="D129" s="157">
        <v>441686.97804726404</v>
      </c>
      <c r="F129" s="101">
        <v>2022</v>
      </c>
      <c r="G129" s="101" t="s">
        <v>362</v>
      </c>
      <c r="H129" s="101">
        <v>5</v>
      </c>
      <c r="I129" s="101">
        <v>0</v>
      </c>
      <c r="K129" s="3" t="s">
        <v>123</v>
      </c>
    </row>
    <row r="130" spans="2:11">
      <c r="B130" s="307">
        <v>1573</v>
      </c>
      <c r="D130" s="157">
        <v>1583921.081394993</v>
      </c>
      <c r="F130" s="101">
        <v>2022</v>
      </c>
      <c r="G130" s="101" t="s">
        <v>362</v>
      </c>
      <c r="H130" s="101">
        <v>10</v>
      </c>
      <c r="I130" s="101">
        <v>0</v>
      </c>
      <c r="K130" s="3" t="s">
        <v>123</v>
      </c>
    </row>
    <row r="131" spans="2:11">
      <c r="B131" s="307">
        <v>1574</v>
      </c>
      <c r="D131" s="157">
        <v>4759885.7217741664</v>
      </c>
      <c r="F131" s="101">
        <v>2022</v>
      </c>
      <c r="G131" s="101" t="s">
        <v>362</v>
      </c>
      <c r="H131" s="101">
        <v>15</v>
      </c>
      <c r="I131" s="101">
        <v>0</v>
      </c>
      <c r="K131" s="3" t="s">
        <v>123</v>
      </c>
    </row>
    <row r="132" spans="2:11">
      <c r="B132" s="307">
        <v>1575</v>
      </c>
      <c r="D132" s="157">
        <v>26997284.606696233</v>
      </c>
      <c r="F132" s="101">
        <v>2022</v>
      </c>
      <c r="G132" s="101" t="s">
        <v>362</v>
      </c>
      <c r="H132" s="101">
        <v>30</v>
      </c>
      <c r="I132" s="101">
        <v>0</v>
      </c>
      <c r="K132" s="3" t="s">
        <v>123</v>
      </c>
    </row>
    <row r="133" spans="2:11">
      <c r="B133" s="307">
        <v>1576</v>
      </c>
      <c r="D133" s="157">
        <v>38137.497252574271</v>
      </c>
      <c r="F133" s="101">
        <v>2022</v>
      </c>
      <c r="G133" s="101" t="s">
        <v>362</v>
      </c>
      <c r="H133" s="101">
        <v>55</v>
      </c>
      <c r="I133" s="101">
        <v>0</v>
      </c>
      <c r="K133" s="3" t="s">
        <v>123</v>
      </c>
    </row>
    <row r="134" spans="2:11">
      <c r="B134" s="307">
        <v>1577</v>
      </c>
      <c r="D134" s="157">
        <v>0</v>
      </c>
      <c r="F134" s="101">
        <v>2022</v>
      </c>
      <c r="G134" s="101" t="s">
        <v>362</v>
      </c>
      <c r="H134" s="101">
        <v>0</v>
      </c>
      <c r="I134" s="101">
        <v>0</v>
      </c>
      <c r="K134" s="3" t="s">
        <v>123</v>
      </c>
    </row>
    <row r="135" spans="2:11">
      <c r="B135" s="307">
        <v>1578</v>
      </c>
      <c r="D135" s="157">
        <v>634750.01622076391</v>
      </c>
      <c r="F135" s="101">
        <v>2022</v>
      </c>
      <c r="G135" s="101" t="s">
        <v>362</v>
      </c>
      <c r="H135" s="101">
        <v>5</v>
      </c>
      <c r="I135" s="101">
        <v>0</v>
      </c>
      <c r="K135" s="3" t="s">
        <v>123</v>
      </c>
    </row>
    <row r="136" spans="2:11">
      <c r="B136" s="307">
        <v>1579</v>
      </c>
      <c r="D136" s="157">
        <v>4698767.1893813582</v>
      </c>
      <c r="F136" s="101">
        <v>2022</v>
      </c>
      <c r="G136" s="101" t="s">
        <v>362</v>
      </c>
      <c r="H136" s="101">
        <v>10</v>
      </c>
      <c r="I136" s="101">
        <v>0</v>
      </c>
      <c r="K136" s="3" t="s">
        <v>123</v>
      </c>
    </row>
    <row r="137" spans="2:11">
      <c r="B137" s="307">
        <v>1580</v>
      </c>
      <c r="D137" s="157">
        <v>7689046.2734296853</v>
      </c>
      <c r="F137" s="101">
        <v>2022</v>
      </c>
      <c r="G137" s="101" t="s">
        <v>362</v>
      </c>
      <c r="H137" s="101">
        <v>15</v>
      </c>
      <c r="I137" s="101">
        <v>0</v>
      </c>
      <c r="K137" s="3" t="s">
        <v>123</v>
      </c>
    </row>
    <row r="138" spans="2:11">
      <c r="B138" s="307">
        <v>1581</v>
      </c>
      <c r="D138" s="157">
        <v>7629142.1872137021</v>
      </c>
      <c r="F138" s="101">
        <v>2022</v>
      </c>
      <c r="G138" s="101" t="s">
        <v>362</v>
      </c>
      <c r="H138" s="101">
        <v>30</v>
      </c>
      <c r="I138" s="101">
        <v>0</v>
      </c>
      <c r="K138" s="3" t="s">
        <v>123</v>
      </c>
    </row>
    <row r="139" spans="2:11">
      <c r="B139" s="307">
        <v>1582</v>
      </c>
      <c r="D139" s="157">
        <v>0</v>
      </c>
      <c r="F139" s="101">
        <v>2022</v>
      </c>
      <c r="G139" s="101" t="s">
        <v>362</v>
      </c>
      <c r="H139" s="101">
        <v>55</v>
      </c>
      <c r="I139" s="101">
        <v>0</v>
      </c>
      <c r="K139" s="3" t="s">
        <v>123</v>
      </c>
    </row>
    <row r="140" spans="2:11">
      <c r="B140" s="307">
        <v>1583</v>
      </c>
      <c r="D140" s="157">
        <v>0</v>
      </c>
      <c r="F140" s="101">
        <v>2023</v>
      </c>
      <c r="G140" s="101" t="s">
        <v>362</v>
      </c>
      <c r="H140" s="101">
        <v>0</v>
      </c>
      <c r="I140" s="101">
        <v>1</v>
      </c>
      <c r="K140" s="3" t="s">
        <v>123</v>
      </c>
    </row>
    <row r="141" spans="2:11">
      <c r="B141" s="307">
        <v>1584</v>
      </c>
      <c r="D141" s="157">
        <v>17108593.055793844</v>
      </c>
      <c r="F141" s="101">
        <v>2023</v>
      </c>
      <c r="G141" s="101" t="s">
        <v>362</v>
      </c>
      <c r="H141" s="101">
        <v>5</v>
      </c>
      <c r="I141" s="101">
        <v>1</v>
      </c>
      <c r="K141" s="3" t="s">
        <v>123</v>
      </c>
    </row>
    <row r="142" spans="2:11">
      <c r="B142" s="307">
        <v>1585</v>
      </c>
      <c r="D142" s="157">
        <v>5189405.6983328583</v>
      </c>
      <c r="F142" s="101">
        <v>2023</v>
      </c>
      <c r="G142" s="101" t="s">
        <v>362</v>
      </c>
      <c r="H142" s="101">
        <v>10</v>
      </c>
      <c r="I142" s="101">
        <v>1</v>
      </c>
      <c r="K142" s="3" t="s">
        <v>123</v>
      </c>
    </row>
    <row r="143" spans="2:11">
      <c r="B143" s="307">
        <v>1586</v>
      </c>
      <c r="D143" s="157">
        <v>24478081.893697795</v>
      </c>
      <c r="F143" s="101">
        <v>2023</v>
      </c>
      <c r="G143" s="101" t="s">
        <v>362</v>
      </c>
      <c r="H143" s="101">
        <v>15</v>
      </c>
      <c r="I143" s="101">
        <v>1</v>
      </c>
      <c r="K143" s="3" t="s">
        <v>123</v>
      </c>
    </row>
    <row r="144" spans="2:11">
      <c r="B144" s="307">
        <v>1587</v>
      </c>
      <c r="D144" s="157">
        <v>30064216.026644446</v>
      </c>
      <c r="F144" s="101">
        <v>2023</v>
      </c>
      <c r="G144" s="101" t="s">
        <v>362</v>
      </c>
      <c r="H144" s="101">
        <v>30</v>
      </c>
      <c r="I144" s="101">
        <v>1</v>
      </c>
      <c r="K144" s="3" t="s">
        <v>123</v>
      </c>
    </row>
    <row r="145" spans="2:11">
      <c r="B145" s="307">
        <v>1588</v>
      </c>
      <c r="D145" s="157">
        <v>83221993.783928484</v>
      </c>
      <c r="F145" s="101">
        <v>2023</v>
      </c>
      <c r="G145" s="101" t="s">
        <v>362</v>
      </c>
      <c r="H145" s="101">
        <v>55</v>
      </c>
      <c r="I145" s="101">
        <v>1</v>
      </c>
      <c r="K145" s="3" t="s">
        <v>123</v>
      </c>
    </row>
    <row r="146" spans="2:11">
      <c r="B146" s="307">
        <v>1589</v>
      </c>
      <c r="D146" s="157">
        <v>-31765.350435964345</v>
      </c>
      <c r="F146" s="101">
        <v>2023</v>
      </c>
      <c r="G146" s="101" t="s">
        <v>362</v>
      </c>
      <c r="H146" s="101">
        <v>0</v>
      </c>
      <c r="I146" s="101">
        <v>0</v>
      </c>
      <c r="K146" s="3" t="s">
        <v>123</v>
      </c>
    </row>
    <row r="147" spans="2:11">
      <c r="B147" s="307">
        <v>1590</v>
      </c>
      <c r="D147" s="157">
        <v>447398.87404737127</v>
      </c>
      <c r="F147" s="101">
        <v>2023</v>
      </c>
      <c r="G147" s="101" t="s">
        <v>362</v>
      </c>
      <c r="H147" s="101">
        <v>5</v>
      </c>
      <c r="I147" s="101">
        <v>0</v>
      </c>
      <c r="K147" s="3" t="s">
        <v>123</v>
      </c>
    </row>
    <row r="148" spans="2:11">
      <c r="B148" s="307">
        <v>1591</v>
      </c>
      <c r="D148" s="157">
        <v>1604404.348819593</v>
      </c>
      <c r="F148" s="101">
        <v>2023</v>
      </c>
      <c r="G148" s="101" t="s">
        <v>362</v>
      </c>
      <c r="H148" s="101">
        <v>10</v>
      </c>
      <c r="I148" s="101">
        <v>0</v>
      </c>
      <c r="K148" s="3" t="s">
        <v>123</v>
      </c>
    </row>
    <row r="149" spans="2:11">
      <c r="B149" s="307">
        <v>1592</v>
      </c>
      <c r="D149" s="157">
        <v>4821440.5639281506</v>
      </c>
      <c r="F149" s="101">
        <v>2023</v>
      </c>
      <c r="G149" s="101" t="s">
        <v>362</v>
      </c>
      <c r="H149" s="101">
        <v>15</v>
      </c>
      <c r="I149" s="101">
        <v>0</v>
      </c>
      <c r="K149" s="3" t="s">
        <v>123</v>
      </c>
    </row>
    <row r="150" spans="2:11">
      <c r="B150" s="307">
        <v>1593</v>
      </c>
      <c r="D150" s="157">
        <v>27346413.49123003</v>
      </c>
      <c r="F150" s="101">
        <v>2023</v>
      </c>
      <c r="G150" s="101" t="s">
        <v>362</v>
      </c>
      <c r="H150" s="101">
        <v>30</v>
      </c>
      <c r="I150" s="101">
        <v>0</v>
      </c>
      <c r="K150" s="3" t="s">
        <v>123</v>
      </c>
    </row>
    <row r="151" spans="2:11">
      <c r="B151" s="307">
        <v>1594</v>
      </c>
      <c r="D151" s="157">
        <v>38630.691367044557</v>
      </c>
      <c r="F151" s="101">
        <v>2023</v>
      </c>
      <c r="G151" s="101" t="s">
        <v>362</v>
      </c>
      <c r="H151" s="101">
        <v>55</v>
      </c>
      <c r="I151" s="101">
        <v>0</v>
      </c>
      <c r="K151" s="3" t="s">
        <v>123</v>
      </c>
    </row>
    <row r="152" spans="2:11">
      <c r="B152" s="307">
        <v>1595</v>
      </c>
      <c r="D152" s="157">
        <v>0</v>
      </c>
      <c r="F152" s="101">
        <v>2023</v>
      </c>
      <c r="G152" s="101" t="s">
        <v>362</v>
      </c>
      <c r="H152" s="101">
        <v>0</v>
      </c>
      <c r="I152" s="101">
        <v>0</v>
      </c>
      <c r="K152" s="3" t="s">
        <v>123</v>
      </c>
    </row>
    <row r="153" spans="2:11">
      <c r="B153" s="307">
        <v>1596</v>
      </c>
      <c r="D153" s="157">
        <v>642958.60343053075</v>
      </c>
      <c r="F153" s="101">
        <v>2023</v>
      </c>
      <c r="G153" s="101" t="s">
        <v>362</v>
      </c>
      <c r="H153" s="101">
        <v>5</v>
      </c>
      <c r="I153" s="101">
        <v>0</v>
      </c>
      <c r="K153" s="3" t="s">
        <v>123</v>
      </c>
    </row>
    <row r="154" spans="2:11">
      <c r="B154" s="307">
        <v>1597</v>
      </c>
      <c r="D154" s="157">
        <v>4759531.6466744374</v>
      </c>
      <c r="F154" s="101">
        <v>2023</v>
      </c>
      <c r="G154" s="101" t="s">
        <v>362</v>
      </c>
      <c r="H154" s="101">
        <v>10</v>
      </c>
      <c r="I154" s="101">
        <v>0</v>
      </c>
      <c r="K154" s="3" t="s">
        <v>123</v>
      </c>
    </row>
    <row r="155" spans="2:11">
      <c r="B155" s="307">
        <v>1598</v>
      </c>
      <c r="D155" s="157">
        <v>7788481.0198376775</v>
      </c>
      <c r="F155" s="101">
        <v>2023</v>
      </c>
      <c r="G155" s="101" t="s">
        <v>362</v>
      </c>
      <c r="H155" s="101">
        <v>15</v>
      </c>
      <c r="I155" s="101">
        <v>0</v>
      </c>
      <c r="K155" s="3" t="s">
        <v>123</v>
      </c>
    </row>
    <row r="156" spans="2:11">
      <c r="B156" s="307">
        <v>1599</v>
      </c>
      <c r="D156" s="157">
        <v>7727802.2539787497</v>
      </c>
      <c r="F156" s="101">
        <v>2023</v>
      </c>
      <c r="G156" s="101" t="s">
        <v>362</v>
      </c>
      <c r="H156" s="101">
        <v>30</v>
      </c>
      <c r="I156" s="101">
        <v>0</v>
      </c>
      <c r="K156" s="3" t="s">
        <v>123</v>
      </c>
    </row>
    <row r="157" spans="2:11">
      <c r="B157" s="307">
        <v>1600</v>
      </c>
      <c r="D157" s="157">
        <v>0</v>
      </c>
      <c r="F157" s="101">
        <v>2023</v>
      </c>
      <c r="G157" s="101" t="s">
        <v>362</v>
      </c>
      <c r="H157" s="101">
        <v>55</v>
      </c>
      <c r="I157" s="101">
        <v>0</v>
      </c>
      <c r="K157" s="3" t="s">
        <v>123</v>
      </c>
    </row>
    <row r="158" spans="2:11">
      <c r="B158" s="307">
        <v>1601</v>
      </c>
      <c r="D158" s="157">
        <v>0</v>
      </c>
      <c r="F158" s="101">
        <v>2024</v>
      </c>
      <c r="G158" s="101" t="s">
        <v>362</v>
      </c>
      <c r="H158" s="101">
        <v>0</v>
      </c>
      <c r="I158" s="101">
        <v>1</v>
      </c>
      <c r="K158" s="3" t="s">
        <v>123</v>
      </c>
    </row>
    <row r="159" spans="2:11">
      <c r="B159" s="307">
        <v>1602</v>
      </c>
      <c r="D159" s="157">
        <v>17329841.381191369</v>
      </c>
      <c r="F159" s="101">
        <v>2024</v>
      </c>
      <c r="G159" s="101" t="s">
        <v>362</v>
      </c>
      <c r="H159" s="101">
        <v>5</v>
      </c>
      <c r="I159" s="101">
        <v>1</v>
      </c>
      <c r="K159" s="3" t="s">
        <v>123</v>
      </c>
    </row>
    <row r="160" spans="2:11">
      <c r="B160" s="307">
        <v>1603</v>
      </c>
      <c r="D160" s="157">
        <v>5256515.0928236982</v>
      </c>
      <c r="F160" s="101">
        <v>2024</v>
      </c>
      <c r="G160" s="101" t="s">
        <v>362</v>
      </c>
      <c r="H160" s="101">
        <v>10</v>
      </c>
      <c r="I160" s="101">
        <v>1</v>
      </c>
      <c r="K160" s="3" t="s">
        <v>123</v>
      </c>
    </row>
    <row r="161" spans="2:11">
      <c r="B161" s="307">
        <v>1604</v>
      </c>
      <c r="D161" s="157">
        <v>24794632.448747091</v>
      </c>
      <c r="F161" s="101">
        <v>2024</v>
      </c>
      <c r="G161" s="101" t="s">
        <v>362</v>
      </c>
      <c r="H161" s="101">
        <v>15</v>
      </c>
      <c r="I161" s="101">
        <v>1</v>
      </c>
      <c r="K161" s="3" t="s">
        <v>123</v>
      </c>
    </row>
    <row r="162" spans="2:11">
      <c r="B162" s="307">
        <v>1605</v>
      </c>
      <c r="D162" s="157">
        <v>30453006.468301013</v>
      </c>
      <c r="F162" s="101">
        <v>2024</v>
      </c>
      <c r="G162" s="101" t="s">
        <v>362</v>
      </c>
      <c r="H162" s="101">
        <v>30</v>
      </c>
      <c r="I162" s="101">
        <v>1</v>
      </c>
      <c r="K162" s="3" t="s">
        <v>123</v>
      </c>
    </row>
    <row r="163" spans="2:11">
      <c r="B163" s="307">
        <v>1606</v>
      </c>
      <c r="D163" s="157">
        <v>84298220.607542247</v>
      </c>
      <c r="F163" s="101">
        <v>2024</v>
      </c>
      <c r="G163" s="101" t="s">
        <v>362</v>
      </c>
      <c r="H163" s="101">
        <v>55</v>
      </c>
      <c r="I163" s="101">
        <v>1</v>
      </c>
      <c r="K163" s="3" t="s">
        <v>123</v>
      </c>
    </row>
    <row r="164" spans="2:11">
      <c r="B164" s="307">
        <v>1607</v>
      </c>
      <c r="D164" s="157">
        <v>-32176.139947802236</v>
      </c>
      <c r="F164" s="101">
        <v>2024</v>
      </c>
      <c r="G164" s="101" t="s">
        <v>362</v>
      </c>
      <c r="H164" s="101">
        <v>0</v>
      </c>
      <c r="I164" s="101">
        <v>0</v>
      </c>
      <c r="K164" s="3" t="s">
        <v>123</v>
      </c>
    </row>
    <row r="165" spans="2:11">
      <c r="B165" s="307">
        <v>1608</v>
      </c>
      <c r="D165" s="157">
        <v>453184.63628655189</v>
      </c>
      <c r="F165" s="101">
        <v>2024</v>
      </c>
      <c r="G165" s="101" t="s">
        <v>362</v>
      </c>
      <c r="H165" s="101">
        <v>5</v>
      </c>
      <c r="I165" s="101">
        <v>0</v>
      </c>
      <c r="K165" s="3" t="s">
        <v>123</v>
      </c>
    </row>
    <row r="166" spans="2:11">
      <c r="B166" s="307">
        <v>1609</v>
      </c>
      <c r="D166" s="157">
        <v>1625152.505858528</v>
      </c>
      <c r="F166" s="101">
        <v>2024</v>
      </c>
      <c r="G166" s="101" t="s">
        <v>362</v>
      </c>
      <c r="H166" s="101">
        <v>10</v>
      </c>
      <c r="I166" s="101">
        <v>0</v>
      </c>
      <c r="K166" s="3" t="s">
        <v>123</v>
      </c>
    </row>
    <row r="167" spans="2:11">
      <c r="B167" s="307">
        <v>1610</v>
      </c>
      <c r="D167" s="157">
        <v>4883791.4333008695</v>
      </c>
      <c r="F167" s="101">
        <v>2024</v>
      </c>
      <c r="G167" s="101" t="s">
        <v>362</v>
      </c>
      <c r="H167" s="101">
        <v>15</v>
      </c>
      <c r="I167" s="101">
        <v>0</v>
      </c>
      <c r="K167" s="3" t="s">
        <v>123</v>
      </c>
    </row>
    <row r="168" spans="2:11">
      <c r="B168" s="307">
        <v>1611</v>
      </c>
      <c r="D168" s="157">
        <v>27700057.310498618</v>
      </c>
      <c r="F168" s="101">
        <v>2024</v>
      </c>
      <c r="G168" s="101" t="s">
        <v>362</v>
      </c>
      <c r="H168" s="101">
        <v>30</v>
      </c>
      <c r="I168" s="101">
        <v>0</v>
      </c>
      <c r="K168" s="3" t="s">
        <v>123</v>
      </c>
    </row>
    <row r="169" spans="2:11">
      <c r="B169" s="307">
        <v>1612</v>
      </c>
      <c r="D169" s="157">
        <v>39130.263467803168</v>
      </c>
      <c r="F169" s="101">
        <v>2024</v>
      </c>
      <c r="G169" s="101" t="s">
        <v>362</v>
      </c>
      <c r="H169" s="101">
        <v>55</v>
      </c>
      <c r="I169" s="101">
        <v>0</v>
      </c>
      <c r="K169" s="3" t="s">
        <v>123</v>
      </c>
    </row>
    <row r="170" spans="2:11">
      <c r="B170" s="307">
        <v>1613</v>
      </c>
      <c r="D170" s="157">
        <v>0</v>
      </c>
      <c r="F170" s="101">
        <v>2024</v>
      </c>
      <c r="G170" s="101" t="s">
        <v>362</v>
      </c>
      <c r="H170" s="101">
        <v>0</v>
      </c>
      <c r="I170" s="101">
        <v>0</v>
      </c>
      <c r="K170" s="3" t="s">
        <v>123</v>
      </c>
    </row>
    <row r="171" spans="2:11">
      <c r="B171" s="307">
        <v>1614</v>
      </c>
      <c r="D171" s="157">
        <v>651273.34409009432</v>
      </c>
      <c r="F171" s="101">
        <v>2024</v>
      </c>
      <c r="G171" s="101" t="s">
        <v>362</v>
      </c>
      <c r="H171" s="101">
        <v>5</v>
      </c>
      <c r="I171" s="101">
        <v>0</v>
      </c>
      <c r="K171" s="3" t="s">
        <v>123</v>
      </c>
    </row>
    <row r="172" spans="2:11">
      <c r="B172" s="307">
        <v>1615</v>
      </c>
      <c r="D172" s="157">
        <v>4821081.9099292308</v>
      </c>
      <c r="F172" s="101">
        <v>2024</v>
      </c>
      <c r="G172" s="101" t="s">
        <v>362</v>
      </c>
      <c r="H172" s="101">
        <v>10</v>
      </c>
      <c r="I172" s="101">
        <v>0</v>
      </c>
      <c r="K172" s="3" t="s">
        <v>123</v>
      </c>
    </row>
    <row r="173" spans="2:11">
      <c r="B173" s="307">
        <v>1616</v>
      </c>
      <c r="D173" s="157">
        <v>7889201.656386218</v>
      </c>
      <c r="F173" s="101">
        <v>2024</v>
      </c>
      <c r="G173" s="101" t="s">
        <v>362</v>
      </c>
      <c r="H173" s="101">
        <v>15</v>
      </c>
      <c r="I173" s="101">
        <v>0</v>
      </c>
      <c r="K173" s="3" t="s">
        <v>123</v>
      </c>
    </row>
    <row r="174" spans="2:11">
      <c r="B174" s="307">
        <v>1617</v>
      </c>
      <c r="D174" s="157">
        <v>7827738.1927272025</v>
      </c>
      <c r="F174" s="101">
        <v>2024</v>
      </c>
      <c r="G174" s="101" t="s">
        <v>362</v>
      </c>
      <c r="H174" s="101">
        <v>30</v>
      </c>
      <c r="I174" s="101">
        <v>0</v>
      </c>
      <c r="K174" s="3" t="s">
        <v>123</v>
      </c>
    </row>
    <row r="175" spans="2:11">
      <c r="B175" s="307">
        <v>1618</v>
      </c>
      <c r="D175" s="157">
        <v>0</v>
      </c>
      <c r="F175" s="101">
        <v>2024</v>
      </c>
      <c r="G175" s="101" t="s">
        <v>362</v>
      </c>
      <c r="H175" s="101">
        <v>55</v>
      </c>
      <c r="I175" s="101">
        <v>0</v>
      </c>
      <c r="K175" s="3" t="s">
        <v>123</v>
      </c>
    </row>
    <row r="176" spans="2:11">
      <c r="B176" s="307">
        <v>1619</v>
      </c>
      <c r="D176" s="157">
        <v>0</v>
      </c>
      <c r="F176" s="101">
        <v>2025</v>
      </c>
      <c r="G176" s="101" t="s">
        <v>362</v>
      </c>
      <c r="H176" s="101">
        <v>0</v>
      </c>
      <c r="I176" s="101">
        <v>1</v>
      </c>
      <c r="K176" s="3" t="s">
        <v>123</v>
      </c>
    </row>
    <row r="177" spans="2:11">
      <c r="B177" s="307">
        <v>1620</v>
      </c>
      <c r="D177" s="157">
        <v>17553950.889932934</v>
      </c>
      <c r="F177" s="101">
        <v>2025</v>
      </c>
      <c r="G177" s="101" t="s">
        <v>362</v>
      </c>
      <c r="H177" s="101">
        <v>5</v>
      </c>
      <c r="I177" s="101">
        <v>1</v>
      </c>
      <c r="K177" s="3" t="s">
        <v>123</v>
      </c>
    </row>
    <row r="178" spans="2:11">
      <c r="B178" s="307">
        <v>1621</v>
      </c>
      <c r="D178" s="157">
        <v>5324492.346004094</v>
      </c>
      <c r="F178" s="101">
        <v>2025</v>
      </c>
      <c r="G178" s="101" t="s">
        <v>362</v>
      </c>
      <c r="H178" s="101">
        <v>10</v>
      </c>
      <c r="I178" s="101">
        <v>1</v>
      </c>
      <c r="K178" s="3" t="s">
        <v>123</v>
      </c>
    </row>
    <row r="179" spans="2:11">
      <c r="B179" s="307">
        <v>1622</v>
      </c>
      <c r="D179" s="157">
        <v>25115276.635574285</v>
      </c>
      <c r="F179" s="101">
        <v>2025</v>
      </c>
      <c r="G179" s="101" t="s">
        <v>362</v>
      </c>
      <c r="H179" s="101">
        <v>15</v>
      </c>
      <c r="I179" s="101">
        <v>1</v>
      </c>
      <c r="K179" s="3" t="s">
        <v>123</v>
      </c>
    </row>
    <row r="180" spans="2:11">
      <c r="B180" s="307">
        <v>1623</v>
      </c>
      <c r="D180" s="157">
        <v>30846824.747949079</v>
      </c>
      <c r="F180" s="101">
        <v>2025</v>
      </c>
      <c r="G180" s="101" t="s">
        <v>362</v>
      </c>
      <c r="H180" s="101">
        <v>30</v>
      </c>
      <c r="I180" s="101">
        <v>1</v>
      </c>
      <c r="K180" s="3" t="s">
        <v>123</v>
      </c>
    </row>
    <row r="181" spans="2:11">
      <c r="B181" s="307">
        <v>1624</v>
      </c>
      <c r="D181" s="157">
        <v>85388365.196438983</v>
      </c>
      <c r="F181" s="101">
        <v>2025</v>
      </c>
      <c r="G181" s="101" t="s">
        <v>362</v>
      </c>
      <c r="H181" s="101">
        <v>55</v>
      </c>
      <c r="I181" s="101">
        <v>1</v>
      </c>
      <c r="K181" s="3" t="s">
        <v>123</v>
      </c>
    </row>
    <row r="182" spans="2:11">
      <c r="B182" s="307">
        <v>1625</v>
      </c>
      <c r="D182" s="157">
        <v>-32592.241789607215</v>
      </c>
      <c r="F182" s="101">
        <v>2025</v>
      </c>
      <c r="G182" s="101" t="s">
        <v>362</v>
      </c>
      <c r="H182" s="101">
        <v>0</v>
      </c>
      <c r="I182" s="101">
        <v>0</v>
      </c>
      <c r="K182" s="3" t="s">
        <v>123</v>
      </c>
    </row>
    <row r="183" spans="2:11">
      <c r="B183" s="307">
        <v>1626</v>
      </c>
      <c r="D183" s="157">
        <v>459045.22000300954</v>
      </c>
      <c r="F183" s="101">
        <v>2025</v>
      </c>
      <c r="G183" s="101" t="s">
        <v>362</v>
      </c>
      <c r="H183" s="101">
        <v>5</v>
      </c>
      <c r="I183" s="101">
        <v>0</v>
      </c>
      <c r="K183" s="3" t="s">
        <v>123</v>
      </c>
    </row>
    <row r="184" spans="2:11">
      <c r="B184" s="307">
        <v>1627</v>
      </c>
      <c r="D184" s="157">
        <v>1646168.9780642902</v>
      </c>
      <c r="F184" s="101">
        <v>2025</v>
      </c>
      <c r="G184" s="101" t="s">
        <v>362</v>
      </c>
      <c r="H184" s="101">
        <v>10</v>
      </c>
      <c r="I184" s="101">
        <v>0</v>
      </c>
      <c r="K184" s="3" t="s">
        <v>123</v>
      </c>
    </row>
    <row r="185" spans="2:11">
      <c r="B185" s="307">
        <v>1628</v>
      </c>
      <c r="D185" s="157">
        <v>4946948.6241163164</v>
      </c>
      <c r="F185" s="101">
        <v>2025</v>
      </c>
      <c r="G185" s="101" t="s">
        <v>362</v>
      </c>
      <c r="H185" s="101">
        <v>15</v>
      </c>
      <c r="I185" s="101">
        <v>0</v>
      </c>
      <c r="K185" s="3" t="s">
        <v>123</v>
      </c>
    </row>
    <row r="186" spans="2:11">
      <c r="B186" s="307">
        <v>1629</v>
      </c>
      <c r="D186" s="157">
        <v>28058274.451637983</v>
      </c>
      <c r="F186" s="101">
        <v>2025</v>
      </c>
      <c r="G186" s="101" t="s">
        <v>362</v>
      </c>
      <c r="H186" s="101">
        <v>30</v>
      </c>
      <c r="I186" s="101">
        <v>0</v>
      </c>
      <c r="K186" s="3" t="s">
        <v>123</v>
      </c>
    </row>
    <row r="187" spans="2:11">
      <c r="B187" s="307">
        <v>1630</v>
      </c>
      <c r="D187" s="157">
        <v>39636.2960349688</v>
      </c>
      <c r="F187" s="101">
        <v>2025</v>
      </c>
      <c r="G187" s="101" t="s">
        <v>362</v>
      </c>
      <c r="H187" s="101">
        <v>55</v>
      </c>
      <c r="I187" s="101">
        <v>0</v>
      </c>
      <c r="K187" s="3" t="s">
        <v>123</v>
      </c>
    </row>
    <row r="188" spans="2:11">
      <c r="B188" s="307">
        <v>1631</v>
      </c>
      <c r="D188" s="157">
        <v>0</v>
      </c>
      <c r="F188" s="101">
        <v>2025</v>
      </c>
      <c r="G188" s="101" t="s">
        <v>362</v>
      </c>
      <c r="H188" s="101">
        <v>0</v>
      </c>
      <c r="I188" s="101">
        <v>0</v>
      </c>
      <c r="K188" s="3" t="s">
        <v>123</v>
      </c>
    </row>
    <row r="189" spans="2:11">
      <c r="B189" s="307">
        <v>1632</v>
      </c>
      <c r="D189" s="157">
        <v>659695.61097586737</v>
      </c>
      <c r="F189" s="101">
        <v>2025</v>
      </c>
      <c r="G189" s="101" t="s">
        <v>362</v>
      </c>
      <c r="H189" s="101">
        <v>5</v>
      </c>
      <c r="I189" s="101">
        <v>0</v>
      </c>
      <c r="K189" s="3" t="s">
        <v>123</v>
      </c>
    </row>
    <row r="190" spans="2:11">
      <c r="B190" s="307">
        <v>1633</v>
      </c>
      <c r="D190" s="157">
        <v>4883428.1411884353</v>
      </c>
      <c r="F190" s="101">
        <v>2025</v>
      </c>
      <c r="G190" s="101" t="s">
        <v>362</v>
      </c>
      <c r="H190" s="101">
        <v>10</v>
      </c>
      <c r="I190" s="101">
        <v>0</v>
      </c>
      <c r="K190" s="3" t="s">
        <v>123</v>
      </c>
    </row>
    <row r="191" spans="2:11">
      <c r="B191" s="307">
        <v>1634</v>
      </c>
      <c r="D191" s="157">
        <v>7991224.8122066045</v>
      </c>
      <c r="F191" s="101">
        <v>2025</v>
      </c>
      <c r="G191" s="101" t="s">
        <v>362</v>
      </c>
      <c r="H191" s="101">
        <v>15</v>
      </c>
      <c r="I191" s="101">
        <v>0</v>
      </c>
      <c r="K191" s="3" t="s">
        <v>123</v>
      </c>
    </row>
    <row r="192" spans="2:11">
      <c r="B192" s="307">
        <v>1635</v>
      </c>
      <c r="D192" s="157">
        <v>7928966.50303555</v>
      </c>
      <c r="F192" s="101">
        <v>2025</v>
      </c>
      <c r="G192" s="101" t="s">
        <v>362</v>
      </c>
      <c r="H192" s="101">
        <v>30</v>
      </c>
      <c r="I192" s="101">
        <v>0</v>
      </c>
      <c r="K192" s="3" t="s">
        <v>123</v>
      </c>
    </row>
    <row r="193" spans="2:11">
      <c r="B193" s="307">
        <v>1636</v>
      </c>
      <c r="D193" s="157">
        <v>0</v>
      </c>
      <c r="F193" s="101">
        <v>2025</v>
      </c>
      <c r="G193" s="101" t="s">
        <v>362</v>
      </c>
      <c r="H193" s="101">
        <v>55</v>
      </c>
      <c r="I193" s="101">
        <v>0</v>
      </c>
      <c r="K193" s="3" t="s">
        <v>123</v>
      </c>
    </row>
    <row r="194" spans="2:11">
      <c r="B194" s="307">
        <v>1637</v>
      </c>
      <c r="D194" s="157">
        <v>0</v>
      </c>
      <c r="F194" s="101">
        <v>2026</v>
      </c>
      <c r="G194" s="101" t="s">
        <v>362</v>
      </c>
      <c r="H194" s="101">
        <v>0</v>
      </c>
      <c r="I194" s="101">
        <v>1</v>
      </c>
      <c r="K194" s="3" t="s">
        <v>123</v>
      </c>
    </row>
    <row r="195" spans="2:11">
      <c r="B195" s="307">
        <v>1638</v>
      </c>
      <c r="D195" s="157">
        <v>17780958.582841545</v>
      </c>
      <c r="F195" s="101">
        <v>2026</v>
      </c>
      <c r="G195" s="101" t="s">
        <v>362</v>
      </c>
      <c r="H195" s="101">
        <v>5</v>
      </c>
      <c r="I195" s="101">
        <v>1</v>
      </c>
      <c r="K195" s="3" t="s">
        <v>123</v>
      </c>
    </row>
    <row r="196" spans="2:11">
      <c r="B196" s="307">
        <v>1639</v>
      </c>
      <c r="D196" s="157">
        <v>5393348.681022618</v>
      </c>
      <c r="F196" s="101">
        <v>2026</v>
      </c>
      <c r="G196" s="101" t="s">
        <v>362</v>
      </c>
      <c r="H196" s="101">
        <v>10</v>
      </c>
      <c r="I196" s="101">
        <v>1</v>
      </c>
      <c r="K196" s="3" t="s">
        <v>123</v>
      </c>
    </row>
    <row r="197" spans="2:11">
      <c r="B197" s="307">
        <v>1640</v>
      </c>
      <c r="D197" s="157">
        <v>25440067.393025532</v>
      </c>
      <c r="F197" s="101">
        <v>2026</v>
      </c>
      <c r="G197" s="101" t="s">
        <v>362</v>
      </c>
      <c r="H197" s="101">
        <v>15</v>
      </c>
      <c r="I197" s="101">
        <v>1</v>
      </c>
      <c r="K197" s="3" t="s">
        <v>123</v>
      </c>
    </row>
    <row r="198" spans="2:11">
      <c r="B198" s="307">
        <v>1641</v>
      </c>
      <c r="D198" s="157">
        <v>31245735.885589555</v>
      </c>
      <c r="F198" s="101">
        <v>2026</v>
      </c>
      <c r="G198" s="101" t="s">
        <v>362</v>
      </c>
      <c r="H198" s="101">
        <v>30</v>
      </c>
      <c r="I198" s="101">
        <v>1</v>
      </c>
      <c r="K198" s="3" t="s">
        <v>123</v>
      </c>
    </row>
    <row r="199" spans="2:11">
      <c r="B199" s="307">
        <v>1642</v>
      </c>
      <c r="D199" s="157">
        <v>86492607.535159335</v>
      </c>
      <c r="F199" s="101">
        <v>2026</v>
      </c>
      <c r="G199" s="101" t="s">
        <v>362</v>
      </c>
      <c r="H199" s="101">
        <v>55</v>
      </c>
      <c r="I199" s="101">
        <v>1</v>
      </c>
      <c r="K199" s="3" t="s">
        <v>123</v>
      </c>
    </row>
    <row r="200" spans="2:11">
      <c r="B200" s="307">
        <v>1643</v>
      </c>
      <c r="D200" s="157">
        <v>-33013.724660430409</v>
      </c>
      <c r="F200" s="101">
        <v>2026</v>
      </c>
      <c r="G200" s="101" t="s">
        <v>362</v>
      </c>
      <c r="H200" s="101">
        <v>0</v>
      </c>
      <c r="I200" s="101">
        <v>0</v>
      </c>
      <c r="K200" s="3" t="s">
        <v>123</v>
      </c>
    </row>
    <row r="201" spans="2:11">
      <c r="B201" s="307">
        <v>1644</v>
      </c>
      <c r="D201" s="157">
        <v>464981.59278808843</v>
      </c>
      <c r="F201" s="101">
        <v>2026</v>
      </c>
      <c r="G201" s="101" t="s">
        <v>362</v>
      </c>
      <c r="H201" s="101">
        <v>5</v>
      </c>
      <c r="I201" s="101">
        <v>0</v>
      </c>
      <c r="K201" s="3" t="s">
        <v>123</v>
      </c>
    </row>
    <row r="202" spans="2:11">
      <c r="B202" s="307">
        <v>1645</v>
      </c>
      <c r="D202" s="157">
        <v>1667457.2352886177</v>
      </c>
      <c r="F202" s="101">
        <v>2026</v>
      </c>
      <c r="G202" s="101" t="s">
        <v>362</v>
      </c>
      <c r="H202" s="101">
        <v>10</v>
      </c>
      <c r="I202" s="101">
        <v>0</v>
      </c>
      <c r="K202" s="3" t="s">
        <v>123</v>
      </c>
    </row>
    <row r="203" spans="2:11">
      <c r="B203" s="307">
        <v>1646</v>
      </c>
      <c r="D203" s="157">
        <v>5010922.5637233881</v>
      </c>
      <c r="F203" s="101">
        <v>2026</v>
      </c>
      <c r="G203" s="101" t="s">
        <v>362</v>
      </c>
      <c r="H203" s="101">
        <v>15</v>
      </c>
      <c r="I203" s="101">
        <v>0</v>
      </c>
      <c r="K203" s="3" t="s">
        <v>123</v>
      </c>
    </row>
    <row r="204" spans="2:11">
      <c r="B204" s="307">
        <v>1647</v>
      </c>
      <c r="D204" s="157">
        <v>28421124.056846563</v>
      </c>
      <c r="F204" s="101">
        <v>2026</v>
      </c>
      <c r="G204" s="101" t="s">
        <v>362</v>
      </c>
      <c r="H204" s="101">
        <v>30</v>
      </c>
      <c r="I204" s="101">
        <v>0</v>
      </c>
      <c r="K204" s="3" t="s">
        <v>123</v>
      </c>
    </row>
    <row r="205" spans="2:11">
      <c r="B205" s="307">
        <v>1648</v>
      </c>
      <c r="D205" s="157">
        <v>40148.872615293018</v>
      </c>
      <c r="F205" s="101">
        <v>2026</v>
      </c>
      <c r="G205" s="101" t="s">
        <v>362</v>
      </c>
      <c r="H205" s="101">
        <v>55</v>
      </c>
      <c r="I205" s="101">
        <v>0</v>
      </c>
      <c r="K205" s="3" t="s">
        <v>123</v>
      </c>
    </row>
    <row r="206" spans="2:11">
      <c r="B206" s="307">
        <v>1649</v>
      </c>
      <c r="D206" s="157">
        <v>0</v>
      </c>
      <c r="F206" s="101">
        <v>2026</v>
      </c>
      <c r="G206" s="101" t="s">
        <v>362</v>
      </c>
      <c r="H206" s="101">
        <v>0</v>
      </c>
      <c r="I206" s="101">
        <v>0</v>
      </c>
      <c r="K206" s="3" t="s">
        <v>123</v>
      </c>
    </row>
    <row r="207" spans="2:11">
      <c r="B207" s="307">
        <v>1650</v>
      </c>
      <c r="D207" s="157">
        <v>668226.79461700725</v>
      </c>
      <c r="F207" s="101">
        <v>2026</v>
      </c>
      <c r="G207" s="101" t="s">
        <v>362</v>
      </c>
      <c r="H207" s="101">
        <v>5</v>
      </c>
      <c r="I207" s="101">
        <v>0</v>
      </c>
      <c r="K207" s="3" t="s">
        <v>123</v>
      </c>
    </row>
    <row r="208" spans="2:11">
      <c r="B208" s="307">
        <v>1651</v>
      </c>
      <c r="D208" s="157">
        <v>4946580.6339102844</v>
      </c>
      <c r="F208" s="101">
        <v>2026</v>
      </c>
      <c r="G208" s="101" t="s">
        <v>362</v>
      </c>
      <c r="H208" s="101">
        <v>10</v>
      </c>
      <c r="I208" s="101">
        <v>0</v>
      </c>
      <c r="K208" s="3" t="s">
        <v>123</v>
      </c>
    </row>
    <row r="209" spans="2:11">
      <c r="B209" s="307">
        <v>1652</v>
      </c>
      <c r="D209" s="157">
        <v>8094567.3314780593</v>
      </c>
      <c r="F209" s="101">
        <v>2026</v>
      </c>
      <c r="G209" s="101" t="s">
        <v>362</v>
      </c>
      <c r="H209" s="101">
        <v>15</v>
      </c>
      <c r="I209" s="101">
        <v>0</v>
      </c>
      <c r="K209" s="3" t="s">
        <v>123</v>
      </c>
    </row>
    <row r="210" spans="2:11">
      <c r="B210" s="307">
        <v>1653</v>
      </c>
      <c r="D210" s="157">
        <v>8031503.8978528045</v>
      </c>
      <c r="F210" s="101">
        <v>2026</v>
      </c>
      <c r="G210" s="101" t="s">
        <v>362</v>
      </c>
      <c r="H210" s="101">
        <v>30</v>
      </c>
      <c r="I210" s="101">
        <v>0</v>
      </c>
      <c r="K210" s="3" t="s">
        <v>123</v>
      </c>
    </row>
    <row r="211" spans="2:11">
      <c r="B211" s="307">
        <v>1654</v>
      </c>
      <c r="D211" s="157">
        <v>0</v>
      </c>
      <c r="F211" s="101">
        <v>2026</v>
      </c>
      <c r="G211" s="101" t="s">
        <v>362</v>
      </c>
      <c r="H211" s="101">
        <v>55</v>
      </c>
      <c r="I211" s="101">
        <v>0</v>
      </c>
      <c r="K211" s="3" t="s">
        <v>123</v>
      </c>
    </row>
    <row r="212" spans="2:11">
      <c r="B212" s="307">
        <v>1655</v>
      </c>
      <c r="D212" s="157">
        <v>1823110</v>
      </c>
      <c r="F212" s="101">
        <v>2020</v>
      </c>
      <c r="G212" s="101" t="s">
        <v>284</v>
      </c>
      <c r="H212" s="101">
        <v>55</v>
      </c>
      <c r="I212" s="101">
        <v>1</v>
      </c>
      <c r="K212" s="3" t="s">
        <v>123</v>
      </c>
    </row>
    <row r="213" spans="2:11">
      <c r="B213" s="307">
        <v>1656</v>
      </c>
      <c r="D213" s="157">
        <v>1850427.4802399999</v>
      </c>
      <c r="F213" s="101">
        <v>2021</v>
      </c>
      <c r="G213" s="101" t="s">
        <v>284</v>
      </c>
      <c r="H213" s="101">
        <v>55</v>
      </c>
      <c r="I213" s="101">
        <v>1</v>
      </c>
      <c r="K213" s="3" t="s">
        <v>123</v>
      </c>
    </row>
    <row r="214" spans="2:11">
      <c r="B214" s="307">
        <v>1657</v>
      </c>
      <c r="D214" s="157">
        <v>1874357.2084144636</v>
      </c>
      <c r="F214" s="101">
        <v>2022</v>
      </c>
      <c r="G214" s="101" t="s">
        <v>284</v>
      </c>
      <c r="H214" s="101">
        <v>55</v>
      </c>
      <c r="I214" s="101">
        <v>1</v>
      </c>
      <c r="K214" s="3" t="s">
        <v>123</v>
      </c>
    </row>
    <row r="215" spans="2:11">
      <c r="B215" s="307">
        <v>1658</v>
      </c>
      <c r="D215" s="157">
        <v>1898596.3958336795</v>
      </c>
      <c r="F215" s="101">
        <v>2023</v>
      </c>
      <c r="G215" s="101" t="s">
        <v>284</v>
      </c>
      <c r="H215" s="101">
        <v>55</v>
      </c>
      <c r="I215" s="101">
        <v>1</v>
      </c>
      <c r="K215" s="3" t="s">
        <v>123</v>
      </c>
    </row>
    <row r="216" spans="2:11">
      <c r="B216" s="307">
        <v>1659</v>
      </c>
      <c r="D216" s="157">
        <v>1923149.0444246007</v>
      </c>
      <c r="F216" s="101">
        <v>2024</v>
      </c>
      <c r="G216" s="101" t="s">
        <v>284</v>
      </c>
      <c r="H216" s="101">
        <v>55</v>
      </c>
      <c r="I216" s="101">
        <v>1</v>
      </c>
      <c r="K216" s="3" t="s">
        <v>123</v>
      </c>
    </row>
    <row r="217" spans="2:11">
      <c r="B217" s="307">
        <v>1660</v>
      </c>
      <c r="D217" s="157">
        <v>1948019.2078670992</v>
      </c>
      <c r="F217" s="101">
        <v>2025</v>
      </c>
      <c r="G217" s="101" t="s">
        <v>284</v>
      </c>
      <c r="H217" s="101">
        <v>55</v>
      </c>
      <c r="I217" s="101">
        <v>1</v>
      </c>
      <c r="K217" s="3" t="s">
        <v>123</v>
      </c>
    </row>
    <row r="218" spans="2:11">
      <c r="B218" s="307">
        <v>1661</v>
      </c>
      <c r="D218" s="157">
        <v>1973210.9922632365</v>
      </c>
      <c r="F218" s="101">
        <v>2026</v>
      </c>
      <c r="G218" s="101" t="s">
        <v>284</v>
      </c>
      <c r="H218" s="101">
        <v>55</v>
      </c>
      <c r="I218" s="101">
        <v>1</v>
      </c>
      <c r="K218" s="3" t="s">
        <v>123</v>
      </c>
    </row>
    <row r="219" spans="2:11">
      <c r="B219" s="307">
        <v>1662</v>
      </c>
      <c r="D219" s="157">
        <v>463333.33333333337</v>
      </c>
      <c r="F219" s="101">
        <v>2020</v>
      </c>
      <c r="G219" s="101" t="s">
        <v>288</v>
      </c>
      <c r="H219" s="101">
        <v>30</v>
      </c>
      <c r="I219" s="101">
        <v>0</v>
      </c>
      <c r="K219" s="3" t="s">
        <v>123</v>
      </c>
    </row>
    <row r="220" spans="2:11">
      <c r="B220" s="307">
        <v>1663</v>
      </c>
      <c r="D220" s="157">
        <v>470275.92000000004</v>
      </c>
      <c r="F220" s="101">
        <v>2021</v>
      </c>
      <c r="G220" s="101" t="s">
        <v>288</v>
      </c>
      <c r="H220" s="101">
        <v>30</v>
      </c>
      <c r="I220" s="101">
        <v>0</v>
      </c>
      <c r="K220" s="3" t="s">
        <v>123</v>
      </c>
    </row>
    <row r="221" spans="2:11">
      <c r="B221" s="307">
        <v>1664</v>
      </c>
      <c r="D221" s="157">
        <v>476357.52819743997</v>
      </c>
      <c r="F221" s="101">
        <v>2022</v>
      </c>
      <c r="G221" s="101" t="s">
        <v>288</v>
      </c>
      <c r="H221" s="101">
        <v>30</v>
      </c>
      <c r="I221" s="101">
        <v>0</v>
      </c>
      <c r="K221" s="3" t="s">
        <v>123</v>
      </c>
    </row>
    <row r="222" spans="2:11">
      <c r="B222" s="307">
        <v>1665</v>
      </c>
      <c r="D222" s="157">
        <v>482517.78375208931</v>
      </c>
      <c r="F222" s="101">
        <v>2023</v>
      </c>
      <c r="G222" s="101" t="s">
        <v>288</v>
      </c>
      <c r="H222" s="101">
        <v>30</v>
      </c>
      <c r="I222" s="101">
        <v>0</v>
      </c>
      <c r="K222" s="3" t="s">
        <v>123</v>
      </c>
    </row>
    <row r="223" spans="2:11">
      <c r="B223" s="307">
        <v>1666</v>
      </c>
      <c r="D223" s="157">
        <v>488757.70373157132</v>
      </c>
      <c r="F223" s="101">
        <v>2024</v>
      </c>
      <c r="G223" s="101" t="s">
        <v>288</v>
      </c>
      <c r="H223" s="101">
        <v>30</v>
      </c>
      <c r="I223" s="101">
        <v>0</v>
      </c>
      <c r="K223" s="3" t="s">
        <v>123</v>
      </c>
    </row>
    <row r="224" spans="2:11">
      <c r="B224" s="307">
        <v>1667</v>
      </c>
      <c r="D224" s="157">
        <v>495078.31835622794</v>
      </c>
      <c r="F224" s="101">
        <v>2025</v>
      </c>
      <c r="G224" s="101" t="s">
        <v>288</v>
      </c>
      <c r="H224" s="101">
        <v>30</v>
      </c>
      <c r="I224" s="101">
        <v>0</v>
      </c>
      <c r="K224" s="3" t="s">
        <v>123</v>
      </c>
    </row>
    <row r="225" spans="2:86">
      <c r="B225" s="307">
        <v>1668</v>
      </c>
      <c r="D225" s="157">
        <v>501480.67116921069</v>
      </c>
      <c r="F225" s="101">
        <v>2026</v>
      </c>
      <c r="G225" s="101" t="s">
        <v>288</v>
      </c>
      <c r="H225" s="101">
        <v>30</v>
      </c>
      <c r="I225" s="101">
        <v>0</v>
      </c>
      <c r="K225" s="3" t="s">
        <v>123</v>
      </c>
    </row>
    <row r="227" spans="2:86" s="8" customFormat="1">
      <c r="B227" s="8" t="s">
        <v>363</v>
      </c>
      <c r="D227" s="8" t="s">
        <v>194</v>
      </c>
      <c r="F227" s="119" t="s">
        <v>364</v>
      </c>
      <c r="G227" s="119" t="s">
        <v>365</v>
      </c>
      <c r="H227" s="119" t="s">
        <v>366</v>
      </c>
      <c r="I227" s="119" t="s">
        <v>367</v>
      </c>
      <c r="J227" s="119" t="s">
        <v>368</v>
      </c>
      <c r="K227" s="119" t="s">
        <v>369</v>
      </c>
      <c r="L227" s="119" t="s">
        <v>370</v>
      </c>
      <c r="M227" s="119" t="s">
        <v>371</v>
      </c>
      <c r="N227" s="119" t="s">
        <v>372</v>
      </c>
      <c r="O227" s="119" t="s">
        <v>373</v>
      </c>
      <c r="P227" s="119" t="s">
        <v>374</v>
      </c>
      <c r="Q227" s="119" t="s">
        <v>375</v>
      </c>
      <c r="R227" s="119" t="s">
        <v>376</v>
      </c>
      <c r="S227" s="119" t="s">
        <v>377</v>
      </c>
      <c r="T227" s="119" t="s">
        <v>378</v>
      </c>
      <c r="U227" s="119" t="s">
        <v>379</v>
      </c>
      <c r="V227" s="119" t="s">
        <v>380</v>
      </c>
      <c r="W227" s="119" t="s">
        <v>381</v>
      </c>
      <c r="X227" s="119" t="s">
        <v>382</v>
      </c>
      <c r="Y227" s="119" t="s">
        <v>383</v>
      </c>
      <c r="Z227" s="119" t="s">
        <v>384</v>
      </c>
      <c r="AA227" s="119" t="s">
        <v>385</v>
      </c>
      <c r="AB227" s="119" t="s">
        <v>386</v>
      </c>
      <c r="AC227" s="119" t="s">
        <v>387</v>
      </c>
      <c r="AD227" s="119" t="s">
        <v>388</v>
      </c>
      <c r="AE227" s="119" t="s">
        <v>389</v>
      </c>
      <c r="AF227" s="119" t="s">
        <v>390</v>
      </c>
      <c r="AG227" s="119" t="s">
        <v>391</v>
      </c>
      <c r="AH227" s="119" t="s">
        <v>392</v>
      </c>
      <c r="AI227" s="119" t="s">
        <v>393</v>
      </c>
      <c r="AJ227" s="119" t="s">
        <v>394</v>
      </c>
      <c r="AK227" s="119" t="s">
        <v>395</v>
      </c>
      <c r="AL227" s="119" t="s">
        <v>396</v>
      </c>
      <c r="AM227" s="119" t="s">
        <v>397</v>
      </c>
      <c r="AN227" s="119" t="s">
        <v>398</v>
      </c>
      <c r="AO227" s="119" t="s">
        <v>399</v>
      </c>
      <c r="AP227" s="119" t="s">
        <v>400</v>
      </c>
      <c r="AQ227" s="119" t="s">
        <v>401</v>
      </c>
      <c r="AR227" s="119" t="s">
        <v>402</v>
      </c>
      <c r="AS227" s="119" t="s">
        <v>403</v>
      </c>
      <c r="AT227" s="119" t="s">
        <v>404</v>
      </c>
      <c r="AU227" s="119" t="s">
        <v>405</v>
      </c>
      <c r="AV227" s="119" t="s">
        <v>406</v>
      </c>
      <c r="AW227" s="119" t="s">
        <v>407</v>
      </c>
      <c r="AX227" s="119" t="s">
        <v>408</v>
      </c>
      <c r="AY227" s="119" t="s">
        <v>409</v>
      </c>
      <c r="AZ227" s="119" t="s">
        <v>410</v>
      </c>
      <c r="BA227" s="119" t="s">
        <v>411</v>
      </c>
      <c r="BB227" s="119" t="s">
        <v>412</v>
      </c>
      <c r="BC227" s="119" t="s">
        <v>413</v>
      </c>
      <c r="BD227" s="119" t="s">
        <v>414</v>
      </c>
      <c r="BE227" s="119" t="s">
        <v>415</v>
      </c>
      <c r="BF227" s="119" t="s">
        <v>416</v>
      </c>
      <c r="BG227" s="119" t="s">
        <v>417</v>
      </c>
      <c r="BH227" s="119" t="s">
        <v>418</v>
      </c>
      <c r="BI227" s="119" t="s">
        <v>419</v>
      </c>
      <c r="BJ227" s="119" t="s">
        <v>420</v>
      </c>
      <c r="BK227" s="119" t="s">
        <v>421</v>
      </c>
      <c r="BL227" s="119" t="s">
        <v>422</v>
      </c>
      <c r="BM227" s="119" t="s">
        <v>423</v>
      </c>
      <c r="BN227" s="119" t="s">
        <v>424</v>
      </c>
      <c r="BO227" s="119" t="s">
        <v>425</v>
      </c>
      <c r="BP227" s="119" t="s">
        <v>426</v>
      </c>
      <c r="BQ227" s="119" t="s">
        <v>427</v>
      </c>
      <c r="BR227" s="119" t="s">
        <v>428</v>
      </c>
      <c r="BS227" s="119" t="s">
        <v>429</v>
      </c>
      <c r="BT227" s="119" t="s">
        <v>430</v>
      </c>
      <c r="BU227" s="119" t="s">
        <v>431</v>
      </c>
      <c r="BV227" s="119" t="s">
        <v>432</v>
      </c>
      <c r="BW227" s="119" t="s">
        <v>433</v>
      </c>
      <c r="BX227" s="119" t="s">
        <v>434</v>
      </c>
      <c r="BY227" s="119" t="s">
        <v>435</v>
      </c>
      <c r="BZ227" s="119" t="s">
        <v>436</v>
      </c>
      <c r="CA227" s="119" t="s">
        <v>437</v>
      </c>
      <c r="CB227" s="119" t="s">
        <v>438</v>
      </c>
      <c r="CC227" s="119" t="s">
        <v>439</v>
      </c>
      <c r="CD227" s="119" t="s">
        <v>440</v>
      </c>
      <c r="CE227" s="119" t="s">
        <v>441</v>
      </c>
      <c r="CF227" s="119" t="s">
        <v>442</v>
      </c>
      <c r="CG227" s="119" t="s">
        <v>443</v>
      </c>
      <c r="CH227" s="119" t="s">
        <v>444</v>
      </c>
    </row>
    <row r="229" spans="2:86">
      <c r="B229" s="3" t="s">
        <v>445</v>
      </c>
      <c r="D229" s="3" t="s">
        <v>199</v>
      </c>
      <c r="F229" s="142">
        <v>9.0830073880921361E-2</v>
      </c>
      <c r="G229" s="142">
        <v>3.6254980079681365E-2</v>
      </c>
      <c r="H229" s="142">
        <v>3.5371011149557818E-2</v>
      </c>
      <c r="I229" s="142">
        <v>6.3126624582250282E-2</v>
      </c>
      <c r="J229" s="142">
        <v>9.1163115612993242E-2</v>
      </c>
      <c r="K229" s="142">
        <v>9.6350832266325306E-2</v>
      </c>
      <c r="L229" s="142">
        <v>0</v>
      </c>
      <c r="M229" s="142">
        <v>0</v>
      </c>
      <c r="N229" s="142">
        <v>0.04</v>
      </c>
      <c r="O229" s="142">
        <v>1.909039865244248E-2</v>
      </c>
      <c r="P229" s="142">
        <v>1.9008264462809853E-2</v>
      </c>
      <c r="Q229" s="142">
        <v>6.4882400648824015E-2</v>
      </c>
      <c r="R229" s="142">
        <v>1.7263264788017294E-2</v>
      </c>
      <c r="S229" s="142">
        <v>8.4851509857749793E-3</v>
      </c>
      <c r="T229" s="142">
        <v>2.5488740410789294E-2</v>
      </c>
      <c r="U229" s="142">
        <v>1.6650579150579235E-2</v>
      </c>
      <c r="V229" s="142">
        <v>1.92262046047946E-2</v>
      </c>
      <c r="W229" s="142">
        <v>3.8192827200745308E-2</v>
      </c>
      <c r="X229" s="142">
        <v>1.9E-2</v>
      </c>
      <c r="Y229" s="142">
        <v>8.4000000000000005E-2</v>
      </c>
      <c r="Z229" s="142">
        <v>4.2999999999999997E-2</v>
      </c>
      <c r="AA229" s="142">
        <v>5.7999999999999996E-2</v>
      </c>
      <c r="AB229" s="142">
        <v>3.9E-2</v>
      </c>
      <c r="AC229" s="142">
        <v>3.3000000000000002E-2</v>
      </c>
      <c r="AD229" s="142">
        <v>6.9000000000000006E-2</v>
      </c>
      <c r="AE229" s="142">
        <v>5.4000000000000006E-2</v>
      </c>
      <c r="AF229" s="142">
        <v>7.5999999999999998E-2</v>
      </c>
      <c r="AG229" s="142">
        <v>7.400000000000001E-2</v>
      </c>
      <c r="AH229" s="142">
        <v>8.1000000000000003E-2</v>
      </c>
      <c r="AI229" s="142">
        <v>9.8000000000000004E-2</v>
      </c>
      <c r="AJ229" s="142">
        <v>0.107</v>
      </c>
      <c r="AK229" s="142">
        <v>8.3000000000000004E-2</v>
      </c>
      <c r="AL229" s="142">
        <v>6.8000000000000005E-2</v>
      </c>
      <c r="AM229" s="142">
        <v>4.2000000000000003E-2</v>
      </c>
      <c r="AN229" s="142">
        <v>3.7999999999999999E-2</v>
      </c>
      <c r="AO229" s="142">
        <v>7.0999999999999994E-2</v>
      </c>
      <c r="AP229" s="142">
        <v>6.4000000000000001E-2</v>
      </c>
      <c r="AQ229" s="142">
        <v>5.9000000000000004E-2</v>
      </c>
      <c r="AR229" s="142">
        <v>2.6000000000000002E-2</v>
      </c>
      <c r="AS229" s="142">
        <v>2.7999999999999997E-2</v>
      </c>
      <c r="AT229" s="142">
        <v>2.3E-2</v>
      </c>
      <c r="AU229" s="142">
        <v>-5.0000000000000001E-3</v>
      </c>
      <c r="AV229" s="142">
        <v>2E-3</v>
      </c>
      <c r="AW229" s="142">
        <v>9.0000000000000011E-3</v>
      </c>
      <c r="AX229" s="142">
        <v>1.1000000000000001E-2</v>
      </c>
      <c r="AY229" s="142">
        <v>2.4E-2</v>
      </c>
      <c r="AZ229" s="142">
        <v>4.5999999999999999E-2</v>
      </c>
      <c r="BA229" s="142">
        <v>3.5000000000000003E-2</v>
      </c>
      <c r="BB229" s="142">
        <v>0.02</v>
      </c>
      <c r="BC229" s="142">
        <v>2.6000000000000002E-2</v>
      </c>
      <c r="BD229" s="142">
        <v>1.4999999999999999E-2</v>
      </c>
      <c r="BE229" s="142">
        <v>1.9E-2</v>
      </c>
      <c r="BF229" s="142">
        <v>2.6000000000000002E-2</v>
      </c>
      <c r="BG229" s="142">
        <v>1.7000000000000001E-2</v>
      </c>
      <c r="BH229" s="142">
        <v>2.6000000000000002E-2</v>
      </c>
      <c r="BI229" s="142">
        <v>2.5000000000000001E-2</v>
      </c>
      <c r="BJ229" s="142">
        <v>4.7E-2</v>
      </c>
      <c r="BK229" s="142">
        <v>3.3000000000000002E-2</v>
      </c>
      <c r="BL229" s="142">
        <v>2.1000000000000001E-2</v>
      </c>
      <c r="BM229" s="142">
        <v>1.1000000000000001E-2</v>
      </c>
      <c r="BN229" s="142">
        <v>1.7999999999999999E-2</v>
      </c>
      <c r="BO229" s="142">
        <v>1.4E-2</v>
      </c>
      <c r="BP229" s="142">
        <v>1.0999999999999999E-2</v>
      </c>
      <c r="BQ229" s="142">
        <v>3.2000000000000001E-2</v>
      </c>
      <c r="BR229" s="142">
        <v>3.0000000000000001E-3</v>
      </c>
      <c r="BS229" s="142">
        <v>1.4999999999999999E-2</v>
      </c>
      <c r="BT229" s="142">
        <v>2.5999999999999999E-2</v>
      </c>
      <c r="BU229" s="142">
        <v>2.3E-2</v>
      </c>
      <c r="BV229" s="142">
        <v>2.8000000000000001E-2</v>
      </c>
      <c r="BW229" s="142">
        <v>0.01</v>
      </c>
      <c r="BX229" s="142">
        <v>8.0000000000000002E-3</v>
      </c>
      <c r="BY229" s="142">
        <v>2E-3</v>
      </c>
      <c r="BZ229" s="142">
        <v>1.4E-2</v>
      </c>
      <c r="CA229" s="142">
        <v>1.2E-2</v>
      </c>
      <c r="CB229" s="142">
        <v>2.5999999999999999E-2</v>
      </c>
      <c r="CC229" s="142">
        <v>1.6E-2</v>
      </c>
      <c r="CD229" s="61">
        <f>'2. Parameters'!M37</f>
        <v>1.7999999999999999E-2</v>
      </c>
      <c r="CE229" s="61">
        <f>'2. Parameters'!N37</f>
        <v>6.2E-2</v>
      </c>
      <c r="CF229" s="61">
        <f>'2. Parameters'!O37</f>
        <v>0.08</v>
      </c>
      <c r="CG229" s="61">
        <f>'2. Parameters'!P37</f>
        <v>2.8000000000000001E-2</v>
      </c>
      <c r="CH229" s="61">
        <f>'2. Parameters'!Q37</f>
        <v>1.7000000000000001E-2</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X88"/>
  <sheetViews>
    <sheetView showGridLines="0" zoomScale="80" zoomScaleNormal="80" workbookViewId="0">
      <pane xSplit="4" ySplit="7" topLeftCell="E8" activePane="bottomRight" state="frozen"/>
      <selection pane="topRight"/>
      <selection pane="bottomLeft"/>
      <selection pane="bottomRight"/>
    </sheetView>
  </sheetViews>
  <sheetFormatPr defaultColWidth="9.140625" defaultRowHeight="12.75"/>
  <cols>
    <col min="1" max="1" width="2.5703125" style="3" customWidth="1"/>
    <col min="2" max="2" width="79.85546875" style="3" customWidth="1"/>
    <col min="3" max="3" width="2.5703125" style="3" customWidth="1"/>
    <col min="4" max="4" width="13.5703125" style="3" customWidth="1"/>
    <col min="5" max="5" width="2.5703125" style="3" customWidth="1"/>
    <col min="6" max="6" width="9.5703125" style="3" customWidth="1"/>
    <col min="7" max="7" width="2.5703125" style="3" customWidth="1"/>
    <col min="8" max="8" width="7.140625" style="3" customWidth="1"/>
    <col min="9" max="11" width="11.7109375" style="3" customWidth="1"/>
    <col min="12" max="12" width="10.85546875" style="3" customWidth="1"/>
    <col min="13" max="13" width="9" style="3" customWidth="1"/>
    <col min="14" max="16" width="14.85546875" style="3" bestFit="1" customWidth="1"/>
    <col min="17" max="17" width="16.28515625" style="3" bestFit="1" customWidth="1"/>
    <col min="18" max="18" width="14.85546875" style="3" bestFit="1" customWidth="1"/>
    <col min="19" max="19" width="2.5703125" style="3" customWidth="1"/>
    <col min="20" max="20" width="18.5703125" style="3" customWidth="1"/>
    <col min="21" max="21" width="2.5703125" style="3" customWidth="1"/>
    <col min="22" max="32" width="13.5703125" style="3" customWidth="1"/>
    <col min="33" max="16384" width="9.140625" style="3"/>
  </cols>
  <sheetData>
    <row r="2" spans="2:22" s="12" customFormat="1" ht="18">
      <c r="B2" s="12" t="s">
        <v>446</v>
      </c>
    </row>
    <row r="4" spans="2:22">
      <c r="B4" s="16" t="s">
        <v>192</v>
      </c>
      <c r="C4" s="2"/>
    </row>
    <row r="5" spans="2:22" ht="27.75" customHeight="1">
      <c r="B5" s="379" t="s">
        <v>447</v>
      </c>
      <c r="C5" s="379"/>
      <c r="D5" s="379"/>
      <c r="F5" s="13"/>
    </row>
    <row r="6" spans="2:22" ht="12" customHeight="1"/>
    <row r="7" spans="2:22" s="8" customFormat="1" ht="12" customHeight="1">
      <c r="B7" s="8" t="s">
        <v>152</v>
      </c>
      <c r="D7" s="8" t="s">
        <v>194</v>
      </c>
      <c r="F7" s="8" t="s">
        <v>195</v>
      </c>
      <c r="H7" s="59">
        <v>2016</v>
      </c>
      <c r="I7" s="52">
        <v>2017</v>
      </c>
      <c r="J7" s="59">
        <v>2018</v>
      </c>
      <c r="K7" s="52">
        <v>2019</v>
      </c>
      <c r="L7" s="59">
        <v>2020</v>
      </c>
      <c r="M7" s="52">
        <v>2021</v>
      </c>
      <c r="N7" s="52">
        <v>2022</v>
      </c>
      <c r="O7" s="52">
        <v>2023</v>
      </c>
      <c r="P7" s="52">
        <v>2024</v>
      </c>
      <c r="Q7" s="52">
        <v>2025</v>
      </c>
      <c r="R7" s="52">
        <v>2026</v>
      </c>
      <c r="T7" s="8" t="s">
        <v>196</v>
      </c>
      <c r="V7" s="8" t="s">
        <v>197</v>
      </c>
    </row>
    <row r="9" spans="2:22" s="8" customFormat="1">
      <c r="B9" s="8" t="s">
        <v>448</v>
      </c>
    </row>
    <row r="11" spans="2:22">
      <c r="B11" s="3" t="s">
        <v>449</v>
      </c>
      <c r="D11" s="3" t="s">
        <v>204</v>
      </c>
      <c r="H11" s="10"/>
      <c r="I11" s="10"/>
      <c r="J11" s="10"/>
      <c r="K11" s="10"/>
      <c r="L11" s="10"/>
      <c r="M11" s="10"/>
      <c r="N11" s="10"/>
      <c r="O11" s="10"/>
      <c r="P11" s="296">
        <v>234818622.54864001</v>
      </c>
      <c r="Q11" s="10"/>
      <c r="R11" s="10"/>
      <c r="T11" s="3" t="s">
        <v>450</v>
      </c>
    </row>
    <row r="12" spans="2:22">
      <c r="B12" s="3" t="s">
        <v>451</v>
      </c>
      <c r="D12" s="3" t="s">
        <v>204</v>
      </c>
      <c r="H12" s="10"/>
      <c r="I12" s="10"/>
      <c r="J12" s="10"/>
      <c r="K12" s="10"/>
      <c r="L12" s="10"/>
      <c r="M12" s="10"/>
      <c r="N12" s="10"/>
      <c r="O12" s="10"/>
      <c r="P12" s="10"/>
      <c r="Q12" s="177">
        <f>'20. Nacalculaties'!P90</f>
        <v>430850783.87126881</v>
      </c>
      <c r="R12" s="10"/>
      <c r="V12" s="3" t="s">
        <v>452</v>
      </c>
    </row>
    <row r="13" spans="2:22">
      <c r="B13" s="3" t="s">
        <v>453</v>
      </c>
      <c r="D13" s="3" t="s">
        <v>204</v>
      </c>
      <c r="H13" s="10"/>
      <c r="I13" s="10"/>
      <c r="J13" s="10"/>
      <c r="K13" s="10"/>
      <c r="L13" s="10"/>
      <c r="M13" s="10"/>
      <c r="N13" s="10"/>
      <c r="O13" s="10"/>
      <c r="P13" s="10"/>
      <c r="Q13" s="141">
        <v>0</v>
      </c>
      <c r="R13" s="10"/>
    </row>
    <row r="14" spans="2:22">
      <c r="B14" s="3" t="s">
        <v>454</v>
      </c>
      <c r="D14" s="3" t="s">
        <v>204</v>
      </c>
      <c r="H14" s="10"/>
      <c r="I14" s="10"/>
      <c r="J14" s="10"/>
      <c r="K14" s="10"/>
      <c r="L14" s="10"/>
      <c r="M14" s="10"/>
      <c r="N14" s="10"/>
      <c r="O14" s="10"/>
      <c r="P14" s="10"/>
      <c r="Q14" s="294">
        <v>-430850783.87126899</v>
      </c>
      <c r="R14" s="10"/>
    </row>
    <row r="16" spans="2:22" s="8" customFormat="1">
      <c r="B16" s="8" t="s">
        <v>455</v>
      </c>
    </row>
    <row r="18" spans="2:22">
      <c r="B18" s="3" t="s">
        <v>456</v>
      </c>
      <c r="D18" s="3" t="s">
        <v>204</v>
      </c>
      <c r="H18" s="10"/>
      <c r="I18" s="10"/>
      <c r="J18" s="10"/>
      <c r="K18" s="10"/>
      <c r="L18" s="10"/>
      <c r="M18" s="10"/>
      <c r="N18" s="175">
        <v>5268139756.0391312</v>
      </c>
      <c r="O18" s="175">
        <v>5115634665.0918875</v>
      </c>
      <c r="P18" s="175">
        <v>4980890118.9719696</v>
      </c>
      <c r="Q18" s="175">
        <v>4857675740.1304922</v>
      </c>
      <c r="R18" s="175">
        <v>4748752834.5466137</v>
      </c>
      <c r="T18" s="3" t="s">
        <v>457</v>
      </c>
    </row>
    <row r="19" spans="2:22">
      <c r="B19" s="3" t="s">
        <v>458</v>
      </c>
      <c r="D19" s="3" t="s">
        <v>204</v>
      </c>
      <c r="H19" s="10"/>
      <c r="I19" s="10"/>
      <c r="J19" s="10"/>
      <c r="K19" s="10"/>
      <c r="L19" s="10"/>
      <c r="M19" s="10"/>
      <c r="N19" s="175">
        <v>1236767462.5833061</v>
      </c>
      <c r="O19" s="175">
        <v>1207881645.0947828</v>
      </c>
      <c r="P19" s="175">
        <v>1182417569.8607492</v>
      </c>
      <c r="Q19" s="175">
        <v>1160937568.2311876</v>
      </c>
      <c r="R19" s="175">
        <v>1143786642.7114766</v>
      </c>
      <c r="T19" s="3" t="s">
        <v>457</v>
      </c>
    </row>
    <row r="20" spans="2:22">
      <c r="N20" s="97"/>
      <c r="O20" s="97"/>
      <c r="P20" s="97"/>
      <c r="Q20" s="97"/>
      <c r="R20" s="97"/>
    </row>
    <row r="21" spans="2:22" s="8" customFormat="1">
      <c r="B21" s="8" t="s">
        <v>459</v>
      </c>
    </row>
    <row r="22" spans="2:22">
      <c r="N22" s="97"/>
      <c r="O22" s="97"/>
      <c r="P22" s="97"/>
      <c r="Q22" s="97"/>
      <c r="R22" s="97"/>
    </row>
    <row r="23" spans="2:22">
      <c r="B23" s="3" t="s">
        <v>460</v>
      </c>
      <c r="H23" s="10"/>
      <c r="I23" s="261">
        <v>46141700.732850499</v>
      </c>
      <c r="J23" s="261">
        <v>60491853.149999999</v>
      </c>
      <c r="K23" s="261">
        <v>59941898.980000004</v>
      </c>
      <c r="L23" s="10"/>
      <c r="M23" s="10"/>
      <c r="N23" s="10"/>
      <c r="O23" s="10"/>
      <c r="P23" s="10"/>
      <c r="Q23" s="10"/>
      <c r="R23" s="10"/>
      <c r="T23" s="3" t="s">
        <v>457</v>
      </c>
    </row>
    <row r="24" spans="2:22">
      <c r="B24" s="3" t="s">
        <v>461</v>
      </c>
      <c r="H24" s="10"/>
      <c r="I24" s="261">
        <v>51772596.931449495</v>
      </c>
      <c r="J24" s="261">
        <v>57577907.726399995</v>
      </c>
      <c r="K24" s="261">
        <v>46608188.220100001</v>
      </c>
      <c r="L24" s="10"/>
      <c r="M24" s="10"/>
      <c r="N24" s="10"/>
      <c r="O24" s="10"/>
      <c r="P24" s="10"/>
      <c r="Q24" s="10"/>
      <c r="R24" s="10"/>
      <c r="T24" s="3" t="s">
        <v>457</v>
      </c>
    </row>
    <row r="26" spans="2:22" s="8" customFormat="1">
      <c r="B26" s="8" t="s">
        <v>462</v>
      </c>
    </row>
    <row r="28" spans="2:22">
      <c r="B28" s="3" t="s">
        <v>463</v>
      </c>
      <c r="H28" s="10"/>
      <c r="I28" s="10"/>
      <c r="J28" s="10"/>
      <c r="K28" s="10"/>
      <c r="L28" s="261">
        <v>2227061.457252</v>
      </c>
      <c r="M28" s="10"/>
      <c r="N28" s="10"/>
      <c r="O28" s="10"/>
      <c r="P28" s="10"/>
      <c r="Q28" s="10"/>
      <c r="R28" s="10"/>
      <c r="T28" s="3" t="s">
        <v>464</v>
      </c>
      <c r="V28" s="3" t="s">
        <v>465</v>
      </c>
    </row>
    <row r="30" spans="2:22" s="8" customFormat="1">
      <c r="B30" s="8" t="s">
        <v>466</v>
      </c>
    </row>
    <row r="32" spans="2:22">
      <c r="B32" s="4" t="s">
        <v>467</v>
      </c>
    </row>
    <row r="33" spans="2:20">
      <c r="B33" s="32" t="s">
        <v>468</v>
      </c>
      <c r="D33" s="3" t="s">
        <v>204</v>
      </c>
      <c r="H33" s="10"/>
      <c r="I33" s="10"/>
      <c r="J33" s="10"/>
      <c r="K33" s="10"/>
      <c r="L33" s="10"/>
      <c r="M33" s="10"/>
      <c r="N33" s="296">
        <v>929870695.57498884</v>
      </c>
      <c r="O33" s="296">
        <v>952373566.40790355</v>
      </c>
      <c r="P33" s="296">
        <v>992563730.91031706</v>
      </c>
      <c r="Q33" s="10"/>
      <c r="R33" s="10"/>
      <c r="T33" s="3" t="s">
        <v>469</v>
      </c>
    </row>
    <row r="34" spans="2:20">
      <c r="B34" s="32"/>
      <c r="N34" s="165"/>
      <c r="O34" s="165"/>
      <c r="P34" s="165"/>
    </row>
    <row r="35" spans="2:20">
      <c r="B35" s="3" t="s">
        <v>470</v>
      </c>
      <c r="D35" s="3" t="s">
        <v>204</v>
      </c>
      <c r="H35" s="10"/>
      <c r="I35" s="10"/>
      <c r="J35" s="10"/>
      <c r="K35" s="10"/>
      <c r="L35" s="10"/>
      <c r="M35" s="10"/>
      <c r="N35" s="296">
        <v>0</v>
      </c>
      <c r="O35" s="296">
        <v>0</v>
      </c>
      <c r="P35" s="328">
        <v>0</v>
      </c>
      <c r="Q35" s="10"/>
      <c r="R35" s="10"/>
      <c r="T35" s="3" t="s">
        <v>469</v>
      </c>
    </row>
    <row r="36" spans="2:20">
      <c r="B36" s="3" t="s">
        <v>471</v>
      </c>
      <c r="D36" s="3" t="s">
        <v>204</v>
      </c>
      <c r="H36" s="10"/>
      <c r="I36" s="10"/>
      <c r="J36" s="10"/>
      <c r="K36" s="10"/>
      <c r="L36" s="10"/>
      <c r="M36" s="10"/>
      <c r="N36" s="296">
        <v>119072.05535743562</v>
      </c>
      <c r="O36" s="296">
        <v>43971.119724233969</v>
      </c>
      <c r="P36" s="328">
        <v>2404144.6778045101</v>
      </c>
      <c r="Q36" s="10"/>
      <c r="R36" s="10"/>
      <c r="T36" s="3" t="s">
        <v>469</v>
      </c>
    </row>
    <row r="37" spans="2:20">
      <c r="B37" s="3" t="s">
        <v>472</v>
      </c>
      <c r="D37" s="3" t="s">
        <v>204</v>
      </c>
      <c r="H37" s="10"/>
      <c r="I37" s="10"/>
      <c r="J37" s="10"/>
      <c r="K37" s="10"/>
      <c r="L37" s="10"/>
      <c r="M37" s="10"/>
      <c r="N37" s="296">
        <v>-2514124.5400079801</v>
      </c>
      <c r="O37" s="296">
        <v>-892610.16077459906</v>
      </c>
      <c r="P37" s="328">
        <v>-418587875.91763008</v>
      </c>
      <c r="Q37" s="10"/>
      <c r="R37" s="10"/>
      <c r="T37" s="3" t="s">
        <v>469</v>
      </c>
    </row>
    <row r="38" spans="2:20">
      <c r="B38" s="3" t="s">
        <v>473</v>
      </c>
      <c r="D38" s="3" t="s">
        <v>204</v>
      </c>
      <c r="H38" s="10"/>
      <c r="I38" s="10"/>
      <c r="J38" s="10"/>
      <c r="K38" s="10"/>
      <c r="L38" s="10"/>
      <c r="M38" s="10"/>
      <c r="N38" s="296">
        <v>-3840127.8443999998</v>
      </c>
      <c r="O38" s="296">
        <v>-7019622.9493739996</v>
      </c>
      <c r="P38" s="328">
        <v>-17676502.662623998</v>
      </c>
      <c r="Q38" s="10"/>
      <c r="R38" s="10"/>
      <c r="T38" s="3" t="s">
        <v>469</v>
      </c>
    </row>
    <row r="39" spans="2:20">
      <c r="B39" s="3" t="s">
        <v>474</v>
      </c>
      <c r="D39" s="3" t="s">
        <v>204</v>
      </c>
      <c r="H39" s="10"/>
      <c r="I39" s="10"/>
      <c r="J39" s="10"/>
      <c r="K39" s="10"/>
      <c r="L39" s="10"/>
      <c r="M39" s="10"/>
      <c r="N39" s="296">
        <v>-1510375</v>
      </c>
      <c r="O39" s="296">
        <v>-1091840.3578679999</v>
      </c>
      <c r="P39" s="328">
        <v>0</v>
      </c>
      <c r="Q39" s="10"/>
      <c r="R39" s="10"/>
      <c r="T39" s="3" t="s">
        <v>469</v>
      </c>
    </row>
    <row r="40" spans="2:20">
      <c r="B40" s="3" t="s">
        <v>475</v>
      </c>
      <c r="D40" s="3" t="s">
        <v>204</v>
      </c>
      <c r="H40" s="10"/>
      <c r="I40" s="10"/>
      <c r="J40" s="10"/>
      <c r="K40" s="10"/>
      <c r="L40" s="10"/>
      <c r="M40" s="10"/>
      <c r="N40" s="296">
        <v>37459989.57773035</v>
      </c>
      <c r="O40" s="296">
        <v>94853547.603668377</v>
      </c>
      <c r="P40" s="10"/>
      <c r="Q40" s="10"/>
      <c r="R40" s="10"/>
      <c r="T40" s="3" t="s">
        <v>469</v>
      </c>
    </row>
    <row r="41" spans="2:20">
      <c r="B41" s="3" t="s">
        <v>476</v>
      </c>
      <c r="D41" s="3" t="s">
        <v>204</v>
      </c>
      <c r="H41" s="10"/>
      <c r="I41" s="10"/>
      <c r="J41" s="10"/>
      <c r="K41" s="10"/>
      <c r="L41" s="10"/>
      <c r="M41" s="10"/>
      <c r="N41" s="296">
        <v>7429834.5300000003</v>
      </c>
      <c r="O41" s="296">
        <v>22739593.510152001</v>
      </c>
      <c r="P41" s="328">
        <v>2370440.480303999</v>
      </c>
      <c r="Q41" s="10"/>
      <c r="R41" s="10"/>
      <c r="T41" s="3" t="s">
        <v>469</v>
      </c>
    </row>
    <row r="42" spans="2:20">
      <c r="B42" s="3" t="s">
        <v>477</v>
      </c>
      <c r="D42" s="3" t="s">
        <v>204</v>
      </c>
      <c r="H42" s="10"/>
      <c r="I42" s="10"/>
      <c r="J42" s="10"/>
      <c r="K42" s="10"/>
      <c r="L42" s="10"/>
      <c r="M42" s="10"/>
      <c r="N42" s="296">
        <v>-6987581.421986118</v>
      </c>
      <c r="O42" s="296">
        <v>-26590510.266268313</v>
      </c>
      <c r="P42" s="328">
        <v>-37620979.270649046</v>
      </c>
      <c r="Q42" s="10"/>
      <c r="R42" s="10"/>
      <c r="T42" s="3" t="s">
        <v>469</v>
      </c>
    </row>
    <row r="43" spans="2:20">
      <c r="B43" s="3" t="s">
        <v>478</v>
      </c>
      <c r="D43" s="3" t="s">
        <v>204</v>
      </c>
      <c r="H43" s="10"/>
      <c r="I43" s="10"/>
      <c r="J43" s="10"/>
      <c r="K43" s="10"/>
      <c r="L43" s="10"/>
      <c r="M43" s="10"/>
      <c r="N43" s="320"/>
      <c r="O43" s="320"/>
      <c r="P43" s="328">
        <v>2363403.9056672235</v>
      </c>
      <c r="Q43" s="10"/>
      <c r="R43" s="10"/>
      <c r="T43" s="3" t="s">
        <v>469</v>
      </c>
    </row>
    <row r="44" spans="2:20">
      <c r="B44" s="3" t="s">
        <v>479</v>
      </c>
      <c r="D44" s="3" t="s">
        <v>204</v>
      </c>
      <c r="H44" s="10"/>
      <c r="I44" s="10"/>
      <c r="J44" s="10"/>
      <c r="K44" s="10"/>
      <c r="L44" s="10"/>
      <c r="M44" s="10"/>
      <c r="N44" s="320"/>
      <c r="O44" s="320"/>
      <c r="P44" s="328">
        <v>14652295.895247623</v>
      </c>
      <c r="Q44" s="10"/>
      <c r="R44" s="10"/>
      <c r="T44" s="3" t="s">
        <v>469</v>
      </c>
    </row>
    <row r="45" spans="2:20">
      <c r="B45" s="3" t="s">
        <v>480</v>
      </c>
      <c r="D45" s="3" t="s">
        <v>204</v>
      </c>
      <c r="H45" s="10"/>
      <c r="I45" s="10"/>
      <c r="J45" s="10"/>
      <c r="K45" s="10"/>
      <c r="L45" s="10"/>
      <c r="M45" s="10"/>
      <c r="N45" s="296">
        <v>-651743.81498073554</v>
      </c>
      <c r="O45" s="296">
        <v>-2713634.922561896</v>
      </c>
      <c r="P45" s="328">
        <v>-6263691.195662085</v>
      </c>
      <c r="Q45" s="10"/>
      <c r="R45" s="10"/>
      <c r="T45" s="3" t="s">
        <v>469</v>
      </c>
    </row>
    <row r="46" spans="2:20">
      <c r="B46" s="3" t="s">
        <v>481</v>
      </c>
      <c r="D46" s="3" t="s">
        <v>204</v>
      </c>
      <c r="H46" s="10"/>
      <c r="I46" s="10"/>
      <c r="J46" s="10"/>
      <c r="K46" s="10"/>
      <c r="L46" s="10"/>
      <c r="M46" s="10"/>
      <c r="N46" s="320"/>
      <c r="O46" s="320"/>
      <c r="P46" s="328">
        <v>56578492.792342328</v>
      </c>
      <c r="Q46" s="10"/>
      <c r="R46" s="10"/>
      <c r="T46" s="3" t="s">
        <v>469</v>
      </c>
    </row>
    <row r="47" spans="2:20">
      <c r="B47" s="3" t="s">
        <v>482</v>
      </c>
      <c r="D47" s="3" t="s">
        <v>204</v>
      </c>
      <c r="H47" s="10"/>
      <c r="I47" s="10"/>
      <c r="J47" s="10"/>
      <c r="K47" s="10"/>
      <c r="L47" s="10"/>
      <c r="M47" s="10"/>
      <c r="N47" s="320"/>
      <c r="O47" s="320"/>
      <c r="P47" s="328">
        <v>5993118.6408960866</v>
      </c>
      <c r="Q47" s="10"/>
      <c r="R47" s="10"/>
      <c r="T47" s="3" t="s">
        <v>469</v>
      </c>
    </row>
    <row r="48" spans="2:20">
      <c r="B48" s="3" t="s">
        <v>483</v>
      </c>
      <c r="D48" s="3" t="s">
        <v>204</v>
      </c>
      <c r="H48" s="10"/>
      <c r="I48" s="10"/>
      <c r="J48" s="10"/>
      <c r="K48" s="10"/>
      <c r="L48" s="10"/>
      <c r="M48" s="10"/>
      <c r="N48" s="296">
        <v>109745.32379785551</v>
      </c>
      <c r="O48" s="10"/>
      <c r="P48" s="10"/>
      <c r="Q48" s="10"/>
      <c r="R48" s="10"/>
      <c r="T48" s="3" t="s">
        <v>469</v>
      </c>
    </row>
    <row r="49" spans="2:20">
      <c r="B49" s="3" t="s">
        <v>484</v>
      </c>
      <c r="D49" s="3" t="s">
        <v>204</v>
      </c>
      <c r="H49" s="10"/>
      <c r="I49" s="10"/>
      <c r="J49" s="10"/>
      <c r="K49" s="10"/>
      <c r="L49" s="10"/>
      <c r="M49" s="10"/>
      <c r="N49" s="320"/>
      <c r="O49" s="320"/>
      <c r="P49" s="328">
        <v>270388092.45989364</v>
      </c>
      <c r="Q49" s="10"/>
      <c r="R49" s="10"/>
      <c r="T49" s="3" t="s">
        <v>469</v>
      </c>
    </row>
    <row r="50" spans="2:20">
      <c r="B50" s="3" t="s">
        <v>485</v>
      </c>
      <c r="D50" s="3" t="s">
        <v>204</v>
      </c>
      <c r="H50" s="10"/>
      <c r="I50" s="10"/>
      <c r="J50" s="10"/>
      <c r="K50" s="10"/>
      <c r="L50" s="10"/>
      <c r="M50" s="10"/>
      <c r="N50" s="10"/>
      <c r="O50" s="296">
        <v>-6549650.4501419598</v>
      </c>
      <c r="P50" s="328">
        <v>1236097.6837258562</v>
      </c>
      <c r="Q50" s="10"/>
      <c r="R50" s="10"/>
      <c r="T50" s="3" t="s">
        <v>469</v>
      </c>
    </row>
    <row r="51" spans="2:20">
      <c r="B51" s="3" t="s">
        <v>486</v>
      </c>
      <c r="D51" s="3" t="s">
        <v>204</v>
      </c>
      <c r="H51" s="10"/>
      <c r="I51" s="10"/>
      <c r="J51" s="10"/>
      <c r="K51" s="10"/>
      <c r="L51" s="10"/>
      <c r="M51" s="10"/>
      <c r="N51" s="320"/>
      <c r="O51" s="320"/>
      <c r="P51" s="328">
        <v>-18434074.327111505</v>
      </c>
      <c r="Q51" s="10"/>
      <c r="R51" s="10"/>
      <c r="T51" s="3" t="s">
        <v>469</v>
      </c>
    </row>
    <row r="52" spans="2:20">
      <c r="N52" s="165"/>
      <c r="O52" s="165"/>
      <c r="P52" s="323"/>
    </row>
    <row r="53" spans="2:20">
      <c r="B53" s="32" t="s">
        <v>487</v>
      </c>
      <c r="D53" s="3" t="s">
        <v>204</v>
      </c>
      <c r="H53" s="10"/>
      <c r="I53" s="10"/>
      <c r="J53" s="10"/>
      <c r="K53" s="10"/>
      <c r="L53" s="10"/>
      <c r="M53" s="10"/>
      <c r="N53" s="296">
        <v>959485384.44049966</v>
      </c>
      <c r="O53" s="296">
        <v>1025152809.5344594</v>
      </c>
      <c r="P53" s="328">
        <v>849966694.07252169</v>
      </c>
      <c r="Q53" s="10"/>
      <c r="R53" s="10"/>
      <c r="T53" s="3" t="s">
        <v>469</v>
      </c>
    </row>
    <row r="54" spans="2:20">
      <c r="N54" s="165"/>
      <c r="O54" s="165"/>
      <c r="P54" s="165"/>
      <c r="Q54" s="165"/>
    </row>
    <row r="55" spans="2:20">
      <c r="B55" s="4" t="s">
        <v>488</v>
      </c>
      <c r="N55" s="165"/>
      <c r="O55" s="165"/>
      <c r="P55" s="165"/>
    </row>
    <row r="56" spans="2:20">
      <c r="B56" s="32" t="s">
        <v>468</v>
      </c>
      <c r="D56" s="3" t="s">
        <v>204</v>
      </c>
      <c r="H56" s="10"/>
      <c r="I56" s="10"/>
      <c r="J56" s="10"/>
      <c r="K56" s="10"/>
      <c r="L56" s="10"/>
      <c r="M56" s="10"/>
      <c r="N56" s="334">
        <v>994026827.35656655</v>
      </c>
      <c r="O56" s="296">
        <v>1024046437.5427349</v>
      </c>
      <c r="P56" s="296">
        <v>1073405475.8322947</v>
      </c>
      <c r="Q56" s="10"/>
      <c r="R56" s="10"/>
      <c r="T56" s="3" t="s">
        <v>489</v>
      </c>
    </row>
    <row r="57" spans="2:20">
      <c r="B57" s="32"/>
      <c r="N57" s="329"/>
      <c r="O57" s="330"/>
      <c r="P57" s="330"/>
    </row>
    <row r="58" spans="2:20">
      <c r="B58" s="32" t="s">
        <v>470</v>
      </c>
      <c r="D58" s="3" t="s">
        <v>204</v>
      </c>
      <c r="H58" s="10"/>
      <c r="I58" s="10"/>
      <c r="J58" s="10"/>
      <c r="K58" s="10"/>
      <c r="L58" s="10"/>
      <c r="M58" s="10"/>
      <c r="N58" s="296">
        <v>0</v>
      </c>
      <c r="O58" s="296">
        <v>0</v>
      </c>
      <c r="P58" s="334">
        <v>0</v>
      </c>
      <c r="Q58" s="10"/>
      <c r="R58" s="10"/>
      <c r="T58" s="3" t="s">
        <v>489</v>
      </c>
    </row>
    <row r="59" spans="2:20">
      <c r="B59" s="3" t="s">
        <v>471</v>
      </c>
      <c r="D59" s="3" t="s">
        <v>204</v>
      </c>
      <c r="H59" s="10"/>
      <c r="I59" s="10"/>
      <c r="J59" s="10"/>
      <c r="K59" s="10"/>
      <c r="L59" s="10"/>
      <c r="M59" s="10"/>
      <c r="N59" s="296">
        <v>120621.36251406529</v>
      </c>
      <c r="O59" s="296">
        <v>45451.204214483361</v>
      </c>
      <c r="P59" s="334">
        <v>2567791.5582221644</v>
      </c>
      <c r="Q59" s="10"/>
      <c r="R59" s="10"/>
      <c r="T59" s="3" t="s">
        <v>489</v>
      </c>
    </row>
    <row r="60" spans="2:20">
      <c r="B60" s="32" t="s">
        <v>472</v>
      </c>
      <c r="D60" s="3" t="s">
        <v>204</v>
      </c>
      <c r="H60" s="10"/>
      <c r="I60" s="10"/>
      <c r="J60" s="10"/>
      <c r="K60" s="10"/>
      <c r="L60" s="10"/>
      <c r="M60" s="10"/>
      <c r="N60" s="296">
        <v>-2514124.5400079801</v>
      </c>
      <c r="O60" s="296">
        <v>-892610.16077459906</v>
      </c>
      <c r="P60" s="334">
        <v>-356759935.59240282</v>
      </c>
      <c r="Q60" s="10"/>
      <c r="R60" s="10"/>
      <c r="T60" s="3" t="s">
        <v>489</v>
      </c>
    </row>
    <row r="61" spans="2:20">
      <c r="B61" s="3" t="s">
        <v>473</v>
      </c>
      <c r="D61" s="3" t="s">
        <v>204</v>
      </c>
      <c r="H61" s="10"/>
      <c r="I61" s="10"/>
      <c r="J61" s="10"/>
      <c r="K61" s="10"/>
      <c r="L61" s="10"/>
      <c r="M61" s="10"/>
      <c r="N61" s="296">
        <v>-3840127.8443999998</v>
      </c>
      <c r="O61" s="296">
        <v>-7019622.9493739996</v>
      </c>
      <c r="P61" s="334">
        <v>-17676502.662623998</v>
      </c>
      <c r="Q61" s="10"/>
      <c r="R61" s="10"/>
      <c r="T61" s="3" t="s">
        <v>489</v>
      </c>
    </row>
    <row r="62" spans="2:20">
      <c r="B62" s="3" t="s">
        <v>474</v>
      </c>
      <c r="D62" s="3" t="s">
        <v>204</v>
      </c>
      <c r="H62" s="10"/>
      <c r="I62" s="10"/>
      <c r="J62" s="10"/>
      <c r="K62" s="10"/>
      <c r="L62" s="10"/>
      <c r="M62" s="10"/>
      <c r="N62" s="296">
        <v>-1510375</v>
      </c>
      <c r="O62" s="296">
        <v>-1091840.3578679999</v>
      </c>
      <c r="P62" s="334">
        <v>0</v>
      </c>
      <c r="Q62" s="10"/>
      <c r="R62" s="10"/>
      <c r="T62" s="3" t="s">
        <v>489</v>
      </c>
    </row>
    <row r="63" spans="2:20">
      <c r="B63" s="3" t="s">
        <v>475</v>
      </c>
      <c r="D63" s="3" t="s">
        <v>204</v>
      </c>
      <c r="H63" s="10"/>
      <c r="I63" s="10"/>
      <c r="J63" s="10"/>
      <c r="K63" s="10"/>
      <c r="L63" s="10"/>
      <c r="M63" s="10"/>
      <c r="N63" s="296">
        <v>37459989.57773035</v>
      </c>
      <c r="O63" s="296">
        <v>94853548.104129195</v>
      </c>
      <c r="P63" s="10"/>
      <c r="Q63" s="10"/>
      <c r="R63" s="10"/>
      <c r="T63" s="3" t="s">
        <v>489</v>
      </c>
    </row>
    <row r="64" spans="2:20">
      <c r="B64" s="3" t="s">
        <v>476</v>
      </c>
      <c r="D64" s="3" t="s">
        <v>204</v>
      </c>
      <c r="H64" s="10"/>
      <c r="I64" s="10"/>
      <c r="J64" s="10"/>
      <c r="K64" s="10"/>
      <c r="L64" s="10"/>
      <c r="M64" s="10"/>
      <c r="N64" s="296">
        <v>7429834.5300000003</v>
      </c>
      <c r="O64" s="296">
        <v>22739593.510152001</v>
      </c>
      <c r="P64" s="334">
        <v>2370440.480303999</v>
      </c>
      <c r="Q64" s="10"/>
      <c r="R64" s="10"/>
      <c r="T64" s="3" t="s">
        <v>489</v>
      </c>
    </row>
    <row r="65" spans="2:24">
      <c r="B65" s="3" t="s">
        <v>477</v>
      </c>
      <c r="D65" s="3" t="s">
        <v>204</v>
      </c>
      <c r="H65" s="10"/>
      <c r="I65" s="345"/>
      <c r="J65" s="345"/>
      <c r="K65" s="345"/>
      <c r="L65" s="10"/>
      <c r="M65" s="10"/>
      <c r="N65" s="334">
        <v>-12756559.43889554</v>
      </c>
      <c r="O65" s="296">
        <v>-37638183.652182847</v>
      </c>
      <c r="P65" s="296">
        <v>-66596798.198202893</v>
      </c>
      <c r="Q65" s="10"/>
      <c r="R65" s="10"/>
      <c r="T65" s="3" t="s">
        <v>489</v>
      </c>
    </row>
    <row r="66" spans="2:24">
      <c r="B66" s="3" t="s">
        <v>490</v>
      </c>
      <c r="D66" s="3" t="s">
        <v>204</v>
      </c>
      <c r="H66" s="10"/>
      <c r="I66" s="10"/>
      <c r="J66" s="10"/>
      <c r="K66" s="10"/>
      <c r="L66" s="10"/>
      <c r="M66" s="10"/>
      <c r="N66" s="335"/>
      <c r="O66" s="320"/>
      <c r="P66" s="296">
        <v>2312867.6347511886</v>
      </c>
      <c r="Q66" s="10"/>
      <c r="R66" s="10"/>
      <c r="T66" s="3" t="s">
        <v>489</v>
      </c>
    </row>
    <row r="67" spans="2:24">
      <c r="B67" s="3" t="s">
        <v>479</v>
      </c>
      <c r="D67" s="3" t="s">
        <v>204</v>
      </c>
      <c r="H67" s="10"/>
      <c r="I67" s="10"/>
      <c r="J67" s="10"/>
      <c r="K67" s="10"/>
      <c r="L67" s="10"/>
      <c r="M67" s="10"/>
      <c r="N67" s="335"/>
      <c r="O67" s="320"/>
      <c r="P67" s="296">
        <v>14652295.895247623</v>
      </c>
      <c r="Q67" s="10"/>
      <c r="R67" s="10"/>
      <c r="T67" s="3" t="s">
        <v>489</v>
      </c>
    </row>
    <row r="68" spans="2:24">
      <c r="B68" s="3" t="s">
        <v>480</v>
      </c>
      <c r="D68" s="3" t="s">
        <v>204</v>
      </c>
      <c r="H68" s="10"/>
      <c r="I68" s="10"/>
      <c r="J68" s="10"/>
      <c r="K68" s="10"/>
      <c r="L68" s="10"/>
      <c r="M68" s="10"/>
      <c r="N68" s="334">
        <v>-675841.58940156468</v>
      </c>
      <c r="O68" s="296">
        <v>-2765720.9319584472</v>
      </c>
      <c r="P68" s="296">
        <v>-6393701.1689213878</v>
      </c>
      <c r="Q68" s="10"/>
      <c r="R68" s="10"/>
      <c r="T68" s="3" t="s">
        <v>489</v>
      </c>
    </row>
    <row r="69" spans="2:24">
      <c r="B69" s="3" t="s">
        <v>481</v>
      </c>
      <c r="D69" s="3" t="s">
        <v>204</v>
      </c>
      <c r="H69" s="10"/>
      <c r="I69" s="10"/>
      <c r="J69" s="10"/>
      <c r="K69" s="10"/>
      <c r="L69" s="10"/>
      <c r="M69" s="10"/>
      <c r="N69" s="335"/>
      <c r="O69" s="320"/>
      <c r="P69" s="296">
        <v>45949029.685100175</v>
      </c>
      <c r="Q69" s="10"/>
      <c r="R69" s="10"/>
      <c r="T69" s="3" t="s">
        <v>489</v>
      </c>
    </row>
    <row r="70" spans="2:24">
      <c r="B70" s="3" t="s">
        <v>482</v>
      </c>
      <c r="D70" s="3" t="s">
        <v>204</v>
      </c>
      <c r="H70" s="10"/>
      <c r="I70" s="10"/>
      <c r="J70" s="10"/>
      <c r="K70" s="10"/>
      <c r="L70" s="10"/>
      <c r="M70" s="10"/>
      <c r="N70" s="331"/>
      <c r="O70" s="332"/>
      <c r="P70" s="296">
        <v>6011860.8712883061</v>
      </c>
      <c r="Q70" s="10"/>
      <c r="R70" s="10"/>
      <c r="T70" s="3" t="s">
        <v>489</v>
      </c>
    </row>
    <row r="71" spans="2:24">
      <c r="B71" s="3" t="s">
        <v>483</v>
      </c>
      <c r="D71" s="3" t="s">
        <v>204</v>
      </c>
      <c r="H71" s="10"/>
      <c r="I71" s="10"/>
      <c r="J71" s="10"/>
      <c r="K71" s="10"/>
      <c r="L71" s="10"/>
      <c r="M71" s="10"/>
      <c r="N71" s="334">
        <v>109745.32379785551</v>
      </c>
      <c r="O71" s="332"/>
      <c r="P71" s="332"/>
      <c r="Q71" s="10"/>
      <c r="R71" s="10"/>
      <c r="T71" s="3" t="s">
        <v>489</v>
      </c>
    </row>
    <row r="72" spans="2:24">
      <c r="B72" s="3" t="s">
        <v>484</v>
      </c>
      <c r="D72" s="3" t="s">
        <v>204</v>
      </c>
      <c r="H72" s="10"/>
      <c r="I72" s="10"/>
      <c r="J72" s="10"/>
      <c r="K72" s="10"/>
      <c r="L72" s="10"/>
      <c r="M72" s="10"/>
      <c r="N72" s="331"/>
      <c r="O72" s="332"/>
      <c r="P72" s="296">
        <v>270388092.45989364</v>
      </c>
      <c r="Q72" s="10"/>
      <c r="R72" s="10"/>
      <c r="T72" s="3" t="s">
        <v>489</v>
      </c>
    </row>
    <row r="73" spans="2:24">
      <c r="B73" s="3" t="s">
        <v>485</v>
      </c>
      <c r="D73" s="3" t="s">
        <v>204</v>
      </c>
      <c r="H73" s="10"/>
      <c r="I73" s="10"/>
      <c r="J73" s="10"/>
      <c r="K73" s="10"/>
      <c r="L73" s="10"/>
      <c r="M73" s="10"/>
      <c r="N73" s="10"/>
      <c r="O73" s="296">
        <v>-6747985.4932921315</v>
      </c>
      <c r="P73" s="296">
        <v>1330902.0369378179</v>
      </c>
      <c r="Q73" s="10"/>
      <c r="R73" s="10"/>
      <c r="T73" s="3" t="s">
        <v>489</v>
      </c>
    </row>
    <row r="74" spans="2:24">
      <c r="B74" s="3" t="s">
        <v>486</v>
      </c>
      <c r="D74" s="3" t="s">
        <v>204</v>
      </c>
      <c r="H74" s="10"/>
      <c r="I74" s="10"/>
      <c r="J74" s="10"/>
      <c r="K74" s="10"/>
      <c r="L74" s="10"/>
      <c r="M74" s="10"/>
      <c r="N74" s="331"/>
      <c r="O74" s="332"/>
      <c r="P74" s="296">
        <v>-18511278.687022001</v>
      </c>
      <c r="Q74" s="10"/>
      <c r="R74" s="10"/>
      <c r="T74" s="3" t="s">
        <v>489</v>
      </c>
    </row>
    <row r="75" spans="2:24">
      <c r="D75" s="3" t="s">
        <v>204</v>
      </c>
      <c r="H75" s="178"/>
      <c r="N75" s="330"/>
      <c r="O75" s="330"/>
      <c r="P75" s="330"/>
    </row>
    <row r="76" spans="2:24">
      <c r="B76" s="32" t="s">
        <v>487</v>
      </c>
      <c r="D76" s="3" t="s">
        <v>204</v>
      </c>
      <c r="H76" s="10"/>
      <c r="I76" s="10"/>
      <c r="J76" s="10"/>
      <c r="K76" s="10"/>
      <c r="L76" s="10"/>
      <c r="M76" s="10"/>
      <c r="N76" s="334">
        <v>1017849989.7379037</v>
      </c>
      <c r="O76" s="296">
        <v>1085529066.8157804</v>
      </c>
      <c r="P76" s="296">
        <v>953332523.01764393</v>
      </c>
      <c r="Q76" s="10"/>
      <c r="R76" s="10"/>
      <c r="T76" s="3" t="s">
        <v>489</v>
      </c>
      <c r="X76" s="3" t="s">
        <v>491</v>
      </c>
    </row>
    <row r="77" spans="2:24">
      <c r="H77" s="178"/>
    </row>
    <row r="78" spans="2:24" s="8" customFormat="1">
      <c r="B78" s="8" t="s">
        <v>492</v>
      </c>
    </row>
    <row r="79" spans="2:24">
      <c r="H79" s="178"/>
    </row>
    <row r="80" spans="2:24">
      <c r="B80" s="303" t="s">
        <v>493</v>
      </c>
      <c r="J80" s="165"/>
      <c r="K80" s="165"/>
      <c r="L80" s="165"/>
      <c r="M80" s="165"/>
      <c r="N80" s="323"/>
    </row>
    <row r="81" spans="2:20">
      <c r="B81" s="32" t="s">
        <v>494</v>
      </c>
      <c r="D81" s="3" t="s">
        <v>204</v>
      </c>
      <c r="N81" s="296">
        <v>929870695.57498884</v>
      </c>
      <c r="O81" s="296">
        <v>952373566.40790355</v>
      </c>
      <c r="P81" s="296">
        <v>992563730.91031706</v>
      </c>
      <c r="Q81" s="317">
        <v>971918405.30738235</v>
      </c>
      <c r="R81" s="317">
        <v>951702502.47698867</v>
      </c>
      <c r="S81" s="165"/>
      <c r="T81" s="3" t="s">
        <v>495</v>
      </c>
    </row>
    <row r="82" spans="2:20">
      <c r="B82" s="32" t="s">
        <v>496</v>
      </c>
      <c r="D82" s="3" t="s">
        <v>204</v>
      </c>
      <c r="N82" s="296">
        <v>928922041.52930927</v>
      </c>
      <c r="O82" s="296">
        <v>926321059.81302702</v>
      </c>
      <c r="P82" s="296">
        <v>965411808.53713679</v>
      </c>
      <c r="Q82" s="317">
        <v>945331242.91956425</v>
      </c>
      <c r="R82" s="317">
        <v>925668353.06683719</v>
      </c>
      <c r="S82" s="165"/>
      <c r="T82" s="3" t="s">
        <v>497</v>
      </c>
    </row>
    <row r="83" spans="2:20">
      <c r="H83" s="178"/>
    </row>
    <row r="84" spans="2:20" s="8" customFormat="1">
      <c r="B84" s="8" t="s">
        <v>1150</v>
      </c>
    </row>
    <row r="85" spans="2:20">
      <c r="H85" s="178"/>
    </row>
    <row r="86" spans="2:20">
      <c r="B86" s="32" t="s">
        <v>1140</v>
      </c>
      <c r="D86" s="3" t="s">
        <v>204</v>
      </c>
      <c r="H86" s="10"/>
      <c r="I86" s="10"/>
      <c r="J86" s="320"/>
      <c r="K86" s="320"/>
      <c r="L86" s="320"/>
      <c r="M86" s="320"/>
      <c r="N86" s="321"/>
      <c r="O86" s="10"/>
      <c r="P86" s="10"/>
      <c r="Q86" s="296">
        <v>10000000</v>
      </c>
      <c r="R86" s="10"/>
      <c r="T86" s="3" t="s">
        <v>1141</v>
      </c>
    </row>
    <row r="87" spans="2:20">
      <c r="B87" s="32"/>
      <c r="S87" s="165"/>
    </row>
    <row r="88" spans="2:20">
      <c r="B88" s="32"/>
      <c r="S88" s="165"/>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226"/>
  <sheetViews>
    <sheetView showGridLines="0" zoomScale="90" zoomScaleNormal="90" workbookViewId="0">
      <pane ySplit="10" topLeftCell="A11" activePane="bottomLeft" state="frozen"/>
      <selection pane="bottomLeft"/>
    </sheetView>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16384" width="13.5703125" style="3"/>
  </cols>
  <sheetData>
    <row r="2" spans="1:10" s="12" customFormat="1" ht="18">
      <c r="B2" s="12" t="s">
        <v>498</v>
      </c>
    </row>
    <row r="4" spans="1:10">
      <c r="B4" s="16" t="s">
        <v>279</v>
      </c>
    </row>
    <row r="5" spans="1:10" ht="46.35" customHeight="1">
      <c r="B5" s="379" t="s">
        <v>499</v>
      </c>
      <c r="C5" s="379"/>
      <c r="D5" s="379"/>
      <c r="E5" s="379"/>
    </row>
    <row r="7" spans="1:10" s="8" customFormat="1">
      <c r="A7" s="160"/>
      <c r="B7" s="8" t="s">
        <v>152</v>
      </c>
      <c r="F7" s="52"/>
      <c r="G7" s="52"/>
    </row>
    <row r="8" spans="1:10" s="54" customFormat="1"/>
    <row r="9" spans="1:10" s="145" customFormat="1">
      <c r="A9" s="249"/>
      <c r="B9" s="145" t="s">
        <v>500</v>
      </c>
      <c r="D9" s="145" t="s">
        <v>501</v>
      </c>
      <c r="F9" s="8" t="s">
        <v>196</v>
      </c>
    </row>
    <row r="10" spans="1:10" s="54" customFormat="1"/>
    <row r="11" spans="1:10">
      <c r="B11" s="101" cm="1">
        <f t="array" ref="B11:B102">'13. Desinvesteringen'!B335:B426</f>
        <v>316</v>
      </c>
      <c r="D11" s="250">
        <v>0</v>
      </c>
      <c r="F11" s="3" t="s">
        <v>502</v>
      </c>
      <c r="J11" s="97"/>
    </row>
    <row r="12" spans="1:10">
      <c r="B12" s="101">
        <v>317</v>
      </c>
      <c r="D12" s="250">
        <v>0</v>
      </c>
      <c r="F12" s="3" t="s">
        <v>502</v>
      </c>
      <c r="J12" s="97"/>
    </row>
    <row r="13" spans="1:10">
      <c r="B13" s="101">
        <v>318</v>
      </c>
      <c r="D13" s="250">
        <v>0</v>
      </c>
      <c r="F13" s="3" t="s">
        <v>502</v>
      </c>
      <c r="J13" s="97"/>
    </row>
    <row r="14" spans="1:10">
      <c r="B14" s="101">
        <v>319</v>
      </c>
      <c r="D14" s="250">
        <v>0</v>
      </c>
      <c r="F14" s="3" t="s">
        <v>502</v>
      </c>
      <c r="J14" s="97"/>
    </row>
    <row r="15" spans="1:10">
      <c r="B15" s="101">
        <v>320</v>
      </c>
      <c r="D15" s="250">
        <v>0</v>
      </c>
      <c r="F15" s="3" t="s">
        <v>502</v>
      </c>
      <c r="J15" s="97"/>
    </row>
    <row r="16" spans="1:10">
      <c r="B16" s="101">
        <v>321</v>
      </c>
      <c r="D16" s="250">
        <v>0</v>
      </c>
      <c r="F16" s="3" t="s">
        <v>502</v>
      </c>
      <c r="J16" s="97"/>
    </row>
    <row r="17" spans="2:10">
      <c r="B17" s="101">
        <v>322</v>
      </c>
      <c r="D17" s="250">
        <v>0</v>
      </c>
      <c r="F17" s="3" t="s">
        <v>502</v>
      </c>
      <c r="J17" s="97"/>
    </row>
    <row r="18" spans="2:10">
      <c r="B18" s="101">
        <v>323</v>
      </c>
      <c r="D18" s="157">
        <v>4800.0618690721003</v>
      </c>
      <c r="F18" s="3" t="s">
        <v>502</v>
      </c>
      <c r="J18" s="97"/>
    </row>
    <row r="19" spans="2:10">
      <c r="B19" s="101">
        <v>324</v>
      </c>
      <c r="D19" s="157">
        <v>7362.4523493487277</v>
      </c>
      <c r="F19" s="3" t="s">
        <v>502</v>
      </c>
      <c r="J19" s="97"/>
    </row>
    <row r="20" spans="2:10">
      <c r="B20" s="101">
        <v>325</v>
      </c>
      <c r="D20" s="157">
        <v>19106.465971183679</v>
      </c>
      <c r="F20" s="3" t="s">
        <v>502</v>
      </c>
      <c r="J20" s="97"/>
    </row>
    <row r="21" spans="2:10">
      <c r="B21" s="101">
        <v>326</v>
      </c>
      <c r="D21" s="157">
        <v>34361.047919882221</v>
      </c>
      <c r="F21" s="3" t="s">
        <v>502</v>
      </c>
      <c r="J21" s="97"/>
    </row>
    <row r="22" spans="2:10">
      <c r="B22" s="101">
        <v>327</v>
      </c>
      <c r="D22" s="157">
        <v>24689.78297700132</v>
      </c>
      <c r="F22" s="3" t="s">
        <v>502</v>
      </c>
      <c r="J22" s="97"/>
    </row>
    <row r="23" spans="2:10">
      <c r="B23" s="101">
        <v>328</v>
      </c>
      <c r="D23" s="157">
        <v>84795.96142136406</v>
      </c>
      <c r="F23" s="3" t="s">
        <v>502</v>
      </c>
      <c r="J23" s="97"/>
    </row>
    <row r="24" spans="2:10" ht="12" customHeight="1">
      <c r="B24" s="101">
        <v>329</v>
      </c>
      <c r="D24" s="157">
        <v>73143.543504977206</v>
      </c>
      <c r="F24" s="3" t="s">
        <v>502</v>
      </c>
      <c r="J24" s="97"/>
    </row>
    <row r="25" spans="2:10">
      <c r="B25" s="101">
        <v>330</v>
      </c>
      <c r="D25" s="157">
        <v>28650.688160986421</v>
      </c>
      <c r="F25" s="3" t="s">
        <v>502</v>
      </c>
      <c r="J25" s="97"/>
    </row>
    <row r="26" spans="2:10">
      <c r="B26" s="101">
        <v>331</v>
      </c>
      <c r="D26" s="157">
        <v>22915.340357348177</v>
      </c>
      <c r="F26" s="3" t="s">
        <v>502</v>
      </c>
      <c r="J26" s="97"/>
    </row>
    <row r="27" spans="2:10">
      <c r="B27" s="101">
        <v>332</v>
      </c>
      <c r="D27" s="157">
        <v>52322.526677778427</v>
      </c>
      <c r="F27" s="3" t="s">
        <v>502</v>
      </c>
      <c r="J27" s="97"/>
    </row>
    <row r="28" spans="2:10">
      <c r="B28" s="101">
        <v>333</v>
      </c>
      <c r="D28" s="157">
        <v>22168.241432612802</v>
      </c>
      <c r="F28" s="3" t="s">
        <v>502</v>
      </c>
      <c r="J28" s="97"/>
    </row>
    <row r="29" spans="2:10">
      <c r="B29" s="101">
        <v>334</v>
      </c>
      <c r="D29" s="157">
        <v>74293.951826154895</v>
      </c>
      <c r="F29" s="3" t="s">
        <v>502</v>
      </c>
      <c r="J29" s="97"/>
    </row>
    <row r="30" spans="2:10">
      <c r="B30" s="101">
        <v>335</v>
      </c>
      <c r="D30" s="157">
        <v>357.48421114725051</v>
      </c>
      <c r="F30" s="3" t="s">
        <v>502</v>
      </c>
      <c r="J30" s="97"/>
    </row>
    <row r="31" spans="2:10">
      <c r="B31" s="101">
        <v>336</v>
      </c>
      <c r="D31" s="157">
        <v>38915.650783577308</v>
      </c>
      <c r="F31" s="3" t="s">
        <v>502</v>
      </c>
      <c r="J31" s="97"/>
    </row>
    <row r="32" spans="2:10">
      <c r="B32" s="101">
        <v>337</v>
      </c>
      <c r="D32" s="157">
        <v>22545.342886393813</v>
      </c>
      <c r="F32" s="3" t="s">
        <v>502</v>
      </c>
      <c r="J32" s="97"/>
    </row>
    <row r="33" spans="2:10">
      <c r="B33" s="101">
        <v>338</v>
      </c>
      <c r="D33" s="157">
        <v>91128.347042326975</v>
      </c>
      <c r="F33" s="3" t="s">
        <v>502</v>
      </c>
      <c r="J33" s="97"/>
    </row>
    <row r="34" spans="2:10">
      <c r="B34" s="101">
        <v>339</v>
      </c>
      <c r="D34" s="157">
        <v>19475.506076320318</v>
      </c>
      <c r="F34" s="3" t="s">
        <v>502</v>
      </c>
      <c r="J34" s="97"/>
    </row>
    <row r="35" spans="2:10">
      <c r="B35" s="101">
        <v>340</v>
      </c>
      <c r="D35" s="157">
        <v>4265.7894840755598</v>
      </c>
      <c r="F35" s="3" t="s">
        <v>502</v>
      </c>
      <c r="J35" s="97"/>
    </row>
    <row r="36" spans="2:10">
      <c r="B36" s="101">
        <v>341</v>
      </c>
      <c r="D36" s="157">
        <v>6065.0353725967525</v>
      </c>
      <c r="F36" s="3" t="s">
        <v>502</v>
      </c>
      <c r="J36" s="97"/>
    </row>
    <row r="37" spans="2:10">
      <c r="B37" s="101">
        <v>342</v>
      </c>
      <c r="D37" s="157">
        <v>3963.0132452867715</v>
      </c>
      <c r="F37" s="3" t="s">
        <v>502</v>
      </c>
      <c r="J37" s="97"/>
    </row>
    <row r="38" spans="2:10">
      <c r="B38" s="101">
        <v>343</v>
      </c>
      <c r="D38" s="157">
        <v>99386.826026262308</v>
      </c>
      <c r="F38" s="3" t="s">
        <v>502</v>
      </c>
      <c r="J38" s="97"/>
    </row>
    <row r="39" spans="2:10">
      <c r="B39" s="101">
        <v>344</v>
      </c>
      <c r="D39" s="157">
        <v>21724.935672167638</v>
      </c>
      <c r="F39" s="3" t="s">
        <v>502</v>
      </c>
      <c r="J39" s="97"/>
    </row>
    <row r="40" spans="2:10">
      <c r="B40" s="101">
        <v>345</v>
      </c>
      <c r="D40" s="157">
        <v>354150.64233630133</v>
      </c>
      <c r="F40" s="3" t="s">
        <v>502</v>
      </c>
      <c r="J40" s="97"/>
    </row>
    <row r="41" spans="2:10">
      <c r="B41" s="101">
        <v>346</v>
      </c>
      <c r="D41" s="157">
        <v>152476.71374613314</v>
      </c>
      <c r="F41" s="3" t="s">
        <v>502</v>
      </c>
      <c r="J41" s="97"/>
    </row>
    <row r="42" spans="2:10">
      <c r="B42" s="101">
        <v>347</v>
      </c>
      <c r="D42" s="157">
        <v>56089.001773568591</v>
      </c>
      <c r="F42" s="3" t="s">
        <v>502</v>
      </c>
      <c r="J42" s="97"/>
    </row>
    <row r="43" spans="2:10">
      <c r="B43" s="101">
        <v>348</v>
      </c>
      <c r="D43" s="157">
        <v>89195.270846924876</v>
      </c>
      <c r="F43" s="3" t="s">
        <v>502</v>
      </c>
      <c r="J43" s="97"/>
    </row>
    <row r="44" spans="2:10">
      <c r="B44" s="101">
        <v>349</v>
      </c>
      <c r="D44" s="157">
        <v>160239.08891040052</v>
      </c>
      <c r="F44" s="3" t="s">
        <v>502</v>
      </c>
      <c r="J44" s="97"/>
    </row>
    <row r="45" spans="2:10">
      <c r="B45" s="101">
        <v>350</v>
      </c>
      <c r="D45" s="250">
        <v>0</v>
      </c>
      <c r="F45" s="3" t="s">
        <v>502</v>
      </c>
      <c r="J45" s="97"/>
    </row>
    <row r="46" spans="2:10">
      <c r="B46" s="101">
        <v>351</v>
      </c>
      <c r="D46" s="250">
        <v>0</v>
      </c>
      <c r="F46" s="3" t="s">
        <v>502</v>
      </c>
      <c r="J46" s="97"/>
    </row>
    <row r="47" spans="2:10">
      <c r="B47" s="101">
        <v>352</v>
      </c>
      <c r="D47" s="250">
        <v>0</v>
      </c>
      <c r="F47" s="3" t="s">
        <v>502</v>
      </c>
      <c r="J47" s="97"/>
    </row>
    <row r="48" spans="2:10">
      <c r="B48" s="101">
        <v>353</v>
      </c>
      <c r="D48" s="250">
        <v>0</v>
      </c>
      <c r="F48" s="3" t="s">
        <v>502</v>
      </c>
      <c r="J48" s="97"/>
    </row>
    <row r="49" spans="2:10">
      <c r="B49" s="101">
        <v>354</v>
      </c>
      <c r="D49" s="250">
        <v>0</v>
      </c>
      <c r="F49" s="3" t="s">
        <v>502</v>
      </c>
      <c r="J49" s="97"/>
    </row>
    <row r="50" spans="2:10">
      <c r="B50" s="101">
        <v>355</v>
      </c>
      <c r="D50" s="250">
        <v>0</v>
      </c>
      <c r="F50" s="3" t="s">
        <v>502</v>
      </c>
      <c r="J50" s="97"/>
    </row>
    <row r="51" spans="2:10">
      <c r="B51" s="101">
        <v>356</v>
      </c>
      <c r="D51" s="250">
        <v>0</v>
      </c>
      <c r="F51" s="3" t="s">
        <v>502</v>
      </c>
      <c r="J51" s="97"/>
    </row>
    <row r="52" spans="2:10">
      <c r="B52" s="101">
        <v>357</v>
      </c>
      <c r="D52" s="250">
        <v>0</v>
      </c>
      <c r="F52" s="3" t="s">
        <v>502</v>
      </c>
      <c r="J52" s="97"/>
    </row>
    <row r="53" spans="2:10">
      <c r="B53" s="101">
        <v>358</v>
      </c>
      <c r="D53" s="250">
        <v>0</v>
      </c>
      <c r="F53" s="3" t="s">
        <v>502</v>
      </c>
      <c r="J53" s="97"/>
    </row>
    <row r="54" spans="2:10">
      <c r="B54" s="101">
        <v>359</v>
      </c>
      <c r="D54" s="250">
        <v>0</v>
      </c>
      <c r="F54" s="3" t="s">
        <v>502</v>
      </c>
      <c r="J54" s="97"/>
    </row>
    <row r="55" spans="2:10">
      <c r="B55" s="101">
        <v>360</v>
      </c>
      <c r="D55" s="250">
        <v>0</v>
      </c>
      <c r="F55" s="3" t="s">
        <v>502</v>
      </c>
      <c r="J55" s="97"/>
    </row>
    <row r="56" spans="2:10">
      <c r="B56" s="101">
        <v>361</v>
      </c>
      <c r="D56" s="250">
        <v>0</v>
      </c>
      <c r="F56" s="3" t="s">
        <v>502</v>
      </c>
      <c r="J56" s="97"/>
    </row>
    <row r="57" spans="2:10">
      <c r="B57" s="101">
        <v>362</v>
      </c>
      <c r="D57" s="250">
        <v>0</v>
      </c>
      <c r="F57" s="3" t="s">
        <v>502</v>
      </c>
      <c r="J57" s="97"/>
    </row>
    <row r="58" spans="2:10">
      <c r="B58" s="101">
        <v>363</v>
      </c>
      <c r="D58" s="250">
        <v>0</v>
      </c>
      <c r="F58" s="3" t="s">
        <v>502</v>
      </c>
      <c r="J58" s="97"/>
    </row>
    <row r="59" spans="2:10">
      <c r="B59" s="101">
        <v>364</v>
      </c>
      <c r="D59" s="250">
        <v>0</v>
      </c>
      <c r="F59" s="3" t="s">
        <v>502</v>
      </c>
      <c r="J59" s="97"/>
    </row>
    <row r="60" spans="2:10">
      <c r="B60" s="101">
        <v>365</v>
      </c>
      <c r="D60" s="250">
        <v>0</v>
      </c>
      <c r="F60" s="3" t="s">
        <v>502</v>
      </c>
      <c r="J60" s="97"/>
    </row>
    <row r="61" spans="2:10">
      <c r="B61" s="101">
        <v>366</v>
      </c>
      <c r="D61" s="250">
        <v>0</v>
      </c>
      <c r="F61" s="3" t="s">
        <v>502</v>
      </c>
      <c r="J61" s="97"/>
    </row>
    <row r="62" spans="2:10">
      <c r="B62" s="101">
        <v>367</v>
      </c>
      <c r="D62" s="250">
        <v>0</v>
      </c>
      <c r="F62" s="3" t="s">
        <v>502</v>
      </c>
      <c r="J62" s="97"/>
    </row>
    <row r="63" spans="2:10">
      <c r="B63" s="101">
        <v>368</v>
      </c>
      <c r="D63" s="250">
        <v>0</v>
      </c>
      <c r="F63" s="3" t="s">
        <v>502</v>
      </c>
      <c r="J63" s="97"/>
    </row>
    <row r="64" spans="2:10">
      <c r="B64" s="101">
        <v>369</v>
      </c>
      <c r="D64" s="250">
        <v>0</v>
      </c>
      <c r="F64" s="3" t="s">
        <v>502</v>
      </c>
      <c r="J64" s="97"/>
    </row>
    <row r="65" spans="2:10">
      <c r="B65" s="101">
        <v>370</v>
      </c>
      <c r="D65" s="250">
        <v>0</v>
      </c>
      <c r="F65" s="3" t="s">
        <v>502</v>
      </c>
      <c r="J65" s="97"/>
    </row>
    <row r="66" spans="2:10">
      <c r="B66" s="101">
        <v>371</v>
      </c>
      <c r="D66" s="157">
        <v>646.89002615775189</v>
      </c>
      <c r="F66" s="3" t="s">
        <v>502</v>
      </c>
      <c r="J66" s="97"/>
    </row>
    <row r="67" spans="2:10">
      <c r="B67" s="101">
        <v>372</v>
      </c>
      <c r="D67" s="157">
        <v>1357.7574875549008</v>
      </c>
      <c r="F67" s="3" t="s">
        <v>502</v>
      </c>
      <c r="J67" s="97"/>
    </row>
    <row r="68" spans="2:10">
      <c r="B68" s="101">
        <v>373</v>
      </c>
      <c r="D68" s="157">
        <v>7195.5569834638591</v>
      </c>
      <c r="F68" s="3" t="s">
        <v>502</v>
      </c>
      <c r="J68" s="97"/>
    </row>
    <row r="69" spans="2:10">
      <c r="B69" s="101">
        <v>374</v>
      </c>
      <c r="D69" s="157">
        <v>11931.605633190833</v>
      </c>
      <c r="F69" s="3" t="s">
        <v>502</v>
      </c>
      <c r="J69" s="97"/>
    </row>
    <row r="70" spans="2:10">
      <c r="B70" s="101">
        <v>375</v>
      </c>
      <c r="D70" s="157">
        <v>4008.6360537194205</v>
      </c>
      <c r="F70" s="3" t="s">
        <v>502</v>
      </c>
      <c r="J70" s="97"/>
    </row>
    <row r="71" spans="2:10">
      <c r="B71" s="101">
        <v>376</v>
      </c>
      <c r="D71" s="157">
        <v>4682.8462589200817</v>
      </c>
      <c r="F71" s="3" t="s">
        <v>502</v>
      </c>
      <c r="J71" s="97"/>
    </row>
    <row r="72" spans="2:10">
      <c r="B72" s="101">
        <v>377</v>
      </c>
      <c r="D72" s="157">
        <v>4626.8552263726942</v>
      </c>
      <c r="F72" s="3" t="s">
        <v>502</v>
      </c>
      <c r="J72" s="97"/>
    </row>
    <row r="73" spans="2:10">
      <c r="B73" s="101">
        <v>378</v>
      </c>
      <c r="D73" s="157">
        <v>4611.6740310663999</v>
      </c>
      <c r="F73" s="3" t="s">
        <v>502</v>
      </c>
      <c r="J73" s="97"/>
    </row>
    <row r="74" spans="2:10">
      <c r="B74" s="101">
        <v>379</v>
      </c>
      <c r="D74" s="157">
        <v>19084.802391040361</v>
      </c>
      <c r="F74" s="3" t="s">
        <v>502</v>
      </c>
      <c r="J74" s="97"/>
    </row>
    <row r="75" spans="2:10">
      <c r="B75" s="101">
        <v>380</v>
      </c>
      <c r="D75" s="157">
        <v>7912.0882258856245</v>
      </c>
      <c r="F75" s="3" t="s">
        <v>502</v>
      </c>
      <c r="J75" s="97"/>
    </row>
    <row r="76" spans="2:10">
      <c r="B76" s="101">
        <v>381</v>
      </c>
      <c r="D76" s="157">
        <v>204757.05379307119</v>
      </c>
      <c r="F76" s="3" t="s">
        <v>502</v>
      </c>
      <c r="J76" s="97"/>
    </row>
    <row r="77" spans="2:10">
      <c r="B77" s="101">
        <v>382</v>
      </c>
      <c r="D77" s="157">
        <v>114014.92388584625</v>
      </c>
      <c r="F77" s="3" t="s">
        <v>502</v>
      </c>
      <c r="J77" s="97"/>
    </row>
    <row r="78" spans="2:10">
      <c r="B78" s="101">
        <v>383</v>
      </c>
      <c r="D78" s="157">
        <v>32772.828513993481</v>
      </c>
      <c r="F78" s="3" t="s">
        <v>502</v>
      </c>
      <c r="J78" s="97"/>
    </row>
    <row r="79" spans="2:10">
      <c r="B79" s="101">
        <v>384</v>
      </c>
      <c r="D79" s="250">
        <v>0</v>
      </c>
      <c r="F79" s="3" t="s">
        <v>502</v>
      </c>
      <c r="J79" s="97"/>
    </row>
    <row r="80" spans="2:10">
      <c r="B80" s="101">
        <v>385</v>
      </c>
      <c r="D80" s="250">
        <v>0</v>
      </c>
      <c r="F80" s="3" t="s">
        <v>502</v>
      </c>
      <c r="J80" s="97"/>
    </row>
    <row r="81" spans="2:10">
      <c r="B81" s="101">
        <v>386</v>
      </c>
      <c r="D81" s="250">
        <v>0</v>
      </c>
      <c r="F81" s="3" t="s">
        <v>502</v>
      </c>
      <c r="J81" s="97"/>
    </row>
    <row r="82" spans="2:10">
      <c r="B82" s="101">
        <v>387</v>
      </c>
      <c r="D82" s="250">
        <v>0</v>
      </c>
      <c r="F82" s="3" t="s">
        <v>502</v>
      </c>
      <c r="J82" s="97"/>
    </row>
    <row r="83" spans="2:10">
      <c r="B83" s="101">
        <v>388</v>
      </c>
      <c r="D83" s="157">
        <v>4540.0402775800039</v>
      </c>
      <c r="F83" s="3" t="s">
        <v>502</v>
      </c>
      <c r="J83" s="97"/>
    </row>
    <row r="84" spans="2:10">
      <c r="B84" s="101">
        <v>389</v>
      </c>
      <c r="D84" s="157">
        <v>89847.095733059148</v>
      </c>
      <c r="F84" s="3" t="s">
        <v>502</v>
      </c>
      <c r="J84" s="97"/>
    </row>
    <row r="85" spans="2:10">
      <c r="B85" s="101">
        <v>390</v>
      </c>
      <c r="D85" s="250">
        <v>0</v>
      </c>
      <c r="F85" s="3" t="s">
        <v>502</v>
      </c>
      <c r="J85" s="97"/>
    </row>
    <row r="86" spans="2:10">
      <c r="B86" s="101">
        <v>391</v>
      </c>
      <c r="D86" s="157">
        <v>614953.64546122367</v>
      </c>
      <c r="F86" s="3" t="s">
        <v>502</v>
      </c>
      <c r="J86" s="97"/>
    </row>
    <row r="87" spans="2:10">
      <c r="B87" s="101">
        <v>392</v>
      </c>
      <c r="D87" s="157">
        <v>61437.139832305947</v>
      </c>
      <c r="F87" s="3" t="s">
        <v>502</v>
      </c>
      <c r="J87" s="97"/>
    </row>
    <row r="88" spans="2:10">
      <c r="B88" s="101">
        <v>393</v>
      </c>
      <c r="D88" s="250">
        <v>0</v>
      </c>
      <c r="F88" s="3" t="s">
        <v>502</v>
      </c>
      <c r="J88" s="97"/>
    </row>
    <row r="89" spans="2:10">
      <c r="B89" s="101">
        <v>394</v>
      </c>
      <c r="D89" s="157">
        <v>27710.301790765967</v>
      </c>
      <c r="F89" s="3" t="s">
        <v>502</v>
      </c>
      <c r="J89" s="97"/>
    </row>
    <row r="90" spans="2:10">
      <c r="B90" s="101">
        <v>395</v>
      </c>
      <c r="D90" s="157">
        <v>9353.7976978691713</v>
      </c>
      <c r="F90" s="3" t="s">
        <v>502</v>
      </c>
      <c r="J90" s="97"/>
    </row>
    <row r="91" spans="2:10">
      <c r="B91" s="101">
        <v>396</v>
      </c>
      <c r="D91" s="157">
        <v>27670.188323616749</v>
      </c>
      <c r="F91" s="3" t="s">
        <v>502</v>
      </c>
      <c r="J91" s="97"/>
    </row>
    <row r="92" spans="2:10">
      <c r="B92" s="101">
        <v>397</v>
      </c>
      <c r="D92" s="157">
        <v>65069.242178936642</v>
      </c>
      <c r="F92" s="3" t="s">
        <v>502</v>
      </c>
      <c r="J92" s="97"/>
    </row>
    <row r="93" spans="2:10">
      <c r="B93" s="101">
        <v>398</v>
      </c>
      <c r="D93" s="250">
        <v>0</v>
      </c>
      <c r="F93" s="3" t="s">
        <v>502</v>
      </c>
      <c r="J93" s="97"/>
    </row>
    <row r="94" spans="2:10">
      <c r="B94" s="101">
        <v>399</v>
      </c>
      <c r="D94" s="250">
        <v>0</v>
      </c>
      <c r="F94" s="3" t="s">
        <v>502</v>
      </c>
      <c r="J94" s="97"/>
    </row>
    <row r="95" spans="2:10">
      <c r="B95" s="101">
        <v>400</v>
      </c>
      <c r="D95" s="250">
        <v>0</v>
      </c>
      <c r="F95" s="3" t="s">
        <v>502</v>
      </c>
      <c r="J95" s="97"/>
    </row>
    <row r="96" spans="2:10">
      <c r="B96" s="101">
        <v>401</v>
      </c>
      <c r="D96" s="250">
        <v>0</v>
      </c>
      <c r="F96" s="3" t="s">
        <v>502</v>
      </c>
      <c r="J96" s="97"/>
    </row>
    <row r="97" spans="2:10">
      <c r="B97" s="101">
        <v>402</v>
      </c>
      <c r="D97" s="250">
        <v>0</v>
      </c>
      <c r="F97" s="3" t="s">
        <v>502</v>
      </c>
      <c r="J97" s="97"/>
    </row>
    <row r="98" spans="2:10">
      <c r="B98" s="101">
        <v>403</v>
      </c>
      <c r="D98" s="250">
        <v>0</v>
      </c>
      <c r="F98" s="3" t="s">
        <v>502</v>
      </c>
      <c r="J98" s="97"/>
    </row>
    <row r="99" spans="2:10">
      <c r="B99" s="101">
        <v>404</v>
      </c>
      <c r="D99" s="250">
        <v>0</v>
      </c>
      <c r="F99" s="3" t="s">
        <v>502</v>
      </c>
      <c r="J99" s="97"/>
    </row>
    <row r="100" spans="2:10">
      <c r="B100" s="101">
        <v>405</v>
      </c>
      <c r="D100" s="157">
        <v>3006.4882057138966</v>
      </c>
      <c r="F100" s="3" t="s">
        <v>502</v>
      </c>
      <c r="J100" s="97"/>
    </row>
    <row r="101" spans="2:10">
      <c r="B101" s="101">
        <v>406</v>
      </c>
      <c r="D101" s="157">
        <v>303439.87492153718</v>
      </c>
      <c r="F101" s="3" t="s">
        <v>502</v>
      </c>
      <c r="J101" s="97"/>
    </row>
    <row r="102" spans="2:10">
      <c r="B102" s="101">
        <v>407</v>
      </c>
      <c r="D102" s="250">
        <v>0</v>
      </c>
      <c r="F102" s="3" t="s">
        <v>502</v>
      </c>
      <c r="J102" s="97"/>
    </row>
    <row r="103" spans="2:10">
      <c r="B103" s="141">
        <v>408</v>
      </c>
      <c r="D103" s="294">
        <v>0</v>
      </c>
      <c r="F103" s="3" t="s">
        <v>503</v>
      </c>
      <c r="J103" s="97"/>
    </row>
    <row r="104" spans="2:10">
      <c r="B104" s="141">
        <v>409</v>
      </c>
      <c r="D104" s="294">
        <v>0</v>
      </c>
      <c r="F104" s="3" t="s">
        <v>503</v>
      </c>
      <c r="J104" s="97"/>
    </row>
    <row r="105" spans="2:10">
      <c r="B105" s="141">
        <v>410</v>
      </c>
      <c r="D105" s="294">
        <v>0</v>
      </c>
      <c r="F105" s="3" t="s">
        <v>503</v>
      </c>
      <c r="J105" s="97"/>
    </row>
    <row r="106" spans="2:10">
      <c r="B106" s="141">
        <v>411</v>
      </c>
      <c r="D106" s="294">
        <v>0</v>
      </c>
      <c r="F106" s="3" t="s">
        <v>503</v>
      </c>
      <c r="J106" s="97"/>
    </row>
    <row r="107" spans="2:10">
      <c r="B107" s="141">
        <v>412</v>
      </c>
      <c r="D107" s="294">
        <v>0</v>
      </c>
      <c r="F107" s="3" t="s">
        <v>503</v>
      </c>
      <c r="J107" s="97"/>
    </row>
    <row r="108" spans="2:10">
      <c r="B108" s="141">
        <v>413</v>
      </c>
      <c r="D108" s="294">
        <v>0</v>
      </c>
      <c r="F108" s="3" t="s">
        <v>503</v>
      </c>
      <c r="J108" s="97"/>
    </row>
    <row r="109" spans="2:10">
      <c r="B109" s="141">
        <v>414</v>
      </c>
      <c r="D109" s="294">
        <v>4066.6917785254955</v>
      </c>
      <c r="F109" s="3" t="s">
        <v>503</v>
      </c>
      <c r="J109" s="97"/>
    </row>
    <row r="110" spans="2:10">
      <c r="B110" s="141">
        <v>415</v>
      </c>
      <c r="D110" s="294">
        <v>72313.792532278865</v>
      </c>
      <c r="F110" s="3" t="s">
        <v>503</v>
      </c>
      <c r="J110" s="97"/>
    </row>
    <row r="111" spans="2:10">
      <c r="B111" s="141">
        <v>416</v>
      </c>
      <c r="D111" s="294">
        <v>39219.604478837689</v>
      </c>
      <c r="F111" s="3" t="s">
        <v>503</v>
      </c>
    </row>
    <row r="112" spans="2:10">
      <c r="B112" s="141">
        <v>417</v>
      </c>
      <c r="D112" s="294">
        <v>69808.707803642814</v>
      </c>
      <c r="F112" s="3" t="s">
        <v>503</v>
      </c>
    </row>
    <row r="113" spans="2:6">
      <c r="B113" s="141">
        <v>418</v>
      </c>
      <c r="D113" s="294">
        <v>38586.635084201873</v>
      </c>
      <c r="F113" s="3" t="s">
        <v>503</v>
      </c>
    </row>
    <row r="114" spans="2:6">
      <c r="B114" s="141">
        <v>419</v>
      </c>
      <c r="D114" s="294">
        <v>21904.077054372625</v>
      </c>
      <c r="F114" s="3" t="s">
        <v>503</v>
      </c>
    </row>
    <row r="115" spans="2:6">
      <c r="B115" s="141">
        <v>420</v>
      </c>
      <c r="D115" s="294">
        <v>17162.736023996706</v>
      </c>
      <c r="F115" s="3" t="s">
        <v>503</v>
      </c>
    </row>
    <row r="116" spans="2:6">
      <c r="B116" s="141">
        <v>421</v>
      </c>
      <c r="D116" s="294">
        <v>2951.3714473540831</v>
      </c>
      <c r="F116" s="3" t="s">
        <v>503</v>
      </c>
    </row>
    <row r="117" spans="2:6">
      <c r="B117" s="141">
        <v>422</v>
      </c>
      <c r="D117" s="294">
        <v>1042.7959463378704</v>
      </c>
      <c r="F117" s="3" t="s">
        <v>503</v>
      </c>
    </row>
    <row r="118" spans="2:6">
      <c r="B118" s="141">
        <v>423</v>
      </c>
      <c r="D118" s="294">
        <v>1583.1020339233444</v>
      </c>
      <c r="F118" s="3" t="s">
        <v>503</v>
      </c>
    </row>
    <row r="119" spans="2:6">
      <c r="B119" s="141">
        <v>424</v>
      </c>
      <c r="D119" s="294">
        <v>7373.2798573001292</v>
      </c>
      <c r="F119" s="3" t="s">
        <v>503</v>
      </c>
    </row>
    <row r="120" spans="2:6">
      <c r="B120" s="141">
        <v>425</v>
      </c>
      <c r="D120" s="294">
        <v>138596.0081293541</v>
      </c>
      <c r="F120" s="3" t="s">
        <v>503</v>
      </c>
    </row>
    <row r="121" spans="2:6">
      <c r="B121" s="141">
        <v>426</v>
      </c>
      <c r="D121" s="294">
        <v>0</v>
      </c>
      <c r="F121" s="3" t="s">
        <v>503</v>
      </c>
    </row>
    <row r="122" spans="2:6">
      <c r="B122" s="141">
        <v>427</v>
      </c>
      <c r="D122" s="294">
        <v>30711.765477463152</v>
      </c>
      <c r="F122" s="3" t="s">
        <v>503</v>
      </c>
    </row>
    <row r="123" spans="2:6">
      <c r="B123" s="141">
        <v>428</v>
      </c>
      <c r="D123" s="294">
        <v>13771.568761085329</v>
      </c>
      <c r="F123" s="3" t="s">
        <v>503</v>
      </c>
    </row>
    <row r="124" spans="2:6">
      <c r="B124" s="141">
        <v>429</v>
      </c>
      <c r="D124" s="294">
        <v>38953.348948547842</v>
      </c>
      <c r="F124" s="3" t="s">
        <v>503</v>
      </c>
    </row>
    <row r="125" spans="2:6">
      <c r="B125" s="141">
        <v>430</v>
      </c>
      <c r="D125" s="294">
        <v>49700.604054063915</v>
      </c>
      <c r="F125" s="3" t="s">
        <v>503</v>
      </c>
    </row>
    <row r="126" spans="2:6">
      <c r="B126" s="141">
        <v>431</v>
      </c>
      <c r="D126" s="294">
        <v>9176.6384417978097</v>
      </c>
      <c r="F126" s="3" t="s">
        <v>503</v>
      </c>
    </row>
    <row r="127" spans="2:6">
      <c r="B127" s="141">
        <v>432</v>
      </c>
      <c r="D127" s="294">
        <v>350173.006424536</v>
      </c>
      <c r="F127" s="3" t="s">
        <v>503</v>
      </c>
    </row>
    <row r="128" spans="2:6">
      <c r="B128" s="141">
        <v>433</v>
      </c>
      <c r="D128" s="294">
        <v>16791.944833574824</v>
      </c>
      <c r="F128" s="3" t="s">
        <v>503</v>
      </c>
    </row>
    <row r="129" spans="2:6">
      <c r="B129" s="141">
        <v>434</v>
      </c>
      <c r="D129" s="294">
        <v>368844.5346481328</v>
      </c>
      <c r="F129" s="3" t="s">
        <v>503</v>
      </c>
    </row>
    <row r="130" spans="2:6">
      <c r="B130" s="141">
        <v>435</v>
      </c>
      <c r="D130" s="294">
        <v>0</v>
      </c>
      <c r="F130" s="3" t="s">
        <v>503</v>
      </c>
    </row>
    <row r="131" spans="2:6">
      <c r="B131" s="141">
        <v>436</v>
      </c>
      <c r="D131" s="294">
        <v>0</v>
      </c>
      <c r="F131" s="3" t="s">
        <v>503</v>
      </c>
    </row>
    <row r="132" spans="2:6">
      <c r="B132" s="141">
        <v>437</v>
      </c>
      <c r="D132" s="294">
        <v>0</v>
      </c>
      <c r="F132" s="3" t="s">
        <v>503</v>
      </c>
    </row>
    <row r="133" spans="2:6">
      <c r="B133" s="141">
        <v>438</v>
      </c>
      <c r="D133" s="294">
        <v>0</v>
      </c>
      <c r="F133" s="3" t="s">
        <v>503</v>
      </c>
    </row>
    <row r="134" spans="2:6">
      <c r="B134" s="141">
        <v>439</v>
      </c>
      <c r="D134" s="294">
        <v>0</v>
      </c>
      <c r="F134" s="3" t="s">
        <v>503</v>
      </c>
    </row>
    <row r="135" spans="2:6">
      <c r="B135" s="141">
        <v>440</v>
      </c>
      <c r="D135" s="294">
        <v>0</v>
      </c>
      <c r="F135" s="3" t="s">
        <v>503</v>
      </c>
    </row>
    <row r="136" spans="2:6">
      <c r="B136" s="141">
        <v>441</v>
      </c>
      <c r="D136" s="294">
        <v>0</v>
      </c>
      <c r="F136" s="3" t="s">
        <v>503</v>
      </c>
    </row>
    <row r="137" spans="2:6">
      <c r="B137" s="141">
        <v>442</v>
      </c>
      <c r="D137" s="294">
        <v>0</v>
      </c>
      <c r="F137" s="3" t="s">
        <v>503</v>
      </c>
    </row>
    <row r="138" spans="2:6">
      <c r="B138" s="141">
        <v>443</v>
      </c>
      <c r="D138" s="294">
        <v>0</v>
      </c>
      <c r="F138" s="3" t="s">
        <v>503</v>
      </c>
    </row>
    <row r="139" spans="2:6">
      <c r="B139" s="141">
        <v>444</v>
      </c>
      <c r="D139" s="294">
        <v>0</v>
      </c>
      <c r="F139" s="3" t="s">
        <v>503</v>
      </c>
    </row>
    <row r="140" spans="2:6">
      <c r="B140" s="141">
        <v>445</v>
      </c>
      <c r="D140" s="294">
        <v>0</v>
      </c>
      <c r="F140" s="3" t="s">
        <v>503</v>
      </c>
    </row>
    <row r="141" spans="2:6">
      <c r="B141" s="141">
        <v>446</v>
      </c>
      <c r="D141" s="294">
        <v>0</v>
      </c>
      <c r="F141" s="3" t="s">
        <v>503</v>
      </c>
    </row>
    <row r="142" spans="2:6">
      <c r="B142" s="141">
        <v>447</v>
      </c>
      <c r="D142" s="294">
        <v>0</v>
      </c>
      <c r="F142" s="3" t="s">
        <v>503</v>
      </c>
    </row>
    <row r="143" spans="2:6">
      <c r="B143" s="141">
        <v>448</v>
      </c>
      <c r="D143" s="294">
        <v>0</v>
      </c>
      <c r="F143" s="3" t="s">
        <v>503</v>
      </c>
    </row>
    <row r="144" spans="2:6">
      <c r="B144" s="141">
        <v>449</v>
      </c>
      <c r="D144" s="294">
        <v>0</v>
      </c>
      <c r="F144" s="3" t="s">
        <v>503</v>
      </c>
    </row>
    <row r="145" spans="2:6">
      <c r="B145" s="141">
        <v>450</v>
      </c>
      <c r="D145" s="294">
        <v>0</v>
      </c>
      <c r="F145" s="3" t="s">
        <v>503</v>
      </c>
    </row>
    <row r="146" spans="2:6">
      <c r="B146" s="141">
        <v>451</v>
      </c>
      <c r="D146" s="294">
        <v>192.7950154920913</v>
      </c>
      <c r="F146" s="3" t="s">
        <v>503</v>
      </c>
    </row>
    <row r="147" spans="2:6">
      <c r="B147" s="141">
        <v>452</v>
      </c>
      <c r="D147" s="294">
        <v>17486.319304522516</v>
      </c>
      <c r="F147" s="3" t="s">
        <v>503</v>
      </c>
    </row>
    <row r="148" spans="2:6">
      <c r="B148" s="141">
        <v>453</v>
      </c>
      <c r="D148" s="294">
        <v>1732.4051614647706</v>
      </c>
      <c r="F148" s="3" t="s">
        <v>503</v>
      </c>
    </row>
    <row r="149" spans="2:6">
      <c r="B149" s="141">
        <v>454</v>
      </c>
      <c r="D149" s="294">
        <v>2852.1763921840106</v>
      </c>
      <c r="F149" s="3" t="s">
        <v>503</v>
      </c>
    </row>
    <row r="150" spans="2:6">
      <c r="B150" s="141">
        <v>455</v>
      </c>
      <c r="D150" s="294">
        <v>9316.2155574158933</v>
      </c>
      <c r="F150" s="3" t="s">
        <v>503</v>
      </c>
    </row>
    <row r="151" spans="2:6">
      <c r="B151" s="141">
        <v>456</v>
      </c>
      <c r="D151" s="294">
        <v>14209.467414292769</v>
      </c>
      <c r="F151" s="3" t="s">
        <v>503</v>
      </c>
    </row>
    <row r="152" spans="2:6">
      <c r="B152" s="141">
        <v>457</v>
      </c>
      <c r="D152" s="294">
        <v>37532.285815813477</v>
      </c>
      <c r="F152" s="3" t="s">
        <v>503</v>
      </c>
    </row>
    <row r="153" spans="2:6">
      <c r="B153" s="141">
        <v>458</v>
      </c>
      <c r="D153" s="294">
        <v>18395.575662272393</v>
      </c>
      <c r="F153" s="3" t="s">
        <v>503</v>
      </c>
    </row>
    <row r="154" spans="2:6">
      <c r="B154" s="141">
        <v>459</v>
      </c>
      <c r="D154" s="294">
        <v>45342.950536082608</v>
      </c>
      <c r="F154" s="3" t="s">
        <v>503</v>
      </c>
    </row>
    <row r="155" spans="2:6">
      <c r="B155" s="141">
        <v>460</v>
      </c>
      <c r="D155" s="294">
        <v>0</v>
      </c>
      <c r="F155" s="3" t="s">
        <v>503</v>
      </c>
    </row>
    <row r="156" spans="2:6">
      <c r="B156" s="141">
        <v>461</v>
      </c>
      <c r="D156" s="294">
        <v>0</v>
      </c>
      <c r="F156" s="3" t="s">
        <v>503</v>
      </c>
    </row>
    <row r="157" spans="2:6">
      <c r="B157" s="141">
        <v>462</v>
      </c>
      <c r="D157" s="294">
        <v>0</v>
      </c>
      <c r="F157" s="3" t="s">
        <v>503</v>
      </c>
    </row>
    <row r="158" spans="2:6">
      <c r="B158" s="141">
        <v>463</v>
      </c>
      <c r="D158" s="294">
        <v>0</v>
      </c>
      <c r="F158" s="3" t="s">
        <v>503</v>
      </c>
    </row>
    <row r="159" spans="2:6">
      <c r="B159" s="141">
        <v>464</v>
      </c>
      <c r="D159" s="294">
        <v>0</v>
      </c>
      <c r="F159" s="3" t="s">
        <v>503</v>
      </c>
    </row>
    <row r="160" spans="2:6">
      <c r="B160" s="141">
        <v>465</v>
      </c>
      <c r="D160" s="294">
        <v>0</v>
      </c>
      <c r="F160" s="3" t="s">
        <v>503</v>
      </c>
    </row>
    <row r="161" spans="2:6">
      <c r="B161" s="141">
        <v>466</v>
      </c>
      <c r="D161" s="294">
        <v>0</v>
      </c>
      <c r="F161" s="3" t="s">
        <v>503</v>
      </c>
    </row>
    <row r="162" spans="2:6">
      <c r="B162" s="141">
        <v>467</v>
      </c>
      <c r="D162" s="294">
        <v>0</v>
      </c>
      <c r="F162" s="3" t="s">
        <v>503</v>
      </c>
    </row>
    <row r="163" spans="2:6">
      <c r="B163" s="141">
        <v>468</v>
      </c>
      <c r="D163" s="294">
        <v>0</v>
      </c>
      <c r="F163" s="3" t="s">
        <v>503</v>
      </c>
    </row>
    <row r="164" spans="2:6">
      <c r="B164" s="141">
        <v>469</v>
      </c>
      <c r="D164" s="294">
        <v>0</v>
      </c>
      <c r="F164" s="3" t="s">
        <v>503</v>
      </c>
    </row>
    <row r="165" spans="2:6">
      <c r="B165" s="141">
        <v>470</v>
      </c>
      <c r="D165" s="294">
        <v>0</v>
      </c>
      <c r="F165" s="3" t="s">
        <v>503</v>
      </c>
    </row>
    <row r="166" spans="2:6">
      <c r="B166" s="141">
        <v>471</v>
      </c>
      <c r="D166" s="294">
        <v>0</v>
      </c>
      <c r="F166" s="3" t="s">
        <v>503</v>
      </c>
    </row>
    <row r="167" spans="2:6">
      <c r="B167" s="141">
        <v>472</v>
      </c>
      <c r="D167" s="294">
        <v>20595.049218865919</v>
      </c>
      <c r="F167" s="3" t="s">
        <v>503</v>
      </c>
    </row>
    <row r="168" spans="2:6">
      <c r="B168" s="141">
        <v>473</v>
      </c>
      <c r="D168" s="294">
        <v>6033.3008476088025</v>
      </c>
      <c r="F168" s="3" t="s">
        <v>503</v>
      </c>
    </row>
    <row r="169" spans="2:6">
      <c r="B169" s="141">
        <v>474</v>
      </c>
      <c r="D169" s="294">
        <v>114286.36357614314</v>
      </c>
      <c r="F169" s="3" t="s">
        <v>503</v>
      </c>
    </row>
    <row r="170" spans="2:6">
      <c r="B170" s="141">
        <v>475</v>
      </c>
      <c r="D170" s="294">
        <v>1010914.3326142207</v>
      </c>
      <c r="F170" s="3" t="s">
        <v>503</v>
      </c>
    </row>
    <row r="171" spans="2:6">
      <c r="B171" s="141">
        <v>476</v>
      </c>
      <c r="D171" s="294">
        <v>110113.496706638</v>
      </c>
      <c r="F171" s="3" t="s">
        <v>503</v>
      </c>
    </row>
    <row r="172" spans="2:6">
      <c r="B172" s="141">
        <v>477</v>
      </c>
      <c r="D172" s="294">
        <v>26631.619932073358</v>
      </c>
      <c r="F172" s="3" t="s">
        <v>503</v>
      </c>
    </row>
    <row r="173" spans="2:6">
      <c r="B173" s="141">
        <v>478</v>
      </c>
      <c r="D173" s="294">
        <v>1462385.1890917395</v>
      </c>
      <c r="F173" s="3" t="s">
        <v>503</v>
      </c>
    </row>
    <row r="174" spans="2:6">
      <c r="B174" s="141">
        <v>479</v>
      </c>
      <c r="D174" s="294">
        <v>26797.310321813446</v>
      </c>
      <c r="F174" s="3" t="s">
        <v>503</v>
      </c>
    </row>
    <row r="175" spans="2:6">
      <c r="B175" s="141">
        <v>480</v>
      </c>
      <c r="D175" s="294">
        <v>143440.45474083052</v>
      </c>
      <c r="F175" s="3" t="s">
        <v>503</v>
      </c>
    </row>
    <row r="176" spans="2:6">
      <c r="B176" s="141">
        <v>481</v>
      </c>
      <c r="D176" s="294">
        <v>37686.268046364217</v>
      </c>
      <c r="F176" s="3" t="s">
        <v>503</v>
      </c>
    </row>
    <row r="177" spans="2:6">
      <c r="B177" s="141">
        <v>482</v>
      </c>
      <c r="D177" s="294">
        <v>5687877.4465793725</v>
      </c>
      <c r="F177" s="3" t="s">
        <v>503</v>
      </c>
    </row>
    <row r="178" spans="2:6">
      <c r="B178" s="141">
        <v>483</v>
      </c>
      <c r="D178" s="294">
        <v>611283.63783680694</v>
      </c>
      <c r="F178" s="3" t="s">
        <v>503</v>
      </c>
    </row>
    <row r="179" spans="2:6">
      <c r="B179" s="141">
        <v>484</v>
      </c>
      <c r="D179" s="294">
        <v>348308.75445981714</v>
      </c>
      <c r="F179" s="3" t="s">
        <v>503</v>
      </c>
    </row>
    <row r="180" spans="2:6">
      <c r="B180" s="141">
        <v>485</v>
      </c>
      <c r="D180" s="294">
        <v>119705.82972723366</v>
      </c>
      <c r="F180" s="3" t="s">
        <v>503</v>
      </c>
    </row>
    <row r="181" spans="2:6">
      <c r="B181" s="141">
        <v>486</v>
      </c>
      <c r="D181" s="294">
        <v>0</v>
      </c>
      <c r="F181" s="3" t="s">
        <v>503</v>
      </c>
    </row>
    <row r="182" spans="2:6">
      <c r="B182" s="141">
        <v>487</v>
      </c>
      <c r="D182" s="294">
        <v>0</v>
      </c>
      <c r="F182" s="3" t="s">
        <v>503</v>
      </c>
    </row>
    <row r="183" spans="2:6">
      <c r="B183" s="141">
        <v>488</v>
      </c>
      <c r="D183" s="294">
        <v>0</v>
      </c>
      <c r="F183" s="3" t="s">
        <v>503</v>
      </c>
    </row>
    <row r="184" spans="2:6">
      <c r="B184" s="141">
        <v>489</v>
      </c>
      <c r="D184" s="294">
        <v>0</v>
      </c>
      <c r="F184" s="3" t="s">
        <v>503</v>
      </c>
    </row>
    <row r="185" spans="2:6">
      <c r="B185" s="141">
        <v>490</v>
      </c>
      <c r="D185" s="294">
        <v>165539.3694759488</v>
      </c>
      <c r="F185" s="3" t="s">
        <v>503</v>
      </c>
    </row>
    <row r="186" spans="2:6">
      <c r="B186" s="141">
        <v>491</v>
      </c>
      <c r="D186" s="294">
        <v>487022.63956122473</v>
      </c>
      <c r="F186" s="3" t="s">
        <v>503</v>
      </c>
    </row>
    <row r="187" spans="2:6">
      <c r="B187" s="141">
        <v>492</v>
      </c>
      <c r="D187" s="294">
        <v>2791.7858330904492</v>
      </c>
      <c r="F187" s="3" t="s">
        <v>503</v>
      </c>
    </row>
    <row r="188" spans="2:6">
      <c r="B188" s="141">
        <v>493</v>
      </c>
      <c r="D188" s="294">
        <v>9448.553239950219</v>
      </c>
      <c r="F188" s="3" t="s">
        <v>503</v>
      </c>
    </row>
    <row r="189" spans="2:6">
      <c r="B189" s="141">
        <v>494</v>
      </c>
      <c r="D189" s="294">
        <v>124976.62709455805</v>
      </c>
      <c r="F189" s="3" t="s">
        <v>503</v>
      </c>
    </row>
    <row r="190" spans="2:6">
      <c r="B190" s="141">
        <v>495</v>
      </c>
      <c r="D190" s="294">
        <v>18067.471447845164</v>
      </c>
      <c r="F190" s="3" t="s">
        <v>503</v>
      </c>
    </row>
    <row r="191" spans="2:6">
      <c r="B191" s="141">
        <v>496</v>
      </c>
      <c r="D191" s="294">
        <v>24745.075221292602</v>
      </c>
      <c r="F191" s="3" t="s">
        <v>503</v>
      </c>
    </row>
    <row r="192" spans="2:6">
      <c r="B192" s="141">
        <v>497</v>
      </c>
      <c r="D192" s="294">
        <v>96007.434247363446</v>
      </c>
      <c r="F192" s="3" t="s">
        <v>503</v>
      </c>
    </row>
    <row r="193" spans="2:6">
      <c r="B193" s="141">
        <v>498</v>
      </c>
      <c r="D193" s="294">
        <v>256937.21086962681</v>
      </c>
      <c r="F193" s="3" t="s">
        <v>503</v>
      </c>
    </row>
    <row r="194" spans="2:6">
      <c r="B194" s="141">
        <v>499</v>
      </c>
      <c r="D194" s="294">
        <v>702049.39906389359</v>
      </c>
      <c r="F194" s="3" t="s">
        <v>503</v>
      </c>
    </row>
    <row r="195" spans="2:6">
      <c r="B195" s="141">
        <v>500</v>
      </c>
      <c r="D195" s="294">
        <v>1042957.4504958389</v>
      </c>
      <c r="F195" s="3" t="s">
        <v>503</v>
      </c>
    </row>
    <row r="196" spans="2:6">
      <c r="B196" s="141">
        <v>501</v>
      </c>
      <c r="D196" s="294">
        <v>70079.94837897965</v>
      </c>
      <c r="F196" s="3" t="s">
        <v>503</v>
      </c>
    </row>
    <row r="197" spans="2:6">
      <c r="B197" s="141">
        <v>502</v>
      </c>
      <c r="D197" s="294">
        <v>704771.29332217178</v>
      </c>
      <c r="F197" s="3" t="s">
        <v>503</v>
      </c>
    </row>
    <row r="198" spans="2:6">
      <c r="B198" s="141">
        <v>503</v>
      </c>
      <c r="D198" s="294">
        <v>1024239.4945113533</v>
      </c>
      <c r="F198" s="3" t="s">
        <v>503</v>
      </c>
    </row>
    <row r="199" spans="2:6">
      <c r="B199" s="141">
        <v>504</v>
      </c>
      <c r="D199" s="294">
        <v>376397.15055039537</v>
      </c>
      <c r="F199" s="3" t="s">
        <v>503</v>
      </c>
    </row>
    <row r="200" spans="2:6">
      <c r="B200" s="141">
        <v>505</v>
      </c>
      <c r="D200" s="294">
        <v>514916.23301467963</v>
      </c>
      <c r="F200" s="3" t="s">
        <v>503</v>
      </c>
    </row>
    <row r="201" spans="2:6">
      <c r="B201" s="141">
        <v>506</v>
      </c>
      <c r="D201" s="294">
        <v>1302.0888101333342</v>
      </c>
      <c r="F201" s="3" t="s">
        <v>503</v>
      </c>
    </row>
    <row r="202" spans="2:6">
      <c r="B202" s="141">
        <v>507</v>
      </c>
      <c r="D202" s="294">
        <v>32369.723836884237</v>
      </c>
      <c r="F202" s="3" t="s">
        <v>503</v>
      </c>
    </row>
    <row r="203" spans="2:6">
      <c r="B203" s="141">
        <v>508</v>
      </c>
      <c r="D203" s="294">
        <v>0</v>
      </c>
      <c r="F203" s="3" t="s">
        <v>503</v>
      </c>
    </row>
    <row r="204" spans="2:6">
      <c r="B204" s="141">
        <v>509</v>
      </c>
      <c r="D204" s="294">
        <v>0</v>
      </c>
      <c r="F204" s="3" t="s">
        <v>503</v>
      </c>
    </row>
    <row r="205" spans="2:6">
      <c r="B205" s="141">
        <v>510</v>
      </c>
      <c r="D205" s="294">
        <v>391.2500930325707</v>
      </c>
      <c r="F205" s="3" t="s">
        <v>503</v>
      </c>
    </row>
    <row r="206" spans="2:6">
      <c r="B206" s="141">
        <v>511</v>
      </c>
      <c r="D206" s="294">
        <v>5807.0127406390793</v>
      </c>
      <c r="F206" s="3" t="s">
        <v>503</v>
      </c>
    </row>
    <row r="207" spans="2:6">
      <c r="B207" s="141">
        <v>512</v>
      </c>
      <c r="D207" s="294">
        <v>3846.4772684956265</v>
      </c>
      <c r="F207" s="3" t="s">
        <v>503</v>
      </c>
    </row>
    <row r="208" spans="2:6">
      <c r="B208" s="141">
        <v>513</v>
      </c>
      <c r="D208" s="294">
        <v>68227.138320870654</v>
      </c>
      <c r="F208" s="3" t="s">
        <v>503</v>
      </c>
    </row>
    <row r="209" spans="2:6">
      <c r="B209" s="141">
        <v>514</v>
      </c>
      <c r="D209" s="294">
        <v>18541.10836769961</v>
      </c>
      <c r="F209" s="3" t="s">
        <v>503</v>
      </c>
    </row>
    <row r="210" spans="2:6">
      <c r="B210" s="141">
        <v>515</v>
      </c>
      <c r="D210" s="294">
        <v>9654.3986266756274</v>
      </c>
      <c r="F210" s="3" t="s">
        <v>503</v>
      </c>
    </row>
    <row r="211" spans="2:6">
      <c r="B211" s="141">
        <v>516</v>
      </c>
      <c r="D211" s="294">
        <v>11416.655239751346</v>
      </c>
      <c r="F211" s="3" t="s">
        <v>503</v>
      </c>
    </row>
    <row r="212" spans="2:6">
      <c r="B212" s="141">
        <v>517</v>
      </c>
      <c r="D212" s="294">
        <v>17633.404807314058</v>
      </c>
      <c r="F212" s="3" t="s">
        <v>503</v>
      </c>
    </row>
    <row r="213" spans="2:6">
      <c r="B213" s="141">
        <v>518</v>
      </c>
      <c r="D213" s="294">
        <v>15300.61437397597</v>
      </c>
      <c r="F213" s="3" t="s">
        <v>503</v>
      </c>
    </row>
    <row r="214" spans="2:6">
      <c r="B214" s="141">
        <v>519</v>
      </c>
      <c r="D214" s="294">
        <v>16001.249643380297</v>
      </c>
      <c r="F214" s="3" t="s">
        <v>503</v>
      </c>
    </row>
    <row r="215" spans="2:6">
      <c r="B215" s="141">
        <v>520</v>
      </c>
      <c r="D215" s="294">
        <v>20208.996722083291</v>
      </c>
      <c r="F215" s="3" t="s">
        <v>503</v>
      </c>
    </row>
    <row r="216" spans="2:6">
      <c r="B216" s="141">
        <v>521</v>
      </c>
      <c r="D216" s="294">
        <v>58527.314744578129</v>
      </c>
      <c r="F216" s="3" t="s">
        <v>503</v>
      </c>
    </row>
    <row r="217" spans="2:6">
      <c r="B217" s="141">
        <v>522</v>
      </c>
      <c r="D217" s="294">
        <v>247531.06540005477</v>
      </c>
      <c r="F217" s="3" t="s">
        <v>503</v>
      </c>
    </row>
    <row r="218" spans="2:6">
      <c r="B218" s="141">
        <v>523</v>
      </c>
      <c r="D218" s="294">
        <v>31800.173255745365</v>
      </c>
      <c r="F218" s="3" t="s">
        <v>503</v>
      </c>
    </row>
    <row r="219" spans="2:6">
      <c r="B219" s="141">
        <v>524</v>
      </c>
      <c r="D219" s="294">
        <v>0</v>
      </c>
      <c r="F219" s="3" t="s">
        <v>503</v>
      </c>
    </row>
    <row r="220" spans="2:6">
      <c r="B220" s="141">
        <v>525</v>
      </c>
      <c r="D220" s="294">
        <v>0</v>
      </c>
      <c r="F220" s="3" t="s">
        <v>503</v>
      </c>
    </row>
    <row r="221" spans="2:6">
      <c r="B221" s="141">
        <v>526</v>
      </c>
      <c r="D221" s="294">
        <v>0</v>
      </c>
      <c r="F221" s="3" t="s">
        <v>503</v>
      </c>
    </row>
    <row r="222" spans="2:6">
      <c r="B222" s="141">
        <v>527</v>
      </c>
      <c r="D222" s="294">
        <v>0</v>
      </c>
      <c r="F222" s="3" t="s">
        <v>503</v>
      </c>
    </row>
    <row r="223" spans="2:6">
      <c r="B223" s="141">
        <v>528</v>
      </c>
      <c r="D223" s="294">
        <v>0</v>
      </c>
      <c r="F223" s="3" t="s">
        <v>503</v>
      </c>
    </row>
    <row r="224" spans="2:6">
      <c r="B224" s="141">
        <v>529</v>
      </c>
      <c r="D224" s="294">
        <v>0</v>
      </c>
      <c r="F224" s="3" t="s">
        <v>503</v>
      </c>
    </row>
    <row r="225" spans="2:6">
      <c r="B225" s="141">
        <v>530</v>
      </c>
      <c r="D225" s="294">
        <v>0</v>
      </c>
      <c r="F225" s="3" t="s">
        <v>503</v>
      </c>
    </row>
    <row r="226" spans="2:6">
      <c r="B226" s="141">
        <v>531</v>
      </c>
      <c r="D226" s="294">
        <v>2913299.7564751511</v>
      </c>
      <c r="F226" s="3" t="s">
        <v>503</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63C0D5DF1569489DA8D6B8968D8636" ma:contentTypeVersion="13" ma:contentTypeDescription="Een nieuw document maken." ma:contentTypeScope="" ma:versionID="c1a598989abd97b76b2741a01e29de51">
  <xsd:schema xmlns:xsd="http://www.w3.org/2001/XMLSchema" xmlns:xs="http://www.w3.org/2001/XMLSchema" xmlns:p="http://schemas.microsoft.com/office/2006/metadata/properties" xmlns:ns2="0009d3ae-0f9e-47be-ae31-9d6cd8b104c4" xmlns:ns3="3e5b727e-69cb-4044-af9b-0f4416983337" targetNamespace="http://schemas.microsoft.com/office/2006/metadata/properties" ma:root="true" ma:fieldsID="eae650d0b75db028cf42fdca61613b6a" ns2:_="" ns3:_="">
    <xsd:import namespace="0009d3ae-0f9e-47be-ae31-9d6cd8b104c4"/>
    <xsd:import namespace="3e5b727e-69cb-4044-af9b-0f441698333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18" nillable="true" ma:displayName="Taxonomy Catch All Column" ma:hidden="true" ma:list="{f0982e7f-14e0-4d29-b563-36232763a49b}" ma:internalName="TaxCatchAll" ma:showField="CatchAllData" ma:web="0009d3ae-0f9e-47be-ae31-9d6cd8b104c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e5b727e-69cb-4044-af9b-0f44169833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36cd6fa-5b0c-499c-b75d-d6aeade83881"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VYM6E4WDAQJW-2075224733-242</_dlc_DocId>
    <_dlc_DocIdUrl xmlns="0009d3ae-0f9e-47be-ae31-9d6cd8b104c4">
      <Url>https://gasunie.sharepoint.com/sites/20190841/_layouts/15/DocIdRedir.aspx?ID=VYM6E4WDAQJW-2075224733-242</Url>
      <Description>VYM6E4WDAQJW-2075224733-242</Description>
    </_dlc_DocIdUrl>
    <lcf76f155ced4ddcb4097134ff3c332f xmlns="3e5b727e-69cb-4044-af9b-0f4416983337">
      <Terms xmlns="http://schemas.microsoft.com/office/infopath/2007/PartnerControls"/>
    </lcf76f155ced4ddcb4097134ff3c332f>
    <TaxCatchAll xmlns="0009d3ae-0f9e-47be-ae31-9d6cd8b104c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0 2 6 1 0 2 1 6 - 1 3 f f - 4 e 2 2 - 8 9 1 c - 6 6 0 1 c b 2 3 8 5 f 6 "   x m l n s = " h t t p : / / s c h e m a s . m i c r o s o f t . c o m / D a t a M a s h u p " > A A A A A G k I A A B Q S w M E F A A C A A g A W l S u W O a r d y m j A A A A 9 g A A A B I A H A B D b 2 5 m a W c v U G F j a 2 F n Z S 5 4 b W w g o h g A K K A U A A A A A A A A A A A A A A A A A A A A A A A A A A A A h Y + x D o I w G I R f h X S n L X U x 5 K c O r m B M T I x r U y o 0 w o + h x f J u D j 6 S r y B G U T f H u / s u u b t f b 7 A a 2 y a 6 m N 7 Z D j O S U E 4 i g 7 o r L V Y Z G f w x X p K V h K 3 S J 1 W Z a I L R p a O z G a m 9 P 6 e M h R B o W N C u r 5 j g P G G H I t / p 2 r Q q t u i 8 Q m 3 I p 1 X + b x E J + 9 c Y K W g i O B V C U A 5 s N q G w + A X E t P e Z / p i w H h o / 9 E Z i E 2 9 y Y L M E 9 v 4 g H 1 B L A w Q U A A I A C A B a V K 5 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W l S u W I q y / o d t B Q A A V B s A A B M A H A B G b 3 J t d W x h c y 9 T Z W N 0 a W 9 u M S 5 t I K I Y A C i g F A A A A A A A A A A A A A A A A A A A A A A A A A A A A O 1 Y X W / i R h R 9 j 7 T / Y e S 8 g A Q k h m x f t k S C T R t l m 4 R u o N k H h K I B X 5 w J 9 g w 7 H p M 2 i P / e O z Z g G 8 Y G N t 3 t r t o I B T B 3 7 v c 9 Z 2 Y C G C k m O O n G 7 / a 7 o 6 P g k U p w y L H 1 6 Y + r k 4 4 / F O G z R Z r E A / X m i O B f W 6 J 8 k 3 Q / e 7 U L q u i Q B h C U r N b 7 m + p N 9 + N 1 9 b T a a F T s s 0 b j 1 C p X 4 h V 3 F w / X t + 2 H S 1 y l F 8 / 7 t 9 S H p r V 6 b A 0 W f a 1 p s B R 3 h u L h i s 8 g U C A Z d 0 F b W 8 n O + 9 3 R I / i 0 a a G U V b l S 4 D e t j P C m t m P r A 6 X y v F k / r Z / q O H p 0 6 E G t C x 5 G f C e e g 9 K W u Q o B O n o k f b 2 O D M F l n N B x M H q U 7 G k G f E D O m 0 Q r K 6 8 N 3 L E n d N K F M f N Q h 2 O 0 k n F j a a H U P 7 b u Q c 4 o R x s u O S E h U 0 M J z M F v 1 g C 1 6 B J Y R E h C + n E h F K W T 6 I c P 1 C r n O m D n e L D p 5 9 q N F h Z / R k d U g S s k g w H 5 + Z x Y Z w 3 S V W w S K D F O b L X Q V 5 j S Q N l 7 m b D X N n S s 5 o R G k e q 0 E M o d E q c k Y B A 9 t s s 6 + t 1 r 7 V e s r R v W 1 v d c 2 z D a T V X m N + E J 3 8 e U z E A + s y c n 0 x 5 3 4 I s Z v B d e 6 P O g l K S 2 M r c + g V L g s a c J E F 1 z T K P V + 2 s K h O p K R X 2 q H 9 1 Q b T 7 7 r D P 1 Q U 6 W X 9 r Y 1 S g S T K m u t v W r 8 N A D / W n p r 1 a L X h H G P X j B s P B 7 K 1 Q Q S m u x V f G 3 a 7 8 v p Q i n J X N w F T K 3 N t p J a 8 1 J Y + y J e Q B 0 L O u m T w f D K f W t B R q a p y c / G I I j q b t q u G s W q F o 3 9 E v 9 b Z l B u U K U z i Y P P U 9 H h B / 8 I c j F d t C N p M 2 F V E m N 3 l b Q e o H r H Y n Z q F 1 A M A K u H x l U 1 3 N U N 7 T q 3 H z F i l v b e o 8 x G Q 7 8 S Z Q A F 2 b 4 L 9 V o L c e J f o x b L T F V x 6 x G P 6 B i O 3 p d c f X T W U 2 3 W q L 3 X n h Y R w c I B k s m q 5 q 7 g C V / Y W 6 m n 7 W Y X D W 0 w a P K f G 3 P X L u C R j F 0 1 Z f 2 T v n N E e P 7 h p d Q 4 i Y p / U + J O Z S 4 i y V M V L h B c L c A B t a p m / U l 9 v a n 1 v v 7 F b X u k r x D E t 5 2 p b H D l f p / n f p W W w F X C p h C h v h i A k k h 3 q G k k R n n h M 6 + L i k k I Q U I 2 N m I I g g 3 x f z V w d z g 1 Q + O 6 n n F / U L U R h J m i V P f N 2 x n f T U h 9 z 5 n j T z 4 R i T S h c i C T p z d N G q k Z O w 9 Z O q b M v V t m c a 2 T C G 4 Z 6 d p f V 7 B W e o I G U w x 9 Z N o d 0 x S 2 Q q e 0 F 7 R U J l Y K b P z q m s D c U N O P B o E U D y i O 9 A g v Z + P M a B Y 3 Q F H B d P M z / M 3 + 7 u 2 + A e h j X n T / + 8 B z k a 9 9 m i Q V S 1 M h 6 w N s C i J j D b I q I v h r R w f u n D L g I 8 U R u Q w I A H C A n + k 0 c j 7 o I i T U V s I c k X 9 Y O c 3 x K 7 s G s 6 U i 7 1 r Y x c U x + j m K w v 0 z a q w 6 o R / g n L s F O d 0 / B e 0 F 1 F N H t O Y i Q Z t r 8 m k X F m T y C Y v r P n H w C G R 7 Y Q 4 D u S N T U v f H 3 V E m 8 z X Y G Z C J w d D Z n S u x P R K c E M v b k 7 O Q F U V x b 3 L 2 I X 4 + R I S 2 9 S j f B R 3 q U h a M 1 K i 7 2 t c P Y G H 3 e C Z w X d 5 4 u m G w 9 Q V H h 5 c e g L n 3 C N K U h 5 M k S i q F T J M + Y R f K f 7 i 4 Y E n K n W V o O L J M / W Y A q a C k c A + 0 E m P w K I w 5 w W 4 t H 0 h O F / 5 l U r X 8 m I r M o w Z W p R x 7 I r M p a + p O 1 O Q V F 9 e Y 6 J w L K M U f 9 N d 3 r G e v o c c N w q 3 e 6 Y 1 W 8 o P 6 v E 8 T 3 T W e y d t f L V 6 J 6 2 e 7 s H f r y M O / N j S b 7 c Q Y p s s K / 8 I 4 / E S I H e V i q S 6 G T / 9 4 j G f c T Q O A V E h A j 4 n l 7 0 u a d f u a 7 q 5 L i / j z y n N G v I l T I D H u H a A 9 F q 2 8 K J z 9 9 5 n v 9 v 7 o s k z Y J p h G q / 4 R I h p X A 8 M D 6 S L F O X X w t q s R q Z A J 9 j Q q D u 6 k 9 h z c b K K 5 C z r c O V T r l k f 5 3 2 5 2 t k 8 Y 5 S X H m d 2 5 5 G + L R j + s c O y D Y e O j b O A + d C R u 3 l P t g e J w n d / A 1 B L A Q I t A B Q A A g A I A F p U r l j m q 3 c p o w A A A P Y A A A A S A A A A A A A A A A A A A A A A A A A A A A B D b 2 5 m a W c v U G F j a 2 F n Z S 5 4 b W x Q S w E C L Q A U A A I A C A B a V K 5 Y U 3 I 4 L J s A A A D h A A A A E w A A A A A A A A A A A A A A A A D v A A A A W 0 N v b n R l b n R f V H l w Z X N d L n h t b F B L A Q I t A B Q A A g A I A F p U r l i K s v 6 H b Q U A A F Q b A A A T A A A A A A A A A A A A A A A A A N c B A A B G b 3 J t d W x h c y 9 T Z W N 0 a W 9 u M S 5 t U E s F B g A A A A A D A A M A w g A A A J E 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Z S A A A A A A A A R F I A A O + 7 v z w / e G 1 s I H Z l c n N p b 2 4 9 I j E u M C I g Z W 5 j b 2 R p b m c 9 I n V 0 Z i 0 4 I j 8 + P E x v Y 2 F s U G F j a 2 F n Z U 1 l d G F k Y X R h R m l s Z S B 4 b W x u c z p 4 c 2 k 9 I m h 0 d H A 6 L y 9 3 d 3 c u d z M u b 3 J n L z I w M D E v W E 1 M U 2 N o Z W 1 h L W l u c 3 R h b m N l I i B 4 b W x u c z p 4 c 2 Q 9 I m h 0 d H A 6 L y 9 3 d 3 c u d z M u b 3 J n L z I w M D E v W E 1 M U 2 N o Z W 1 h I j 4 8 S X R l b X M + P E l 0 Z W 0 + P E l 0 Z W 1 M b 2 N h d G l v b j 4 8 S X R l b V R 5 c G U + R m 9 y b X V s Y T w v S X R l b V R 5 c G U + P E l 0 Z W 1 Q Y X R o P l N l Y 3 R p b 2 4 x L 0 l u d m V z d G V y a W 5 n Z W 4 8 L 0 l 0 Z W 1 Q Y X R o P j w v S X R l b U x v Y 2 F 0 a W 9 u P j x T d G F i b G V F b n R y a W V z P j x F b n R y e S B U e X B l P S J G a W x s R X J y b 3 J D b 2 R l I i B W Y W x 1 Z T 0 i c 1 V u a 2 5 v d 2 4 i I C 8 + P E V u d H J 5 I F R 5 c G U 9 I k 5 h d m l n Y X R p b 2 5 T d G V w T m F t Z S I g V m F s d W U 9 I n N O Y X Z p Z 2 F 0 a W U i I C 8 + P E V u d H J 5 I F R 5 c G U 9 I k Z p b G x F c n J v c k N v d W 5 0 I i B W Y W x 1 Z T 0 i b D A 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Z p b G x M Y X N 0 V X B k Y X R l Z C I g V m F s d W U 9 I m Q y M D I 0 L T A 1 L T E 0 V D A 4 O j I z O j U w L j g y N D g 4 N D R a I i A v P j x F b n R y e S B U e X B l P S J O Y W 1 l V X B k Y X R l Z E F m d G V y R m l s b C I g V m F s d W U 9 I m w w I i A v P j x F b n R y e S B U e X B l P S J C d W Z m Z X J O Z X h 0 U m V m c m V z a C I g V m F s d W U 9 I m w x I i A v P j x F b n R y e S B U e X B l P S J G a W x s T 2 J q Z W N 0 V H l w Z S I g V m F s d W U 9 I n N U Y W J s Z S I g L z 4 8 R W 5 0 c n k g V H l w Z T 0 i U m V z d W x 0 V H l w Z S I g V m F s d W U 9 I n N U Y W J s Z S I g L z 4 8 R W 5 0 c n k g V H l w Z T 0 i R m l s b F R h c m d l d C I g V m F s d W U 9 I n N J b n Z l c 3 R l c m l u Z 2 V u X z I i I C 8 + P E V u d H J 5 I F R 5 c G U 9 I k x v Y W R l Z F R v Q W 5 h b H l z a X N T Z X J 2 a W N l c y I g V m F s d W U 9 I m w w I i A v P j x F b n R y e S B U e X B l P S J G a W x s Q 2 9 1 b n Q i I F Z h b H V l P S J s M C I g L z 4 8 R W 5 0 c n k g V H l w Z T 0 i R m l s b E N v b H V t b l R 5 c G V z I i B W Y W x 1 Z T 0 i c 0 F 3 V U Z C Z 1 l E I i A v P j x F b n R y e S B U e X B l P S J G a W x s Q 2 9 s d W 1 u T m F t Z X M i I F Z h b H V l P S J z W y Z x d W 9 0 O 0 l u Z G V 4 J n F 1 b 3 Q 7 L C Z x d W 9 0 O 0 l u d m V z d G V y a W 5 n c 2 J l Z H J h Z y Z x d W 9 0 O y w m c X V v d D t K Y W F y I G J l Z 2 l u I G F m c 2 N o c m l q d m V u J n F 1 b 3 Q 7 L C Z x d W 9 0 O 0 F j d G l 2 Y W N h d G V n b 3 J p Z S Z x d W 9 0 O y w m c X V v d D t C Z X N 0 Y W 5 k c 2 5 h Y W 0 m c X V v d D s s J n F 1 b 3 Q 7 V m V y c 2 l l J n F 1 b 3 Q 7 X S I g L z 4 8 R W 5 0 c n k g V H l w Z T 0 i Q W R k Z W R U b 0 R h d G F N b 2 R l b C I g V m F s d W U 9 I m w w I i A v P j x F b n R y e S B U e X B l P S J G a W x s U 3 R h d H V z I i B W Y W x 1 Z T 0 i c 1 d h a X R p b m d G b 3 J F e G N l b F J l Z n J l c 2 g i I C 8 + P E V u d H J 5 I F R 5 c G U 9 I l J l b G F 0 a W 9 u c 2 h p c E l u Z m 9 D b 2 5 0 Y W l u Z X I i I F Z h b H V l P S J z e y Z x d W 9 0 O 2 N v b H V t b k N v d W 5 0 J n F 1 b 3 Q 7 O j Y s J n F 1 b 3 Q 7 a 2 V 5 Q 2 9 s d W 1 u T m F t Z X M m c X V v d D s 6 W 1 0 s J n F 1 b 3 Q 7 c X V l c n l S Z W x h d G l v b n N o a X B z J n F 1 b 3 Q 7 O l t d L C Z x d W 9 0 O 2 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D b 2 x 1 b W 5 D b 3 V u d C Z x d W 9 0 O z o 2 L C Z x d W 9 0 O 0 t l e U N v b H V t b k 5 h b W V z J n F 1 b 3 Q 7 O l t d L C Z x d W 9 0 O 0 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S Z W x h d G l v b n N o a X B J b m Z v J n F 1 b 3 Q 7 O l t d f S I g L z 4 8 L 1 N 0 Y W J s Z U V u d H J p Z X M + P C 9 J d G V t P j x J d G V t P j x J d G V t T G 9 j Y X R p b 2 4 + P E l 0 Z W 1 U e X B l P k Z v c m 1 1 b G E 8 L 0 l 0 Z W 1 U e X B l P j x J d G V t U G F 0 a D 5 T Z W N 0 a W 9 u M S 9 E Z X N p b n Z l c 3 R l c m l u Z z w v S X R l b V B h d G g + P C 9 J d G V t T G 9 j Y X R p b 2 4 + P F N 0 Y W J s Z U V u d H J p Z X M + P E V u d H J 5 I F R 5 c G U 9 I k 5 h d m l n Y X R p b 2 5 T d G V w T m F t Z S I g V m F s d W U 9 I n N O Y X Z p Z 2 F 0 a W U i I C 8 + P E V u d H J 5 I F R 5 c G U 9 I k Z p b G x F b m F i b G V k I i B W Y W x 1 Z T 0 i b D E i I C 8 + P E V u d H J 5 I F R 5 c G U 9 I k Z p b G x D b 3 V u d C I g V m F s d W U 9 I m w 1 M z E i I C 8 + P E V u d H J 5 I F R 5 c G U 9 I k Z p b G x l Z E N v b X B s Z X R l U m V z d W x 0 V G 9 X b 3 J r c 2 h l Z X Q i I F Z h b H V l P S J s M S I g L z 4 8 R W 5 0 c n k g V H l w Z T 0 i Q W R k Z W R U b 0 R h d G F N b 2 R l b C I g V m F s d W U 9 I m w w I i A v P j x F b n R y e S B U e X B l P S J J c 1 B y a X Z h d G U i I F Z h b H V l P S J s M C I g L z 4 8 R W 5 0 c n k g V H l w Z T 0 i R m l s b E V y c m 9 y Q 2 9 1 b n Q i I F Z h b H V l P S J s M C I g L z 4 8 R W 5 0 c n k g V H l w Z T 0 i T m F t Z V V w Z G F 0 Z W R B Z n R l c k Z p b G w i I F Z h b H V l P S J s M C I g L z 4 8 R W 5 0 c n k g V H l w Z T 0 i Q n V m Z m V y T m V 4 d F J l Z n J l c 2 g i I F Z h b H V l P S J s M S I g L z 4 8 R W 5 0 c n k g V H l w Z T 0 i U m V z d W x 0 V H l w Z S I g V m F s d W U 9 I n N U Y W J s Z S 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F c n J v c k N v Z G U i I F Z h b H V l P S J z V W 5 r b m 9 3 b i I g L z 4 8 R W 5 0 c n k g V H l w Z T 0 i R m l s b E 9 i a m V j d F R 5 c G U i I F Z h b H V l P S J z V G F i b G U i I C 8 + P E V u d H J 5 I F R 5 c G U 9 I k Z p b G x M Y X N 0 V X B k Y X R l Z C I g V m F s d W U 9 I m Q y M D I 0 L T A 1 L T E 0 V D A 4 O j E 4 O j M x L j g 2 N T Y 2 N T J a I i A v P j x F b n R y e S B U e X B l P S J G a W x s Q 2 9 s d W 1 u V H l w Z X M i I F Z h b H V l P S J z Q X d Z Q 0 J R V U R C Z 0 0 9 I i A v P j x F b n R y e S B U e X B l P S J G a W x s Q 2 9 s d W 1 u T m F t Z X M i I F Z h b H V l P S J z W y Z x d W 9 0 O 0 l u Z G V 4 J n F 1 b 3 Q 7 L C Z x d W 9 0 O 0 F j d G l 2 Y W t s Y X N z Z S Z x d W 9 0 O y w m c X V v d D t P b 3 J z c H J v b m t l b G l q a y B p b n Z l c 3 R l c m l u Z 3 N q Y W F y J n F 1 b 3 Q 7 L C Z x d W 9 0 O 0 R l c 2 l u d m V z d G V y a W 5 n I C h v b 3 J z c H J v b m t l b G l q a 2 U g a W 5 2 Z X N 0 Z X J p b m d z Y m V k c m F n K S Z x d W 9 0 O y w m c X V v d D t P c G J y Z W 5 n c 3 R l b i B k a W U g c 2 F t Z W 5 o Y W 5 n Z W 4 g b W V 0 I G R l c 2 l u d m V z d G V y a W 5 n J n F 1 b 3 Q 7 L C Z x d W 9 0 O 0 p h Y X I m c X V v d D s s J n F 1 b 3 Q 7 Q m V z d G F u Z H N u Y W F t J n F 1 b 3 Q 7 L C Z x d W 9 0 O 1 Z l c n N p Z S 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Q 2 9 s d W 1 u Q 2 9 1 b n Q m c X V v d D s 6 O C w m c X V v d D t L Z X l D b 2 x 1 b W 5 O Y W 1 l c y Z x d W 9 0 O z p b X S w m c X V v d D t D b 2 x 1 b W 5 J Z G V u d G l 0 a W V z J n F 1 b 3 Q 7 O l s m c X V v d D t T Z W N 0 a W 9 u M S 9 E Z X N p b n Z l c 3 R l c m l u Z y 9 B d X R v U m V t b 3 Z l Z E N v b H V t b n M x L n t J b m R l e C w w f S Z x d W 9 0 O y w m c X V v d D t T Z W N 0 a W 9 u M S 9 E Z X N p b n Z l c 3 R l c m l u Z y 9 B d X R v U m V t b 3 Z l Z E N v b H V t b n M x L n t B Y 3 R p d m F r b G F z c 2 U s M X 0 m c X V v d D s s J n F 1 b 3 Q 7 U 2 V j d G l v b j E v R G V z a W 5 2 Z X N 0 Z X J p b m c v Q X V 0 b 1 J l b W 9 2 Z W R D b 2 x 1 b W 5 z M S 5 7 T 2 9 y c 3 B y b 2 5 r Z W x p a m s g a W 5 2 Z X N 0 Z X J p b m d z a m F h c i w y f S Z x d W 9 0 O y w m c X V v d D t T Z W N 0 a W 9 u M S 9 E Z X N p b n Z l c 3 R l c m l u Z y 9 B d X R v U m V t b 3 Z l Z E N v b H V t b n M x L n t E Z X N p b n Z l c 3 R l c m l u Z y A o b 2 9 y c 3 B y b 2 5 r Z W x p a m t l I G l u d m V z d G V y a W 5 n c 2 J l Z H J h Z y k s M 3 0 m c X V v d D s s J n F 1 b 3 Q 7 U 2 V j d G l v b j E v R G V z a W 5 2 Z X N 0 Z X J p b m c v Q X V 0 b 1 J l b W 9 2 Z W R D b 2 x 1 b W 5 z M S 5 7 T 3 B i c m V u Z 3 N 0 Z W 4 g Z G l l I H N h b W V u a G F u Z 2 V u I G 1 l d C B k Z X N p b n Z l c 3 R l c m l u Z y w 0 f S Z x d W 9 0 O y w m c X V v d D t T Z W N 0 a W 9 u M S 9 E Z X N p b n Z l c 3 R l c m l u Z y 9 B d X R v U m V t b 3 Z l Z E N v b H V t b n M x L n t K Y W F y L D V 9 J n F 1 b 3 Q 7 L C Z x d W 9 0 O 1 N l Y 3 R p b 2 4 x L 0 R l c 2 l u d m V z d G V y a W 5 n L 0 F 1 d G 9 S Z W 1 v d m V k Q 2 9 s d W 1 u c z E u e 0 J l c 3 R h b m R z b m F h b S w 2 f S Z x d W 9 0 O y w m c X V v d D t T Z W N 0 a W 9 u M S 9 E Z X N p b n Z l c 3 R l c m l u Z y 9 B d X R v U m V t b 3 Z l Z E N v b H V t b n M x L n t W Z X J z a W U s N 3 0 m c X V v d D t d L C Z x d W 9 0 O 1 J l b G F 0 a W 9 u c 2 h p c E l u Z m 8 m c X V v d D s 6 W 1 1 9 I i A v P j w v U 3 R h Y m x l R W 5 0 c m l l c z 4 8 L 0 l 0 Z W 0 + P E l 0 Z W 0 + P E l 0 Z W 1 M b 2 N h d G l v b j 4 8 S X R l b V R 5 c G U + R m 9 y b X V s Y T w v S X R l b V R 5 c G U + P E l 0 Z W 1 Q Y X R o P l N l Y 3 R p b 2 4 x L 0 9 t e m V 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x I i A v P j x F b n R y e S B U e X B l P S J G a W x s T G F z d F V w Z G F 0 Z W Q i I F Z h b H V l P S J k M j A y N C 0 w N S 0 w M 1 Q x N D o y O T o y N S 4 2 N z I x M z g 2 W i I g L z 4 8 R W 5 0 c n k g V H l w Z T 0 i R m l s b G V k Q 2 9 t c G x l d G V S Z X N 1 b H R U b 1 d v c m t z a G V l d C I g V m F s d W U 9 I m w x I i A v P j x F b n R y e S B U e X B l P S J G a W x s Q 2 9 s d W 1 u V H l w Z X M i I F Z h b H V l P S J z Q m d Z R E J R V U Z C U V l E I i A v P j x F b n R y e S B U e X B l P S J G a W x s V G F y Z 2 V 0 T m F t Z U N 1 c 3 R v b W l 6 Z W Q i I F Z h b H V l P S J s M S I g L z 4 8 R W 5 0 c n k g V H l w Z T 0 i R m l s b F R v R G F 0 Y U 1 v Z G V s R W 5 h Y m x l Z C I g V m F s d W U 9 I m w w I i A v P j x F b n R y e S B U e X B l P S J J c 1 B y a X Z h d G U i I F Z h b H V l P S J s M C I g L z 4 8 R W 5 0 c n k g V H l w Z T 0 i R m l s b E N v b H V t b k 5 h b W V z I i B W Y W x 1 Z T 0 i c 1 s m c X V v d D t D Y X R l Z 2 9 y a W U m c X V v d D s s J n F 1 b 3 Q 7 U 3 V i Y 2 F 0 Z W d v c m l l J n F 1 b 3 Q 7 L C Z x d W 9 0 O 0 p h Y X I m c X V v d D s s J n F 1 b 3 Q 7 T 2 1 6 Z X R y Z W d 1 b G V y a W 5 n I H R h c m l l Z m d l c m V n d W x l Z X J k J n F 1 b 3 Q 7 L C Z x d W 9 0 O 0 9 2 Z X J i b 2 V r L S B l b i B 0 Z X J 1 Z 2 t v b 3 B y Z W d l b G l u Z y Z x d W 9 0 O y w m c X V v d D t W Z W l s a W 5 n Z 2 V s Z G V u J n F 1 b 3 Q 7 L C Z x d W 9 0 O 1 N h b G R v I G F k b W l u a X N 0 c m F 0 a W V 2 Z S B v b m J h b G F u c y Z x d W 9 0 O y w m c X V v d D t C Z X N 0 Y W 5 k c 2 5 h Y W 0 m c X V v d D s s J n F 1 b 3 Q 7 V m V y c 2 l l J n F 1 b 3 Q 7 X S 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2 1 6 Z X Q i I C 8 + P E V u d H J 5 I F R 5 c G U 9 I l F 1 Z X J 5 S U Q i I F Z h b H V l P S J z N j A 0 M W R k M G U t N z I 5 M C 0 0 N T F m L W E 3 O D Y t Y z l k N 2 Z h Z D g 3 N m U x I i A v P j x F b n R y e S B U e X B l P S J G a W x s Q 2 9 1 b n Q i I F Z h b H V l P S J s N C 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T Z W N 0 a W 9 u M S 9 P b X p l d C 9 B d X R v U m V t b 3 Z l Z E N v b H V t b n M x L n t D Y X R l Z 2 9 y a W U s M H 0 m c X V v d D s s J n F 1 b 3 Q 7 U 2 V j d G l v b j E v T 2 1 6 Z X Q v Q X V 0 b 1 J l b W 9 2 Z W R D b 2 x 1 b W 5 z M S 5 7 U 3 V i Y 2 F 0 Z W d v c m l l L D F 9 J n F 1 b 3 Q 7 L C Z x d W 9 0 O 1 N l Y 3 R p b 2 4 x L 0 9 t e m V 0 L 0 F 1 d G 9 S Z W 1 v d m V k Q 2 9 s d W 1 u c z E u e 0 p h Y X I s M n 0 m c X V v d D s s J n F 1 b 3 Q 7 U 2 V j d G l v b j E v T 2 1 6 Z X Q v Q X V 0 b 1 J l b W 9 2 Z W R D b 2 x 1 b W 5 z M S 5 7 T 2 1 6 Z X R y Z W d 1 b G V y a W 5 n I H R h c m l l Z m d l c m V n d W x l Z X J k L D N 9 J n F 1 b 3 Q 7 L C Z x d W 9 0 O 1 N l Y 3 R p b 2 4 x L 0 9 t e m V 0 L 0 F 1 d G 9 S Z W 1 v d m V k Q 2 9 s d W 1 u c z E u e 0 9 2 Z X J i b 2 V r L S B l b i B 0 Z X J 1 Z 2 t v b 3 B y Z W d l b G l u Z y w 0 f S Z x d W 9 0 O y w m c X V v d D t T Z W N 0 a W 9 u M S 9 P b X p l d C 9 B d X R v U m V t b 3 Z l Z E N v b H V t b n M x L n t W Z W l s a W 5 n Z 2 V s Z G V u L D V 9 J n F 1 b 3 Q 7 L C Z x d W 9 0 O 1 N l Y 3 R p b 2 4 x L 0 9 t e m V 0 L 0 F 1 d G 9 S Z W 1 v d m V k Q 2 9 s d W 1 u c z E u e 1 N h b G R v I G F k b W l u a X N 0 c m F 0 a W V 2 Z S B v b m J h b G F u c y w 2 f S Z x d W 9 0 O y w m c X V v d D t T Z W N 0 a W 9 u M S 9 P b X p l d C 9 B d X R v U m V t b 3 Z l Z E N v b H V t b n M x L n t C Z X N 0 Y W 5 k c 2 5 h Y W 0 s N 3 0 m c X V v d D s s J n F 1 b 3 Q 7 U 2 V j d G l v b j E v T 2 1 6 Z X Q v Q X V 0 b 1 J l b W 9 2 Z W R D b 2 x 1 b W 5 z M S 5 7 V m V y c 2 l l L D h 9 J n F 1 b 3 Q 7 X S w m c X V v d D t D b 2 x 1 b W 5 D b 3 V u d C Z x d W 9 0 O z o 5 L C Z x d W 9 0 O 0 t l e U N v b H V t b k 5 h b W V z J n F 1 b 3 Q 7 O l t d L C Z x d W 9 0 O 0 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1 J l b G F 0 a W 9 u c 2 h p c E l u Z m 8 m c X V v d D s 6 W 1 1 9 I i A v P j w v U 3 R h Y m x l R W 5 0 c m l l c z 4 8 L 0 l 0 Z W 0 + P E l 0 Z W 0 + P E l 0 Z W 1 M b 2 N h d G l v b j 4 8 S X R l b V R 5 c G U + R m 9 y b X V s Y T w v S X R l b V R 5 c G U + P E l 0 Z W 1 Q Y X R o P l N l Y 3 R p b 2 4 x L 1 d V S S U y R k 9 t Y m 9 1 d z w v S X R l b V B h d G g + P C 9 J d G V t T G 9 j Y X R p b 2 4 + P F N 0 Y W J s Z U V u d H J p Z X M + P E V u d H J 5 I F R 5 c G U 9 I k Z p b G x D b 3 V u d C I g V m F s d W U 9 I m w y M C I g L z 4 8 R W 5 0 c n k g V H l w Z T 0 i T m F 2 a W d h d G l v b l N 0 Z X B O Y W 1 l I i B W Y W x 1 Z T 0 i c 0 5 h d m l n Y X R p Z S I g L z 4 8 R W 5 0 c n k g V H l w Z T 0 i R m l s b E V u Y W J s Z W Q i I F Z h b H V l P S J s M S I g L z 4 8 R W 5 0 c n k g V H l w Z T 0 i R m l s b G V k Q 2 9 t c G x l d G V S Z X N 1 b H R U b 1 d v c m t z a G V l d C I g V m F s d W U 9 I m w x I i A v P j x F b n R y e S B U e X B l P S J G a W x s T G F z d F V w Z G F 0 Z W Q i I F Z h b H V l P S J k M j A y N C 0 w N S 0 x N F Q w O D o z N D o 1 M i 4 0 N z g y N D E 5 W i I g L z 4 8 R W 5 0 c n k g V H l w Z T 0 i S X N Q c m l 2 Y X R l I i B W Y W x 1 Z T 0 i b D A i I C 8 + P E V u d H J 5 I F R 5 c G U 9 I l F 1 Z X J 5 S U Q i I F Z h b H V l P S J z M T l j Y 2 U 3 N z M t M D M 3 Y y 0 0 Z m U z L T k y O T Q t Y z R j N T k x N j R k O D M w I i A v P j x F b n R y e S B U e X B l P S J O Y W 1 l V X B k Y X R l Z E F m d G V y R m l s b C I g V m F s d W U 9 I m w w I i A v P j x F b n R y e S B U e X B l P S J C d W Z m Z X J O Z X h 0 U m V m c m V z a C I g V m F s d W U 9 I m w x I i A v P j x F b n R y e S B U e X B l P S J G a W x s Q 2 9 s d W 1 u V H l w Z X M i I F Z h b H V l P S J z Q X d V R k J n W U d C Z z 0 9 I i A v P j x F b n R y e S B U e X B l P S J S Z X N 1 b H R U e X B l I i B W Y W x 1 Z T 0 i c 1 R h Y m x l I i A v P j x F b n R y e S B U e X B l P S J G a W x s V G F y Z 2 V 0 I i B W Y W x 1 Z T 0 i c 1 d V S V 9 P b W J v d X c i I C 8 + P E V u d H J 5 I F R 5 c G U 9 I k x v Y W R l Z F R v Q W 5 h b H l z a X N T Z X J 2 a W N l c y I g V m F s d W U 9 I m w w I i A v P j x F b n R y e S B U e X B l P S J B Z G R l Z F R v R G F 0 Y U 1 v Z G V s I i B W Y W x 1 Z T 0 i b D A i I C 8 + P E V u d H J 5 I F R 5 c G U 9 I k Z p b G x F c n J v c k N v d W 5 0 I i B W Y W x 1 Z T 0 i b D A i I C 8 + P E V u d H J 5 I F R 5 c G U 9 I k Z p b G x U b 0 R h d G F N b 2 R l b E V u Y W J s Z W Q i I F Z h b H V l P S J s M C I g L z 4 8 R W 5 0 c n k g V H l w Z T 0 i R m l s b E 9 i a m V j d F R 5 c G U i I F Z h b H V l P S J z V G F i b G U i I C 8 + P E V u d H J 5 I F R 5 c G U 9 I k Z p b G x F c n J v c k N v Z G U i I F Z h b H V l P S J z V W 5 r b m 9 3 b i I g L 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0 N v b H V t b k N v d W 5 0 J n F 1 b 3 Q 7 O j c s J n F 1 b 3 Q 7 S 2 V 5 Q 2 9 s d W 1 u T m F t Z X M m c X V v d D s 6 W 1 0 s J n F 1 b 3 Q 7 Q 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1 J l b G F 0 a W 9 u c 2 h p c E l u Z m 8 m c X V v d D s 6 W 1 1 9 I i A v P j w v U 3 R h Y m x l R W 5 0 c m l l c z 4 8 L 0 l 0 Z W 0 + P E l 0 Z W 0 + P E l 0 Z W 1 M b 2 N h d G l v b j 4 8 S X R l b V R 5 c G U + R m 9 y b X V s Y T w v S X R l b V R 5 c G U + P E l 0 Z W 1 Q Y X R o P l N l Y 3 R p b 2 4 x L 0 9 w Z X J h d G l v b m V s Z S U y M G t v c 3 R l b j w v S X R l b V B h d G g + P C 9 J d G V t T G 9 j Y X R p b 2 4 + P F N 0 Y W J s Z U V u d H J p Z X M + P E V u d H J 5 I F R 5 c G U 9 I k Z p b G x D b 2 x 1 b W 5 O Y W 1 l c y I g V m F s d W U 9 I n N b J n F 1 b 3 Q 7 Q 2 F 0 Z W d v c m l l J n F 1 b 3 Q 7 L C Z x d W 9 0 O 1 N 1 Y m N h d G V n b 3 J p Z S Z x d W 9 0 O y w m c X V v d D t K Y W F y J n F 1 b 3 Q 7 L C Z x d W 9 0 O 1 R U L 0 J U L 0 F U J n F 1 b 3 Q 7 L C Z x d W 9 0 O 0 t D J n F 1 b 3 Q 7 L C Z x d W 9 0 O 0 J l c 3 R h b m R z b m F h b S Z x d W 9 0 O y w m c X V v d D t W Z X J z a W U m c X V v d D t d I i A v P j x F b n R y e S B U e X B l P S J C d W Z m Z X J O Z X h 0 U m V m c m V z a C I g V m F s d W U 9 I m w x I i A v P j x F b n R y e S B U e X B l P S J G a W x s Q 2 9 s d W 1 u V H l w Z X M i I F Z h b H V l P S J z Q m d Z R E J R V U d B d z 0 9 I i A v P j x F b n R y e S B U e X B l P S J G a W x s R W 5 h Y m x l Z C I g V m F s d W U 9 I m w x I i A v P j x F b n R y e S B U e X B l P S J G a W x s T G F z d F V w Z G F 0 Z W Q i I F Z h b H V l P S J k M j A y N C 0 w N S 0 w M 1 Q x N D o z N D o x O C 4 y M T Y 1 O T I z W i I g L z 4 8 R W 5 0 c n k g V H l w Z T 0 i R m l s b G V k Q 2 9 t c G x l d G V S Z X N 1 b H R U b 1 d v c m t z a G V l d C I g V m F s d W U 9 I m w x I i A v P j x F b n R y e S B U e X B l P S J G a W x s R X J y b 3 J D b 3 V u d C I g V m F s d W U 9 I m w w I i A v P j x F b n R y e S B U e X B l P S J G a W x s V G F y Z 2 V 0 T m F t Z U N 1 c 3 R v b W l 6 Z W Q i I F Z h b H V l P S J s M S I g L z 4 8 R W 5 0 c n k g V H l w Z T 0 i R m l s b F R v R G F 0 Y U 1 v Z G V s R W 5 h Y m x l Z C I g V m F s d W U 9 I m w w I i A v P j x F b n R y e S B U e X B l P S J J c 1 B y a X Z h d G U i I F Z h b H V l P S J s M C I g L z 4 8 R W 5 0 c n k g V H l w Z T 0 i U X V l c n l J R C I g V m F s d W U 9 I n M 0 M T F k Z m Q 4 Y S 0 y Y j k 4 L T Q 3 O W Q t O T I 0 M i 0 y N G Q 4 M D E x M z l m M T M i I C 8 + P E V u d H J 5 I F R 5 c G U 9 I k Z p b G x F c n J v c k N v Z G U i I F Z h b H V l P S J z V W 5 r b m 9 3 b i 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3 B l c m F 0 a W 9 u Z W x l X 2 t v c 3 R l b i I g L z 4 8 R W 5 0 c n k g V H l w Z T 0 i R m l s b F N 0 Y X R 1 c y I g V m F s d W U 9 I n N D b 2 1 w b G V 0 Z S I g L z 4 8 R W 5 0 c n k g V H l w Z T 0 i R m l s b E N v d W 5 0 I i B W Y W x 1 Z T 0 i b D Y i I C 8 + P E V u d H J 5 I F R 5 c G U 9 I l J l b G F 0 a W 9 u c 2 h p c E l u Z m 9 D b 2 5 0 Y W l u Z X I i I F Z h b H V l P S J z e y Z x d W 9 0 O 2 N v b H V t b k N v d W 5 0 J n F 1 b 3 Q 7 O j c s J n F 1 b 3 Q 7 a 2 V 5 Q 2 9 s d W 1 u T m F t Z X M m c X V v d D s 6 W 1 0 s J n F 1 b 3 Q 7 c X V l c n l S Z W x h d G l v b n N o a X B z J n F 1 b 3 Q 7 O l t d L C Z x d W 9 0 O 2 N v b H V t b k l k Z W 5 0 a X R p Z X M m c X V v d D s 6 W y Z x d W 9 0 O 1 N l Y 3 R p b 2 4 x L 0 9 w Z X J h d G l v b m V s Z S B r b 3 N 0 Z W 4 v Q X V 0 b 1 J l b W 9 2 Z W R D b 2 x 1 b W 5 z M S 5 7 Q 2 F 0 Z W d v c m l l L D B 9 J n F 1 b 3 Q 7 L C Z x d W 9 0 O 1 N l Y 3 R p b 2 4 x L 0 9 w Z X J h d G l v b m V s Z S B r b 3 N 0 Z W 4 v Q X V 0 b 1 J l b W 9 2 Z W R D b 2 x 1 b W 5 z M S 5 7 U 3 V i Y 2 F 0 Z W d v c m l l L D F 9 J n F 1 b 3 Q 7 L C Z x d W 9 0 O 1 N l Y 3 R p b 2 4 x L 0 9 w Z X J h d G l v b m V s Z S B r b 3 N 0 Z W 4 v Q X V 0 b 1 J l b W 9 2 Z W R D b 2 x 1 b W 5 z M S 5 7 S m F h c i w y f S Z x d W 9 0 O y w m c X V v d D t T Z W N 0 a W 9 u M S 9 P c G V y Y X R p b 2 5 l b G U g a 2 9 z d G V u L 0 F 1 d G 9 S Z W 1 v d m V k Q 2 9 s d W 1 u c z E u e 1 R U L 0 J U L 0 F U L D N 9 J n F 1 b 3 Q 7 L C Z x d W 9 0 O 1 N l Y 3 R p b 2 4 x L 0 9 w Z X J h d G l v b m V s Z S B r b 3 N 0 Z W 4 v Q X V 0 b 1 J l b W 9 2 Z W R D b 2 x 1 b W 5 z M S 5 7 S 0 M s N H 0 m c X V v d D s s J n F 1 b 3 Q 7 U 2 V j d G l v b j E v T 3 B l c m F 0 a W 9 u Z W x l I G t v c 3 R l b i 9 B d X R v U m V t b 3 Z l Z E N v b H V t b n M x L n t C Z X N 0 Y W 5 k c 2 5 h Y W 0 s N X 0 m c X V v d D s s J n F 1 b 3 Q 7 U 2 V j d G l v b j E v T 3 B l c m F 0 a W 9 u Z W x l I G t v c 3 R l b i 9 B d X R v U m V t b 3 Z l Z E N v b H V t b n M x L n t W Z X J z a W U s N n 0 m c X V v d D t d L C Z x d W 9 0 O 0 N v b H V t b k N v d W 5 0 J n F 1 b 3 Q 7 O j c s J n F 1 b 3 Q 7 S 2 V 5 Q 2 9 s d W 1 u T m F t Z X M m c X V v d D s 6 W 1 0 s J n F 1 b 3 Q 7 Q 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U m V s Y X R p b 2 5 z a G l w S W 5 m b y Z x d W 9 0 O z p b X X 0 i I C 8 + P E V u d H J 5 I F R 5 c G U 9 I k F k Z G V k V G 9 E Y X R h T W 9 k Z W w i I F Z h b H V l P S J s M C 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L 0 l 0 Z W 1 z P j w v T G 9 j Y W x Q Y W N r Y W d l T W V 0 Y W R h d G F G a W x l P h Y A A A B Q S w U G A A A A A A A A A A A A A A A A A A A A A A A A 2 g A A A A E A A A D Q j J 3 f A R X R E Y x 6 A M B P w p f r A Q A A A O n n M M L n E z d N s f B v 9 M F C D C I A A A A A A g A A A A A A A 2 Y A A M A A A A A Q A A A A 6 S Q i s c I I A D + w b b g e o O I 9 C w A A A A A E g A A A o A A A A B A A A A B n 4 o z 5 q l x 1 w W a W d f M O F p a 4 U A A A A K w s q Z 3 W k d d H R J u j 2 a 2 M m H / d O + P o B 6 Q Y + e 8 k l F u T L k 4 L f s d / Y Q L 7 N L e T q 7 i S y W h z e f k I i p 2 i 2 1 F 6 X v c F u B e B k f h x p 4 K Z V w / f S M X u t h B K V G w b F A A A A M Z g i H B M O X R I 7 c l U / l Q i w 0 E X H t l p < / D a t a M a s h u p > 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916EB2D-29BF-4F8A-9E45-7856B71D78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3e5b727e-69cb-4044-af9b-0f44169833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DAB9D1-B815-4B0E-93E7-4496A7FE99F6}">
  <ds:schemaRefs>
    <ds:schemaRef ds:uri="http://purl.org/dc/elements/1.1/"/>
    <ds:schemaRef ds:uri="http://schemas.openxmlformats.org/package/2006/metadata/core-properties"/>
    <ds:schemaRef ds:uri="3e5b727e-69cb-4044-af9b-0f4416983337"/>
    <ds:schemaRef ds:uri="http://schemas.microsoft.com/office/infopath/2007/PartnerControls"/>
    <ds:schemaRef ds:uri="http://purl.org/dc/terms/"/>
    <ds:schemaRef ds:uri="0009d3ae-0f9e-47be-ae31-9d6cd8b104c4"/>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F476EE9-57EE-4A57-9645-1C093EDB7BE0}">
  <ds:schemaRefs>
    <ds:schemaRef ds:uri="http://schemas.microsoft.com/sharepoint/v3/contenttype/forms"/>
  </ds:schemaRefs>
</ds:datastoreItem>
</file>

<file path=customXml/itemProps4.xml><?xml version="1.0" encoding="utf-8"?>
<ds:datastoreItem xmlns:ds="http://schemas.openxmlformats.org/officeDocument/2006/customXml" ds:itemID="{3CCC0C11-BCA0-40B0-A1EB-00F8BE4AEEA8}">
  <ds:schemaRefs>
    <ds:schemaRef ds:uri="http://schemas.microsoft.com/DataMashup"/>
  </ds:schemaRefs>
</ds:datastoreItem>
</file>

<file path=customXml/itemProps5.xml><?xml version="1.0" encoding="utf-8"?>
<ds:datastoreItem xmlns:ds="http://schemas.openxmlformats.org/officeDocument/2006/customXml" ds:itemID="{4651D173-5D1D-4DD1-A11E-C256FB3A644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Correctie gew. MB, CPI, ITC</vt:lpstr>
      <vt:lpstr>25. Incidentele correcties</vt:lpstr>
      <vt:lpstr>26. Toegestane inkomsten</vt:lpstr>
      <vt:lpstr>27. RPM</vt:lpstr>
      <vt:lpstr>28.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2024-05-23T12:57:01Z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0x0101003863C0D5DF1569489DA8D6B8968D8636</vt:lpwstr>
  </property>
  <property fmtid="{D5CDD505-2E9C-101B-9397-08002B2CF9AE}" pid="3" name="_dlc_DocIdItemGuid">
    <vt:lpwstr>5533c771-d360-43f4-886a-dc6cc9d5e87c</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