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8_{08314250-DCEF-457A-8711-26825C8C59DA}" xr6:coauthVersionLast="47" xr6:coauthVersionMax="47" xr10:uidLastSave="{00000000-0000-0000-0000-000000000000}"/>
  <bookViews>
    <workbookView xWindow="-120" yWindow="-120" windowWidth="29040" windowHeight="15840" tabRatio="864" firstSheet="4" activeTab="6" xr2:uid="{00000000-000D-0000-FFFF-FFFF00000000}"/>
  </bookViews>
  <sheets>
    <sheet name="Titelblad" sheetId="9" r:id="rId1"/>
    <sheet name="Toelichting" sheetId="10" r:id="rId2"/>
    <sheet name="Bronnen en toepassingen" sheetId="11" r:id="rId3"/>
    <sheet name="Huur --&gt;" sheetId="52" r:id="rId4"/>
    <sheet name="Resultaat huurtarieven" sheetId="54" r:id="rId5"/>
    <sheet name="Gegevens t.b.v. huurtarieven" sheetId="50" r:id="rId6"/>
    <sheet name="Berekening huurtarieven" sheetId="53" r:id="rId7"/>
    <sheet name="Levering --&gt;" sheetId="51" r:id="rId8"/>
    <sheet name="Resultaat levering" sheetId="21" r:id="rId9"/>
    <sheet name="Input --&gt;" sheetId="13" r:id="rId10"/>
    <sheet name="Gegevens warmteregeling &amp; ACM" sheetId="49" r:id="rId11"/>
    <sheet name="Gasleveranciers" sheetId="25" r:id="rId12"/>
    <sheet name="Netbeheer" sheetId="31" r:id="rId13"/>
    <sheet name="Berekeningen --&gt;" sheetId="15" r:id="rId14"/>
    <sheet name="Vaste kosten verbruik" sheetId="27" r:id="rId15"/>
    <sheet name="Variabele kosten verbruik" sheetId="29" r:id="rId16"/>
    <sheet name="Huur collectief --&gt;" sheetId="56" r:id="rId17"/>
    <sheet name="Resultaat huur collectief" sheetId="55" r:id="rId18"/>
  </sheets>
  <externalReferences>
    <externalReference r:id="rId19"/>
  </externalReferences>
  <definedNames>
    <definedName name="_xlnm._FilterDatabase" localSheetId="8" hidden="1">'Resultaat levering'!#REF!</definedName>
    <definedName name="_xlnm.Print_Area" localSheetId="6">'Berekening huurtarieven'!$A$1:$V$57</definedName>
    <definedName name="_xlnm.Print_Area" localSheetId="2">'Bronnen en toepassingen'!$A$1:$G$35</definedName>
    <definedName name="_xlnm.Print_Area" localSheetId="11">Gasleveranciers!$A$1:$M$40</definedName>
    <definedName name="_xlnm.Print_Area" localSheetId="5">'Gegevens t.b.v. huurtarieven'!$A$1:$X$43</definedName>
    <definedName name="_xlnm.Print_Area" localSheetId="10">'Gegevens warmteregeling &amp; ACM'!$A$1:$Q$82</definedName>
    <definedName name="_xlnm.Print_Area" localSheetId="12">Netbeheer!$A$1:$Y$34</definedName>
    <definedName name="_xlnm.Print_Area" localSheetId="4">'Resultaat huurtarieven'!$A$1:$T$45</definedName>
    <definedName name="_xlnm.Print_Area" localSheetId="8">'Resultaat levering'!$A$1:$S$57</definedName>
    <definedName name="_xlnm.Print_Area" localSheetId="0">Titelblad!$A$1:$G$43</definedName>
    <definedName name="_xlnm.Print_Area" localSheetId="1">Toelichting!$A$1:$I$57</definedName>
    <definedName name="_xlnm.Print_Area" localSheetId="15">'Variabele kosten verbruik'!$A$1:$N$52</definedName>
    <definedName name="_xlnm.Print_Area" localSheetId="14">'Vaste kosten verbruik'!$A$1:$X$117</definedName>
    <definedName name="cpi_0721" localSheetId="17">[1]CPI!#REF!</definedName>
    <definedName name="cpi_0721">[1]CPI!#REF!</definedName>
    <definedName name="cpi_08" localSheetId="17">#REF!</definedName>
    <definedName name="cpi_08">#REF!</definedName>
    <definedName name="cpi_0821" localSheetId="17">[1]CPI!#REF!</definedName>
    <definedName name="cpi_0821">[1]CPI!#REF!</definedName>
    <definedName name="cpi_09" localSheetId="17">#REF!</definedName>
    <definedName name="cpi_09">#REF!</definedName>
    <definedName name="cpi_0921" localSheetId="17">[1]CPI!#REF!</definedName>
    <definedName name="cpi_0921">[1]CPI!#REF!</definedName>
    <definedName name="cpi_10" localSheetId="17">#REF!</definedName>
    <definedName name="cpi_10">#REF!</definedName>
    <definedName name="cpi_1019">[1]CPI!$J$17</definedName>
    <definedName name="cpi_1021" localSheetId="17">[1]CPI!#REF!</definedName>
    <definedName name="cpi_1021">[1]CPI!#REF!</definedName>
    <definedName name="cpi_11" localSheetId="17">#REF!</definedName>
    <definedName name="cpi_11">#REF!</definedName>
    <definedName name="cpi_1121" localSheetId="17">[1]CPI!#REF!</definedName>
    <definedName name="cpi_1121">[1]CPI!#REF!</definedName>
    <definedName name="cpi_12" localSheetId="17">#REF!</definedName>
    <definedName name="cpi_12">#REF!</definedName>
    <definedName name="cpi_1221" localSheetId="17">[1]CPI!#REF!</definedName>
    <definedName name="cpi_1221">[1]CPI!#REF!</definedName>
    <definedName name="cpi_13" localSheetId="17">#REF!</definedName>
    <definedName name="cpi_13">#REF!</definedName>
    <definedName name="cpi_1321" localSheetId="17">[1]CPI!#REF!</definedName>
    <definedName name="cpi_1321">[1]CPI!#REF!</definedName>
    <definedName name="cpi_14" localSheetId="17">#REF!</definedName>
    <definedName name="cpi_14">#REF!</definedName>
    <definedName name="cpi_1421" localSheetId="17">[1]CPI!#REF!</definedName>
    <definedName name="cpi_1421">[1]CPI!#REF!</definedName>
    <definedName name="cpi_15" localSheetId="17">#REF!</definedName>
    <definedName name="cpi_15">#REF!</definedName>
    <definedName name="cpi_1521" localSheetId="17">[1]CPI!#REF!</definedName>
    <definedName name="cpi_1521">[1]CPI!#REF!</definedName>
    <definedName name="cpi_16" localSheetId="17">#REF!</definedName>
    <definedName name="cpi_16">#REF!</definedName>
    <definedName name="cpi_1618">[1]CPI!$P$16</definedName>
    <definedName name="cpi_1620">[1]CPI!$P$18</definedName>
    <definedName name="cpi_1621" localSheetId="17">[1]CPI!#REF!</definedName>
    <definedName name="cpi_1621">[1]CPI!#REF!</definedName>
    <definedName name="cpi_17" localSheetId="17">#REF!</definedName>
    <definedName name="cpi_17">#REF!</definedName>
    <definedName name="cpi_1718">[1]CPI!$Q$16</definedName>
    <definedName name="cpi_1719">[1]CPI!$Q$17</definedName>
    <definedName name="cpi_1720">[1]CPI!$Q$18</definedName>
    <definedName name="cpi_1721" localSheetId="17">[1]CPI!#REF!</definedName>
    <definedName name="cpi_1721">[1]CPI!#REF!</definedName>
    <definedName name="cpi_18" localSheetId="17">#REF!</definedName>
    <definedName name="cpi_18">#REF!</definedName>
    <definedName name="cpi_1820">[1]CPI!$R$18</definedName>
    <definedName name="cpi_1821" localSheetId="17">[1]CPI!#REF!</definedName>
    <definedName name="cpi_1821">[1]CPI!#REF!</definedName>
    <definedName name="cpi_19" localSheetId="17">#REF!</definedName>
    <definedName name="cpi_19">#REF!</definedName>
    <definedName name="cpi_1920">[1]CPI!$S$18</definedName>
    <definedName name="cpi_1921" localSheetId="17">[1]CPI!#REF!</definedName>
    <definedName name="cpi_1921">[1]CPI!#REF!</definedName>
    <definedName name="cpi_20" localSheetId="17">#REF!</definedName>
    <definedName name="cpi_20">#REF!</definedName>
    <definedName name="cpi_2021" localSheetId="17">[1]CPI!#REF!</definedName>
    <definedName name="cpi_2021">[1]CPI!#REF!</definedName>
    <definedName name="cpi_21" localSheetId="17">#REF!</definedName>
    <definedName name="cpi_21">#REF!</definedName>
    <definedName name="verwijder" localSheetId="17">#REF!</definedName>
    <definedName name="verwijder">#REF!</definedName>
    <definedName name="wacc_11" localSheetId="17">[1]CPI!#REF!</definedName>
    <definedName name="wacc_11">[1]CPI!#REF!</definedName>
    <definedName name="wacc_12" localSheetId="17">[1]CPI!#REF!</definedName>
    <definedName name="wacc_12">[1]CPI!#REF!</definedName>
    <definedName name="wacc_13" localSheetId="17">[1]CPI!#REF!</definedName>
    <definedName name="wacc_13">[1]CPI!#REF!</definedName>
    <definedName name="wacc_14" localSheetId="17">[1]CPI!#REF!</definedName>
    <definedName name="wacc_14">[1]CPI!#REF!</definedName>
    <definedName name="wacc_15" localSheetId="17">[1]CPI!#REF!</definedName>
    <definedName name="wacc_15">[1]CPI!#REF!</definedName>
    <definedName name="wacc_16" localSheetId="17">[1]CPI!#REF!</definedName>
    <definedName name="wacc_16">[1]CPI!#REF!</definedName>
    <definedName name="wacc_16151414" localSheetId="17">[1]CPI!#REF!</definedName>
    <definedName name="wacc_16151414">[1]CPI!#REF!</definedName>
    <definedName name="wacc_17" localSheetId="17">[1]CPI!#REF!</definedName>
    <definedName name="wacc_17">[1]CPI!#REF!</definedName>
    <definedName name="wacc_18" localSheetId="17">[1]CPI!#REF!</definedName>
    <definedName name="wacc_18">[1]CPI!#REF!</definedName>
    <definedName name="wacc_19" localSheetId="17">[1]CPI!#REF!</definedName>
    <definedName name="wacc_19">[1]CPI!#REF!</definedName>
    <definedName name="wacc_20" localSheetId="17">[1]CPI!#REF!</definedName>
    <definedName name="wacc_20">[1]CPI!#REF!</definedName>
    <definedName name="wacc_21" localSheetId="17">[1]CPI!#REF!</definedName>
    <definedName name="wacc_21">[1]CPI!#REF!</definedName>
    <definedName name="wacc14" localSheetId="17">[1]CPI!#REF!</definedName>
    <definedName name="wacc14">[1]CPI!#REF!</definedName>
    <definedName name="weigeraars" localSheetId="17">[1]CPI!#REF!</definedName>
    <definedName name="weigeraars">[1]CPI!#REF!</definedName>
    <definedName name="x" localSheetId="17">#REF!</definedName>
    <definedName name="x">#REF!</definedName>
    <definedName name="XXX" localSheetId="17">[1]CPI!#REF!</definedName>
    <definedName name="XXX">[1]CPI!#REF!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4" i="55" l="1"/>
  <c r="D63" i="55"/>
  <c r="D62" i="55"/>
  <c r="D61" i="55"/>
  <c r="D60" i="55"/>
  <c r="D59" i="55"/>
  <c r="D58" i="55"/>
  <c r="D53" i="55"/>
  <c r="D52" i="55"/>
  <c r="C52" i="55"/>
  <c r="C38" i="55"/>
  <c r="C64" i="55" s="1"/>
  <c r="C37" i="55"/>
  <c r="C63" i="55" s="1"/>
  <c r="C36" i="55"/>
  <c r="C62" i="55" s="1"/>
  <c r="C35" i="55"/>
  <c r="C61" i="55" s="1"/>
  <c r="C34" i="55"/>
  <c r="C60" i="55" s="1"/>
  <c r="C33" i="55"/>
  <c r="C59" i="55" s="1"/>
  <c r="C32" i="55"/>
  <c r="C58" i="55" s="1"/>
  <c r="C31" i="55"/>
  <c r="E31" i="55" s="1"/>
  <c r="F31" i="55" s="1"/>
  <c r="H42" i="55" s="1"/>
  <c r="C30" i="55"/>
  <c r="C53" i="55" s="1"/>
  <c r="E29" i="55"/>
  <c r="F29" i="55" s="1"/>
  <c r="E35" i="55" l="1"/>
  <c r="F35" i="55" s="1"/>
  <c r="G35" i="55" s="1"/>
  <c r="G61" i="55" s="1"/>
  <c r="E33" i="55"/>
  <c r="F33" i="55" s="1"/>
  <c r="G33" i="55" s="1"/>
  <c r="G59" i="55" s="1"/>
  <c r="E32" i="55"/>
  <c r="F32" i="55" s="1"/>
  <c r="G32" i="55" s="1"/>
  <c r="G58" i="55" s="1"/>
  <c r="E34" i="55"/>
  <c r="F34" i="55" s="1"/>
  <c r="G34" i="55" s="1"/>
  <c r="G60" i="55" s="1"/>
  <c r="H60" i="55" s="1"/>
  <c r="E36" i="55"/>
  <c r="F36" i="55" s="1"/>
  <c r="E38" i="55"/>
  <c r="F38" i="55" s="1"/>
  <c r="G38" i="55" s="1"/>
  <c r="G64" i="55" s="1"/>
  <c r="E37" i="55"/>
  <c r="F37" i="55" s="1"/>
  <c r="G37" i="55" s="1"/>
  <c r="G63" i="55" s="1"/>
  <c r="G29" i="55"/>
  <c r="G52" i="55" s="1"/>
  <c r="G36" i="55"/>
  <c r="G62" i="55" s="1"/>
  <c r="H48" i="55"/>
  <c r="H46" i="55"/>
  <c r="H47" i="55"/>
  <c r="E30" i="55"/>
  <c r="F30" i="55" s="1"/>
  <c r="G30" i="55" s="1"/>
  <c r="G53" i="55" s="1"/>
  <c r="H64" i="55" l="1"/>
  <c r="H53" i="55"/>
  <c r="H59" i="55"/>
  <c r="H62" i="55"/>
  <c r="H63" i="55"/>
  <c r="H58" i="55"/>
  <c r="H61" i="55"/>
  <c r="H52" i="55"/>
  <c r="I46" i="49" l="1"/>
  <c r="L36" i="27" l="1"/>
  <c r="I26" i="49"/>
  <c r="L35" i="27"/>
  <c r="L78" i="27" s="1"/>
  <c r="J24" i="31"/>
  <c r="J21" i="31" l="1"/>
  <c r="N46" i="27" l="1"/>
  <c r="H21" i="27" l="1"/>
  <c r="L83" i="27" s="1"/>
  <c r="H28" i="53" l="1"/>
  <c r="H37" i="53" s="1"/>
  <c r="H31" i="53"/>
  <c r="H30" i="53"/>
  <c r="O36" i="53" l="1"/>
  <c r="O38" i="53" s="1"/>
  <c r="H24" i="53"/>
  <c r="T35" i="53" s="1"/>
  <c r="T49" i="53" l="1"/>
  <c r="H30" i="54" s="1"/>
  <c r="T36" i="53"/>
  <c r="T38" i="53" s="1"/>
  <c r="H23" i="53"/>
  <c r="S35" i="53" s="1"/>
  <c r="H22" i="53"/>
  <c r="R35" i="53" s="1"/>
  <c r="R49" i="53" s="1"/>
  <c r="P42" i="53"/>
  <c r="O42" i="53"/>
  <c r="H29" i="53"/>
  <c r="O39" i="53" s="1"/>
  <c r="M17" i="53"/>
  <c r="M35" i="53" s="1"/>
  <c r="T39" i="53" l="1"/>
  <c r="T40" i="53" s="1"/>
  <c r="T50" i="53" s="1"/>
  <c r="H31" i="54" s="1"/>
  <c r="S36" i="53"/>
  <c r="S38" i="53" s="1"/>
  <c r="S49" i="53"/>
  <c r="H36" i="54" s="1"/>
  <c r="M36" i="53"/>
  <c r="M38" i="53" s="1"/>
  <c r="M39" i="53" s="1"/>
  <c r="R36" i="53"/>
  <c r="R38" i="53" s="1"/>
  <c r="R39" i="53" s="1"/>
  <c r="R40" i="53" s="1"/>
  <c r="R50" i="53" s="1"/>
  <c r="H34" i="54"/>
  <c r="S39" i="53"/>
  <c r="S40" i="53" s="1"/>
  <c r="S50" i="53" s="1"/>
  <c r="H37" i="54" l="1"/>
  <c r="H35" i="54"/>
  <c r="M40" i="53"/>
  <c r="O40" i="53"/>
  <c r="O44" i="53" s="1"/>
  <c r="H16" i="54" s="1"/>
  <c r="H18" i="53" l="1"/>
  <c r="H19" i="53" l="1"/>
  <c r="P35" i="53" s="1"/>
  <c r="P36" i="53" s="1"/>
  <c r="P38" i="53" s="1"/>
  <c r="P39" i="53" s="1"/>
  <c r="L17" i="53"/>
  <c r="L35" i="53" s="1"/>
  <c r="K17" i="53"/>
  <c r="K35" i="53" s="1"/>
  <c r="I17" i="53"/>
  <c r="I35" i="53" s="1"/>
  <c r="I36" i="53" l="1"/>
  <c r="I38" i="53" s="1"/>
  <c r="K36" i="53"/>
  <c r="K38" i="53" s="1"/>
  <c r="L36" i="53"/>
  <c r="L38" i="53" s="1"/>
  <c r="J17" i="53"/>
  <c r="J35" i="53" s="1"/>
  <c r="I49" i="53" s="1"/>
  <c r="I45" i="49"/>
  <c r="P40" i="53"/>
  <c r="P44" i="53" s="1"/>
  <c r="H17" i="54" s="1"/>
  <c r="L49" i="53" l="1"/>
  <c r="K49" i="53"/>
  <c r="J36" i="53"/>
  <c r="J38" i="53" s="1"/>
  <c r="M49" i="53"/>
  <c r="H22" i="54"/>
  <c r="L39" i="53"/>
  <c r="L40" i="53" s="1"/>
  <c r="K39" i="53"/>
  <c r="K40" i="53" s="1"/>
  <c r="I39" i="53"/>
  <c r="I40" i="53" s="1"/>
  <c r="N50" i="27"/>
  <c r="H24" i="54" l="1"/>
  <c r="H26" i="54"/>
  <c r="J39" i="53"/>
  <c r="J40" i="53" s="1"/>
  <c r="M50" i="53" s="1"/>
  <c r="L59" i="27"/>
  <c r="L58" i="27"/>
  <c r="L55" i="27"/>
  <c r="L54" i="27"/>
  <c r="I50" i="53" l="1"/>
  <c r="L50" i="53"/>
  <c r="K50" i="53"/>
  <c r="N51" i="27"/>
  <c r="N86" i="27" s="1"/>
  <c r="H22" i="27"/>
  <c r="O42" i="21" l="1"/>
  <c r="M42" i="21"/>
  <c r="J17" i="29"/>
  <c r="J16" i="29"/>
  <c r="J26" i="29"/>
  <c r="J23" i="29"/>
  <c r="J24" i="29"/>
  <c r="J22" i="29"/>
  <c r="J21" i="29"/>
  <c r="H23" i="27"/>
  <c r="H20" i="27"/>
  <c r="L109" i="27" l="1"/>
  <c r="N21" i="21" s="1"/>
  <c r="L110" i="27"/>
  <c r="L115" i="27"/>
  <c r="L116" i="27"/>
  <c r="J33" i="29"/>
  <c r="J34" i="29" s="1"/>
  <c r="H36" i="21"/>
  <c r="N22" i="21"/>
  <c r="H30" i="21" l="1"/>
  <c r="H31" i="21"/>
  <c r="N37" i="27" l="1"/>
  <c r="N38" i="27"/>
  <c r="N45" i="27"/>
  <c r="J19" i="29"/>
  <c r="J31" i="29" s="1"/>
  <c r="J37" i="29" s="1"/>
  <c r="N96" i="27" l="1"/>
  <c r="N91" i="27"/>
  <c r="N78" i="27"/>
  <c r="N80" i="27" s="1"/>
  <c r="N83" i="27"/>
  <c r="N93" i="27" l="1"/>
  <c r="L31" i="27"/>
  <c r="L68" i="27" s="1"/>
  <c r="L32" i="27"/>
  <c r="L69" i="27" s="1"/>
  <c r="J17" i="31"/>
  <c r="L30" i="27" s="1"/>
  <c r="L67" i="27" s="1"/>
  <c r="L27" i="27"/>
  <c r="L64" i="27" s="1"/>
  <c r="L50" i="27" l="1"/>
  <c r="L70" i="27" l="1"/>
  <c r="H47" i="27"/>
  <c r="N92" i="27" s="1"/>
  <c r="H39" i="27"/>
  <c r="L43" i="27"/>
  <c r="L80" i="27"/>
  <c r="L91" i="27" l="1"/>
  <c r="L92" i="27" s="1"/>
  <c r="L16" i="21"/>
  <c r="L73" i="27"/>
  <c r="N79" i="27"/>
  <c r="L79" i="27"/>
  <c r="B31" i="10"/>
  <c r="L93" i="27" l="1"/>
  <c r="L94" i="27" s="1"/>
  <c r="L95" i="27" s="1"/>
  <c r="O26" i="21"/>
  <c r="M26" i="21"/>
  <c r="L26" i="21"/>
  <c r="O16" i="21"/>
  <c r="M16" i="21"/>
  <c r="N81" i="27"/>
  <c r="N82" i="27" s="1"/>
  <c r="N101" i="27" s="1"/>
  <c r="N94" i="27"/>
  <c r="N95" i="27" s="1"/>
  <c r="N102" i="27" s="1"/>
  <c r="B38" i="10"/>
  <c r="B32" i="10"/>
  <c r="N103" i="27" l="1"/>
  <c r="N104" i="27" s="1"/>
  <c r="B33" i="10"/>
  <c r="B37" i="10" s="1"/>
  <c r="H39" i="21" l="1"/>
  <c r="B43" i="10"/>
  <c r="L43" i="21" l="1"/>
  <c r="M43" i="21"/>
  <c r="O43" i="21"/>
  <c r="L81" i="27"/>
  <c r="L44" i="27"/>
  <c r="L96" i="27" s="1"/>
  <c r="L102" i="27" s="1"/>
  <c r="K42" i="53"/>
  <c r="K44" i="53" s="1"/>
  <c r="I42" i="53"/>
  <c r="I44" i="53" s="1"/>
  <c r="L42" i="53"/>
  <c r="L44" i="53" s="1"/>
  <c r="J42" i="53"/>
  <c r="J44" i="53" s="1"/>
  <c r="H15" i="54" s="1"/>
  <c r="M42" i="53"/>
  <c r="M44" i="53" s="1"/>
  <c r="L82" i="27" l="1"/>
  <c r="L101" i="27" s="1"/>
  <c r="L103" i="27" s="1"/>
  <c r="H23" i="54"/>
  <c r="H27" i="54"/>
  <c r="H25" i="54" l="1"/>
  <c r="L19" i="21"/>
  <c r="L21" i="21" s="1"/>
  <c r="L104" i="27"/>
  <c r="O19" i="21" l="1"/>
  <c r="O21" i="21" s="1"/>
  <c r="M19" i="21"/>
  <c r="L47" i="21" l="1"/>
  <c r="L49" i="21" s="1"/>
  <c r="M21" i="21"/>
  <c r="O47" i="21"/>
  <c r="O49" i="21" s="1"/>
  <c r="M47" i="21" l="1"/>
  <c r="M49"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37" authorId="0" shapeId="0" xr:uid="{00000000-0006-0000-0100-00000100000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<sst xmlns="http://schemas.openxmlformats.org/spreadsheetml/2006/main" count="819" uniqueCount="419">
  <si>
    <t>…</t>
  </si>
  <si>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</si>
  <si>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</si>
  <si>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</si>
  <si>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</si>
  <si>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</si>
  <si>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</si>
  <si>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</si>
  <si>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</si>
  <si>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</si>
  <si>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</si>
  <si>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</si>
  <si>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</si>
  <si>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</si>
  <si>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</si>
  <si>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</si>
  <si>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</si>
  <si>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</si>
  <si>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</si>
  <si>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</si>
  <si>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</si>
  <si>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</si>
  <si>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</si>
  <si>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</si>
  <si>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</si>
  <si>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Bij een dataverzoek zijn door ACM vóóringevulde velden (bijv. rekenvolume) in een wit veld geplaatst</t>
  </si>
  <si>
    <t>Een kader kan worden gebruikt om aan te geven dat een bepaald veld input bevat, maar dit deze input automatisch wordt ingeladen door middel van een macro (dus NIET handmatig in te vullen)</t>
  </si>
  <si>
    <t>Bronnenoverzicht en specifieke toepassingen</t>
  </si>
  <si>
    <t>Bronnenoverzicht</t>
  </si>
  <si>
    <t>Exacte bestandsnaam</t>
  </si>
  <si>
    <t>Eenheid</t>
  </si>
  <si>
    <t>Constante</t>
  </si>
  <si>
    <t>Beschrijving gegevens</t>
  </si>
  <si>
    <t>Toelichting bij bijzonderheden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</si>
  <si>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</si>
  <si>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</si>
  <si>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</si>
  <si>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</si>
  <si>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</si>
  <si>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</si>
  <si>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</si>
  <si>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</si>
  <si>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</si>
  <si>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</si>
  <si>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</si>
  <si>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</si>
  <si>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</si>
  <si>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</si>
  <si>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Gestandaardiseerde tabbladen, omvat tenminste: 'Titelblad', 'Toelichting' en 'Bronnen en functies' (kleur: ACM-lichtpaars)</t>
  </si>
  <si>
    <t>Omschrijving</t>
  </si>
  <si>
    <t>Bronverwijzing</t>
  </si>
  <si>
    <t>Opmerking</t>
  </si>
  <si>
    <t>Ophalen gegevens voor berekening</t>
  </si>
  <si>
    <t>Rijtotaal</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</si>
  <si>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</si>
  <si>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</si>
  <si>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</si>
  <si>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</si>
  <si>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Berekende waarde die wordt opgehaald op een ander tabblad, incl. eindresultaat van berekening</t>
  </si>
  <si>
    <t>Data en input (vermeld de bron); bij een dataverzoek: in te vullen velden</t>
  </si>
  <si>
    <t>Nr.</t>
  </si>
  <si>
    <t xml:space="preserve">Verkorte naam </t>
  </si>
  <si>
    <t>Naam bestand extern</t>
  </si>
  <si>
    <t>Beschrijving berekening</t>
  </si>
  <si>
    <t>Beschrijving resultaat</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</si>
  <si>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</si>
  <si>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</si>
  <si>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</si>
  <si>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</si>
  <si>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</si>
  <si>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Algemene parameters en parameters uit Warmteregeling (artikel 2 en 3)</t>
  </si>
  <si>
    <t>Algemene parameters</t>
  </si>
  <si>
    <t>BTW</t>
  </si>
  <si>
    <t>Gemiddelde levensduur cv-ketel (in jaren)</t>
  </si>
  <si>
    <t>Gemiddelde levensduur afleverset (in jaren)</t>
  </si>
  <si>
    <t>Parameters voor de berekening van de energetische waarde van aardgasgebruik in de gaswoning uit Warmteregeling (artikel 3)</t>
  </si>
  <si>
    <t>VR</t>
  </si>
  <si>
    <t>VT</t>
  </si>
  <si>
    <t>η ruimte</t>
  </si>
  <si>
    <t>η tap</t>
  </si>
  <si>
    <t>jaren</t>
  </si>
  <si>
    <t>%</t>
  </si>
  <si>
    <t>VKg = de gemiddelde jaarlijkse vaste kosten van het transport</t>
  </si>
  <si>
    <t>Liander N.V.</t>
  </si>
  <si>
    <t>ΔGK = het verschil in gebruikskosten, bestaande uit het verschil tussen de gebruikskosten bij het gebruik van gas als energiebron en de gebruikskosten bij het gebruik van warmte als energiebron;</t>
  </si>
  <si>
    <t>CVg: de bovenwaarde van de verbrandingswaarde van aardgas</t>
  </si>
  <si>
    <t>Gebruiksafhankelijke G1-tarieven met vaste prijs gaslevering 2020 éénjaarscontracten van 10 grootste Nederlandse gasleveranciers</t>
  </si>
  <si>
    <t>Berekening van de jaarlijkse vaste kosten van transport</t>
  </si>
  <si>
    <t>Gebruikskosten Gas</t>
  </si>
  <si>
    <t>Gebruikskosten Warmte</t>
  </si>
  <si>
    <t>EUR</t>
  </si>
  <si>
    <t>jaar</t>
  </si>
  <si>
    <t>Gemiddelde levensduur cv-ketel</t>
  </si>
  <si>
    <t>Gemiddelde levensduur afleverset</t>
  </si>
  <si>
    <t>Consumentenprijsindex (CPI)</t>
  </si>
  <si>
    <t>CPI 2018</t>
  </si>
  <si>
    <t>CPI 2019</t>
  </si>
  <si>
    <t>CPI 2020</t>
  </si>
  <si>
    <t>Verbruikskosten gas</t>
  </si>
  <si>
    <t>Verbruikskosten warmte</t>
  </si>
  <si>
    <t>Verschil in verbruikskosten</t>
  </si>
  <si>
    <t>Verschil verbruikskosten</t>
  </si>
  <si>
    <t>Berekening gemiddelde gebruiksafhankelijke G1-tarief (Pg) 2020</t>
  </si>
  <si>
    <t xml:space="preserve">VR </t>
  </si>
  <si>
    <t>Categorie A</t>
  </si>
  <si>
    <t>Categorie B</t>
  </si>
  <si>
    <t>Categorie C</t>
  </si>
  <si>
    <t>Categorie D</t>
  </si>
  <si>
    <t>Verschil gebruikskosten</t>
  </si>
  <si>
    <t>Vaste kosten van de maximumprijs Vk 2020</t>
  </si>
  <si>
    <t>Variabele kosten van de maximumprijs Pw 2020</t>
  </si>
  <si>
    <t>Kosten koudeprijs 2020</t>
  </si>
  <si>
    <t>Aansluitingen</t>
  </si>
  <si>
    <t>#</t>
  </si>
  <si>
    <t>Meetkosten op basis van meettarieven</t>
  </si>
  <si>
    <t>Aanschafwaarde bij vervanging meest voorkomende afleverset</t>
  </si>
  <si>
    <t>Specifieke input vaste kosten categorie C</t>
  </si>
  <si>
    <t>Tot en met een vermogen van 3 kilowatt</t>
  </si>
  <si>
    <t>Gemiddelde levensduur cv-ketel van 1000Kw (in jaren)</t>
  </si>
  <si>
    <t>Verbruikskosten</t>
  </si>
  <si>
    <t>Input voor het variabele deel van de maximumprijs (Pw) zoals bedoeld in het Warmtebesluit (artikel 4)</t>
  </si>
  <si>
    <t>Particulier</t>
  </si>
  <si>
    <t>Coteq</t>
  </si>
  <si>
    <t>Enduris</t>
  </si>
  <si>
    <t>Enexis</t>
  </si>
  <si>
    <t>N.V. Rendo</t>
  </si>
  <si>
    <t>Stedin</t>
  </si>
  <si>
    <t>Westland</t>
  </si>
  <si>
    <t>Jaarlijkse afschrijving</t>
  </si>
  <si>
    <t>Restwaarde cv-ketel gemiddelde levensduur</t>
  </si>
  <si>
    <t>Gas cv-ketel</t>
  </si>
  <si>
    <t>Warmte afleverset</t>
  </si>
  <si>
    <t>Restwaarde afleverset gemiddelde levensduur</t>
  </si>
  <si>
    <t>Kapitaalslasten afleverset</t>
  </si>
  <si>
    <t>Kapitaalslasten cv-ketel</t>
  </si>
  <si>
    <t>Gebruikskosten cv-ketel Gas</t>
  </si>
  <si>
    <t>Gebruikskosten afleverset warmte</t>
  </si>
  <si>
    <t>Vaste kosten</t>
  </si>
  <si>
    <t>Verschil gebruikskosten 1000 kW</t>
  </si>
  <si>
    <t>De gegevens dienen als input voor de berekening van de gemiddelde van de vaste G1-tarieven voor gaslevering 2020 en als input voor de berekening van het gebruiksafhankelijk deel van de maximumprijs.</t>
  </si>
  <si>
    <t>De gegevens dienen als input voor de berekening van de gemiddelde jaarlijkse vaste kosten van het transport, de levering en de aansluitng van gas.</t>
  </si>
  <si>
    <t>Inputgegevens vaste deel van de particuliere maximumprijs (VKw) zoals bedoeld in het Warmtebesluit (artikel 3 Lid 1)</t>
  </si>
  <si>
    <t>Warmteregeling (paragraaf 2.3; artikel 3a)</t>
  </si>
  <si>
    <t>Warmteregeling artikel 2 lid 3b</t>
  </si>
  <si>
    <t>Vermogenskostenvoet</t>
  </si>
  <si>
    <t>Opslag per kilowatt &gt;3 kilowatt</t>
  </si>
  <si>
    <t>In dit tabblad wordt alle input ingevoerd die afkomstig zijn van de tien grootste gasleveranciers.</t>
  </si>
  <si>
    <t>In dit tabblad wordt alle input ingevoerd die afkomstig zijn van de netbeheerders.</t>
  </si>
  <si>
    <t>In dit tabblad wordt alle input ingevoerd ten behoeve van de berekening gebruikskosten cv-ketel en afleverset voor een particulier tot en met een vermogen van 100kW.</t>
  </si>
  <si>
    <t>In dit tabblad wordt alle input ingevoerd ten behoeve van de berekening gebruikskosten cv-ketel en afleverset voor een particulier tot en met een vermogen van 1000kW.</t>
  </si>
  <si>
    <t>Op dit tabblad worden de gebruiksonafhankelijke collectieve maximumprijzen berekend voor zowel de cv-ketel en de afleverset bij een vermogen van 1000Kw.</t>
  </si>
  <si>
    <t>In dit tabblad worden de onderdelen van het gebruiksafhankelijke deel van het maximumprijs voor de klanten berekend.</t>
  </si>
  <si>
    <t>CBS</t>
  </si>
  <si>
    <t>www.belastingdienst.nl.</t>
  </si>
  <si>
    <t>Gegevens die door ACM zijn ontvangen van gasleveranciers in het kader van artikel 44, tweede lid van de Gaswet.</t>
  </si>
  <si>
    <t>Warmteregeling artikel 2 lid 2a</t>
  </si>
  <si>
    <t>Warmteregeling artikel 2 lid 2b</t>
  </si>
  <si>
    <t>Warmtebesluit</t>
  </si>
  <si>
    <t>Warmteregeling</t>
  </si>
  <si>
    <t>Opslag extra vermogen &gt;3 kW</t>
  </si>
  <si>
    <t>Gemiddelde</t>
  </si>
  <si>
    <t>Factor particulier indien enkel WTW of RV</t>
  </si>
  <si>
    <t>Aanschafwaarde cv-ketel</t>
  </si>
  <si>
    <t>Aanschafwaarde afleverset</t>
  </si>
  <si>
    <t>Gemiddelde meettarieven voor G6 aansluiting</t>
  </si>
  <si>
    <t>Energetische waarde van aardgasgebruik in de gaswoning (energie g)</t>
  </si>
  <si>
    <t>Brandstofrendement van het warmteproces (η)</t>
  </si>
  <si>
    <t>Gemiddelde gebruiksafhankelijke G1-tarief 2020</t>
  </si>
  <si>
    <t>Variabele kosten van de maximumprijs 2020</t>
  </si>
  <si>
    <t>Inputgegevens particuliere verbruikskosten cv-ketel en afleverset tot en met 100kw</t>
  </si>
  <si>
    <t>Aanschafwaarde meest voorkomende cv-ketel</t>
  </si>
  <si>
    <t>Totaal</t>
  </si>
  <si>
    <t>De gemiddelde jaarlijkse vaste kosten van het transport</t>
  </si>
  <si>
    <t>Warmte</t>
  </si>
  <si>
    <t>Koude</t>
  </si>
  <si>
    <t>Jaarlijkse vaste kosten transport, levering en aansluiting</t>
  </si>
  <si>
    <t>Verschil verbruikskosten categorie B en D</t>
  </si>
  <si>
    <t>=&lt; 100 kW</t>
  </si>
  <si>
    <t>Warmteregeling artikel 2 lid 3a</t>
  </si>
  <si>
    <t>Warmteregeling artikel 3, lid 2.</t>
  </si>
  <si>
    <t>Warmteregeling artikel 3, lid 1.</t>
  </si>
  <si>
    <t>Gemiddelde per gasleverancier</t>
  </si>
  <si>
    <t>Warmteregeling artikel 2  lid 3d</t>
  </si>
  <si>
    <t>Gemiddelde jaarlijkse vaste kosten 1000kW aansluiting</t>
  </si>
  <si>
    <t>Opslag per kilowatt voor aansluiting boven 2 kilowatt</t>
  </si>
  <si>
    <t>Basistarief voor aansluitingen voor de levering van koude</t>
  </si>
  <si>
    <t>ΔGK: verschil in gebruikskosten</t>
  </si>
  <si>
    <t>Aandeel vaste kosten categorie B en D</t>
  </si>
  <si>
    <t>Vaste kosten van een aansluiting levering van warmte met een vermogen tot 1000 kW</t>
  </si>
  <si>
    <t>Opslag vaste kosten aansluiting levering van warmte met een vermogen tot 1000Kw</t>
  </si>
  <si>
    <t>Ok&gt;2kW: verschil in gebruikskosten</t>
  </si>
  <si>
    <t>Jaarlijkse vaste kosten van transport, de levering en de aansluiting</t>
  </si>
  <si>
    <t>Vaste kosten verbruik</t>
  </si>
  <si>
    <t>Variabele kosten verbruik</t>
  </si>
  <si>
    <t>Vaste kosten van transport, de levering en de aansluiting 2020</t>
  </si>
  <si>
    <t>Gewogen gemiddelde vaste G1-tarieven gaslevering</t>
  </si>
  <si>
    <t xml:space="preserve">Gewogen gemiddelde TOVT G6 aansluiting </t>
  </si>
  <si>
    <t>Gewogen gemiddelde PA G6 aansluiting</t>
  </si>
  <si>
    <t>Gewogen gemiddelde TAVT G6 aansluiting</t>
  </si>
  <si>
    <t>Vaste kosten van transport,  levering en de aansluiting 2020</t>
  </si>
  <si>
    <t>Vaste kosten van transport, levering en de aansluiting 2020</t>
  </si>
  <si>
    <t>Gewogen gemiddelde TOVT G6 aansluiting</t>
  </si>
  <si>
    <t>VKg = de gemiddelde jaarlijkse vaste kosten van het transport 2020</t>
  </si>
  <si>
    <t>Transportonafhankelijke verbruikerstarieven (TOVT) voor G6 aansluitingen</t>
  </si>
  <si>
    <t>Rekenvolumes TOTV voor G6 aansluitingen</t>
  </si>
  <si>
    <t>Transportafhankelijke verbruikerstarieven (TAVT)</t>
  </si>
  <si>
    <t>Rekencapaciteit voor G6 aansluitingen</t>
  </si>
  <si>
    <t>Rekenvolumes (RV) voor transportafhankelijke verbruikerstarieven G6 aansluitingen</t>
  </si>
  <si>
    <t>Periodieke aansluittarieven (PA) voor G6 aansluitingen</t>
  </si>
  <si>
    <t>Rekenvolumes (RV) voor periodieke aansluittarieven G6 aansluitingen</t>
  </si>
  <si>
    <t>Vaste G1-tarieven gaslevering éénjaarscontracten</t>
  </si>
  <si>
    <t>Totale aansluitingen vaste G1-tarieven gaslevering éénjaarscontracten</t>
  </si>
  <si>
    <t>Pg: gemiddelde gebruiksafhankelijke G1-tarief</t>
  </si>
  <si>
    <t>Jaarlijkse operationelekosten cv-ketel</t>
  </si>
  <si>
    <t>Jaarlijkse vermogenskosten</t>
  </si>
  <si>
    <t>Jaarlijkse operationele kosten afleverset</t>
  </si>
  <si>
    <t>Jaarlijkse operationele kosten cv-ketel</t>
  </si>
  <si>
    <t>Verschil vaste kosten van een aansluiting levering van warmte particulier en collectief</t>
  </si>
  <si>
    <t>De maximumprijs wordt opgebouwd uit het basistarief en opslagen</t>
  </si>
  <si>
    <t>Opslag duurzame energie per m3 0-170.000 m3 2020</t>
  </si>
  <si>
    <t>Specifieke input levering koude</t>
  </si>
  <si>
    <t>Factor prijspeil 2017 - 2020</t>
  </si>
  <si>
    <t>100 kW=&lt;1000 kW</t>
  </si>
  <si>
    <t>CW3</t>
  </si>
  <si>
    <t>CW4</t>
  </si>
  <si>
    <t>CW5</t>
  </si>
  <si>
    <t>CW6</t>
  </si>
  <si>
    <t>EUR, excl BTW</t>
  </si>
  <si>
    <t>Kosten per component</t>
  </si>
  <si>
    <t>Elektronische regeling</t>
  </si>
  <si>
    <t>Warmtewisselaar</t>
  </si>
  <si>
    <t xml:space="preserve">Nominale vermogenskostenvoet </t>
  </si>
  <si>
    <t>Jaarlijkse operationele kosten</t>
  </si>
  <si>
    <t>CW5 + CW6</t>
  </si>
  <si>
    <t>Aanschaf- en installatiekosten</t>
  </si>
  <si>
    <t>Huurtarieven</t>
  </si>
  <si>
    <t>Jaarlijkse afschrijvingslasten</t>
  </si>
  <si>
    <t>Gemiddelde resterende levensduur afleverset (in jaren)</t>
  </si>
  <si>
    <t>Gemiddelde restwaarde afleverset</t>
  </si>
  <si>
    <t>Vermogenskostenvergoeding</t>
  </si>
  <si>
    <t>GKw onderdeel a: kapitaalslasten afleverset</t>
  </si>
  <si>
    <t>EUR, incl BTW</t>
  </si>
  <si>
    <t>Inputgegevens collectieve verbruikskosten cv-ketel en afleverset 100 kW en 1000kw</t>
  </si>
  <si>
    <t>Nominale vermogenskostenvoet (WACC)</t>
  </si>
  <si>
    <t>Overige parameters benodigd voor berekening huurtarieven</t>
  </si>
  <si>
    <t>Jaarlijkse operationele kosten gecombineerde afleverset</t>
  </si>
  <si>
    <t>Jaarlijkse operationele kosten I, RV en I, WTW</t>
  </si>
  <si>
    <t>Elektronische regeling (ER)</t>
  </si>
  <si>
    <t>Warmtewisselaar (WW)</t>
  </si>
  <si>
    <t>Dit tabblad geeft de tariefopbouw weer voor de gecombineerde afleverset, de afleverset voor enkel ruimteverwarming (I, RV) en de afleverset voor enkel warm tapwater (I, WTW).</t>
  </si>
  <si>
    <t>Gecombineerde afleverset</t>
  </si>
  <si>
    <t>Enkel ruimteverwarming</t>
  </si>
  <si>
    <t>Enkel warm tapwater</t>
  </si>
  <si>
    <t>Dit tabblad geeft de basis huurtarieven weer voor een gecombineerde afleverset en een afleverset voor enkel ruimteverwarming of warm tapwater.</t>
  </si>
  <si>
    <t>De op- of afslag voor de aanvullende functionaliteiten zijn significant wanneer deze meer dan één euro per maand bedragen.</t>
  </si>
  <si>
    <t>Op basis van bovenstaand criterium wordt de elektronische regeling niet als een aanvullende functionaliteit vastgesteld.</t>
  </si>
  <si>
    <t>Voor zowel de gecombineerde afleverset als de afleverset voor enkel warm tapwater worden kosten per CW waarde opgenomen, voor een afleverset enkel ruimteverwarming geldt een opslag per kW</t>
  </si>
  <si>
    <t>Gezien voor enkel warm tapwater geen waarnemingen zijn ten behoeve van een op- of afslag per CW waarde, worden deze op- of afslagen gelijk gesteld aan die van een gecombineerde afleverset</t>
  </si>
  <si>
    <t>Enkel ruimteverwarming (25kW)</t>
  </si>
  <si>
    <t>Enkel warm tapwater (CW4)</t>
  </si>
  <si>
    <t>Gecombineerd en enkel warm tapwater</t>
  </si>
  <si>
    <t>Maximum huurtarieven</t>
  </si>
  <si>
    <t>Inputgegevens ten behoeve van huurtarieven afleversets</t>
  </si>
  <si>
    <t>Berekening huurtarieven afleversets en op- of afslagen</t>
  </si>
  <si>
    <t>I, RV (25kW)</t>
  </si>
  <si>
    <t>I, WTW (CW4)</t>
  </si>
  <si>
    <t>Op dit tabblad zijn ook de kosten voor een elektronische regeling (ER) en een warmtewisselaar (WW) opgenomen, van deze functionaliteiten worden vervolgens een huurtarief bepaald.</t>
  </si>
  <si>
    <t>Op- of afslagen functionaliteiten</t>
  </si>
  <si>
    <t>Opslag ER</t>
  </si>
  <si>
    <t>Opslag WW</t>
  </si>
  <si>
    <t>Opslag per kW &gt; 25kW</t>
  </si>
  <si>
    <t>Afleverset gecombineerd en enkel warm tapwater</t>
  </si>
  <si>
    <t>Afleverset enkel ruimteverwarming</t>
  </si>
  <si>
    <t>Overige functionaliteiten</t>
  </si>
  <si>
    <t>Dit tabblad geeft de aanschaf- en installatiekosten van een afleverset weer die voortkomen uit de aangeleverde informatie van warmteleveranciers. Daarnaast worden de kosten voor de warmtewisselaar en elektronische regeling weergegeven.</t>
  </si>
  <si>
    <t>Dit tabblad geeft de tariefopbouw weer voor de verschillende categorieen.</t>
  </si>
  <si>
    <t>De maximumprijs wordt opgebouwd uit het basistarief en opslagen.</t>
  </si>
  <si>
    <t>Energiebelasting per m3 0-170.000 m3 2020</t>
  </si>
  <si>
    <t>Voor 100 kW=&lt;1000 kW is er voor gas geen meettarief meegenomen, omdat dit al in de vaste kosten voor gas zit.</t>
  </si>
  <si>
    <r>
      <t xml:space="preserve">Besluit meettarieven gas </t>
    </r>
    <r>
      <rPr>
        <b/>
        <sz val="10"/>
        <rFont val="Arial"/>
        <family val="2"/>
      </rPr>
      <t>2020:</t>
    </r>
    <r>
      <rPr>
        <sz val="10"/>
        <rFont val="Arial"/>
        <family val="2"/>
      </rPr>
      <t xml:space="preserve"> www.acm.nl.</t>
    </r>
  </si>
  <si>
    <t>De gegevens dienen als input voor de berekening van het gebruiksafhankelijk deel van de maximumprijs.</t>
  </si>
  <si>
    <t>De gegevens dienen als input voor de berekening van de opslag voor collectievesystemen met een vermogen tussen de 100kW en 1000 kW.</t>
  </si>
  <si>
    <t>Tarievenbesluiten gas 2020, www.acm.nl.</t>
  </si>
  <si>
    <t>EUR, excl BTW /jaar</t>
  </si>
  <si>
    <t>Gemiddelde resterende levensduur waarde</t>
  </si>
  <si>
    <t>Vaste kosten categorie B en D</t>
  </si>
  <si>
    <t>Aanschaf- en installatiekosten I, RV en I,WTW</t>
  </si>
  <si>
    <t>Aanschaf- en installatiekosten gecombineerde afleverset</t>
  </si>
  <si>
    <t>Onderhoudskosten</t>
  </si>
  <si>
    <t>Op dit tabblad wordt de jaarlijkse vaste kosten van gas en het verschil in gebruikskosten berekend</t>
  </si>
  <si>
    <t>Op dit tabblad worden de waarden uit de warmteregeling omgezet naar het juiste prijspeil</t>
  </si>
  <si>
    <t xml:space="preserve">Panteia, “Inzicht in de kosten voor aanschaf en installatie nieuwe cv-combiketel: Een onderzoek onder Nederlandse consumenten.” Zoetermeer, 18 november 2019. </t>
  </si>
  <si>
    <t>Tarievenbesluit warmte 2020</t>
  </si>
  <si>
    <t>Intern rekenbestand ACM</t>
  </si>
  <si>
    <t>Ja</t>
  </si>
  <si>
    <t xml:space="preserve">De input van de gewogen gemiddelde aanschaf- en installatiekosten komen uit een intern rekenbestand. </t>
  </si>
  <si>
    <t>In dit rekenbestand is de aangeleverde kosteninformatie per warmteleveranciers verwerkt.</t>
  </si>
  <si>
    <t>Besluit meettarieven gas 2020: www.acm.nl.</t>
  </si>
  <si>
    <t>Maximum tarieven warmte 2020</t>
  </si>
  <si>
    <t>Opslag per kW</t>
  </si>
  <si>
    <t>EUR, excl BTW per jaar</t>
  </si>
  <si>
    <t>EUR, excl BTW per GJ</t>
  </si>
  <si>
    <t>Rapport Panteia</t>
  </si>
  <si>
    <t>Variabele kosten</t>
  </si>
  <si>
    <t>EUR, excl BTW per m3</t>
  </si>
  <si>
    <t>De elektronische regeling is niet significant op basis van 1 EUR per maand, deze wordt daarom niet aangemerkt als aanvullende functionaliteit.</t>
  </si>
  <si>
    <t>Factor ten behoeve van opslag categorie B en D</t>
  </si>
  <si>
    <t>Aanschafwaarde meest voorkomende cv-ketel van 1.000Kw</t>
  </si>
  <si>
    <t>Jaarlijkse operationelekosten cv-ketel van 1.000Kw</t>
  </si>
  <si>
    <t>Aanschafwaarde meest voorkomende afleverset van 1.000Kw</t>
  </si>
  <si>
    <t>Jaarlijkse operationelekosten afleverset van 1.000Kw</t>
  </si>
  <si>
    <t>Jaarlijkse operationele kosten cv ketel</t>
  </si>
  <si>
    <t>pp 2019</t>
  </si>
  <si>
    <t>pp 2020</t>
  </si>
  <si>
    <t>pp 2016-2018</t>
  </si>
  <si>
    <t>pp 2016-2019</t>
  </si>
  <si>
    <t>pp 2017</t>
  </si>
  <si>
    <t>Energiebelasting per m3 0-5000 m3</t>
  </si>
  <si>
    <t>Opslag duurzame energie per m3 0-170.000 m3</t>
  </si>
  <si>
    <t>Gewogen gemiddelde gebruiksafhankelijke G1-tarieven</t>
  </si>
  <si>
    <t>EUR, excl BTW per kW</t>
  </si>
  <si>
    <t>EUR, excl BTW per Gj</t>
  </si>
  <si>
    <t>EUR, excl BTW/ jaar</t>
  </si>
  <si>
    <t>EUR, excl BTW/ kW/ jaar</t>
  </si>
  <si>
    <t>Kosten overige aanvullende functionaliteiten</t>
  </si>
  <si>
    <t>Af- of opslag per kW &gt; 25kW</t>
  </si>
  <si>
    <t>Af- of opslag aanvullende functionaliteit</t>
  </si>
  <si>
    <t>Teruggave of bijdrage voor een aanvullende functionaliteit</t>
  </si>
  <si>
    <t>Huurtarief afleverset</t>
  </si>
  <si>
    <t>Teruggave of bijdrage/ op- of afslag</t>
  </si>
  <si>
    <t>Teruggave CW3</t>
  </si>
  <si>
    <t>Afslag CW3</t>
  </si>
  <si>
    <t>Bijdrage CW5</t>
  </si>
  <si>
    <t>Opslag elektronische regeling</t>
  </si>
  <si>
    <t>Bijdrage elektronische regeling</t>
  </si>
  <si>
    <t>Bijdrage warmtewisselaar</t>
  </si>
  <si>
    <t>Opslag warmtewisselaar</t>
  </si>
  <si>
    <t>Opslag kW</t>
  </si>
  <si>
    <t>Bijdrage per kW &gt; 25kW</t>
  </si>
  <si>
    <t>Opslag CW5</t>
  </si>
  <si>
    <t>Opslag CW6</t>
  </si>
  <si>
    <t>Vanwege een onlogisch verloop in de kosten van CW5 en CW6 worden deze categorieën samengevoegd tot een gewogen gemiddelde</t>
  </si>
  <si>
    <t xml:space="preserve">Vanwege een onlogisch verloop in de aanschaf- en installatiekosten tussen CW5 en CW6 is een gewogen gemiddelde bepaald van deze aanschaf- en installatiekosten. </t>
  </si>
  <si>
    <t>Dit resulteert in een gelijk tarief voor CW5 en CW6.</t>
  </si>
  <si>
    <t>Warmteregeling ACM, memorie van toelichting paragraaf 2.1.1</t>
  </si>
  <si>
    <t>Wijziging van enkele belastingwetten en enige andere wetten (Wet fiscale maatregelen Klimaatakkoord)</t>
  </si>
  <si>
    <t>Kosten per aanvullende functionaliteit</t>
  </si>
  <si>
    <t>Berekening leverings- en huurtarieven warmte 2020</t>
  </si>
  <si>
    <t>Tarievenbesluit "netbeheerder" gas 2020</t>
  </si>
  <si>
    <t>Tarievenbesluit meters RNB gas 2020</t>
  </si>
  <si>
    <t>Regeling van de Minister van Economische Zaken en Klimaat van 2 april 2019, nr. WJZ / 19065655, tot wijziging van de Warmteregeling (wegnemen knelpunten n.a.v. evaluatie Warmtewet)</t>
  </si>
  <si>
    <t>Besluit van 26 maart 2019 tot wijziging van het Warmtebesluit (wijzigingen ter uitvoering van de wet tot wijziging van de Warmtewet naar aanleiding van de evaluatie van de Warmtewet)</t>
  </si>
  <si>
    <t>www.belastingdienst.nl</t>
  </si>
  <si>
    <t>Wet fiscale maatregelen Klimaatakkoord</t>
  </si>
  <si>
    <t>EUR, incl BTW/jaar</t>
  </si>
  <si>
    <t>EUR, incl BTW/kW/jaar</t>
  </si>
  <si>
    <t>Resultaat huurtarieven</t>
  </si>
  <si>
    <t>Resultaat leveringstarieven</t>
  </si>
  <si>
    <t>n.v.t.</t>
  </si>
  <si>
    <t xml:space="preserve">Kosten per Gigajoule </t>
  </si>
  <si>
    <t>EUR, excl BTW/rekencap/jaar</t>
  </si>
  <si>
    <t xml:space="preserve">Inputgegevens warmteregeling &amp; ACM voor kosten cv-ketel en afleverset </t>
  </si>
  <si>
    <t>Alle tarieven zijn excl BTW</t>
  </si>
  <si>
    <t>EUR per jaar</t>
  </si>
  <si>
    <t>EUR per jaar per m3</t>
  </si>
  <si>
    <t>ACM/18/031910</t>
  </si>
  <si>
    <t>Indien gegevens van de tien grootste gasleveranciers niet beschikbaar zijn worden de gegevens van de gasleveranciers meegenomen die wél beschikbaar zijn</t>
  </si>
  <si>
    <t>De tarieven van de gasleveranciers worden niet openbaar gemaakt</t>
  </si>
  <si>
    <t>Dit bestand betreft bijlage 1 van het tarievenbesluit warmte 2020</t>
  </si>
  <si>
    <t>ACM/UIT/525371</t>
  </si>
  <si>
    <t xml:space="preserve">Rapport Brattle </t>
  </si>
  <si>
    <t>Rapport Brattle</t>
  </si>
  <si>
    <t xml:space="preserve">Brattle, "The WACC for Heating Companies and Heat Exchangers in the Netherlands", draft report of 18 July 2022. </t>
  </si>
  <si>
    <t>Ophalen gegevens collectieve afleverset</t>
  </si>
  <si>
    <t>a</t>
  </si>
  <si>
    <t>b</t>
  </si>
  <si>
    <t>Vermogen (kW, log)</t>
  </si>
  <si>
    <t>c</t>
  </si>
  <si>
    <t>WACC nominaal 2020</t>
  </si>
  <si>
    <t>d</t>
  </si>
  <si>
    <t>Afschrijvingstermijn</t>
  </si>
  <si>
    <t>Onderhoudskosten afleverset 1000kW</t>
  </si>
  <si>
    <t>Ingevolge artikel 2, derde lid, van de warmteregeling</t>
  </si>
  <si>
    <t>NB: functie voor kosten: EXP(a+b*LN(kW))</t>
  </si>
  <si>
    <t>Onderhoudskosten RV+WTW</t>
  </si>
  <si>
    <t>EUR/jr pp2020 excl. btw</t>
  </si>
  <si>
    <t>Onderhoudskosten RV</t>
  </si>
  <si>
    <t>Onderhoudskosten WTW</t>
  </si>
  <si>
    <t>Berekening capaciteitscategorieën aanschaf- en installatiekosten</t>
  </si>
  <si>
    <t>categorie vermogen</t>
  </si>
  <si>
    <t>kosten (pp 2016-2018)</t>
  </si>
  <si>
    <t>af-/opslag</t>
  </si>
  <si>
    <t>van</t>
  </si>
  <si>
    <t>t/m</t>
  </si>
  <si>
    <t>referentie</t>
  </si>
  <si>
    <t>kW</t>
  </si>
  <si>
    <t>EUR pp2016-2018 ex</t>
  </si>
  <si>
    <t>EUR pp2020 ex</t>
  </si>
  <si>
    <t>-</t>
  </si>
  <si>
    <t>= basistarief 100kW</t>
  </si>
  <si>
    <t>= tevens waarde voor 1000kW combi cv-ketel</t>
  </si>
  <si>
    <t>Berekening capaciteitscategorieën tarieven</t>
  </si>
  <si>
    <t>basistarief 100kW excl onderhoud</t>
  </si>
  <si>
    <t>Collectieve afleverset</t>
  </si>
  <si>
    <t>huurtarief</t>
  </si>
  <si>
    <t>EUR/jr</t>
  </si>
  <si>
    <t>basistarief 100kW RV+WTW</t>
  </si>
  <si>
    <t>basistarief 100kW RV</t>
  </si>
  <si>
    <t>basistarief 100kW WTW</t>
  </si>
  <si>
    <t>Afwijkend vermogen  ≤75kW</t>
  </si>
  <si>
    <t>eenmalige teruggave</t>
  </si>
  <si>
    <t>Afwijkend vermogen &gt;125kW</t>
  </si>
  <si>
    <t>eenmalige</t>
  </si>
  <si>
    <t>óf opslag</t>
  </si>
  <si>
    <t>bijdrage</t>
  </si>
  <si>
    <t xml:space="preserve">Op dit tabblad berekent de ACM de maximale huurtarieven voor collectieve afleversets. </t>
  </si>
  <si>
    <t>Resultaat huurtarieven collectieve afleverset</t>
  </si>
  <si>
    <t xml:space="preserve">Voor een toelichting op de berekeningswijze van de maximum huurtarieven, zie paragraaf 6.6 van het tarievenbesluit. </t>
  </si>
  <si>
    <t xml:space="preserve">Op de kostenvoet vreemd vermogen berekend door Brattle is nog een opslag van 0,15%-punt toegepast voor transactiekosten.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</si>
</sst>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quot;€&quot;\ * #,##0.00_-;_-&quot;€&quot;\ * #,##0.00\-;_-&quot;€&quot;\ * &quot;-&quot;??_-;_-@_-"/>
    <numFmt numFmtId="165" formatCode="_ * #,##0_ ;_ * \-#,##0_ ;_ * &quot;-&quot;??_ ;_ @_ "/>
    <numFmt numFmtId="166" formatCode="_ * #,##0.00000_ ;_ * \-#,##0.00000_ ;_ * &quot;-&quot;??_ ;_ @_ "/>
    <numFmt numFmtId="167" formatCode="_ * #,##0.000_ ;_ * \-#,##0.000_ ;_ * &quot;-&quot;??_ ;_ @_ "/>
    <numFmt numFmtId="168" formatCode="_ * #,##0.0000_ ;_ * \-#,##0.0000_ ;_ * &quot;-&quot;??_ ;_ @_ "/>
    <numFmt numFmtId="169" formatCode="0.000"/>
    <numFmt numFmtId="170" formatCode="_ * #,##0.0_ ;_ * \-#,##0.0_ ;_ * &quot;-&quot;??_ ;_ @_ "/>
    <numFmt numFmtId="171" formatCode="_ * #,##0.00_ ;_ * \-#,##0.00_ ;_ * &quot;-&quot;_ ;_ @_ "/>
    <numFmt numFmtId="172" formatCode="_ * #,##0.0_ ;_ * \-#,##0.0_ ;_ * &quot;-&quot;_ ;_ @_ "/>
    <numFmt numFmtId="173" formatCode="0.0"/>
    <numFmt numFmtId="174" formatCode="0.0000"/>
  </numFmts>
  <fonts count="42" x14ac:knownFonts="1">
    <font>
      <sz val="11"/>
      <color theme="1"/>
      <name val="Calibri"/>
      <family val="2"/>
      <scheme val="minor"/>
    </font>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b/>
      <sz val="14"/>
      <color rgb="FFFF0000"/>
      <name val="Arial"/>
      <family val="2"/>
    </font>
    <font>
      <u/>
      <sz val="11"/>
      <color theme="10"/>
      <name val="Calibri"/>
      <family val="2"/>
      <scheme val="minor"/>
    </font>
    <font>
      <b/>
      <i/>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0"/>
      <name val="Arial"/>
      <family val="2"/>
    </font>
    <font>
      <sz val="10"/>
      <color indexed="8"/>
      <name val="MS Sans Serif"/>
      <family val="2"/>
    </font>
    <font>
      <sz val="10"/>
      <color theme="1"/>
      <name val="Calibri"/>
      <family val="2"/>
    </font>
    <font>
      <b/>
      <sz val="10"/>
      <color theme="1"/>
      <name val="Calibri"/>
      <family val="2"/>
    </font>
    <font>
      <i/>
      <sz val="10"/>
      <color theme="1"/>
      <name val="Arial"/>
      <family val="2"/>
    </font>
    <font>
      <sz val="10"/>
      <color indexed="8"/>
      <name val="Arial"/>
      <family val="2"/>
    </font>
    <font>
      <b/>
      <sz val="11"/>
      <color theme="1"/>
      <name val="Calibri"/>
      <family val="2"/>
      <scheme val="minor"/>
    </font>
    <font>
      <i/>
      <sz val="11"/>
      <color theme="1"/>
      <name val="Arial"/>
      <family val="2"/>
    </font>
    <font>
      <b/>
      <sz val="11"/>
      <color theme="1"/>
      <name val="Arial"/>
      <family val="2"/>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7030A0"/>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bgColor indexed="64"/>
      </patternFill>
    </fill>
    <fill>
      <patternFill patternType="solid">
        <fgColor rgb="FFE1FFE1"/>
        <bgColor indexed="64"/>
      </patternFill>
    </fill>
  </fills>
  <borders count="1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thin">
        <color theme="0"/>
      </right>
      <top style="thin">
        <color theme="0"/>
      </top>
      <bottom style="thin">
        <color theme="0"/>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81">
    <xf numFmtId="0" fontId="0" fillId="0" borderId="0"/>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0" borderId="0">
      <alignment vertical="top"/>
    </xf>
    <xf numFmtId="49" fontId="10" fillId="5" borderId="1">
      <alignment vertical="top"/>
    </xf>
    <xf numFmtId="49" fontId="7" fillId="24" borderId="1">
      <alignment vertical="top"/>
    </xf>
    <xf numFmtId="49" fontId="7" fillId="0" borderId="0">
      <alignment vertical="top"/>
    </xf>
    <xf numFmtId="43" fontId="6" fillId="17" borderId="0">
      <alignment vertical="top"/>
    </xf>
    <xf numFmtId="43" fontId="6" fillId="16" borderId="0">
      <alignment vertical="top"/>
    </xf>
    <xf numFmtId="43" fontId="6" fillId="14" borderId="0">
      <alignment vertical="top"/>
    </xf>
    <xf numFmtId="43" fontId="6" fillId="7" borderId="0">
      <alignment vertical="top"/>
    </xf>
    <xf numFmtId="43" fontId="6" fillId="9" borderId="0">
      <alignment vertical="top"/>
    </xf>
    <xf numFmtId="43" fontId="6" fillId="18" borderId="0">
      <alignment vertical="top"/>
    </xf>
    <xf numFmtId="49" fontId="12" fillId="0" borderId="0">
      <alignment vertical="top"/>
    </xf>
    <xf numFmtId="49" fontId="11" fillId="0" borderId="0">
      <alignment vertical="top"/>
    </xf>
    <xf numFmtId="0" fontId="18" fillId="20" borderId="4" applyNumberFormat="0" applyAlignment="0" applyProtection="0"/>
    <xf numFmtId="0" fontId="19" fillId="21" borderId="5" applyNumberFormat="0" applyAlignment="0" applyProtection="0"/>
    <xf numFmtId="0" fontId="20" fillId="21" borderId="4" applyNumberFormat="0" applyAlignment="0" applyProtection="0"/>
    <xf numFmtId="0" fontId="21" fillId="0" borderId="6" applyNumberFormat="0" applyFill="0" applyAlignment="0" applyProtection="0"/>
    <xf numFmtId="0" fontId="15" fillId="22" borderId="7" applyNumberFormat="0" applyAlignment="0" applyProtection="0"/>
    <xf numFmtId="0" fontId="17" fillId="23" borderId="8" applyNumberFormat="0" applyFont="0" applyAlignment="0" applyProtection="0"/>
    <xf numFmtId="0" fontId="23" fillId="0" borderId="0" applyNumberForma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4" fontId="17" fillId="0" borderId="0" applyFont="0" applyFill="0" applyBorder="0" applyAlignment="0" applyProtection="0"/>
    <xf numFmtId="42" fontId="17" fillId="0" borderId="0" applyFont="0" applyFill="0" applyBorder="0" applyAlignment="0" applyProtection="0"/>
    <xf numFmtId="9" fontId="17"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10" applyNumberFormat="0" applyFill="0" applyAlignment="0" applyProtection="0"/>
    <xf numFmtId="0" fontId="28" fillId="0" borderId="11" applyNumberFormat="0" applyFill="0" applyAlignment="0" applyProtection="0"/>
    <xf numFmtId="0" fontId="28" fillId="0" borderId="0" applyNumberFormat="0" applyFill="0" applyBorder="0" applyAlignment="0" applyProtection="0"/>
    <xf numFmtId="0" fontId="16" fillId="0" borderId="0" applyNumberFormat="0" applyFill="0" applyBorder="0" applyAlignment="0" applyProtection="0"/>
    <xf numFmtId="0" fontId="29" fillId="0" borderId="0" applyNumberFormat="0" applyFill="0" applyBorder="0" applyAlignment="0" applyProtection="0"/>
    <xf numFmtId="0" fontId="30" fillId="0" borderId="12" applyNumberFormat="0" applyFill="0" applyAlignment="0" applyProtection="0"/>
    <xf numFmtId="0" fontId="31"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31" fillId="48" borderId="0" applyNumberFormat="0" applyBorder="0" applyAlignment="0" applyProtection="0"/>
    <xf numFmtId="0" fontId="32" fillId="0" borderId="0" applyNumberFormat="0" applyFill="0" applyBorder="0" applyAlignment="0" applyProtection="0"/>
    <xf numFmtId="0" fontId="33" fillId="0" borderId="0"/>
    <xf numFmtId="0" fontId="6" fillId="0" borderId="0"/>
    <xf numFmtId="164" fontId="34" fillId="0" borderId="0" applyFont="0" applyFill="0" applyBorder="0" applyAlignment="0" applyProtection="0"/>
    <xf numFmtId="0" fontId="6" fillId="0" borderId="0"/>
    <xf numFmtId="0" fontId="17" fillId="0" borderId="0"/>
    <xf numFmtId="9" fontId="6" fillId="0" borderId="0" applyFont="0" applyFill="0" applyBorder="0" applyAlignment="0" applyProtection="0"/>
    <xf numFmtId="0" fontId="6" fillId="0" borderId="0"/>
    <xf numFmtId="0" fontId="2" fillId="0" borderId="0">
      <alignment vertical="top"/>
    </xf>
    <xf numFmtId="43" fontId="6" fillId="49" borderId="0" applyNumberFormat="0">
      <alignment vertical="top"/>
    </xf>
    <xf numFmtId="0" fontId="23" fillId="0" borderId="0" applyNumberFormat="0" applyFill="0" applyBorder="0" applyAlignment="0" applyProtection="0"/>
    <xf numFmtId="49" fontId="7" fillId="24" borderId="1">
      <alignment vertical="top"/>
    </xf>
    <xf numFmtId="43" fontId="35" fillId="0" borderId="0" applyFont="0" applyFill="0" applyBorder="0" applyAlignment="0" applyProtection="0"/>
    <xf numFmtId="41" fontId="6" fillId="51" borderId="0">
      <alignment vertical="top"/>
    </xf>
    <xf numFmtId="43" fontId="6" fillId="18" borderId="0">
      <alignment vertical="top"/>
    </xf>
    <xf numFmtId="41" fontId="6" fillId="18" borderId="0">
      <alignment vertical="top"/>
    </xf>
    <xf numFmtId="41" fontId="6" fillId="16" borderId="0">
      <alignment vertical="top"/>
    </xf>
    <xf numFmtId="0" fontId="35" fillId="0" borderId="0"/>
    <xf numFmtId="9" fontId="35" fillId="0" borderId="0" applyFont="0" applyFill="0" applyBorder="0" applyAlignment="0" applyProtection="0"/>
    <xf numFmtId="0" fontId="6" fillId="18" borderId="0">
      <alignment vertical="top"/>
    </xf>
    <xf numFmtId="43" fontId="6" fillId="16" borderId="0">
      <alignment vertical="top"/>
    </xf>
  </cellStyleXfs>
  <cellXfs count="231">
    <xf numFmtId="0" fontId="0" fillId="0" borderId="0" xfId="0"/>
    <xf numFmtId="0" fontId="7" fillId="0" borderId="0" xfId="4" applyFont="1">
      <alignment vertical="top"/>
    </xf>
    <xf numFmtId="0" fontId="6" fillId="0" borderId="0" xfId="4">
      <alignment vertical="top"/>
    </xf>
    <xf numFmtId="0" fontId="8" fillId="0" borderId="0" xfId="4" applyFont="1">
      <alignment vertical="top"/>
    </xf>
    <xf numFmtId="0" fontId="10" fillId="6" borderId="1" xfId="4" applyFont="1" applyFill="1" applyBorder="1">
      <alignment vertical="top"/>
    </xf>
    <xf numFmtId="0" fontId="11" fillId="0" borderId="0" xfId="4" applyFont="1">
      <alignment vertical="top"/>
    </xf>
    <xf numFmtId="0" fontId="12" fillId="0" borderId="0" xfId="4" applyFont="1">
      <alignment vertical="top"/>
    </xf>
    <xf numFmtId="0" fontId="6" fillId="0" borderId="2" xfId="4" applyBorder="1">
      <alignment vertical="top"/>
    </xf>
    <xf numFmtId="49" fontId="10" fillId="5" borderId="1" xfId="5">
      <alignment vertical="top"/>
    </xf>
    <xf numFmtId="49" fontId="7" fillId="24" borderId="1" xfId="6">
      <alignment vertical="top"/>
    </xf>
    <xf numFmtId="0" fontId="6" fillId="0" borderId="0" xfId="4" applyFill="1">
      <alignment vertical="top"/>
    </xf>
    <xf numFmtId="0" fontId="8" fillId="0" borderId="2" xfId="4" applyFont="1" applyBorder="1" applyAlignment="1">
      <alignment horizontal="left" vertical="top" wrapText="1"/>
    </xf>
    <xf numFmtId="0" fontId="6" fillId="0" borderId="2" xfId="4" applyBorder="1" applyAlignment="1">
      <alignment horizontal="left" vertical="top" wrapText="1"/>
    </xf>
    <xf numFmtId="0" fontId="10" fillId="5" borderId="1" xfId="4" applyFont="1" applyFill="1" applyBorder="1">
      <alignment vertical="top"/>
    </xf>
    <xf numFmtId="0" fontId="9" fillId="5" borderId="1" xfId="4" applyFont="1" applyFill="1" applyBorder="1">
      <alignment vertical="top"/>
    </xf>
    <xf numFmtId="0" fontId="9" fillId="6" borderId="1" xfId="4" applyFont="1" applyFill="1" applyBorder="1">
      <alignment vertical="top"/>
    </xf>
    <xf numFmtId="0" fontId="12" fillId="0" borderId="0" xfId="4" applyFont="1" applyFill="1">
      <alignment vertical="top"/>
    </xf>
    <xf numFmtId="0" fontId="6" fillId="10" borderId="0" xfId="4" applyFill="1">
      <alignment vertical="top"/>
    </xf>
    <xf numFmtId="0" fontId="6" fillId="11" borderId="0" xfId="4" applyFill="1">
      <alignment vertical="top"/>
    </xf>
    <xf numFmtId="0" fontId="6" fillId="12" borderId="0" xfId="4" applyFill="1">
      <alignment vertical="top"/>
    </xf>
    <xf numFmtId="0" fontId="6" fillId="13" borderId="0" xfId="4" applyFill="1">
      <alignment vertical="top"/>
    </xf>
    <xf numFmtId="0" fontId="6" fillId="8" borderId="0" xfId="4" applyFill="1">
      <alignment vertical="top"/>
    </xf>
    <xf numFmtId="0" fontId="11" fillId="0" borderId="0" xfId="4" applyFont="1" applyFill="1">
      <alignment vertical="top"/>
    </xf>
    <xf numFmtId="1" fontId="6" fillId="14" borderId="0" xfId="4" applyNumberFormat="1" applyFill="1">
      <alignment vertical="top"/>
    </xf>
    <xf numFmtId="2" fontId="6" fillId="15" borderId="0" xfId="4" applyNumberFormat="1" applyFill="1">
      <alignment vertical="top"/>
    </xf>
    <xf numFmtId="1" fontId="6" fillId="0" borderId="0" xfId="4" applyNumberFormat="1" applyFill="1">
      <alignment vertical="top"/>
    </xf>
    <xf numFmtId="1" fontId="11" fillId="0" borderId="0" xfId="4" applyNumberFormat="1" applyFont="1" applyFill="1">
      <alignment vertical="top"/>
    </xf>
    <xf numFmtId="1" fontId="8" fillId="0" borderId="0" xfId="4" applyNumberFormat="1" applyFont="1" applyFill="1" applyBorder="1">
      <alignment vertical="top"/>
    </xf>
    <xf numFmtId="0" fontId="8" fillId="10" borderId="2" xfId="4" applyFont="1" applyFill="1" applyBorder="1">
      <alignment vertical="top"/>
    </xf>
    <xf numFmtId="0" fontId="14" fillId="0" borderId="0" xfId="4" applyFont="1">
      <alignment vertical="top"/>
    </xf>
    <xf numFmtId="0" fontId="14" fillId="0" borderId="0" xfId="4" applyFont="1" applyFill="1">
      <alignment vertical="top"/>
    </xf>
    <xf numFmtId="0" fontId="15" fillId="6" borderId="1" xfId="4" applyFont="1" applyFill="1" applyBorder="1">
      <alignment vertical="top"/>
    </xf>
    <xf numFmtId="49" fontId="8" fillId="24" borderId="2" xfId="6" applyFont="1" applyBorder="1">
      <alignment vertical="top"/>
    </xf>
    <xf numFmtId="0" fontId="10" fillId="5" borderId="1" xfId="5" applyNumberFormat="1">
      <alignment vertical="top"/>
    </xf>
    <xf numFmtId="0" fontId="16" fillId="0" borderId="0" xfId="4" applyFont="1">
      <alignment vertical="top"/>
    </xf>
    <xf numFmtId="0" fontId="8" fillId="10" borderId="0" xfId="4" applyFont="1" applyFill="1">
      <alignment vertical="top"/>
    </xf>
    <xf numFmtId="0" fontId="8" fillId="12" borderId="0" xfId="4" applyFont="1" applyFill="1">
      <alignment vertical="top"/>
    </xf>
    <xf numFmtId="0" fontId="8" fillId="13" borderId="0" xfId="4" applyFont="1" applyFill="1">
      <alignment vertical="top"/>
    </xf>
    <xf numFmtId="0" fontId="6" fillId="19" borderId="0" xfId="4" applyFill="1">
      <alignment vertical="top"/>
    </xf>
    <xf numFmtId="49" fontId="8" fillId="24" borderId="0" xfId="6" applyFont="1" applyBorder="1">
      <alignment vertical="top"/>
    </xf>
    <xf numFmtId="0" fontId="6" fillId="0" borderId="0" xfId="4" applyFont="1">
      <alignment vertical="top"/>
    </xf>
    <xf numFmtId="49" fontId="6" fillId="24" borderId="2" xfId="6" applyFont="1" applyBorder="1">
      <alignment vertical="top"/>
    </xf>
    <xf numFmtId="0" fontId="22" fillId="6" borderId="1" xfId="4" applyFont="1" applyFill="1" applyBorder="1">
      <alignment vertical="top"/>
    </xf>
    <xf numFmtId="0" fontId="6" fillId="0" borderId="2" xfId="4" applyFont="1" applyBorder="1">
      <alignment vertical="top"/>
    </xf>
    <xf numFmtId="0" fontId="8" fillId="0" borderId="0" xfId="4" applyFont="1" applyFill="1" applyBorder="1" applyAlignment="1">
      <alignment horizontal="left" vertical="top" wrapText="1"/>
    </xf>
    <xf numFmtId="49" fontId="7" fillId="0" borderId="0" xfId="7">
      <alignment vertical="top"/>
    </xf>
    <xf numFmtId="49" fontId="11" fillId="0" borderId="0" xfId="15">
      <alignment vertical="top"/>
    </xf>
    <xf numFmtId="43" fontId="6" fillId="7" borderId="0" xfId="11">
      <alignment vertical="top"/>
    </xf>
    <xf numFmtId="9" fontId="6" fillId="7" borderId="0" xfId="66" applyFill="1" applyAlignment="1">
      <alignment vertical="top"/>
    </xf>
    <xf numFmtId="43" fontId="6" fillId="0" borderId="0" xfId="4" applyNumberFormat="1">
      <alignment vertical="top"/>
    </xf>
    <xf numFmtId="43" fontId="6" fillId="17" borderId="0" xfId="8">
      <alignment vertical="top"/>
    </xf>
    <xf numFmtId="43" fontId="6" fillId="16" borderId="0" xfId="9">
      <alignment vertical="top"/>
    </xf>
    <xf numFmtId="43" fontId="6" fillId="18" borderId="0" xfId="13">
      <alignment vertical="top"/>
    </xf>
    <xf numFmtId="166" fontId="6" fillId="7" borderId="0" xfId="11" applyNumberFormat="1">
      <alignment vertical="top"/>
    </xf>
    <xf numFmtId="0" fontId="6" fillId="0" borderId="0" xfId="62" applyFont="1" applyFill="1" applyBorder="1"/>
    <xf numFmtId="10" fontId="6" fillId="7" borderId="0" xfId="66" applyNumberFormat="1" applyFill="1" applyAlignment="1">
      <alignment vertical="top"/>
    </xf>
    <xf numFmtId="9" fontId="6" fillId="18" borderId="0" xfId="66" applyFill="1" applyAlignment="1">
      <alignment vertical="top"/>
    </xf>
    <xf numFmtId="168" fontId="6" fillId="7" borderId="0" xfId="11" applyNumberFormat="1">
      <alignment vertical="top"/>
    </xf>
    <xf numFmtId="168" fontId="6" fillId="18" borderId="0" xfId="13" applyNumberFormat="1">
      <alignment vertical="top"/>
    </xf>
    <xf numFmtId="167" fontId="6" fillId="16" borderId="0" xfId="9" applyNumberFormat="1">
      <alignment vertical="top"/>
    </xf>
    <xf numFmtId="169" fontId="6" fillId="0" borderId="0" xfId="62" applyNumberFormat="1" applyFont="1" applyFill="1" applyBorder="1" applyAlignment="1">
      <alignment vertical="center"/>
    </xf>
    <xf numFmtId="169" fontId="6" fillId="0" borderId="0" xfId="62" applyNumberFormat="1" applyFont="1" applyFill="1" applyBorder="1" applyAlignment="1">
      <alignment vertical="center"/>
    </xf>
    <xf numFmtId="9" fontId="6" fillId="7" borderId="0" xfId="11" applyNumberFormat="1">
      <alignment vertical="top"/>
    </xf>
    <xf numFmtId="0" fontId="2" fillId="0" borderId="0" xfId="68">
      <alignment vertical="top"/>
    </xf>
    <xf numFmtId="165" fontId="6" fillId="7" borderId="0" xfId="11" applyNumberFormat="1">
      <alignment vertical="top"/>
    </xf>
    <xf numFmtId="0" fontId="6" fillId="0" borderId="0" xfId="61" applyFont="1"/>
    <xf numFmtId="43" fontId="6" fillId="49" borderId="0" xfId="69">
      <alignment vertical="top"/>
    </xf>
    <xf numFmtId="43" fontId="6" fillId="49" borderId="0" xfId="69" applyNumberFormat="1">
      <alignment vertical="top"/>
    </xf>
    <xf numFmtId="165" fontId="6" fillId="18" borderId="0" xfId="13" applyNumberFormat="1">
      <alignment vertical="top"/>
    </xf>
    <xf numFmtId="165" fontId="6" fillId="0" borderId="0" xfId="4" applyNumberFormat="1">
      <alignment vertical="top"/>
    </xf>
    <xf numFmtId="170" fontId="6" fillId="16" borderId="0" xfId="9" applyNumberFormat="1">
      <alignment vertical="top"/>
    </xf>
    <xf numFmtId="0" fontId="16" fillId="0" borderId="0" xfId="4" applyFont="1" applyFill="1">
      <alignment vertical="top"/>
    </xf>
    <xf numFmtId="43" fontId="6" fillId="0" borderId="0" xfId="10" applyFill="1">
      <alignment vertical="top"/>
    </xf>
    <xf numFmtId="43" fontId="6" fillId="0" borderId="0" xfId="11" applyFill="1">
      <alignment vertical="top"/>
    </xf>
    <xf numFmtId="2" fontId="6" fillId="16" borderId="0" xfId="9" applyNumberFormat="1">
      <alignment vertical="top"/>
    </xf>
    <xf numFmtId="0" fontId="6" fillId="0" borderId="0" xfId="62"/>
    <xf numFmtId="49" fontId="7" fillId="0" borderId="0" xfId="6" applyFill="1" applyBorder="1">
      <alignment vertical="top"/>
    </xf>
    <xf numFmtId="49" fontId="7" fillId="24" borderId="1" xfId="6" applyBorder="1">
      <alignment vertical="top"/>
    </xf>
    <xf numFmtId="0" fontId="6" fillId="50" borderId="0" xfId="4" applyFill="1">
      <alignment vertical="top"/>
    </xf>
    <xf numFmtId="43" fontId="6" fillId="50" borderId="0" xfId="13" applyFill="1">
      <alignment vertical="top"/>
    </xf>
    <xf numFmtId="49" fontId="7" fillId="24" borderId="1" xfId="71" applyFont="1">
      <alignment vertical="top"/>
    </xf>
    <xf numFmtId="0" fontId="0" fillId="50" borderId="0" xfId="0" applyFill="1"/>
    <xf numFmtId="0" fontId="2" fillId="50" borderId="0" xfId="0" applyFont="1" applyFill="1"/>
    <xf numFmtId="0" fontId="2" fillId="50" borderId="13" xfId="0" applyFont="1" applyFill="1" applyBorder="1" applyAlignment="1">
      <alignment vertical="center"/>
    </xf>
    <xf numFmtId="0" fontId="36" fillId="50" borderId="13" xfId="0" applyFont="1" applyFill="1" applyBorder="1" applyAlignment="1">
      <alignment vertical="center"/>
    </xf>
    <xf numFmtId="0" fontId="2" fillId="50" borderId="0" xfId="0" applyFont="1" applyFill="1" applyBorder="1" applyAlignment="1">
      <alignment vertical="top"/>
    </xf>
    <xf numFmtId="0" fontId="2" fillId="50" borderId="0" xfId="0" applyFont="1" applyFill="1" applyBorder="1" applyAlignment="1">
      <alignment vertical="center"/>
    </xf>
    <xf numFmtId="0" fontId="2" fillId="50" borderId="0" xfId="0" applyFont="1" applyFill="1" applyBorder="1"/>
    <xf numFmtId="0" fontId="30" fillId="50" borderId="0" xfId="0" applyFont="1" applyFill="1" applyBorder="1" applyAlignment="1">
      <alignment vertical="center"/>
    </xf>
    <xf numFmtId="165" fontId="6" fillId="50" borderId="0" xfId="72" applyNumberFormat="1" applyFont="1" applyFill="1" applyBorder="1" applyAlignment="1">
      <alignment vertical="top"/>
    </xf>
    <xf numFmtId="0" fontId="23" fillId="50" borderId="0" xfId="70" applyFill="1" applyBorder="1" applyAlignment="1">
      <alignment vertical="center"/>
    </xf>
    <xf numFmtId="2" fontId="6" fillId="18" borderId="0" xfId="13" applyNumberFormat="1">
      <alignment vertical="top"/>
    </xf>
    <xf numFmtId="0" fontId="15" fillId="50" borderId="0" xfId="0" applyFont="1" applyFill="1" applyBorder="1" applyAlignment="1">
      <alignment vertical="center"/>
    </xf>
    <xf numFmtId="1" fontId="2" fillId="50" borderId="0" xfId="0" applyNumberFormat="1" applyFont="1" applyFill="1" applyBorder="1"/>
    <xf numFmtId="171" fontId="6" fillId="16" borderId="0" xfId="76" applyNumberFormat="1">
      <alignment vertical="top"/>
    </xf>
    <xf numFmtId="49" fontId="7" fillId="50" borderId="0" xfId="71" applyFont="1" applyFill="1" applyBorder="1">
      <alignment vertical="top"/>
    </xf>
    <xf numFmtId="49" fontId="6" fillId="50" borderId="0" xfId="71" applyFont="1" applyFill="1" applyBorder="1">
      <alignment vertical="top"/>
    </xf>
    <xf numFmtId="41" fontId="6" fillId="16" borderId="0" xfId="76" applyNumberFormat="1">
      <alignment vertical="top"/>
    </xf>
    <xf numFmtId="0" fontId="37" fillId="50" borderId="0" xfId="0" applyFont="1" applyFill="1" applyBorder="1" applyAlignment="1">
      <alignment horizontal="left" vertical="center"/>
    </xf>
    <xf numFmtId="171" fontId="6" fillId="16" borderId="3" xfId="76" applyNumberFormat="1" applyBorder="1">
      <alignment vertical="top"/>
    </xf>
    <xf numFmtId="0" fontId="31" fillId="50" borderId="0" xfId="0" applyFont="1" applyFill="1" applyBorder="1" applyAlignment="1">
      <alignment vertical="center"/>
    </xf>
    <xf numFmtId="171" fontId="38" fillId="50" borderId="0" xfId="62" applyNumberFormat="1" applyFont="1" applyFill="1" applyBorder="1"/>
    <xf numFmtId="2" fontId="6" fillId="50" borderId="0" xfId="4" applyNumberFormat="1" applyFill="1">
      <alignment vertical="top"/>
    </xf>
    <xf numFmtId="2" fontId="6" fillId="17" borderId="0" xfId="72" applyNumberFormat="1" applyFont="1" applyFill="1" applyAlignment="1">
      <alignment vertical="top"/>
    </xf>
    <xf numFmtId="165" fontId="0" fillId="50" borderId="0" xfId="0" applyNumberFormat="1" applyFill="1"/>
    <xf numFmtId="49" fontId="7" fillId="50" borderId="0" xfId="71" applyFill="1" applyBorder="1">
      <alignment vertical="top"/>
    </xf>
    <xf numFmtId="0" fontId="39" fillId="50" borderId="0" xfId="0" applyFont="1" applyFill="1"/>
    <xf numFmtId="49" fontId="7" fillId="24" borderId="1" xfId="71" applyBorder="1">
      <alignment vertical="top"/>
    </xf>
    <xf numFmtId="49" fontId="7" fillId="24" borderId="1" xfId="71" applyFont="1" applyBorder="1">
      <alignment vertical="top"/>
    </xf>
    <xf numFmtId="49" fontId="24" fillId="24" borderId="1" xfId="71" applyFont="1" applyBorder="1">
      <alignment vertical="top"/>
    </xf>
    <xf numFmtId="49" fontId="24" fillId="24" borderId="1" xfId="71" applyFont="1">
      <alignment vertical="top"/>
    </xf>
    <xf numFmtId="43" fontId="6" fillId="14" borderId="0" xfId="10">
      <alignment vertical="top"/>
    </xf>
    <xf numFmtId="0" fontId="6" fillId="49" borderId="0" xfId="69" applyNumberFormat="1">
      <alignment vertical="top"/>
    </xf>
    <xf numFmtId="43" fontId="6" fillId="50" borderId="0" xfId="69" applyFill="1">
      <alignment vertical="top"/>
    </xf>
    <xf numFmtId="49" fontId="7" fillId="24" borderId="14" xfId="71" applyFont="1" applyBorder="1">
      <alignment vertical="top"/>
    </xf>
    <xf numFmtId="0" fontId="0" fillId="50" borderId="0" xfId="0" applyFill="1" applyBorder="1"/>
    <xf numFmtId="41" fontId="6" fillId="50" borderId="0" xfId="73" applyFill="1" applyBorder="1">
      <alignment vertical="top"/>
    </xf>
    <xf numFmtId="0" fontId="0" fillId="50" borderId="14" xfId="0" applyFill="1" applyBorder="1"/>
    <xf numFmtId="165" fontId="6" fillId="50" borderId="14" xfId="9" applyNumberFormat="1" applyFill="1" applyBorder="1">
      <alignment vertical="top"/>
    </xf>
    <xf numFmtId="43" fontId="6" fillId="18" borderId="0" xfId="66" applyNumberFormat="1" applyFill="1" applyAlignment="1">
      <alignment vertical="top"/>
    </xf>
    <xf numFmtId="43" fontId="6" fillId="18" borderId="0" xfId="72" applyFont="1" applyFill="1" applyAlignment="1">
      <alignment vertical="top"/>
    </xf>
    <xf numFmtId="0" fontId="30" fillId="50" borderId="0" xfId="0" applyFont="1" applyFill="1"/>
    <xf numFmtId="43" fontId="6" fillId="50" borderId="0" xfId="66" applyNumberFormat="1" applyFill="1" applyAlignment="1">
      <alignment vertical="top"/>
    </xf>
    <xf numFmtId="0" fontId="2" fillId="50" borderId="14" xfId="0" applyFont="1" applyFill="1" applyBorder="1"/>
    <xf numFmtId="2" fontId="6" fillId="50" borderId="0" xfId="72" applyNumberFormat="1" applyFont="1" applyFill="1" applyAlignment="1">
      <alignment vertical="top"/>
    </xf>
    <xf numFmtId="2" fontId="2" fillId="50" borderId="0" xfId="0" applyNumberFormat="1" applyFont="1" applyFill="1" applyBorder="1"/>
    <xf numFmtId="2" fontId="6" fillId="18" borderId="0" xfId="75" applyNumberFormat="1">
      <alignment vertical="top"/>
    </xf>
    <xf numFmtId="41" fontId="6" fillId="50" borderId="0" xfId="73" applyFill="1">
      <alignment vertical="top"/>
    </xf>
    <xf numFmtId="165" fontId="6" fillId="50" borderId="0" xfId="9" applyNumberFormat="1" applyFill="1">
      <alignment vertical="top"/>
    </xf>
    <xf numFmtId="166" fontId="6" fillId="18" borderId="0" xfId="13" applyNumberFormat="1">
      <alignment vertical="top"/>
    </xf>
    <xf numFmtId="43" fontId="6" fillId="0" borderId="0" xfId="13" applyFill="1">
      <alignment vertical="top"/>
    </xf>
    <xf numFmtId="43" fontId="6" fillId="0" borderId="0" xfId="69" applyFill="1">
      <alignment vertical="top"/>
    </xf>
    <xf numFmtId="43" fontId="6" fillId="18" borderId="0" xfId="13" applyNumberFormat="1">
      <alignment vertical="top"/>
    </xf>
    <xf numFmtId="168" fontId="6" fillId="0" borderId="0" xfId="4" applyNumberFormat="1">
      <alignment vertical="top"/>
    </xf>
    <xf numFmtId="10" fontId="6" fillId="18" borderId="0" xfId="66" applyNumberFormat="1" applyFill="1" applyAlignment="1">
      <alignment vertical="top"/>
    </xf>
    <xf numFmtId="165" fontId="6" fillId="0" borderId="0" xfId="13" applyNumberFormat="1" applyFill="1">
      <alignment vertical="top"/>
    </xf>
    <xf numFmtId="170" fontId="6" fillId="18" borderId="0" xfId="13" applyNumberFormat="1">
      <alignment vertical="top"/>
    </xf>
    <xf numFmtId="172" fontId="6" fillId="16" borderId="0" xfId="76" applyNumberFormat="1">
      <alignment vertical="top"/>
    </xf>
    <xf numFmtId="0" fontId="7" fillId="0" borderId="0" xfId="4" applyFont="1" applyFill="1">
      <alignment vertical="top"/>
    </xf>
    <xf numFmtId="169" fontId="7" fillId="0" borderId="0" xfId="62" applyNumberFormat="1" applyFont="1" applyFill="1" applyBorder="1" applyAlignment="1">
      <alignment vertical="center"/>
    </xf>
    <xf numFmtId="43" fontId="6" fillId="0" borderId="0" xfId="8" applyFill="1">
      <alignment vertical="top"/>
    </xf>
    <xf numFmtId="0" fontId="0" fillId="0" borderId="0" xfId="0" applyFill="1"/>
    <xf numFmtId="173" fontId="6" fillId="0" borderId="0" xfId="13" applyNumberFormat="1" applyFill="1">
      <alignment vertical="top"/>
    </xf>
    <xf numFmtId="41" fontId="6" fillId="0" borderId="0" xfId="73" applyNumberFormat="1" applyFill="1">
      <alignment vertical="top"/>
    </xf>
    <xf numFmtId="165" fontId="6" fillId="0" borderId="0" xfId="9" applyNumberFormat="1" applyFill="1">
      <alignment vertical="top"/>
    </xf>
    <xf numFmtId="165" fontId="6" fillId="0" borderId="0" xfId="69" applyNumberFormat="1" applyFill="1">
      <alignment vertical="top"/>
    </xf>
    <xf numFmtId="171" fontId="6" fillId="0" borderId="0" xfId="4" applyNumberFormat="1">
      <alignment vertical="top"/>
    </xf>
    <xf numFmtId="171" fontId="7" fillId="24" borderId="1" xfId="71" applyNumberFormat="1" applyBorder="1">
      <alignment vertical="top"/>
    </xf>
    <xf numFmtId="171" fontId="0" fillId="50" borderId="0" xfId="0" applyNumberFormat="1" applyFill="1"/>
    <xf numFmtId="0" fontId="2" fillId="0" borderId="0" xfId="0" applyFont="1" applyFill="1"/>
    <xf numFmtId="0" fontId="2" fillId="0" borderId="0" xfId="0" applyFont="1" applyFill="1" applyBorder="1"/>
    <xf numFmtId="49" fontId="7" fillId="0" borderId="0" xfId="71" applyFont="1" applyFill="1" applyBorder="1">
      <alignment vertical="top"/>
    </xf>
    <xf numFmtId="0" fontId="2" fillId="0" borderId="0" xfId="0" applyFont="1"/>
    <xf numFmtId="43" fontId="6" fillId="14" borderId="0" xfId="10" applyFont="1">
      <alignment vertical="top"/>
    </xf>
    <xf numFmtId="171" fontId="6" fillId="0" borderId="0" xfId="73" applyNumberFormat="1" applyFont="1" applyFill="1">
      <alignment vertical="top"/>
    </xf>
    <xf numFmtId="43" fontId="6" fillId="0" borderId="0" xfId="9" applyFill="1">
      <alignment vertical="top"/>
    </xf>
    <xf numFmtId="9" fontId="6" fillId="0" borderId="0" xfId="11" applyNumberFormat="1" applyFill="1">
      <alignment vertical="top"/>
    </xf>
    <xf numFmtId="0" fontId="2" fillId="0" borderId="0" xfId="4" applyFont="1">
      <alignment vertical="top"/>
    </xf>
    <xf numFmtId="43" fontId="16" fillId="0" borderId="0" xfId="10" applyFont="1" applyFill="1">
      <alignment vertical="top"/>
    </xf>
    <xf numFmtId="43" fontId="6" fillId="0" borderId="0" xfId="72" applyFont="1" applyAlignment="1">
      <alignment vertical="top"/>
    </xf>
    <xf numFmtId="165" fontId="6" fillId="0" borderId="0" xfId="72" applyNumberFormat="1" applyFont="1" applyAlignment="1">
      <alignment vertical="top"/>
    </xf>
    <xf numFmtId="10" fontId="6" fillId="0" borderId="0" xfId="66" applyNumberFormat="1" applyFill="1" applyAlignment="1">
      <alignment vertical="top"/>
    </xf>
    <xf numFmtId="49" fontId="7" fillId="24" borderId="1" xfId="6" applyFont="1">
      <alignment vertical="top"/>
    </xf>
    <xf numFmtId="49" fontId="7" fillId="24" borderId="1" xfId="6" applyFont="1" applyBorder="1">
      <alignment vertical="top"/>
    </xf>
    <xf numFmtId="49" fontId="7" fillId="0" borderId="0" xfId="6" applyFont="1" applyFill="1" applyBorder="1">
      <alignment vertical="top"/>
    </xf>
    <xf numFmtId="0" fontId="15" fillId="5" borderId="1" xfId="5" applyNumberFormat="1" applyFont="1">
      <alignment vertical="top"/>
    </xf>
    <xf numFmtId="43" fontId="6" fillId="0" borderId="0" xfId="13" applyNumberFormat="1" applyFill="1">
      <alignment vertical="top"/>
    </xf>
    <xf numFmtId="0" fontId="6" fillId="0" borderId="0" xfId="0" applyFont="1"/>
    <xf numFmtId="0" fontId="6" fillId="0" borderId="0" xfId="4" applyFont="1" applyFill="1">
      <alignment vertical="top"/>
    </xf>
    <xf numFmtId="0" fontId="6" fillId="0" borderId="0" xfId="69" applyNumberFormat="1" applyFill="1">
      <alignment vertical="top"/>
    </xf>
    <xf numFmtId="0" fontId="6" fillId="0" borderId="2" xfId="4" applyBorder="1" applyAlignment="1">
      <alignment vertical="top" wrapText="1"/>
    </xf>
    <xf numFmtId="0" fontId="6" fillId="0" borderId="0" xfId="4" applyAlignment="1">
      <alignment vertical="top" wrapText="1"/>
    </xf>
    <xf numFmtId="0" fontId="2" fillId="0" borderId="2" xfId="0" applyFont="1" applyBorder="1" applyAlignment="1">
      <alignment wrapText="1"/>
    </xf>
    <xf numFmtId="0" fontId="6" fillId="0" borderId="0" xfId="4" applyBorder="1">
      <alignment vertical="top"/>
    </xf>
    <xf numFmtId="166" fontId="6" fillId="7" borderId="0" xfId="11" applyNumberFormat="1" applyFont="1">
      <alignment vertical="top"/>
    </xf>
    <xf numFmtId="49" fontId="7" fillId="0" borderId="0" xfId="71" applyFill="1" applyBorder="1">
      <alignment vertical="top"/>
    </xf>
    <xf numFmtId="43" fontId="6" fillId="0" borderId="0" xfId="66" applyNumberFormat="1" applyFill="1" applyAlignment="1">
      <alignment vertical="top"/>
    </xf>
    <xf numFmtId="43" fontId="6" fillId="0" borderId="0" xfId="72" applyFont="1" applyFill="1" applyAlignment="1">
      <alignment vertical="top"/>
    </xf>
    <xf numFmtId="170" fontId="6" fillId="16" borderId="0" xfId="9" applyNumberFormat="1" applyFont="1">
      <alignment vertical="top"/>
    </xf>
    <xf numFmtId="10" fontId="6" fillId="7" borderId="0" xfId="66" applyNumberFormat="1" applyFont="1" applyFill="1" applyAlignment="1">
      <alignment vertical="top"/>
    </xf>
    <xf numFmtId="0" fontId="6" fillId="50" borderId="0" xfId="0" applyFont="1" applyFill="1"/>
    <xf numFmtId="0" fontId="6" fillId="50" borderId="0" xfId="0" applyFont="1" applyFill="1" applyBorder="1" applyAlignment="1">
      <alignment horizontal="left" vertical="top" indent="1"/>
    </xf>
    <xf numFmtId="0" fontId="6" fillId="50" borderId="0" xfId="0" applyFont="1" applyFill="1" applyBorder="1" applyAlignment="1">
      <alignment vertical="top"/>
    </xf>
    <xf numFmtId="0" fontId="7" fillId="50" borderId="0" xfId="0" applyFont="1" applyFill="1" applyBorder="1" applyAlignment="1">
      <alignment vertical="top"/>
    </xf>
    <xf numFmtId="165" fontId="6" fillId="50" borderId="0" xfId="72" applyNumberFormat="1" applyFont="1" applyFill="1" applyBorder="1" applyAlignment="1">
      <alignment horizontal="left" vertical="top" indent="1"/>
    </xf>
    <xf numFmtId="0" fontId="6" fillId="0" borderId="2" xfId="4" applyFont="1" applyBorder="1" applyAlignment="1">
      <alignment vertical="top" wrapText="1"/>
    </xf>
    <xf numFmtId="49" fontId="7" fillId="24" borderId="1" xfId="71">
      <alignment vertical="top"/>
    </xf>
    <xf numFmtId="0" fontId="1" fillId="0" borderId="0" xfId="77" applyFont="1"/>
    <xf numFmtId="0" fontId="1" fillId="50" borderId="0" xfId="77" applyFont="1" applyFill="1"/>
    <xf numFmtId="0" fontId="1" fillId="0" borderId="0" xfId="77" applyFont="1" applyAlignment="1">
      <alignment horizontal="right"/>
    </xf>
    <xf numFmtId="174" fontId="1" fillId="7" borderId="0" xfId="77" applyNumberFormat="1" applyFont="1" applyFill="1"/>
    <xf numFmtId="10" fontId="1" fillId="7" borderId="0" xfId="77" applyNumberFormat="1" applyFont="1" applyFill="1"/>
    <xf numFmtId="1" fontId="1" fillId="7" borderId="0" xfId="77" applyNumberFormat="1" applyFont="1" applyFill="1"/>
    <xf numFmtId="9" fontId="1" fillId="7" borderId="0" xfId="78" applyFont="1" applyFill="1"/>
    <xf numFmtId="1" fontId="6" fillId="50" borderId="0" xfId="79" applyNumberFormat="1" applyFill="1">
      <alignment vertical="top"/>
    </xf>
    <xf numFmtId="0" fontId="40" fillId="0" borderId="0" xfId="77" applyFont="1"/>
    <xf numFmtId="3" fontId="1" fillId="0" borderId="0" xfId="77" applyNumberFormat="1" applyFont="1"/>
    <xf numFmtId="43" fontId="6" fillId="18" borderId="0" xfId="74">
      <alignment vertical="top"/>
    </xf>
    <xf numFmtId="3" fontId="1" fillId="50" borderId="0" xfId="77" applyNumberFormat="1" applyFont="1" applyFill="1"/>
    <xf numFmtId="0" fontId="41" fillId="0" borderId="0" xfId="77" applyFont="1"/>
    <xf numFmtId="0" fontId="41" fillId="0" borderId="0" xfId="77" applyFont="1" applyAlignment="1">
      <alignment horizontal="right"/>
    </xf>
    <xf numFmtId="0" fontId="1" fillId="7" borderId="0" xfId="77" applyFont="1" applyFill="1"/>
    <xf numFmtId="1" fontId="1" fillId="16" borderId="0" xfId="77" applyNumberFormat="1" applyFont="1" applyFill="1"/>
    <xf numFmtId="4" fontId="1" fillId="16" borderId="0" xfId="77" applyNumberFormat="1" applyFont="1" applyFill="1"/>
    <xf numFmtId="3" fontId="1" fillId="16" borderId="0" xfId="77" applyNumberFormat="1" applyFont="1" applyFill="1"/>
    <xf numFmtId="0" fontId="1" fillId="16" borderId="0" xfId="77" applyFont="1" applyFill="1"/>
    <xf numFmtId="0" fontId="30" fillId="50" borderId="0" xfId="77" applyFont="1" applyFill="1"/>
    <xf numFmtId="0" fontId="1" fillId="16" borderId="15" xfId="77" applyFont="1" applyFill="1" applyBorder="1"/>
    <xf numFmtId="0" fontId="1" fillId="7" borderId="1" xfId="77" applyFont="1" applyFill="1" applyBorder="1"/>
    <xf numFmtId="1" fontId="41" fillId="16" borderId="1" xfId="77" applyNumberFormat="1" applyFont="1" applyFill="1" applyBorder="1"/>
    <xf numFmtId="43" fontId="6" fillId="16" borderId="1" xfId="80" applyBorder="1">
      <alignment vertical="top"/>
    </xf>
    <xf numFmtId="0" fontId="1" fillId="0" borderId="16" xfId="77" applyFont="1" applyBorder="1" applyAlignment="1">
      <alignment horizontal="right"/>
    </xf>
    <xf numFmtId="0" fontId="1" fillId="0" borderId="0" xfId="77" quotePrefix="1" applyFont="1"/>
    <xf numFmtId="4" fontId="1" fillId="16" borderId="1" xfId="77" applyNumberFormat="1" applyFont="1" applyFill="1" applyBorder="1"/>
    <xf numFmtId="3" fontId="1" fillId="16" borderId="16" xfId="77" applyNumberFormat="1" applyFont="1" applyFill="1" applyBorder="1"/>
    <xf numFmtId="1" fontId="1" fillId="0" borderId="0" xfId="77" applyNumberFormat="1" applyFont="1"/>
    <xf numFmtId="2" fontId="1" fillId="17" borderId="17" xfId="77" applyNumberFormat="1" applyFont="1" applyFill="1" applyBorder="1"/>
    <xf numFmtId="10" fontId="6" fillId="0" borderId="0" xfId="78" applyNumberFormat="1" applyFont="1" applyAlignment="1">
      <alignment vertical="top"/>
    </xf>
    <xf numFmtId="2" fontId="1" fillId="50" borderId="0" xfId="77" applyNumberFormat="1" applyFont="1" applyFill="1"/>
    <xf numFmtId="0" fontId="41" fillId="14" borderId="0" xfId="77" applyFont="1" applyFill="1"/>
    <xf numFmtId="0" fontId="1" fillId="14" borderId="0" xfId="77" applyFont="1" applyFill="1"/>
    <xf numFmtId="0" fontId="41" fillId="14" borderId="14" xfId="77" applyFont="1" applyFill="1" applyBorder="1"/>
    <xf numFmtId="0" fontId="1" fillId="14" borderId="14" xfId="77" applyFont="1" applyFill="1" applyBorder="1"/>
    <xf numFmtId="43" fontId="6" fillId="17" borderId="0" xfId="80" applyFill="1">
      <alignment vertical="top"/>
    </xf>
    <xf numFmtId="0" fontId="41" fillId="14" borderId="0" xfId="77" applyFont="1" applyFill="1" applyAlignment="1">
      <alignment horizontal="left"/>
    </xf>
    <xf numFmtId="0" fontId="41" fillId="14" borderId="0" xfId="77" applyFont="1" applyFill="1" applyAlignment="1">
      <alignment horizontal="right"/>
    </xf>
    <xf numFmtId="0" fontId="41" fillId="14" borderId="14" xfId="77" applyFont="1" applyFill="1" applyBorder="1" applyAlignment="1">
      <alignment horizontal="right"/>
    </xf>
    <xf numFmtId="43" fontId="6" fillId="17" borderId="3" xfId="80" applyFill="1" applyBorder="1">
      <alignment vertical="top"/>
    </xf>
    <xf numFmtId="10" fontId="6" fillId="0" borderId="0" xfId="66" applyNumberFormat="1" applyAlignment="1">
      <alignment vertical="top"/>
    </xf>
    <xf numFmtId="10" fontId="0" fillId="50" borderId="0" xfId="66" applyNumberFormat="1" applyFont="1" applyFill="1"/>
    <xf numFmtId="10" fontId="2" fillId="50" borderId="0" xfId="66" applyNumberFormat="1" applyFont="1" applyFill="1"/>
  </cellXfs>
  <cellStyles count="81">
    <cellStyle name="_x000d__x000a_JournalTemplate=C:\COMFO\CTALK\JOURSTD.TPL_x000d__x000a_LbStateAddress=3 3 0 251 1 89 2 311_x000d__x000a_LbStateJou" xfId="62" xr:uid="{00000000-0005-0000-0000-000000000000}"/>
    <cellStyle name="_x000d__x000a_JournalTemplate=C:\COMFO\CTALK\JOURSTD.TPL_x000d__x000a_LbStateAddress=3 3 0 251 1 89 2 311_x000d__x000a_LbStateJou 3" xfId="64" xr:uid="{00000000-0005-0000-0000-000001000000}"/>
    <cellStyle name="_kop1 Bladtitel" xfId="5" xr:uid="{00000000-0005-0000-0000-000002000000}"/>
    <cellStyle name="_kop2 Bloktitel" xfId="6" xr:uid="{00000000-0005-0000-0000-000003000000}"/>
    <cellStyle name="_kop2 Bloktitel 2" xfId="71" xr:uid="{00000000-0005-0000-0000-000004000000}"/>
    <cellStyle name="_kop3 Subkop" xfId="7" xr:uid="{00000000-0005-0000-0000-000005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xr:uid="{00000000-0005-0000-0000-00001F000000}"/>
    <cellStyle name="Cel Berekening" xfId="9" xr:uid="{00000000-0005-0000-0000-000020000000}"/>
    <cellStyle name="Cel Berekening 2 2" xfId="80" xr:uid="{4DE76D74-F2F1-446D-B549-B1E94454898C}"/>
    <cellStyle name="Cel Berekening 2 3" xfId="76" xr:uid="{00000000-0005-0000-0000-000021000000}"/>
    <cellStyle name="Cel Bijzonderheid" xfId="10" xr:uid="{00000000-0005-0000-0000-000022000000}"/>
    <cellStyle name="Cel Input" xfId="11" xr:uid="{00000000-0005-0000-0000-000023000000}"/>
    <cellStyle name="Cel Input 2 3" xfId="73" xr:uid="{00000000-0005-0000-0000-000024000000}"/>
    <cellStyle name="Cel n.v.t. (leeg)" xfId="69" xr:uid="{00000000-0005-0000-0000-000025000000}"/>
    <cellStyle name="Cel PM extern" xfId="12" xr:uid="{00000000-0005-0000-0000-000026000000}"/>
    <cellStyle name="Cel Verwijzing" xfId="13" xr:uid="{00000000-0005-0000-0000-000027000000}"/>
    <cellStyle name="Cel Verwijzing 2" xfId="79" xr:uid="{08B45E97-15AE-41D3-B015-098C30B55752}"/>
    <cellStyle name="Cel Verwijzing 2 2" xfId="74" xr:uid="{00000000-0005-0000-0000-000028000000}"/>
    <cellStyle name="Cel Verwijzing 2 3" xfId="75" xr:uid="{00000000-0005-0000-0000-000029000000}"/>
    <cellStyle name="Controlecel" xfId="20" builtinId="23" hidden="1"/>
    <cellStyle name="Euro" xfId="63" xr:uid="{00000000-0005-0000-0000-00002B000000}"/>
    <cellStyle name="Gekoppelde cel" xfId="19" builtinId="24" hidden="1"/>
    <cellStyle name="Gevolgde hyperlink" xfId="60" builtinId="9" hidden="1"/>
    <cellStyle name="Goed" xfId="1" builtinId="26" hidden="1"/>
    <cellStyle name="Hyperlink" xfId="22" builtinId="8" hidden="1"/>
    <cellStyle name="Hyperlink" xfId="70" builtinId="8"/>
    <cellStyle name="Invoer" xfId="16" builtinId="20" hidden="1"/>
    <cellStyle name="Komma" xfId="23" builtinId="3" hidden="1"/>
    <cellStyle name="Komma" xfId="72" builtinId="3"/>
    <cellStyle name="Komma [0]" xfId="24" builtinId="6" hidden="1"/>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xr:uid="{00000000-0005-0000-0000-00003C000000}"/>
    <cellStyle name="Procent" xfId="27" builtinId="5" hidden="1"/>
    <cellStyle name="Procent" xfId="66" builtinId="5"/>
    <cellStyle name="Procent 2" xfId="78" xr:uid="{4935601C-0043-4E8D-9B7E-916C9690DB0C}"/>
    <cellStyle name="Standaard" xfId="0" builtinId="0"/>
    <cellStyle name="Standaard 2" xfId="65" xr:uid="{00000000-0005-0000-0000-000040000000}"/>
    <cellStyle name="Standaard 3" xfId="61" xr:uid="{00000000-0005-0000-0000-000041000000}"/>
    <cellStyle name="Standaard 4" xfId="67" xr:uid="{00000000-0005-0000-0000-000042000000}"/>
    <cellStyle name="Standaard 5" xfId="68" xr:uid="{00000000-0005-0000-0000-000043000000}"/>
    <cellStyle name="Standaard 6" xfId="77" xr:uid="{DEA6026B-D2DC-4BAA-87EB-F02A1E8671A6}"/>
    <cellStyle name="Standaard ACM-DE" xfId="4" xr:uid="{00000000-0005-0000-0000-000044000000}"/>
    <cellStyle name="Titel" xfId="28" builtinId="15" hidden="1"/>
    <cellStyle name="Toelichting" xfId="15" xr:uid="{00000000-0005-0000-0000-000046000000}"/>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0"/>
  <tableStyles count="0" defaultTableStyle="TableStyleMedium2" defaultPivotStyle="PivotStyleLight16"/>
  <colors>
    <mruColors>
      <color rgb="FFCCFFFF"/>
      <color rgb="FFFFFFCC"/>
      <color rgb="FFCCFFCC"/>
      <color rgb="FFFFCC99"/>
      <color rgb="FFCCC8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19</xdr:row>
      <xdr:rowOff>6349</xdr:rowOff>
    </xdr:from>
    <xdr:to>
      <xdr:col>3</xdr:col>
      <xdr:colOff>1799585</xdr:colOff>
      <xdr:row>23</xdr:row>
      <xdr:rowOff>136174</xdr:rowOff>
    </xdr:to>
    <xdr:sp macro="" textlink="">
      <xdr:nvSpPr>
        <xdr:cNvPr id="2" name="Rechthoek 1">
          <a:extLst>
            <a:ext uri="{FF2B5EF4-FFF2-40B4-BE49-F238E27FC236}">
              <a16:creationId xmlns:a16="http://schemas.microsoft.com/office/drawing/2014/main" id="{00000000-0008-0000-0100-000002000000}"/>
            </a:ext>
          </a:extLst>
        </xdr:cNvPr>
        <xdr:cNvSpPr/>
      </xdr:nvSpPr>
      <xdr:spPr>
        <a:xfrm>
          <a:off x="2857500" y="3096682"/>
          <a:ext cx="1799585" cy="764825"/>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a:ea typeface="+mn-ea"/>
              <a:cs typeface="+mn-cs"/>
            </a:rPr>
            <a:t>Maximum tarieven warmteleveranciers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800" b="1" i="0" u="none" strike="noStrike" kern="0" cap="none" spc="0" normalizeH="0" baseline="0">
              <a:ln>
                <a:noFill/>
              </a:ln>
              <a:solidFill>
                <a:srgbClr val="FFFFFF"/>
              </a:solidFill>
              <a:effectLst/>
              <a:uLnTx/>
              <a:uFillTx/>
              <a:latin typeface="Arial"/>
              <a:ea typeface="+mn-ea"/>
              <a:cs typeface="+mn-cs"/>
            </a:rPr>
            <a:t>(dit bestand)</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1</xdr:col>
      <xdr:colOff>998192</xdr:colOff>
      <xdr:row>10</xdr:row>
      <xdr:rowOff>63500</xdr:rowOff>
    </xdr:from>
    <xdr:to>
      <xdr:col>3</xdr:col>
      <xdr:colOff>125735</xdr:colOff>
      <xdr:row>15</xdr:row>
      <xdr:rowOff>34574</xdr:rowOff>
    </xdr:to>
    <xdr:sp macro="" textlink="">
      <xdr:nvSpPr>
        <xdr:cNvPr id="3" name="Stroomdiagram: Proces 2">
          <a:extLst>
            <a:ext uri="{FF2B5EF4-FFF2-40B4-BE49-F238E27FC236}">
              <a16:creationId xmlns:a16="http://schemas.microsoft.com/office/drawing/2014/main" id="{00000000-0008-0000-0100-000003000000}"/>
            </a:ext>
          </a:extLst>
        </xdr:cNvPr>
        <xdr:cNvSpPr/>
      </xdr:nvSpPr>
      <xdr:spPr>
        <a:xfrm>
          <a:off x="1188692" y="1725083"/>
          <a:ext cx="1794543"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Intern rekenbestand ACM</a:t>
          </a:r>
        </a:p>
      </xdr:txBody>
    </xdr:sp>
    <xdr:clientData/>
  </xdr:twoCellAnchor>
  <xdr:twoCellAnchor>
    <xdr:from>
      <xdr:col>2</xdr:col>
      <xdr:colOff>614881</xdr:colOff>
      <xdr:row>15</xdr:row>
      <xdr:rowOff>34574</xdr:rowOff>
    </xdr:from>
    <xdr:to>
      <xdr:col>3</xdr:col>
      <xdr:colOff>899793</xdr:colOff>
      <xdr:row>19</xdr:row>
      <xdr:rowOff>6349</xdr:rowOff>
    </xdr:to>
    <xdr:cxnSp macro="">
      <xdr:nvCxnSpPr>
        <xdr:cNvPr id="4" name="Rechte verbindingslijn met pijl 3">
          <a:extLst>
            <a:ext uri="{FF2B5EF4-FFF2-40B4-BE49-F238E27FC236}">
              <a16:creationId xmlns:a16="http://schemas.microsoft.com/office/drawing/2014/main" id="{00000000-0008-0000-0100-000004000000}"/>
            </a:ext>
          </a:extLst>
        </xdr:cNvPr>
        <xdr:cNvCxnSpPr>
          <a:stCxn id="3" idx="2"/>
          <a:endCxn id="2" idx="0"/>
        </xdr:cNvCxnSpPr>
      </xdr:nvCxnSpPr>
      <xdr:spPr>
        <a:xfrm>
          <a:off x="2085964" y="2489907"/>
          <a:ext cx="1671329" cy="606775"/>
        </a:xfrm>
        <a:prstGeom prst="straightConnector1">
          <a:avLst/>
        </a:prstGeom>
        <a:noFill/>
        <a:ln w="19050" cap="flat" cmpd="sng" algn="ctr">
          <a:solidFill>
            <a:srgbClr val="5F1F7A"/>
          </a:solidFill>
          <a:prstDash val="solid"/>
          <a:tailEnd type="arrow"/>
        </a:ln>
        <a:effectLst/>
      </xdr:spPr>
    </xdr:cxnSp>
    <xdr:clientData/>
  </xdr:twoCellAnchor>
  <xdr:twoCellAnchor>
    <xdr:from>
      <xdr:col>3</xdr:col>
      <xdr:colOff>2621676</xdr:colOff>
      <xdr:row>19</xdr:row>
      <xdr:rowOff>6349</xdr:rowOff>
    </xdr:from>
    <xdr:to>
      <xdr:col>4</xdr:col>
      <xdr:colOff>627386</xdr:colOff>
      <xdr:row>23</xdr:row>
      <xdr:rowOff>136173</xdr:rowOff>
    </xdr:to>
    <xdr:sp macro="" textlink="">
      <xdr:nvSpPr>
        <xdr:cNvPr id="5" name="Stroomdiagram: Proces 4">
          <a:extLst>
            <a:ext uri="{FF2B5EF4-FFF2-40B4-BE49-F238E27FC236}">
              <a16:creationId xmlns:a16="http://schemas.microsoft.com/office/drawing/2014/main" id="{00000000-0008-0000-0100-000005000000}"/>
            </a:ext>
          </a:extLst>
        </xdr:cNvPr>
        <xdr:cNvSpPr/>
      </xdr:nvSpPr>
      <xdr:spPr>
        <a:xfrm>
          <a:off x="5479176" y="3096682"/>
          <a:ext cx="1794543"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Rapport Panteia</a:t>
          </a:r>
        </a:p>
      </xdr:txBody>
    </xdr:sp>
    <xdr:clientData/>
  </xdr:twoCellAnchor>
  <xdr:twoCellAnchor>
    <xdr:from>
      <xdr:col>1</xdr:col>
      <xdr:colOff>181160</xdr:colOff>
      <xdr:row>19</xdr:row>
      <xdr:rowOff>6349</xdr:rowOff>
    </xdr:from>
    <xdr:to>
      <xdr:col>2</xdr:col>
      <xdr:colOff>695120</xdr:colOff>
      <xdr:row>23</xdr:row>
      <xdr:rowOff>136173</xdr:rowOff>
    </xdr:to>
    <xdr:sp macro="" textlink="">
      <xdr:nvSpPr>
        <xdr:cNvPr id="6" name="Stroomdiagram: Proces 5">
          <a:extLst>
            <a:ext uri="{FF2B5EF4-FFF2-40B4-BE49-F238E27FC236}">
              <a16:creationId xmlns:a16="http://schemas.microsoft.com/office/drawing/2014/main" id="{00000000-0008-0000-0100-000006000000}"/>
            </a:ext>
          </a:extLst>
        </xdr:cNvPr>
        <xdr:cNvSpPr/>
      </xdr:nvSpPr>
      <xdr:spPr>
        <a:xfrm>
          <a:off x="371660" y="3096682"/>
          <a:ext cx="1794543"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Rapport Europe Economics</a:t>
          </a:r>
        </a:p>
      </xdr:txBody>
    </xdr:sp>
    <xdr:clientData/>
  </xdr:twoCellAnchor>
  <xdr:twoCellAnchor>
    <xdr:from>
      <xdr:col>2</xdr:col>
      <xdr:colOff>695120</xdr:colOff>
      <xdr:row>21</xdr:row>
      <xdr:rowOff>71261</xdr:rowOff>
    </xdr:from>
    <xdr:to>
      <xdr:col>3</xdr:col>
      <xdr:colOff>0</xdr:colOff>
      <xdr:row>21</xdr:row>
      <xdr:rowOff>71262</xdr:rowOff>
    </xdr:to>
    <xdr:cxnSp macro="">
      <xdr:nvCxnSpPr>
        <xdr:cNvPr id="7" name="Rechte verbindingslijn met pijl 6">
          <a:extLst>
            <a:ext uri="{FF2B5EF4-FFF2-40B4-BE49-F238E27FC236}">
              <a16:creationId xmlns:a16="http://schemas.microsoft.com/office/drawing/2014/main" id="{00000000-0008-0000-0100-000007000000}"/>
            </a:ext>
          </a:extLst>
        </xdr:cNvPr>
        <xdr:cNvCxnSpPr>
          <a:stCxn id="6" idx="3"/>
          <a:endCxn id="2" idx="1"/>
        </xdr:cNvCxnSpPr>
      </xdr:nvCxnSpPr>
      <xdr:spPr>
        <a:xfrm>
          <a:off x="2166203" y="3479094"/>
          <a:ext cx="691297" cy="1"/>
        </a:xfrm>
        <a:prstGeom prst="straightConnector1">
          <a:avLst/>
        </a:prstGeom>
        <a:noFill/>
        <a:ln w="19050" cap="flat" cmpd="sng" algn="ctr">
          <a:solidFill>
            <a:srgbClr val="5F1F7A"/>
          </a:solidFill>
          <a:prstDash val="solid"/>
          <a:tailEnd type="arrow"/>
        </a:ln>
        <a:effectLst/>
      </xdr:spPr>
    </xdr:cxnSp>
    <xdr:clientData/>
  </xdr:twoCellAnchor>
  <xdr:twoCellAnchor>
    <xdr:from>
      <xdr:col>3</xdr:col>
      <xdr:colOff>1799585</xdr:colOff>
      <xdr:row>21</xdr:row>
      <xdr:rowOff>71261</xdr:rowOff>
    </xdr:from>
    <xdr:to>
      <xdr:col>3</xdr:col>
      <xdr:colOff>2621676</xdr:colOff>
      <xdr:row>21</xdr:row>
      <xdr:rowOff>71262</xdr:rowOff>
    </xdr:to>
    <xdr:cxnSp macro="">
      <xdr:nvCxnSpPr>
        <xdr:cNvPr id="10" name="Rechte verbindingslijn met pijl 9">
          <a:extLst>
            <a:ext uri="{FF2B5EF4-FFF2-40B4-BE49-F238E27FC236}">
              <a16:creationId xmlns:a16="http://schemas.microsoft.com/office/drawing/2014/main" id="{00000000-0008-0000-0100-00000A000000}"/>
            </a:ext>
          </a:extLst>
        </xdr:cNvPr>
        <xdr:cNvCxnSpPr>
          <a:stCxn id="5" idx="1"/>
          <a:endCxn id="2" idx="3"/>
        </xdr:cNvCxnSpPr>
      </xdr:nvCxnSpPr>
      <xdr:spPr>
        <a:xfrm flipH="1">
          <a:off x="4657085" y="3479094"/>
          <a:ext cx="822091" cy="1"/>
        </a:xfrm>
        <a:prstGeom prst="straightConnector1">
          <a:avLst/>
        </a:prstGeom>
        <a:noFill/>
        <a:ln w="19050" cap="flat" cmpd="sng" algn="ctr">
          <a:solidFill>
            <a:srgbClr val="5F1F7A"/>
          </a:solidFill>
          <a:prstDash val="solid"/>
          <a:tailEnd type="arrow"/>
        </a:ln>
        <a:effectLst/>
      </xdr:spPr>
    </xdr:cxnSp>
    <xdr:clientData/>
  </xdr:twoCellAnchor>
  <xdr:twoCellAnchor>
    <xdr:from>
      <xdr:col>3</xdr:col>
      <xdr:colOff>1457509</xdr:colOff>
      <xdr:row>10</xdr:row>
      <xdr:rowOff>46567</xdr:rowOff>
    </xdr:from>
    <xdr:to>
      <xdr:col>3</xdr:col>
      <xdr:colOff>3252052</xdr:colOff>
      <xdr:row>15</xdr:row>
      <xdr:rowOff>17641</xdr:rowOff>
    </xdr:to>
    <xdr:sp macro="" textlink="">
      <xdr:nvSpPr>
        <xdr:cNvPr id="17" name="Stroomdiagram: Proces 16">
          <a:extLst>
            <a:ext uri="{FF2B5EF4-FFF2-40B4-BE49-F238E27FC236}">
              <a16:creationId xmlns:a16="http://schemas.microsoft.com/office/drawing/2014/main" id="{00000000-0008-0000-0100-000011000000}"/>
            </a:ext>
          </a:extLst>
        </xdr:cNvPr>
        <xdr:cNvSpPr/>
      </xdr:nvSpPr>
      <xdr:spPr>
        <a:xfrm>
          <a:off x="4315009" y="1708150"/>
          <a:ext cx="1794543"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Benodigde externe gegevens (i.e. warmteregeling en -besluit)</a:t>
          </a:r>
        </a:p>
      </xdr:txBody>
    </xdr:sp>
    <xdr:clientData/>
  </xdr:twoCellAnchor>
  <xdr:twoCellAnchor>
    <xdr:from>
      <xdr:col>3</xdr:col>
      <xdr:colOff>899793</xdr:colOff>
      <xdr:row>15</xdr:row>
      <xdr:rowOff>17641</xdr:rowOff>
    </xdr:from>
    <xdr:to>
      <xdr:col>3</xdr:col>
      <xdr:colOff>2354781</xdr:colOff>
      <xdr:row>19</xdr:row>
      <xdr:rowOff>6349</xdr:rowOff>
    </xdr:to>
    <xdr:cxnSp macro="">
      <xdr:nvCxnSpPr>
        <xdr:cNvPr id="18" name="Rechte verbindingslijn met pijl 17">
          <a:extLst>
            <a:ext uri="{FF2B5EF4-FFF2-40B4-BE49-F238E27FC236}">
              <a16:creationId xmlns:a16="http://schemas.microsoft.com/office/drawing/2014/main" id="{00000000-0008-0000-0100-000012000000}"/>
            </a:ext>
          </a:extLst>
        </xdr:cNvPr>
        <xdr:cNvCxnSpPr>
          <a:stCxn id="17" idx="2"/>
          <a:endCxn id="2" idx="0"/>
        </xdr:cNvCxnSpPr>
      </xdr:nvCxnSpPr>
      <xdr:spPr>
        <a:xfrm flipH="1">
          <a:off x="3757293" y="2472974"/>
          <a:ext cx="1454988" cy="623708"/>
        </a:xfrm>
        <a:prstGeom prst="straightConnector1">
          <a:avLst/>
        </a:prstGeom>
        <a:noFill/>
        <a:ln w="19050" cap="flat" cmpd="sng" algn="ctr">
          <a:solidFill>
            <a:srgbClr val="5F1F7A"/>
          </a:solidFill>
          <a:prstDash val="solid"/>
          <a:tailEnd type="arrow"/>
        </a:ln>
        <a:effec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ocal_BHemesse\Temp\~ddc\INT\Berekeningen%20RDW%202016%20tot%20en%20met%202018%20-%20nieuwe%20huurtarieven%20collectieve%20afleversets%20na%20herstel%20WACC%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veranciers"/>
      <sheetName val="Input --&gt;"/>
      <sheetName val="A. Aansluitingen"/>
      <sheetName val="A2. Meerlengte Warmtestad"/>
      <sheetName val="B. Afsluitingen"/>
      <sheetName val="C. Afleversets aantallen"/>
      <sheetName val="D. Afleversets onderhoudskosten"/>
      <sheetName val="E. Afleversets ouderdom"/>
      <sheetName val="F. Afleversets A&amp;I"/>
      <sheetName val="Aanpassingen --&gt;"/>
      <sheetName val="A. wijz. Aansluitingen"/>
      <sheetName val="B. wijz. Afsluitingen"/>
      <sheetName val="D. wijz. Afleversets onderhoud"/>
      <sheetName val="Berekeningen --&gt;"/>
      <sheetName val="A. idx. Aansluitingen"/>
      <sheetName val="B. idx. Afsluitingen"/>
      <sheetName val="C. idx. Afleversets aantallen"/>
      <sheetName val="D. idx. Afleversets onderhoud"/>
      <sheetName val="E. idx. Afleversets ouderdom"/>
      <sheetName val="F. idx. Afleversets A&amp;I"/>
      <sheetName val="Variabelen --&gt;"/>
      <sheetName val="CPI"/>
      <sheetName val="Resultaat --&gt;"/>
      <sheetName val="Onderhoudskosten"/>
      <sheetName val="Resultaat afleverset"/>
      <sheetName val="Afleverset gecombineerd"/>
      <sheetName val="Input ruimteverwarming"/>
      <sheetName val="Afleverset ruimteverwarming"/>
      <sheetName val="Aan- en afsluitingen --&gt;"/>
      <sheetName val="Input aansluitingen"/>
      <sheetName val="Kosten aansluitingen"/>
      <sheetName val="Input afsluitingen"/>
      <sheetName val="Kosten afsluitingen"/>
      <sheetName val="Resultaat aan- en afsluitingen"/>
      <sheetName val="Collectief --&gt;"/>
      <sheetName val="Afleverset collectief"/>
      <sheetName val="Cv-ketel collecti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16">
          <cell r="P16">
            <v>1.0160279999999999</v>
          </cell>
          <cell r="Q16">
            <v>1.014</v>
          </cell>
        </row>
        <row r="17">
          <cell r="J17">
            <v>1.1566327253257414</v>
          </cell>
          <cell r="Q17">
            <v>1.0352939999999999</v>
          </cell>
        </row>
        <row r="18">
          <cell r="P18">
            <v>1.0664107964639997</v>
          </cell>
          <cell r="Q18">
            <v>1.0642822320000001</v>
          </cell>
          <cell r="R18">
            <v>1.049588</v>
          </cell>
          <cell r="S18">
            <v>1.028</v>
          </cell>
        </row>
      </sheetData>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C8D9"/>
    <pageSetUpPr fitToPage="1"/>
  </sheetPr>
  <dimension ref="B2:D33"/>
  <sheetViews>
    <sheetView showGridLines="0" zoomScaleNormal="100" workbookViewId="0">
      <pane ySplit="3" topLeftCell="A4" activePane="bottomLeft" state="frozen"/>
      <selection pane="bottomLeft"/>
    </sheetView>
  </sheetViews>
  <sheetFormatPr defaultRowHeight="12.75" x14ac:dyDescent="0.25"/>
  <cols>
    <col min="1" max="1" width="2.85546875" style="2" customWidth="1"/>
    <col min="2" max="2" width="39.85546875" style="2" customWidth="1"/>
    <col min="3" max="3" width="91.85546875" style="2" customWidth="1"/>
    <col min="4" max="16384" width="9.140625" style="2"/>
  </cols>
  <sheetData>
    <row r="2" spans="2:3" s="14" customFormat="1" ht="18" x14ac:dyDescent="0.25">
      <c r="B2" s="13" t="s">
        <v>298</v>
      </c>
    </row>
    <row r="6" spans="2:3" x14ac:dyDescent="0.25">
      <c r="B6" s="3"/>
    </row>
    <row r="13" spans="2:3" s="9" customFormat="1" x14ac:dyDescent="0.25">
      <c r="B13" s="9" t="s">
        <v>1</v>
      </c>
    </row>
    <row r="14" spans="2:3" s="10" customFormat="1" x14ac:dyDescent="0.25"/>
    <row r="15" spans="2:3" x14ac:dyDescent="0.25">
      <c r="B15" s="11" t="s">
        <v>2</v>
      </c>
      <c r="C15" s="12" t="s">
        <v>365</v>
      </c>
    </row>
    <row r="16" spans="2:3" x14ac:dyDescent="0.25">
      <c r="B16" s="11" t="s">
        <v>3</v>
      </c>
      <c r="C16" s="12" t="s">
        <v>347</v>
      </c>
    </row>
    <row r="17" spans="2:3" x14ac:dyDescent="0.25">
      <c r="B17" s="11" t="s">
        <v>4</v>
      </c>
      <c r="C17" s="12"/>
    </row>
    <row r="18" spans="2:3" x14ac:dyDescent="0.25">
      <c r="B18" s="11" t="s">
        <v>5</v>
      </c>
      <c r="C18" s="12" t="s">
        <v>292</v>
      </c>
    </row>
    <row r="19" spans="2:3" x14ac:dyDescent="0.25">
      <c r="B19" s="11" t="s">
        <v>6</v>
      </c>
      <c r="C19" s="12"/>
    </row>
    <row r="20" spans="2:3" x14ac:dyDescent="0.25">
      <c r="B20" s="11" t="s">
        <v>7</v>
      </c>
      <c r="C20" s="12" t="s">
        <v>369</v>
      </c>
    </row>
    <row r="21" spans="2:3" x14ac:dyDescent="0.25">
      <c r="B21" s="11" t="s">
        <v>8</v>
      </c>
      <c r="C21" s="12" t="s">
        <v>293</v>
      </c>
    </row>
    <row r="22" spans="2:3" x14ac:dyDescent="0.25">
      <c r="B22" s="11" t="s">
        <v>9</v>
      </c>
      <c r="C22" s="12" t="s">
        <v>368</v>
      </c>
    </row>
    <row r="25" spans="2:3" s="9" customFormat="1" x14ac:dyDescent="0.25">
      <c r="B25" s="9" t="s">
        <v>10</v>
      </c>
    </row>
    <row r="27" spans="2:3" x14ac:dyDescent="0.25">
      <c r="B27" s="11" t="s">
        <v>11</v>
      </c>
      <c r="C27" s="12" t="s">
        <v>294</v>
      </c>
    </row>
    <row r="28" spans="2:3" x14ac:dyDescent="0.25">
      <c r="B28" s="11" t="s">
        <v>12</v>
      </c>
      <c r="C28" s="12" t="s">
        <v>294</v>
      </c>
    </row>
    <row r="29" spans="2:3" ht="25.5" x14ac:dyDescent="0.25">
      <c r="B29" s="11" t="s">
        <v>13</v>
      </c>
      <c r="C29" s="12" t="s">
        <v>294</v>
      </c>
    </row>
    <row r="30" spans="2:3" x14ac:dyDescent="0.25">
      <c r="B30" s="11" t="s">
        <v>14</v>
      </c>
      <c r="C30" s="12"/>
    </row>
    <row r="31" spans="2:3" x14ac:dyDescent="0.25">
      <c r="B31" s="11" t="s">
        <v>9</v>
      </c>
      <c r="C31" s="12"/>
    </row>
    <row r="33" spans="2:4" x14ac:dyDescent="0.25">
      <c r="B33" s="44"/>
      <c r="C33" s="44"/>
      <c r="D33" s="6"/>
    </row>
  </sheetData>
  <pageMargins left="0.74803149606299213" right="0.74803149606299213" top="0.98425196850393704" bottom="0.98425196850393704" header="0.51181102362204722" footer="0.51181102362204722"/>
  <pageSetup paperSize="9" scale="76"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A1"/>
  <sheetViews>
    <sheetView showGridLines="0" zoomScaleNormal="100" workbookViewId="0"/>
  </sheetViews>
  <sheetFormatPr defaultRowHeight="12.75" x14ac:dyDescent="0.25"/>
  <cols>
    <col min="1" max="16384" width="9.140625" style="38"/>
  </cols>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pageSetUpPr fitToPage="1"/>
  </sheetPr>
  <dimension ref="A1:Q76"/>
  <sheetViews>
    <sheetView showGridLines="0" zoomScale="85" zoomScaleNormal="85" workbookViewId="0">
      <pane xSplit="6" ySplit="13" topLeftCell="G14" activePane="bottomRight" state="frozen"/>
      <selection pane="topRight"/>
      <selection pane="bottomLeft"/>
      <selection pane="bottomRight" activeCell="I28" sqref="I28"/>
    </sheetView>
  </sheetViews>
  <sheetFormatPr defaultRowHeight="12.75" x14ac:dyDescent="0.2"/>
  <cols>
    <col min="1" max="1" width="4" style="2" customWidth="1"/>
    <col min="2" max="2" width="52.42578125" style="2" customWidth="1"/>
    <col min="3" max="4" width="4.5703125" style="2" customWidth="1"/>
    <col min="5" max="5" width="21.7109375" style="2" bestFit="1" customWidth="1"/>
    <col min="6" max="6" width="12.42578125" style="152" bestFit="1" customWidth="1"/>
    <col min="7" max="8" width="2.7109375" style="2" customWidth="1"/>
    <col min="9" max="9" width="13.42578125" style="2" bestFit="1" customWidth="1"/>
    <col min="10" max="10" width="14.42578125" style="2" customWidth="1"/>
    <col min="11" max="11" width="40.5703125" style="2" bestFit="1" customWidth="1"/>
    <col min="12" max="12" width="2.7109375" style="2" customWidth="1"/>
    <col min="13" max="13" width="13.7109375" style="2" customWidth="1"/>
    <col min="14" max="14" width="2.7109375" style="2" customWidth="1"/>
    <col min="15" max="29" width="13.7109375" style="2" customWidth="1"/>
    <col min="30" max="16384" width="9.140625" style="2"/>
  </cols>
  <sheetData>
    <row r="1" spans="1:17" x14ac:dyDescent="0.2">
      <c r="A1" s="10"/>
    </row>
    <row r="2" spans="1:17" s="33" customFormat="1" ht="18" x14ac:dyDescent="0.25">
      <c r="B2" s="33" t="s">
        <v>361</v>
      </c>
      <c r="F2" s="165"/>
    </row>
    <row r="3" spans="1:17" x14ac:dyDescent="0.2">
      <c r="Q3" s="45"/>
    </row>
    <row r="4" spans="1:17" x14ac:dyDescent="0.2">
      <c r="B4" s="45" t="s">
        <v>32</v>
      </c>
      <c r="C4" s="1"/>
      <c r="D4" s="1"/>
      <c r="I4" s="63"/>
      <c r="Q4" s="40"/>
    </row>
    <row r="5" spans="1:17" x14ac:dyDescent="0.2">
      <c r="A5" s="10"/>
      <c r="B5" s="40" t="s">
        <v>148</v>
      </c>
      <c r="C5" s="40"/>
      <c r="D5" s="40"/>
      <c r="Q5" s="40"/>
    </row>
    <row r="6" spans="1:17" x14ac:dyDescent="0.2">
      <c r="A6" s="10"/>
      <c r="B6" s="40" t="s">
        <v>280</v>
      </c>
      <c r="C6" s="40"/>
      <c r="D6" s="40"/>
      <c r="Q6" s="46"/>
    </row>
    <row r="7" spans="1:17" x14ac:dyDescent="0.2">
      <c r="B7" s="40"/>
      <c r="C7" s="40"/>
      <c r="D7" s="40"/>
      <c r="Q7" s="5"/>
    </row>
    <row r="8" spans="1:17" x14ac:dyDescent="0.2">
      <c r="B8" s="40" t="s">
        <v>149</v>
      </c>
      <c r="C8" s="40"/>
      <c r="D8" s="40"/>
      <c r="Q8" s="5"/>
    </row>
    <row r="9" spans="1:17" x14ac:dyDescent="0.2">
      <c r="B9" s="40" t="s">
        <v>281</v>
      </c>
      <c r="C9" s="40"/>
      <c r="D9" s="40"/>
      <c r="Q9" s="1"/>
    </row>
    <row r="10" spans="1:17" x14ac:dyDescent="0.2">
      <c r="Q10" s="40"/>
    </row>
    <row r="11" spans="1:17" x14ac:dyDescent="0.2">
      <c r="Q11" s="40"/>
    </row>
    <row r="12" spans="1:17" s="9" customFormat="1" x14ac:dyDescent="0.25">
      <c r="B12" s="9" t="s">
        <v>49</v>
      </c>
      <c r="E12" s="9" t="s">
        <v>30</v>
      </c>
      <c r="F12" s="162"/>
      <c r="K12" s="9" t="s">
        <v>50</v>
      </c>
      <c r="M12" s="9" t="s">
        <v>51</v>
      </c>
    </row>
    <row r="15" spans="1:17" s="9" customFormat="1" x14ac:dyDescent="0.25">
      <c r="B15" s="9" t="s">
        <v>70</v>
      </c>
      <c r="F15" s="162"/>
      <c r="I15" s="9" t="s">
        <v>31</v>
      </c>
    </row>
    <row r="17" spans="1:13" x14ac:dyDescent="0.2">
      <c r="A17" s="1"/>
      <c r="B17" s="1" t="s">
        <v>71</v>
      </c>
    </row>
    <row r="18" spans="1:13" x14ac:dyDescent="0.2">
      <c r="A18" s="138"/>
      <c r="B18" s="2" t="s">
        <v>72</v>
      </c>
      <c r="E18" s="2" t="s">
        <v>81</v>
      </c>
      <c r="I18" s="48">
        <v>0.21</v>
      </c>
      <c r="K18" s="2" t="s">
        <v>153</v>
      </c>
    </row>
    <row r="19" spans="1:13" x14ac:dyDescent="0.2">
      <c r="A19" s="138"/>
      <c r="B19" s="2" t="s">
        <v>277</v>
      </c>
      <c r="E19" s="2" t="s">
        <v>227</v>
      </c>
      <c r="F19" s="152" t="s">
        <v>313</v>
      </c>
      <c r="I19" s="174">
        <v>0.33312999999999998</v>
      </c>
      <c r="J19" s="71"/>
      <c r="K19" s="173" t="s">
        <v>353</v>
      </c>
      <c r="M19" s="34"/>
    </row>
    <row r="20" spans="1:13" x14ac:dyDescent="0.2">
      <c r="A20" s="10"/>
      <c r="B20" s="2" t="s">
        <v>219</v>
      </c>
      <c r="E20" s="2" t="s">
        <v>227</v>
      </c>
      <c r="F20" s="152" t="s">
        <v>313</v>
      </c>
      <c r="I20" s="53">
        <v>7.7499999999999999E-2</v>
      </c>
      <c r="J20" s="10"/>
      <c r="K20" s="173" t="s">
        <v>353</v>
      </c>
      <c r="M20" s="34"/>
    </row>
    <row r="21" spans="1:13" x14ac:dyDescent="0.2">
      <c r="A21" s="10"/>
      <c r="K21" s="173"/>
    </row>
    <row r="22" spans="1:13" x14ac:dyDescent="0.2">
      <c r="A22" s="138"/>
      <c r="B22" s="1" t="s">
        <v>94</v>
      </c>
    </row>
    <row r="23" spans="1:13" x14ac:dyDescent="0.2">
      <c r="A23" s="10"/>
      <c r="B23" s="2" t="s">
        <v>95</v>
      </c>
      <c r="C23" s="34"/>
      <c r="E23" s="2" t="s">
        <v>81</v>
      </c>
      <c r="I23" s="55">
        <v>1.4E-2</v>
      </c>
      <c r="K23" s="72" t="s">
        <v>152</v>
      </c>
    </row>
    <row r="24" spans="1:13" x14ac:dyDescent="0.2">
      <c r="A24" s="10"/>
      <c r="B24" s="2" t="s">
        <v>96</v>
      </c>
      <c r="C24" s="34"/>
      <c r="E24" s="2" t="s">
        <v>81</v>
      </c>
      <c r="I24" s="55">
        <v>2.1000000000000001E-2</v>
      </c>
      <c r="K24" s="72" t="s">
        <v>152</v>
      </c>
    </row>
    <row r="25" spans="1:13" x14ac:dyDescent="0.2">
      <c r="A25" s="10"/>
      <c r="B25" s="2" t="s">
        <v>97</v>
      </c>
      <c r="C25" s="34"/>
      <c r="E25" s="2" t="s">
        <v>81</v>
      </c>
      <c r="I25" s="55">
        <v>2.8000000000000001E-2</v>
      </c>
      <c r="K25" s="72" t="s">
        <v>152</v>
      </c>
    </row>
    <row r="26" spans="1:13" x14ac:dyDescent="0.2">
      <c r="A26" s="10"/>
      <c r="B26" s="40" t="s">
        <v>221</v>
      </c>
      <c r="C26" s="34"/>
      <c r="D26" s="34"/>
      <c r="E26" s="40" t="s">
        <v>113</v>
      </c>
      <c r="I26" s="51">
        <f>(1+I23)*(1+I24)*(1+I25)</f>
        <v>1.0642822320000001</v>
      </c>
      <c r="K26" s="72"/>
    </row>
    <row r="27" spans="1:13" x14ac:dyDescent="0.2">
      <c r="A27" s="10"/>
    </row>
    <row r="28" spans="1:13" x14ac:dyDescent="0.2">
      <c r="A28" s="10"/>
      <c r="B28" s="2" t="s">
        <v>144</v>
      </c>
      <c r="E28" s="2" t="s">
        <v>81</v>
      </c>
      <c r="I28" s="179">
        <v>3.7900000000000003E-2</v>
      </c>
      <c r="J28" s="40"/>
      <c r="K28" s="40" t="s">
        <v>370</v>
      </c>
      <c r="M28" s="2" t="s">
        <v>418</v>
      </c>
    </row>
    <row r="29" spans="1:13" x14ac:dyDescent="0.2">
      <c r="A29" s="10"/>
    </row>
    <row r="30" spans="1:13" x14ac:dyDescent="0.2">
      <c r="A30" s="10"/>
      <c r="B30" s="2" t="s">
        <v>85</v>
      </c>
      <c r="I30" s="53">
        <v>3.517E-2</v>
      </c>
      <c r="J30" s="10"/>
      <c r="K30" s="72" t="s">
        <v>179</v>
      </c>
    </row>
    <row r="32" spans="1:13" s="9" customFormat="1" x14ac:dyDescent="0.25">
      <c r="B32" s="9" t="s">
        <v>75</v>
      </c>
      <c r="F32" s="162"/>
    </row>
    <row r="34" spans="1:13" x14ac:dyDescent="0.2">
      <c r="A34" s="10"/>
      <c r="B34" s="2" t="s">
        <v>76</v>
      </c>
      <c r="E34" s="2" t="s">
        <v>113</v>
      </c>
      <c r="I34" s="47">
        <v>0.79</v>
      </c>
      <c r="K34" s="72" t="s">
        <v>180</v>
      </c>
    </row>
    <row r="35" spans="1:13" x14ac:dyDescent="0.2">
      <c r="A35" s="10"/>
      <c r="B35" s="2" t="s">
        <v>77</v>
      </c>
      <c r="E35" s="2" t="s">
        <v>113</v>
      </c>
      <c r="I35" s="47">
        <v>0.21</v>
      </c>
      <c r="K35" s="72" t="s">
        <v>180</v>
      </c>
    </row>
    <row r="36" spans="1:13" x14ac:dyDescent="0.2">
      <c r="A36" s="10"/>
      <c r="B36" s="2" t="s">
        <v>78</v>
      </c>
      <c r="E36" s="2" t="s">
        <v>113</v>
      </c>
      <c r="I36" s="47">
        <v>0.94</v>
      </c>
      <c r="K36" s="72" t="s">
        <v>180</v>
      </c>
    </row>
    <row r="37" spans="1:13" x14ac:dyDescent="0.2">
      <c r="A37" s="10"/>
      <c r="B37" s="2" t="s">
        <v>79</v>
      </c>
      <c r="E37" s="2" t="s">
        <v>113</v>
      </c>
      <c r="I37" s="47">
        <v>0.68</v>
      </c>
      <c r="K37" s="72" t="s">
        <v>180</v>
      </c>
    </row>
    <row r="38" spans="1:13" x14ac:dyDescent="0.2">
      <c r="A38" s="10"/>
    </row>
    <row r="39" spans="1:13" x14ac:dyDescent="0.2">
      <c r="A39" s="10"/>
      <c r="B39" s="2" t="s">
        <v>306</v>
      </c>
      <c r="E39" s="2" t="s">
        <v>113</v>
      </c>
      <c r="I39" s="47">
        <v>0.5</v>
      </c>
    </row>
    <row r="41" spans="1:13" s="9" customFormat="1" x14ac:dyDescent="0.25">
      <c r="B41" s="9" t="s">
        <v>169</v>
      </c>
      <c r="F41" s="162"/>
    </row>
    <row r="43" spans="1:13" x14ac:dyDescent="0.2">
      <c r="A43" s="10"/>
      <c r="B43" s="2" t="s">
        <v>170</v>
      </c>
      <c r="E43" s="2" t="s">
        <v>227</v>
      </c>
      <c r="F43" s="152" t="s">
        <v>315</v>
      </c>
      <c r="I43" s="47">
        <v>1547.5</v>
      </c>
      <c r="J43" s="10"/>
      <c r="K43" s="152" t="s">
        <v>302</v>
      </c>
    </row>
    <row r="44" spans="1:13" x14ac:dyDescent="0.2">
      <c r="A44" s="10"/>
      <c r="B44" s="2" t="s">
        <v>311</v>
      </c>
      <c r="E44" s="2" t="s">
        <v>227</v>
      </c>
      <c r="F44" s="152" t="s">
        <v>312</v>
      </c>
      <c r="I44" s="47">
        <v>173.12</v>
      </c>
      <c r="J44" s="10"/>
      <c r="K44" s="152" t="s">
        <v>302</v>
      </c>
      <c r="M44" s="34"/>
    </row>
    <row r="45" spans="1:13" x14ac:dyDescent="0.2">
      <c r="A45" s="10"/>
      <c r="B45" s="2" t="s">
        <v>115</v>
      </c>
      <c r="E45" s="2" t="s">
        <v>227</v>
      </c>
      <c r="F45" s="152" t="s">
        <v>314</v>
      </c>
      <c r="I45" s="132">
        <f>'Gegevens t.b.v. huurtarieven'!J18</f>
        <v>951.42609528891717</v>
      </c>
      <c r="J45" s="10"/>
      <c r="K45" s="71"/>
    </row>
    <row r="46" spans="1:13" x14ac:dyDescent="0.2">
      <c r="A46" s="10"/>
      <c r="B46" s="2" t="s">
        <v>215</v>
      </c>
      <c r="E46" s="2" t="s">
        <v>227</v>
      </c>
      <c r="F46" s="152" t="s">
        <v>313</v>
      </c>
      <c r="I46" s="132">
        <f>'Gegevens t.b.v. huurtarieven'!H19</f>
        <v>24.638620679616817</v>
      </c>
      <c r="J46" s="10"/>
      <c r="K46" s="71"/>
    </row>
    <row r="48" spans="1:13" x14ac:dyDescent="0.2">
      <c r="B48" s="2" t="s">
        <v>73</v>
      </c>
      <c r="E48" s="2" t="s">
        <v>80</v>
      </c>
      <c r="I48" s="64">
        <v>15</v>
      </c>
      <c r="J48" s="10"/>
      <c r="K48" s="168" t="s">
        <v>344</v>
      </c>
    </row>
    <row r="49" spans="1:13" x14ac:dyDescent="0.2">
      <c r="B49" s="2" t="s">
        <v>74</v>
      </c>
      <c r="E49" s="2" t="s">
        <v>80</v>
      </c>
      <c r="I49" s="64">
        <v>15</v>
      </c>
      <c r="J49" s="10"/>
      <c r="K49" s="168" t="s">
        <v>344</v>
      </c>
    </row>
    <row r="51" spans="1:13" x14ac:dyDescent="0.2">
      <c r="B51" s="1" t="s">
        <v>114</v>
      </c>
    </row>
    <row r="52" spans="1:13" x14ac:dyDescent="0.2">
      <c r="A52" s="10"/>
      <c r="B52" s="75" t="s">
        <v>164</v>
      </c>
      <c r="E52" s="40" t="s">
        <v>227</v>
      </c>
      <c r="F52" s="152" t="s">
        <v>313</v>
      </c>
      <c r="I52" s="47">
        <v>22.01</v>
      </c>
      <c r="K52" s="40" t="s">
        <v>279</v>
      </c>
      <c r="M52" s="34"/>
    </row>
    <row r="54" spans="1:13" s="9" customFormat="1" x14ac:dyDescent="0.25">
      <c r="B54" s="9" t="s">
        <v>242</v>
      </c>
      <c r="F54" s="162"/>
    </row>
    <row r="55" spans="1:13" x14ac:dyDescent="0.2">
      <c r="A55" s="10"/>
    </row>
    <row r="56" spans="1:13" x14ac:dyDescent="0.2">
      <c r="A56" s="10"/>
      <c r="B56" s="2" t="s">
        <v>307</v>
      </c>
      <c r="E56" s="2" t="s">
        <v>90</v>
      </c>
      <c r="F56" s="152" t="s">
        <v>316</v>
      </c>
      <c r="I56" s="64">
        <v>64667.588984673639</v>
      </c>
      <c r="J56" s="10"/>
      <c r="K56" s="40" t="s">
        <v>293</v>
      </c>
    </row>
    <row r="57" spans="1:13" x14ac:dyDescent="0.2">
      <c r="A57" s="10"/>
      <c r="B57" s="2" t="s">
        <v>308</v>
      </c>
      <c r="E57" s="2" t="s">
        <v>81</v>
      </c>
      <c r="F57" s="152" t="s">
        <v>316</v>
      </c>
      <c r="I57" s="62">
        <v>0.03</v>
      </c>
      <c r="J57" s="10"/>
      <c r="K57" s="40" t="s">
        <v>143</v>
      </c>
    </row>
    <row r="58" spans="1:13" x14ac:dyDescent="0.2">
      <c r="A58" s="10"/>
      <c r="B58" s="2" t="s">
        <v>309</v>
      </c>
      <c r="E58" s="2" t="s">
        <v>90</v>
      </c>
      <c r="F58" s="152" t="s">
        <v>314</v>
      </c>
      <c r="I58" s="64">
        <v>34634.163938980382</v>
      </c>
      <c r="J58" s="10"/>
      <c r="K58" s="40" t="s">
        <v>293</v>
      </c>
    </row>
    <row r="59" spans="1:13" x14ac:dyDescent="0.2">
      <c r="A59" s="10"/>
      <c r="B59" s="2" t="s">
        <v>310</v>
      </c>
      <c r="E59" s="2" t="s">
        <v>81</v>
      </c>
      <c r="F59" s="152" t="s">
        <v>314</v>
      </c>
      <c r="I59" s="62">
        <v>0.02</v>
      </c>
      <c r="J59" s="10"/>
      <c r="K59" s="2" t="s">
        <v>182</v>
      </c>
    </row>
    <row r="60" spans="1:13" x14ac:dyDescent="0.2">
      <c r="A60" s="10"/>
      <c r="I60" s="156"/>
      <c r="J60" s="10"/>
    </row>
    <row r="61" spans="1:13" x14ac:dyDescent="0.2">
      <c r="B61" s="2" t="s">
        <v>118</v>
      </c>
      <c r="E61" s="2" t="s">
        <v>80</v>
      </c>
      <c r="I61" s="64">
        <v>15</v>
      </c>
      <c r="J61" s="10"/>
      <c r="K61" s="168" t="s">
        <v>344</v>
      </c>
    </row>
    <row r="62" spans="1:13" x14ac:dyDescent="0.2">
      <c r="B62" s="2" t="s">
        <v>74</v>
      </c>
      <c r="E62" s="2" t="s">
        <v>80</v>
      </c>
      <c r="I62" s="64">
        <v>15</v>
      </c>
      <c r="J62" s="10"/>
      <c r="K62" s="168" t="s">
        <v>344</v>
      </c>
    </row>
    <row r="64" spans="1:13" x14ac:dyDescent="0.2">
      <c r="A64" s="10"/>
      <c r="B64" s="72" t="s">
        <v>183</v>
      </c>
      <c r="E64" s="2" t="s">
        <v>227</v>
      </c>
      <c r="F64" s="152" t="s">
        <v>316</v>
      </c>
      <c r="H64" s="10"/>
      <c r="I64" s="47">
        <v>3874</v>
      </c>
      <c r="K64" s="40" t="s">
        <v>178</v>
      </c>
    </row>
    <row r="65" spans="1:11" ht="12" customHeight="1" x14ac:dyDescent="0.2"/>
    <row r="66" spans="1:11" s="9" customFormat="1" x14ac:dyDescent="0.25">
      <c r="B66" s="9" t="s">
        <v>116</v>
      </c>
      <c r="F66" s="162"/>
    </row>
    <row r="68" spans="1:11" x14ac:dyDescent="0.2">
      <c r="B68" s="45" t="s">
        <v>173</v>
      </c>
    </row>
    <row r="69" spans="1:11" x14ac:dyDescent="0.2">
      <c r="A69" s="10"/>
      <c r="B69" s="40" t="s">
        <v>117</v>
      </c>
      <c r="E69" s="2" t="s">
        <v>354</v>
      </c>
      <c r="F69" s="152" t="s">
        <v>316</v>
      </c>
      <c r="I69" s="47">
        <v>245.27</v>
      </c>
      <c r="K69" s="2" t="s">
        <v>155</v>
      </c>
    </row>
    <row r="70" spans="1:11" x14ac:dyDescent="0.2">
      <c r="A70" s="10"/>
      <c r="B70" s="40" t="s">
        <v>145</v>
      </c>
      <c r="E70" s="2" t="s">
        <v>355</v>
      </c>
      <c r="F70" s="152" t="s">
        <v>316</v>
      </c>
      <c r="I70" s="47">
        <v>62.06</v>
      </c>
      <c r="K70" s="2" t="s">
        <v>156</v>
      </c>
    </row>
    <row r="72" spans="1:11" s="77" customFormat="1" x14ac:dyDescent="0.25">
      <c r="B72" s="77" t="s">
        <v>220</v>
      </c>
      <c r="F72" s="163"/>
    </row>
    <row r="73" spans="1:11" s="76" customFormat="1" x14ac:dyDescent="0.25">
      <c r="F73" s="164"/>
    </row>
    <row r="74" spans="1:11" x14ac:dyDescent="0.2">
      <c r="B74" s="45" t="s">
        <v>174</v>
      </c>
    </row>
    <row r="75" spans="1:11" x14ac:dyDescent="0.2">
      <c r="A75" s="10"/>
      <c r="B75" s="2" t="s">
        <v>185</v>
      </c>
      <c r="E75" s="2" t="s">
        <v>354</v>
      </c>
      <c r="F75" s="152" t="s">
        <v>316</v>
      </c>
      <c r="I75" s="47">
        <v>222.5</v>
      </c>
      <c r="K75" s="2" t="s">
        <v>142</v>
      </c>
    </row>
    <row r="76" spans="1:11" x14ac:dyDescent="0.2">
      <c r="A76" s="10"/>
      <c r="B76" s="2" t="s">
        <v>184</v>
      </c>
      <c r="E76" s="2" t="s">
        <v>355</v>
      </c>
      <c r="F76" s="152" t="s">
        <v>316</v>
      </c>
      <c r="I76" s="47">
        <v>54.11</v>
      </c>
      <c r="J76" s="71"/>
      <c r="K76" s="2" t="s">
        <v>142</v>
      </c>
    </row>
  </sheetData>
  <pageMargins left="0.70866141732283472" right="0.70866141732283472" top="0.74803149606299213" bottom="0.74803149606299213" header="0.31496062992125984" footer="0.31496062992125984"/>
  <pageSetup paperSize="9" scale="4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FFCC"/>
    <pageSetUpPr fitToPage="1"/>
  </sheetPr>
  <dimension ref="A1:Z26"/>
  <sheetViews>
    <sheetView showGridLines="0" zoomScaleNormal="100" workbookViewId="0">
      <pane xSplit="6" ySplit="14" topLeftCell="G15" activePane="bottomRight" state="frozen"/>
      <selection pane="topRight"/>
      <selection pane="bottomLeft"/>
      <selection pane="bottomRight"/>
    </sheetView>
  </sheetViews>
  <sheetFormatPr defaultRowHeight="12.75" x14ac:dyDescent="0.25"/>
  <cols>
    <col min="1" max="1" width="4" style="2" customWidth="1"/>
    <col min="2" max="2" width="54.42578125" style="2" customWidth="1"/>
    <col min="3" max="5" width="4.5703125" style="2" customWidth="1"/>
    <col min="6" max="6" width="17.7109375" style="2" bestFit="1" customWidth="1"/>
    <col min="7" max="7" width="2.7109375" style="2" customWidth="1"/>
    <col min="8" max="8" width="13.7109375" style="2" customWidth="1"/>
    <col min="9" max="9" width="2.7109375" style="2" customWidth="1"/>
    <col min="10" max="10" width="13.7109375" style="2" customWidth="1"/>
    <col min="11" max="11" width="2.7109375" style="2" customWidth="1"/>
    <col min="12" max="12" width="13.42578125" style="2" bestFit="1" customWidth="1"/>
    <col min="13" max="21" width="13.42578125" style="2" customWidth="1"/>
    <col min="22" max="22" width="19.140625" style="2" bestFit="1" customWidth="1"/>
    <col min="23" max="23" width="2.7109375" style="2" customWidth="1"/>
    <col min="24" max="24" width="17.140625" style="2" customWidth="1"/>
    <col min="25" max="25" width="2.7109375" style="2" customWidth="1"/>
    <col min="26" max="26" width="13.7109375" style="2" customWidth="1"/>
    <col min="27" max="27" width="2.7109375" style="2" customWidth="1"/>
    <col min="28" max="42" width="13.7109375" style="2" customWidth="1"/>
    <col min="43" max="16384" width="9.140625" style="2"/>
  </cols>
  <sheetData>
    <row r="1" spans="1:26" x14ac:dyDescent="0.25">
      <c r="A1" s="10"/>
    </row>
    <row r="2" spans="1:26" s="33" customFormat="1" ht="18" x14ac:dyDescent="0.25">
      <c r="A2" s="8"/>
      <c r="B2" s="33" t="s">
        <v>141</v>
      </c>
    </row>
    <row r="4" spans="1:26" x14ac:dyDescent="0.25">
      <c r="B4" s="1" t="s">
        <v>32</v>
      </c>
      <c r="C4" s="1"/>
      <c r="D4" s="1"/>
    </row>
    <row r="5" spans="1:26" x14ac:dyDescent="0.25">
      <c r="B5" s="40" t="s">
        <v>146</v>
      </c>
      <c r="C5" s="1"/>
      <c r="D5" s="1"/>
    </row>
    <row r="6" spans="1:26" x14ac:dyDescent="0.25">
      <c r="B6" s="40" t="s">
        <v>366</v>
      </c>
      <c r="C6" s="1"/>
      <c r="D6" s="1"/>
    </row>
    <row r="7" spans="1:26" x14ac:dyDescent="0.25">
      <c r="B7" s="40" t="s">
        <v>139</v>
      </c>
      <c r="C7" s="1"/>
      <c r="D7" s="1"/>
    </row>
    <row r="8" spans="1:26" x14ac:dyDescent="0.25">
      <c r="B8" s="40"/>
      <c r="C8" s="1"/>
      <c r="D8" s="1"/>
    </row>
    <row r="9" spans="1:26" x14ac:dyDescent="0.25">
      <c r="B9" s="5" t="s">
        <v>33</v>
      </c>
      <c r="C9" s="3"/>
      <c r="D9" s="3"/>
      <c r="H9" s="34"/>
    </row>
    <row r="10" spans="1:26" x14ac:dyDescent="0.25">
      <c r="B10" s="40" t="s">
        <v>362</v>
      </c>
      <c r="C10" s="3"/>
      <c r="D10" s="3"/>
    </row>
    <row r="11" spans="1:26" x14ac:dyDescent="0.25">
      <c r="B11" s="40" t="s">
        <v>367</v>
      </c>
      <c r="C11" s="3"/>
      <c r="D11" s="3"/>
    </row>
    <row r="13" spans="1:26" s="9" customFormat="1" x14ac:dyDescent="0.25">
      <c r="B13" s="9" t="s">
        <v>49</v>
      </c>
      <c r="F13" s="9" t="s">
        <v>30</v>
      </c>
      <c r="H13" s="9" t="s">
        <v>31</v>
      </c>
      <c r="J13" s="9" t="s">
        <v>160</v>
      </c>
      <c r="X13" s="9" t="s">
        <v>50</v>
      </c>
      <c r="Z13" s="9" t="s">
        <v>51</v>
      </c>
    </row>
    <row r="16" spans="1:26" s="9" customFormat="1" x14ac:dyDescent="0.25">
      <c r="B16" s="9" t="s">
        <v>202</v>
      </c>
    </row>
    <row r="18" spans="2:26" x14ac:dyDescent="0.25">
      <c r="B18" s="1" t="s">
        <v>121</v>
      </c>
      <c r="L18" s="1"/>
      <c r="M18" s="1"/>
      <c r="N18" s="1"/>
      <c r="O18" s="1"/>
      <c r="P18" s="1"/>
      <c r="Q18" s="1"/>
      <c r="R18" s="1"/>
      <c r="S18" s="1"/>
      <c r="T18" s="1"/>
      <c r="U18" s="1"/>
    </row>
    <row r="19" spans="2:26" x14ac:dyDescent="0.2">
      <c r="B19" s="40" t="s">
        <v>210</v>
      </c>
      <c r="F19" s="2" t="s">
        <v>363</v>
      </c>
      <c r="L19" s="66"/>
      <c r="M19" s="66"/>
      <c r="N19" s="66"/>
      <c r="O19" s="66"/>
      <c r="P19" s="66"/>
      <c r="Q19" s="66"/>
      <c r="R19" s="66"/>
      <c r="S19" s="66"/>
      <c r="T19" s="66"/>
      <c r="U19" s="66"/>
      <c r="X19" s="34"/>
      <c r="Z19" s="65" t="s">
        <v>154</v>
      </c>
    </row>
    <row r="20" spans="2:26" x14ac:dyDescent="0.25">
      <c r="B20" s="40" t="s">
        <v>211</v>
      </c>
      <c r="F20" s="2" t="s">
        <v>112</v>
      </c>
      <c r="J20" s="51">
        <v>51.922740307499595</v>
      </c>
      <c r="L20" s="66"/>
      <c r="M20" s="66"/>
      <c r="N20" s="66"/>
      <c r="O20" s="66"/>
      <c r="P20" s="66"/>
      <c r="Q20" s="66"/>
      <c r="R20" s="66"/>
      <c r="S20" s="66"/>
      <c r="T20" s="66"/>
      <c r="U20" s="66"/>
    </row>
    <row r="23" spans="2:26" s="9" customFormat="1" x14ac:dyDescent="0.25">
      <c r="B23" s="9" t="s">
        <v>120</v>
      </c>
    </row>
    <row r="24" spans="2:26" customFormat="1" ht="15" x14ac:dyDescent="0.25"/>
    <row r="25" spans="2:26" x14ac:dyDescent="0.25">
      <c r="B25" s="1" t="s">
        <v>86</v>
      </c>
      <c r="L25" s="1"/>
      <c r="M25" s="1"/>
    </row>
    <row r="26" spans="2:26" x14ac:dyDescent="0.25">
      <c r="B26" s="40" t="s">
        <v>181</v>
      </c>
      <c r="F26" s="2" t="s">
        <v>364</v>
      </c>
      <c r="J26" s="74">
        <v>0.24867897989431262</v>
      </c>
      <c r="L26" s="66"/>
      <c r="M26" s="66"/>
      <c r="N26" s="66"/>
      <c r="O26" s="66"/>
      <c r="P26" s="66"/>
      <c r="Q26" s="66"/>
      <c r="R26" s="66"/>
      <c r="S26" s="66"/>
      <c r="T26" s="66"/>
      <c r="U26" s="66"/>
    </row>
  </sheetData>
  <pageMargins left="0.70866141732283472" right="0.70866141732283472" top="0.74803149606299213" bottom="0.74803149606299213" header="0.31496062992125984" footer="0.31496062992125984"/>
  <pageSetup paperSize="9" scale="8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CC"/>
    <pageSetUpPr fitToPage="1"/>
  </sheetPr>
  <dimension ref="A2:X32"/>
  <sheetViews>
    <sheetView showGridLines="0" zoomScaleNormal="100" workbookViewId="0">
      <pane xSplit="6" ySplit="11" topLeftCell="G12" activePane="bottomRight" state="frozen"/>
      <selection pane="topRight"/>
      <selection pane="bottomLeft"/>
      <selection pane="bottomRight"/>
    </sheetView>
  </sheetViews>
  <sheetFormatPr defaultRowHeight="12.75" x14ac:dyDescent="0.25"/>
  <cols>
    <col min="1" max="1" width="4" style="2" customWidth="1"/>
    <col min="2" max="2" width="66.140625" style="2" customWidth="1"/>
    <col min="3" max="5" width="4.5703125" style="2" customWidth="1"/>
    <col min="6" max="6" width="17.7109375" style="2" bestFit="1" customWidth="1"/>
    <col min="7" max="7" width="2.7109375" style="2" customWidth="1"/>
    <col min="8" max="8" width="13.7109375" style="2" customWidth="1"/>
    <col min="9" max="9" width="2.7109375" style="2" customWidth="1"/>
    <col min="10" max="10" width="13.7109375" style="2" customWidth="1"/>
    <col min="11" max="11" width="2.7109375" style="2" customWidth="1"/>
    <col min="12" max="13" width="14.140625" style="2" bestFit="1" customWidth="1"/>
    <col min="14" max="15" width="15.85546875" style="2" bestFit="1" customWidth="1"/>
    <col min="16" max="16" width="14.140625" style="2" bestFit="1" customWidth="1"/>
    <col min="17" max="17" width="15.85546875" style="2" bestFit="1" customWidth="1"/>
    <col min="18" max="18" width="13" style="2" bestFit="1" customWidth="1"/>
    <col min="19" max="19" width="14.7109375" style="2" customWidth="1"/>
    <col min="20" max="20" width="19.140625" style="2" bestFit="1" customWidth="1"/>
    <col min="21" max="21" width="2.7109375" style="2" customWidth="1"/>
    <col min="22" max="22" width="17.140625" style="2" customWidth="1"/>
    <col min="23" max="23" width="2.7109375" style="2" customWidth="1"/>
    <col min="24" max="24" width="13.7109375" style="2" customWidth="1"/>
    <col min="25" max="25" width="2.7109375" style="2" customWidth="1"/>
    <col min="26" max="40" width="13.7109375" style="2" customWidth="1"/>
    <col min="41" max="16384" width="9.140625" style="2"/>
  </cols>
  <sheetData>
    <row r="2" spans="1:24" s="33" customFormat="1" ht="18" x14ac:dyDescent="0.25">
      <c r="B2" s="33" t="s">
        <v>141</v>
      </c>
    </row>
    <row r="4" spans="1:24" x14ac:dyDescent="0.25">
      <c r="A4" s="10"/>
      <c r="B4" s="1" t="s">
        <v>32</v>
      </c>
      <c r="C4" s="1"/>
      <c r="D4" s="1"/>
    </row>
    <row r="5" spans="1:24" x14ac:dyDescent="0.25">
      <c r="A5" s="10"/>
      <c r="B5" s="40" t="s">
        <v>147</v>
      </c>
      <c r="C5" s="1"/>
      <c r="D5" s="1"/>
    </row>
    <row r="6" spans="1:24" x14ac:dyDescent="0.25">
      <c r="A6" s="10"/>
      <c r="B6" s="40" t="s">
        <v>140</v>
      </c>
      <c r="C6" s="3"/>
      <c r="D6" s="3"/>
      <c r="H6" s="34"/>
    </row>
    <row r="7" spans="1:24" x14ac:dyDescent="0.25">
      <c r="B7" s="40"/>
      <c r="C7" s="3"/>
      <c r="D7" s="3"/>
      <c r="H7" s="34"/>
    </row>
    <row r="8" spans="1:24" x14ac:dyDescent="0.25">
      <c r="B8" s="5" t="s">
        <v>33</v>
      </c>
      <c r="C8" s="3"/>
      <c r="D8" s="3"/>
      <c r="H8" s="34"/>
    </row>
    <row r="10" spans="1:24" s="9" customFormat="1" x14ac:dyDescent="0.25">
      <c r="B10" s="9" t="s">
        <v>49</v>
      </c>
      <c r="F10" s="9" t="s">
        <v>30</v>
      </c>
      <c r="H10" s="9" t="s">
        <v>31</v>
      </c>
      <c r="J10" s="9" t="s">
        <v>160</v>
      </c>
      <c r="L10" s="9" t="s">
        <v>122</v>
      </c>
      <c r="M10" s="9" t="s">
        <v>123</v>
      </c>
      <c r="N10" s="9" t="s">
        <v>124</v>
      </c>
      <c r="O10" s="9" t="s">
        <v>83</v>
      </c>
      <c r="P10" s="9" t="s">
        <v>125</v>
      </c>
      <c r="Q10" s="9" t="s">
        <v>126</v>
      </c>
      <c r="R10" s="9" t="s">
        <v>127</v>
      </c>
      <c r="V10" s="9" t="s">
        <v>50</v>
      </c>
      <c r="X10" s="9" t="s">
        <v>51</v>
      </c>
    </row>
    <row r="13" spans="1:24" s="9" customFormat="1" x14ac:dyDescent="0.25">
      <c r="B13" s="9" t="s">
        <v>202</v>
      </c>
    </row>
    <row r="15" spans="1:24" x14ac:dyDescent="0.25">
      <c r="B15" s="1" t="s">
        <v>121</v>
      </c>
    </row>
    <row r="16" spans="1:24" x14ac:dyDescent="0.25">
      <c r="A16" s="10"/>
      <c r="B16" s="40" t="s">
        <v>203</v>
      </c>
      <c r="F16" s="2" t="s">
        <v>300</v>
      </c>
      <c r="H16" s="10"/>
      <c r="L16" s="57">
        <v>18</v>
      </c>
      <c r="M16" s="57">
        <v>18</v>
      </c>
      <c r="N16" s="57">
        <v>18</v>
      </c>
      <c r="O16" s="57">
        <v>18.007200000000001</v>
      </c>
      <c r="P16" s="57">
        <v>18</v>
      </c>
      <c r="Q16" s="57">
        <v>18</v>
      </c>
      <c r="R16" s="57">
        <v>18</v>
      </c>
      <c r="V16" s="40" t="s">
        <v>282</v>
      </c>
    </row>
    <row r="17" spans="1:18" x14ac:dyDescent="0.25">
      <c r="A17" s="10"/>
      <c r="B17" s="40" t="s">
        <v>204</v>
      </c>
      <c r="F17" s="2" t="s">
        <v>113</v>
      </c>
      <c r="J17" s="51">
        <f>SUMPRODUCT(L16:R16,L17:R17)/SUM(L17:R17)</f>
        <v>18.002510883206796</v>
      </c>
      <c r="L17" s="64">
        <v>138211.38059177471</v>
      </c>
      <c r="M17" s="64">
        <v>188011.04723781827</v>
      </c>
      <c r="N17" s="64">
        <v>2236998.1643496188</v>
      </c>
      <c r="O17" s="64">
        <v>2463085.7065084148</v>
      </c>
      <c r="P17" s="64">
        <v>102272.37998887508</v>
      </c>
      <c r="Q17" s="64">
        <v>1883064.4949132442</v>
      </c>
      <c r="R17" s="64">
        <v>51296.687121787989</v>
      </c>
    </row>
    <row r="18" spans="1:18" x14ac:dyDescent="0.25">
      <c r="B18" s="40"/>
      <c r="L18" s="133"/>
      <c r="M18" s="133"/>
      <c r="N18" s="133"/>
      <c r="O18" s="133"/>
      <c r="P18" s="133"/>
      <c r="Q18" s="133"/>
      <c r="R18" s="133"/>
    </row>
    <row r="19" spans="1:18" x14ac:dyDescent="0.25">
      <c r="A19" s="10"/>
      <c r="B19" s="40" t="s">
        <v>205</v>
      </c>
      <c r="F19" s="2" t="s">
        <v>360</v>
      </c>
      <c r="L19" s="57">
        <v>24.9696</v>
      </c>
      <c r="M19" s="57">
        <v>25.921200000000006</v>
      </c>
      <c r="N19" s="57">
        <v>25.163499999999999</v>
      </c>
      <c r="O19" s="57">
        <v>31.219799999999999</v>
      </c>
      <c r="P19" s="57">
        <v>30.5</v>
      </c>
      <c r="Q19" s="57">
        <v>28.565000000000001</v>
      </c>
      <c r="R19" s="57">
        <v>21.1724</v>
      </c>
    </row>
    <row r="20" spans="1:18" x14ac:dyDescent="0.25">
      <c r="A20" s="10"/>
      <c r="B20" s="40" t="s">
        <v>206</v>
      </c>
      <c r="F20" s="40" t="s">
        <v>113</v>
      </c>
      <c r="L20" s="64">
        <v>3</v>
      </c>
      <c r="M20" s="64">
        <v>3</v>
      </c>
      <c r="N20" s="64">
        <v>3</v>
      </c>
      <c r="O20" s="64">
        <v>3</v>
      </c>
      <c r="P20" s="64">
        <v>3</v>
      </c>
      <c r="Q20" s="64">
        <v>3</v>
      </c>
      <c r="R20" s="64">
        <v>3</v>
      </c>
    </row>
    <row r="21" spans="1:18" x14ac:dyDescent="0.25">
      <c r="A21" s="10"/>
      <c r="B21" s="40" t="s">
        <v>207</v>
      </c>
      <c r="F21" s="2" t="s">
        <v>113</v>
      </c>
      <c r="J21" s="51">
        <f>SUMPRODUCT(L19:R19,L20:R20,L21:R21)/SUM(L21:R21)</f>
        <v>84.629481213718449</v>
      </c>
      <c r="L21" s="64">
        <v>468922.33627533697</v>
      </c>
      <c r="M21" s="64">
        <v>603938.88779902353</v>
      </c>
      <c r="N21" s="64">
        <v>7287448.7222530572</v>
      </c>
      <c r="O21" s="64">
        <v>7787861.7505840249</v>
      </c>
      <c r="P21" s="64">
        <v>338952.20358401537</v>
      </c>
      <c r="Q21" s="64">
        <v>5732172.2473380528</v>
      </c>
      <c r="R21" s="64">
        <v>163677.22711687637</v>
      </c>
    </row>
    <row r="22" spans="1:18" x14ac:dyDescent="0.25">
      <c r="B22" s="40"/>
      <c r="L22" s="133"/>
      <c r="M22" s="133"/>
      <c r="N22" s="133"/>
      <c r="O22" s="133"/>
      <c r="P22" s="133"/>
      <c r="Q22" s="133"/>
      <c r="R22" s="133"/>
    </row>
    <row r="23" spans="1:18" x14ac:dyDescent="0.25">
      <c r="A23" s="10"/>
      <c r="B23" s="40" t="s">
        <v>208</v>
      </c>
      <c r="F23" s="2" t="s">
        <v>300</v>
      </c>
      <c r="L23" s="57">
        <v>28.9176</v>
      </c>
      <c r="M23" s="57">
        <v>28.4496</v>
      </c>
      <c r="N23" s="57">
        <v>29.59</v>
      </c>
      <c r="O23" s="57">
        <v>31.915199999999999</v>
      </c>
      <c r="P23" s="57">
        <v>29.95</v>
      </c>
      <c r="Q23" s="57">
        <v>28.17</v>
      </c>
      <c r="R23" s="57">
        <v>26.2</v>
      </c>
    </row>
    <row r="24" spans="1:18" x14ac:dyDescent="0.25">
      <c r="A24" s="10"/>
      <c r="B24" s="40" t="s">
        <v>209</v>
      </c>
      <c r="F24" s="2" t="s">
        <v>113</v>
      </c>
      <c r="J24" s="51">
        <f>SUMPRODUCT(L23:R23,L24:R24)/SUM(L24:R24)</f>
        <v>29.958673758502535</v>
      </c>
      <c r="L24" s="64">
        <v>135413.53846153847</v>
      </c>
      <c r="M24" s="64">
        <v>184701.58903101986</v>
      </c>
      <c r="N24" s="64">
        <v>2193850.4095087429</v>
      </c>
      <c r="O24" s="64">
        <v>2420637.6595494323</v>
      </c>
      <c r="P24" s="64">
        <v>100226.24666666666</v>
      </c>
      <c r="Q24" s="64">
        <v>1854844.0428774992</v>
      </c>
      <c r="R24" s="64">
        <v>50268.267924158346</v>
      </c>
    </row>
    <row r="29" spans="1:18" x14ac:dyDescent="0.25">
      <c r="M29" s="160"/>
      <c r="N29" s="159"/>
      <c r="O29" s="159"/>
    </row>
    <row r="30" spans="1:18" x14ac:dyDescent="0.25">
      <c r="M30" s="160"/>
      <c r="N30" s="159"/>
      <c r="O30" s="159"/>
    </row>
    <row r="31" spans="1:18" x14ac:dyDescent="0.25">
      <c r="M31" s="160"/>
      <c r="N31" s="159"/>
      <c r="O31" s="159"/>
    </row>
    <row r="32" spans="1:18" x14ac:dyDescent="0.25">
      <c r="M32" s="159"/>
    </row>
  </sheetData>
  <pageMargins left="0.70866141732283472" right="0.70866141732283472" top="0.74803149606299213" bottom="0.74803149606299213" header="0.31496062992125984" footer="0.31496062992125984"/>
  <pageSetup paperSize="9" scale="4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4.9989318521683403E-2"/>
  </sheetPr>
  <dimension ref="A1"/>
  <sheetViews>
    <sheetView showGridLines="0" zoomScaleNormal="100" workbookViewId="0"/>
  </sheetViews>
  <sheetFormatPr defaultRowHeight="12.75" x14ac:dyDescent="0.25"/>
  <cols>
    <col min="1" max="16384" width="9.140625" style="38"/>
  </cols>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CC"/>
    <pageSetUpPr fitToPage="1"/>
  </sheetPr>
  <dimension ref="A2:R116"/>
  <sheetViews>
    <sheetView showGridLines="0" zoomScaleNormal="100" workbookViewId="0">
      <pane xSplit="6" ySplit="14" topLeftCell="G15" activePane="bottomRight" state="frozen"/>
      <selection pane="topRight"/>
      <selection pane="bottomLeft"/>
      <selection pane="bottomRight"/>
    </sheetView>
  </sheetViews>
  <sheetFormatPr defaultRowHeight="12.75" x14ac:dyDescent="0.2"/>
  <cols>
    <col min="1" max="1" width="4.5703125" style="2" customWidth="1"/>
    <col min="2" max="2" width="41.42578125" style="2" customWidth="1"/>
    <col min="3" max="4" width="4.5703125" style="2" customWidth="1"/>
    <col min="5" max="5" width="20.5703125" style="2" customWidth="1"/>
    <col min="6" max="6" width="20.28515625" style="152" bestFit="1" customWidth="1"/>
    <col min="7" max="7" width="2.7109375" style="2" customWidth="1"/>
    <col min="8" max="8" width="13.7109375" style="2" customWidth="1"/>
    <col min="9" max="9" width="2.7109375" style="2" customWidth="1"/>
    <col min="10" max="10" width="13.7109375" style="2" customWidth="1"/>
    <col min="11" max="11" width="2.7109375" style="2" customWidth="1"/>
    <col min="12" max="13" width="12.5703125" style="2" customWidth="1"/>
    <col min="14" max="14" width="14.7109375" style="2" bestFit="1" customWidth="1"/>
    <col min="15" max="17" width="2.7109375" style="2" customWidth="1"/>
    <col min="18" max="32" width="13.7109375" style="2" customWidth="1"/>
    <col min="33" max="16384" width="9.140625" style="2"/>
  </cols>
  <sheetData>
    <row r="2" spans="1:18" s="33" customFormat="1" ht="18" x14ac:dyDescent="0.25">
      <c r="B2" s="33" t="s">
        <v>192</v>
      </c>
      <c r="F2" s="165"/>
    </row>
    <row r="4" spans="1:18" x14ac:dyDescent="0.2">
      <c r="B4" s="1" t="s">
        <v>63</v>
      </c>
      <c r="C4" s="1"/>
      <c r="D4" s="1"/>
    </row>
    <row r="5" spans="1:18" x14ac:dyDescent="0.2">
      <c r="A5" s="10"/>
      <c r="B5" s="40" t="s">
        <v>289</v>
      </c>
      <c r="C5" s="1"/>
      <c r="D5" s="1"/>
    </row>
    <row r="6" spans="1:18" x14ac:dyDescent="0.2">
      <c r="A6" s="10"/>
      <c r="B6" s="40" t="s">
        <v>84</v>
      </c>
      <c r="C6" s="3"/>
      <c r="D6" s="3"/>
      <c r="H6" s="34"/>
    </row>
    <row r="7" spans="1:18" x14ac:dyDescent="0.2">
      <c r="A7" s="10"/>
      <c r="B7" s="40" t="s">
        <v>150</v>
      </c>
      <c r="C7" s="3"/>
      <c r="D7" s="3"/>
      <c r="H7" s="34"/>
    </row>
    <row r="8" spans="1:18" x14ac:dyDescent="0.2">
      <c r="A8" s="10"/>
      <c r="B8" s="40" t="s">
        <v>290</v>
      </c>
      <c r="C8" s="3"/>
      <c r="D8" s="3"/>
      <c r="H8" s="34"/>
    </row>
    <row r="9" spans="1:18" x14ac:dyDescent="0.2">
      <c r="B9" s="40"/>
      <c r="C9" s="3"/>
      <c r="D9" s="3"/>
      <c r="H9" s="34"/>
    </row>
    <row r="10" spans="1:18" x14ac:dyDescent="0.2">
      <c r="B10" s="5" t="s">
        <v>33</v>
      </c>
      <c r="C10" s="3"/>
      <c r="D10" s="3"/>
      <c r="H10" s="34"/>
    </row>
    <row r="11" spans="1:18" x14ac:dyDescent="0.2">
      <c r="B11" s="5" t="s">
        <v>0</v>
      </c>
      <c r="C11" s="3"/>
      <c r="D11" s="3"/>
    </row>
    <row r="13" spans="1:18" s="9" customFormat="1" x14ac:dyDescent="0.25">
      <c r="B13" s="9" t="s">
        <v>49</v>
      </c>
      <c r="E13" s="9" t="s">
        <v>30</v>
      </c>
      <c r="F13" s="162"/>
      <c r="H13" s="9" t="s">
        <v>31</v>
      </c>
      <c r="J13" s="9" t="s">
        <v>53</v>
      </c>
      <c r="L13" s="9" t="s">
        <v>177</v>
      </c>
      <c r="N13" s="9" t="s">
        <v>222</v>
      </c>
      <c r="R13" s="9" t="s">
        <v>51</v>
      </c>
    </row>
    <row r="16" spans="1:18" s="9" customFormat="1" x14ac:dyDescent="0.25">
      <c r="B16" s="9" t="s">
        <v>52</v>
      </c>
      <c r="F16" s="162"/>
    </row>
    <row r="19" spans="1:12" x14ac:dyDescent="0.2">
      <c r="B19" s="1" t="s">
        <v>71</v>
      </c>
    </row>
    <row r="20" spans="1:12" x14ac:dyDescent="0.2">
      <c r="A20" s="10"/>
      <c r="B20" s="54" t="s">
        <v>243</v>
      </c>
      <c r="E20" s="2" t="s">
        <v>81</v>
      </c>
      <c r="H20" s="134">
        <f>'Gegevens warmteregeling &amp; ACM'!I28</f>
        <v>3.7900000000000003E-2</v>
      </c>
    </row>
    <row r="21" spans="1:12" x14ac:dyDescent="0.2">
      <c r="A21" s="10"/>
      <c r="B21" s="2" t="s">
        <v>97</v>
      </c>
      <c r="C21" s="34"/>
      <c r="E21" s="2" t="s">
        <v>81</v>
      </c>
      <c r="H21" s="134">
        <f>'Gegevens warmteregeling &amp; ACM'!I25</f>
        <v>2.8000000000000001E-2</v>
      </c>
      <c r="I21" s="161"/>
      <c r="K21" s="72"/>
    </row>
    <row r="22" spans="1:12" x14ac:dyDescent="0.2">
      <c r="A22" s="10"/>
      <c r="B22" s="54" t="s">
        <v>221</v>
      </c>
      <c r="E22" s="2" t="s">
        <v>113</v>
      </c>
      <c r="H22" s="52">
        <f>'Gegevens warmteregeling &amp; ACM'!I26</f>
        <v>1.0642822320000001</v>
      </c>
    </row>
    <row r="23" spans="1:12" x14ac:dyDescent="0.2">
      <c r="A23" s="10"/>
      <c r="B23" s="2" t="s">
        <v>72</v>
      </c>
      <c r="E23" s="2" t="s">
        <v>81</v>
      </c>
      <c r="H23" s="56">
        <f>'Gegevens warmteregeling &amp; ACM'!I18</f>
        <v>0.21</v>
      </c>
    </row>
    <row r="24" spans="1:12" x14ac:dyDescent="0.2">
      <c r="A24" s="10"/>
      <c r="B24" s="2" t="s">
        <v>161</v>
      </c>
      <c r="E24" s="2" t="s">
        <v>113</v>
      </c>
      <c r="H24" s="52">
        <v>0.5</v>
      </c>
    </row>
    <row r="25" spans="1:12" x14ac:dyDescent="0.2">
      <c r="A25" s="10"/>
      <c r="B25" s="1"/>
    </row>
    <row r="26" spans="1:12" x14ac:dyDescent="0.2">
      <c r="A26" s="10"/>
      <c r="B26" s="1" t="s">
        <v>194</v>
      </c>
    </row>
    <row r="27" spans="1:12" x14ac:dyDescent="0.2">
      <c r="A27" s="10"/>
      <c r="B27" s="2" t="s">
        <v>195</v>
      </c>
      <c r="E27" s="2" t="s">
        <v>283</v>
      </c>
      <c r="F27" s="152" t="s">
        <v>313</v>
      </c>
      <c r="L27" s="52">
        <f>Gasleveranciers!J20</f>
        <v>51.922740307499595</v>
      </c>
    </row>
    <row r="28" spans="1:12" x14ac:dyDescent="0.2">
      <c r="A28" s="10"/>
    </row>
    <row r="29" spans="1:12" x14ac:dyDescent="0.2">
      <c r="A29" s="10"/>
      <c r="B29" s="1" t="s">
        <v>194</v>
      </c>
    </row>
    <row r="30" spans="1:12" x14ac:dyDescent="0.2">
      <c r="A30" s="10"/>
      <c r="B30" s="2" t="s">
        <v>196</v>
      </c>
      <c r="E30" s="2" t="s">
        <v>283</v>
      </c>
      <c r="F30" s="152" t="s">
        <v>313</v>
      </c>
      <c r="L30" s="52">
        <f>Netbeheer!J17</f>
        <v>18.002510883206796</v>
      </c>
    </row>
    <row r="31" spans="1:12" x14ac:dyDescent="0.2">
      <c r="A31" s="10"/>
      <c r="B31" s="2" t="s">
        <v>198</v>
      </c>
      <c r="E31" s="2" t="s">
        <v>283</v>
      </c>
      <c r="F31" s="152" t="s">
        <v>313</v>
      </c>
      <c r="L31" s="52">
        <f>Netbeheer!J21</f>
        <v>84.629481213718449</v>
      </c>
    </row>
    <row r="32" spans="1:12" x14ac:dyDescent="0.2">
      <c r="A32" s="10"/>
      <c r="B32" s="2" t="s">
        <v>197</v>
      </c>
      <c r="E32" s="2" t="s">
        <v>283</v>
      </c>
      <c r="F32" s="152" t="s">
        <v>313</v>
      </c>
      <c r="L32" s="52">
        <f>Netbeheer!J24</f>
        <v>29.958673758502535</v>
      </c>
    </row>
    <row r="33" spans="1:14" x14ac:dyDescent="0.2">
      <c r="A33" s="10"/>
    </row>
    <row r="34" spans="1:14" x14ac:dyDescent="0.2">
      <c r="A34" s="10"/>
      <c r="B34" s="1" t="s">
        <v>88</v>
      </c>
    </row>
    <row r="35" spans="1:14" x14ac:dyDescent="0.2">
      <c r="A35" s="10"/>
      <c r="B35" s="2" t="s">
        <v>162</v>
      </c>
      <c r="E35" s="2" t="s">
        <v>227</v>
      </c>
      <c r="F35" s="152" t="s">
        <v>315</v>
      </c>
      <c r="L35" s="132">
        <f>'Gegevens warmteregeling &amp; ACM'!I43</f>
        <v>1547.5</v>
      </c>
      <c r="M35" s="69"/>
    </row>
    <row r="36" spans="1:14" x14ac:dyDescent="0.2">
      <c r="A36" s="10"/>
      <c r="B36" s="2" t="s">
        <v>216</v>
      </c>
      <c r="E36" s="2" t="s">
        <v>227</v>
      </c>
      <c r="F36" s="167" t="s">
        <v>312</v>
      </c>
      <c r="L36" s="132">
        <f>'Gegevens warmteregeling &amp; ACM'!I44</f>
        <v>173.12</v>
      </c>
      <c r="M36" s="69"/>
    </row>
    <row r="37" spans="1:14" x14ac:dyDescent="0.2">
      <c r="A37" s="10"/>
      <c r="B37" s="2" t="s">
        <v>162</v>
      </c>
      <c r="E37" s="2" t="s">
        <v>227</v>
      </c>
      <c r="F37" s="152" t="s">
        <v>316</v>
      </c>
      <c r="H37" s="166"/>
      <c r="M37" s="69"/>
      <c r="N37" s="132">
        <f>'Gegevens warmteregeling &amp; ACM'!I56</f>
        <v>64667.588984673639</v>
      </c>
    </row>
    <row r="38" spans="1:14" x14ac:dyDescent="0.2">
      <c r="A38" s="10"/>
      <c r="B38" s="2" t="s">
        <v>213</v>
      </c>
      <c r="E38" s="2" t="s">
        <v>227</v>
      </c>
      <c r="F38" s="152" t="s">
        <v>316</v>
      </c>
      <c r="H38" s="166"/>
      <c r="M38" s="69"/>
      <c r="N38" s="56">
        <f>'Gegevens warmteregeling &amp; ACM'!I57</f>
        <v>0.03</v>
      </c>
    </row>
    <row r="39" spans="1:14" x14ac:dyDescent="0.2">
      <c r="A39" s="10"/>
      <c r="B39" s="2" t="s">
        <v>92</v>
      </c>
      <c r="E39" s="2" t="s">
        <v>91</v>
      </c>
      <c r="H39" s="68">
        <f>'Gegevens warmteregeling &amp; ACM'!I48</f>
        <v>15</v>
      </c>
      <c r="M39" s="69"/>
      <c r="N39" s="135"/>
    </row>
    <row r="40" spans="1:14" x14ac:dyDescent="0.2">
      <c r="A40" s="10"/>
      <c r="B40" s="2" t="s">
        <v>284</v>
      </c>
      <c r="E40" s="2" t="s">
        <v>113</v>
      </c>
      <c r="H40" s="132">
        <v>0.5</v>
      </c>
      <c r="M40" s="69"/>
      <c r="N40" s="135"/>
    </row>
    <row r="41" spans="1:14" x14ac:dyDescent="0.2">
      <c r="A41" s="10"/>
      <c r="L41" s="69"/>
      <c r="M41" s="69"/>
      <c r="N41" s="69"/>
    </row>
    <row r="42" spans="1:14" x14ac:dyDescent="0.2">
      <c r="A42" s="10"/>
      <c r="B42" s="1" t="s">
        <v>89</v>
      </c>
      <c r="L42" s="69"/>
      <c r="M42" s="69"/>
      <c r="N42" s="69"/>
    </row>
    <row r="43" spans="1:14" x14ac:dyDescent="0.2">
      <c r="A43" s="10"/>
      <c r="B43" s="2" t="s">
        <v>163</v>
      </c>
      <c r="E43" s="2" t="s">
        <v>227</v>
      </c>
      <c r="F43" s="152" t="s">
        <v>314</v>
      </c>
      <c r="L43" s="132">
        <f>'Gegevens warmteregeling &amp; ACM'!I45</f>
        <v>951.42609528891717</v>
      </c>
      <c r="M43" s="69"/>
    </row>
    <row r="44" spans="1:14" x14ac:dyDescent="0.2">
      <c r="A44" s="10"/>
      <c r="B44" s="2" t="s">
        <v>215</v>
      </c>
      <c r="E44" s="2" t="s">
        <v>227</v>
      </c>
      <c r="F44" s="152" t="s">
        <v>313</v>
      </c>
      <c r="L44" s="132">
        <f>'Gegevens warmteregeling &amp; ACM'!I46</f>
        <v>24.638620679616817</v>
      </c>
      <c r="M44" s="69"/>
    </row>
    <row r="45" spans="1:14" x14ac:dyDescent="0.2">
      <c r="A45" s="10"/>
      <c r="B45" s="2" t="s">
        <v>163</v>
      </c>
      <c r="E45" s="2" t="s">
        <v>227</v>
      </c>
      <c r="F45" s="152" t="s">
        <v>314</v>
      </c>
      <c r="L45" s="166"/>
      <c r="M45" s="69"/>
      <c r="N45" s="132">
        <f>'Gegevens warmteregeling &amp; ACM'!I58</f>
        <v>34634.163938980382</v>
      </c>
    </row>
    <row r="46" spans="1:14" x14ac:dyDescent="0.2">
      <c r="A46" s="10"/>
      <c r="B46" s="2" t="s">
        <v>215</v>
      </c>
      <c r="E46" s="2" t="s">
        <v>227</v>
      </c>
      <c r="F46" s="152" t="s">
        <v>316</v>
      </c>
      <c r="L46" s="166"/>
      <c r="M46" s="69"/>
      <c r="N46" s="56">
        <f>'Gegevens warmteregeling &amp; ACM'!I59</f>
        <v>0.02</v>
      </c>
    </row>
    <row r="47" spans="1:14" x14ac:dyDescent="0.2">
      <c r="A47" s="10"/>
      <c r="B47" s="2" t="s">
        <v>93</v>
      </c>
      <c r="E47" s="2" t="s">
        <v>91</v>
      </c>
      <c r="H47" s="68">
        <f>'Gegevens warmteregeling &amp; ACM'!I49</f>
        <v>15</v>
      </c>
      <c r="M47" s="69"/>
      <c r="N47" s="135"/>
    </row>
    <row r="48" spans="1:14" x14ac:dyDescent="0.2">
      <c r="A48" s="10"/>
      <c r="B48" s="2" t="s">
        <v>284</v>
      </c>
      <c r="E48" s="2" t="s">
        <v>113</v>
      </c>
      <c r="H48" s="132">
        <v>0.5</v>
      </c>
      <c r="M48" s="69"/>
      <c r="N48" s="135"/>
    </row>
    <row r="49" spans="1:14" x14ac:dyDescent="0.2">
      <c r="A49" s="10"/>
      <c r="L49" s="69"/>
      <c r="M49" s="69"/>
      <c r="N49" s="69"/>
    </row>
    <row r="50" spans="1:14" x14ac:dyDescent="0.2">
      <c r="A50" s="10"/>
      <c r="B50" s="54" t="s">
        <v>164</v>
      </c>
      <c r="E50" s="2" t="s">
        <v>227</v>
      </c>
      <c r="F50" s="152" t="s">
        <v>313</v>
      </c>
      <c r="L50" s="52">
        <f>'Gegevens warmteregeling &amp; ACM'!I52</f>
        <v>22.01</v>
      </c>
      <c r="N50" s="52">
        <f>'Gegevens warmteregeling &amp; ACM'!I52</f>
        <v>22.01</v>
      </c>
    </row>
    <row r="51" spans="1:14" x14ac:dyDescent="0.2">
      <c r="A51" s="10"/>
      <c r="B51" s="72" t="s">
        <v>183</v>
      </c>
      <c r="E51" s="2" t="s">
        <v>227</v>
      </c>
      <c r="F51" s="152" t="s">
        <v>316</v>
      </c>
      <c r="L51" s="69"/>
      <c r="M51" s="69"/>
      <c r="N51" s="52">
        <f>'Gegevens warmteregeling &amp; ACM'!I64</f>
        <v>3874</v>
      </c>
    </row>
    <row r="52" spans="1:14" x14ac:dyDescent="0.2">
      <c r="A52" s="10"/>
      <c r="B52" s="72"/>
      <c r="L52" s="69"/>
      <c r="M52" s="69"/>
      <c r="N52" s="79"/>
    </row>
    <row r="53" spans="1:14" x14ac:dyDescent="0.2">
      <c r="A53" s="10"/>
      <c r="B53" s="45" t="s">
        <v>173</v>
      </c>
      <c r="L53" s="69"/>
      <c r="M53" s="69"/>
      <c r="N53" s="79"/>
    </row>
    <row r="54" spans="1:14" x14ac:dyDescent="0.2">
      <c r="A54" s="10"/>
      <c r="B54" s="40" t="s">
        <v>117</v>
      </c>
      <c r="E54" s="2" t="s">
        <v>241</v>
      </c>
      <c r="F54" s="152" t="s">
        <v>316</v>
      </c>
      <c r="L54" s="132">
        <f>'Gegevens warmteregeling &amp; ACM'!I69</f>
        <v>245.27</v>
      </c>
      <c r="M54" s="69"/>
      <c r="N54" s="79"/>
    </row>
    <row r="55" spans="1:14" x14ac:dyDescent="0.2">
      <c r="A55" s="10"/>
      <c r="B55" s="40" t="s">
        <v>145</v>
      </c>
      <c r="E55" s="2" t="s">
        <v>241</v>
      </c>
      <c r="F55" s="152" t="s">
        <v>316</v>
      </c>
      <c r="L55" s="132">
        <f>'Gegevens warmteregeling &amp; ACM'!I70</f>
        <v>62.06</v>
      </c>
      <c r="M55" s="69"/>
      <c r="N55" s="79"/>
    </row>
    <row r="56" spans="1:14" x14ac:dyDescent="0.2">
      <c r="A56" s="10"/>
      <c r="B56" s="72"/>
      <c r="L56" s="69"/>
      <c r="M56" s="69"/>
      <c r="N56" s="79"/>
    </row>
    <row r="57" spans="1:14" x14ac:dyDescent="0.2">
      <c r="A57" s="10"/>
      <c r="B57" s="45" t="s">
        <v>174</v>
      </c>
      <c r="L57" s="69"/>
      <c r="M57" s="69"/>
      <c r="N57" s="79"/>
    </row>
    <row r="58" spans="1:14" x14ac:dyDescent="0.2">
      <c r="A58" s="10"/>
      <c r="B58" s="2" t="s">
        <v>185</v>
      </c>
      <c r="E58" s="2" t="s">
        <v>241</v>
      </c>
      <c r="F58" s="152" t="s">
        <v>316</v>
      </c>
      <c r="L58" s="52">
        <f>'Gegevens warmteregeling &amp; ACM'!I75</f>
        <v>222.5</v>
      </c>
      <c r="M58" s="69"/>
      <c r="N58" s="79"/>
    </row>
    <row r="59" spans="1:14" x14ac:dyDescent="0.2">
      <c r="A59" s="10"/>
      <c r="B59" s="2" t="s">
        <v>184</v>
      </c>
      <c r="E59" s="2" t="s">
        <v>241</v>
      </c>
      <c r="F59" s="152" t="s">
        <v>316</v>
      </c>
      <c r="L59" s="52">
        <f>'Gegevens warmteregeling &amp; ACM'!I76</f>
        <v>54.11</v>
      </c>
    </row>
    <row r="61" spans="1:14" s="9" customFormat="1" x14ac:dyDescent="0.25">
      <c r="B61" s="9" t="s">
        <v>87</v>
      </c>
      <c r="F61" s="162"/>
    </row>
    <row r="63" spans="1:14" x14ac:dyDescent="0.2">
      <c r="B63" s="1" t="s">
        <v>199</v>
      </c>
    </row>
    <row r="64" spans="1:14" x14ac:dyDescent="0.2">
      <c r="A64" s="10"/>
      <c r="B64" s="2" t="s">
        <v>195</v>
      </c>
      <c r="E64" s="2" t="s">
        <v>322</v>
      </c>
      <c r="F64" s="152" t="s">
        <v>313</v>
      </c>
      <c r="L64" s="51">
        <f>L27</f>
        <v>51.922740307499595</v>
      </c>
    </row>
    <row r="65" spans="1:14" x14ac:dyDescent="0.2">
      <c r="A65" s="10"/>
    </row>
    <row r="66" spans="1:14" x14ac:dyDescent="0.2">
      <c r="A66" s="10"/>
      <c r="B66" s="1" t="s">
        <v>200</v>
      </c>
    </row>
    <row r="67" spans="1:14" x14ac:dyDescent="0.2">
      <c r="A67" s="10"/>
      <c r="B67" s="2" t="s">
        <v>201</v>
      </c>
      <c r="E67" s="2" t="s">
        <v>322</v>
      </c>
      <c r="F67" s="152" t="s">
        <v>313</v>
      </c>
      <c r="L67" s="51">
        <f>L30</f>
        <v>18.002510883206796</v>
      </c>
    </row>
    <row r="68" spans="1:14" x14ac:dyDescent="0.2">
      <c r="A68" s="10"/>
      <c r="B68" s="2" t="s">
        <v>198</v>
      </c>
      <c r="E68" s="2" t="s">
        <v>322</v>
      </c>
      <c r="F68" s="152" t="s">
        <v>313</v>
      </c>
      <c r="L68" s="51">
        <f>L31</f>
        <v>84.629481213718449</v>
      </c>
    </row>
    <row r="69" spans="1:14" x14ac:dyDescent="0.2">
      <c r="A69" s="10"/>
      <c r="B69" s="2" t="s">
        <v>197</v>
      </c>
      <c r="E69" s="2" t="s">
        <v>322</v>
      </c>
      <c r="F69" s="152" t="s">
        <v>313</v>
      </c>
      <c r="K69" s="49"/>
      <c r="L69" s="51">
        <f>L32</f>
        <v>29.958673758502535</v>
      </c>
      <c r="M69" s="49"/>
      <c r="N69" s="10"/>
    </row>
    <row r="70" spans="1:14" x14ac:dyDescent="0.2">
      <c r="A70" s="10"/>
      <c r="B70" s="61" t="s">
        <v>175</v>
      </c>
      <c r="E70" s="2" t="s">
        <v>322</v>
      </c>
      <c r="F70" s="152" t="s">
        <v>313</v>
      </c>
      <c r="K70" s="49"/>
      <c r="L70" s="50">
        <f>SUM(L64:L69)</f>
        <v>184.51340616292737</v>
      </c>
      <c r="M70" s="49"/>
      <c r="N70" s="73"/>
    </row>
    <row r="71" spans="1:14" x14ac:dyDescent="0.2">
      <c r="A71" s="10"/>
      <c r="B71" s="61"/>
      <c r="K71" s="49"/>
      <c r="L71" s="140"/>
      <c r="M71" s="49"/>
      <c r="N71" s="73"/>
    </row>
    <row r="72" spans="1:14" x14ac:dyDescent="0.2">
      <c r="A72" s="10"/>
      <c r="B72" s="139" t="s">
        <v>285</v>
      </c>
      <c r="K72" s="49"/>
      <c r="L72" s="140"/>
      <c r="M72" s="49"/>
      <c r="N72" s="73"/>
    </row>
    <row r="73" spans="1:14" x14ac:dyDescent="0.2">
      <c r="A73" s="10"/>
      <c r="B73" s="61" t="s">
        <v>175</v>
      </c>
      <c r="E73" s="2" t="s">
        <v>322</v>
      </c>
      <c r="F73" s="152" t="s">
        <v>313</v>
      </c>
      <c r="K73" s="49"/>
      <c r="L73" s="50">
        <f>L70*H24</f>
        <v>92.256703081463684</v>
      </c>
      <c r="M73" s="49"/>
      <c r="N73" s="73"/>
    </row>
    <row r="75" spans="1:14" s="9" customFormat="1" x14ac:dyDescent="0.25">
      <c r="B75" s="9" t="s">
        <v>98</v>
      </c>
      <c r="F75" s="162"/>
    </row>
    <row r="77" spans="1:14" x14ac:dyDescent="0.2">
      <c r="B77" s="1" t="s">
        <v>135</v>
      </c>
      <c r="L77" s="1"/>
    </row>
    <row r="78" spans="1:14" x14ac:dyDescent="0.2">
      <c r="B78" s="40" t="s">
        <v>162</v>
      </c>
      <c r="E78" s="2" t="s">
        <v>227</v>
      </c>
      <c r="F78" s="152" t="s">
        <v>315</v>
      </c>
      <c r="L78" s="52">
        <f>L35</f>
        <v>1547.5</v>
      </c>
      <c r="N78" s="52">
        <f>N37</f>
        <v>64667.588984673639</v>
      </c>
    </row>
    <row r="79" spans="1:14" x14ac:dyDescent="0.2">
      <c r="A79" s="10"/>
      <c r="B79" s="2" t="s">
        <v>128</v>
      </c>
      <c r="E79" s="2" t="s">
        <v>227</v>
      </c>
      <c r="F79" s="152" t="s">
        <v>315</v>
      </c>
      <c r="L79" s="51">
        <f>L35/H39</f>
        <v>103.16666666666667</v>
      </c>
      <c r="N79" s="51">
        <f>N37/H39</f>
        <v>4311.1725989782426</v>
      </c>
    </row>
    <row r="80" spans="1:14" x14ac:dyDescent="0.2">
      <c r="A80" s="10"/>
      <c r="B80" s="2" t="s">
        <v>129</v>
      </c>
      <c r="E80" s="2" t="s">
        <v>227</v>
      </c>
      <c r="F80" s="152" t="s">
        <v>315</v>
      </c>
      <c r="L80" s="51">
        <f>L78*H40</f>
        <v>773.75</v>
      </c>
      <c r="N80" s="51">
        <f>N78*H40</f>
        <v>32333.79449233682</v>
      </c>
    </row>
    <row r="81" spans="1:14" x14ac:dyDescent="0.2">
      <c r="A81" s="10"/>
      <c r="B81" s="40" t="s">
        <v>214</v>
      </c>
      <c r="E81" s="2" t="s">
        <v>227</v>
      </c>
      <c r="F81" s="152" t="s">
        <v>315</v>
      </c>
      <c r="L81" s="51">
        <f>L80*H20</f>
        <v>29.325125000000003</v>
      </c>
      <c r="N81" s="51">
        <f>H20*N80</f>
        <v>1225.4508112595656</v>
      </c>
    </row>
    <row r="82" spans="1:14" x14ac:dyDescent="0.2">
      <c r="A82" s="10"/>
      <c r="B82" s="40" t="s">
        <v>134</v>
      </c>
      <c r="E82" s="2" t="s">
        <v>227</v>
      </c>
      <c r="F82" s="152" t="s">
        <v>315</v>
      </c>
      <c r="L82" s="51">
        <f>L79+L81</f>
        <v>132.49179166666667</v>
      </c>
      <c r="N82" s="51">
        <f>N79+N81</f>
        <v>5536.6234102378085</v>
      </c>
    </row>
    <row r="83" spans="1:14" x14ac:dyDescent="0.2">
      <c r="A83" s="71"/>
      <c r="B83" s="2" t="s">
        <v>216</v>
      </c>
      <c r="E83" s="2" t="s">
        <v>227</v>
      </c>
      <c r="F83" s="152" t="s">
        <v>313</v>
      </c>
      <c r="L83" s="52">
        <f>L36*(1+H21)</f>
        <v>177.96736000000001</v>
      </c>
      <c r="N83" s="94">
        <f>N37*N38*H22</f>
        <v>2064.736978280012</v>
      </c>
    </row>
    <row r="84" spans="1:14" x14ac:dyDescent="0.2">
      <c r="A84" s="71"/>
      <c r="L84" s="72"/>
      <c r="N84" s="72"/>
    </row>
    <row r="85" spans="1:14" x14ac:dyDescent="0.2">
      <c r="A85" s="71"/>
      <c r="B85" s="1" t="s">
        <v>137</v>
      </c>
      <c r="L85" s="72"/>
      <c r="N85" s="72"/>
    </row>
    <row r="86" spans="1:14" x14ac:dyDescent="0.2">
      <c r="A86" s="71"/>
      <c r="B86" s="72" t="s">
        <v>183</v>
      </c>
      <c r="E86" s="2" t="s">
        <v>227</v>
      </c>
      <c r="F86" s="152" t="s">
        <v>313</v>
      </c>
      <c r="L86" s="72"/>
      <c r="N86" s="51">
        <f>N51*H22</f>
        <v>4123.0293667679998</v>
      </c>
    </row>
    <row r="88" spans="1:14" s="9" customFormat="1" x14ac:dyDescent="0.25">
      <c r="B88" s="9" t="s">
        <v>99</v>
      </c>
      <c r="F88" s="162"/>
    </row>
    <row r="90" spans="1:14" x14ac:dyDescent="0.2">
      <c r="A90" s="10"/>
      <c r="B90" s="1" t="s">
        <v>136</v>
      </c>
      <c r="L90" s="1"/>
    </row>
    <row r="91" spans="1:14" x14ac:dyDescent="0.2">
      <c r="A91" s="10"/>
      <c r="B91" s="2" t="s">
        <v>163</v>
      </c>
      <c r="E91" s="2" t="s">
        <v>227</v>
      </c>
      <c r="F91" s="152" t="s">
        <v>314</v>
      </c>
      <c r="L91" s="52">
        <f>L43</f>
        <v>951.42609528891717</v>
      </c>
      <c r="N91" s="52">
        <f>N45</f>
        <v>34634.163938980382</v>
      </c>
    </row>
    <row r="92" spans="1:14" x14ac:dyDescent="0.2">
      <c r="A92" s="10"/>
      <c r="B92" s="2" t="s">
        <v>128</v>
      </c>
      <c r="E92" s="2" t="s">
        <v>227</v>
      </c>
      <c r="F92" s="152" t="s">
        <v>314</v>
      </c>
      <c r="L92" s="51">
        <f>L91/H47</f>
        <v>63.428406352594479</v>
      </c>
      <c r="N92" s="51">
        <f>N91/H47</f>
        <v>2308.9442625986921</v>
      </c>
    </row>
    <row r="93" spans="1:14" x14ac:dyDescent="0.2">
      <c r="A93" s="10"/>
      <c r="B93" s="2" t="s">
        <v>132</v>
      </c>
      <c r="E93" s="2" t="s">
        <v>227</v>
      </c>
      <c r="F93" s="152" t="s">
        <v>314</v>
      </c>
      <c r="L93" s="51">
        <f>L91*H48</f>
        <v>475.71304764445858</v>
      </c>
      <c r="N93" s="51">
        <f>N91*H48</f>
        <v>17317.081969490191</v>
      </c>
    </row>
    <row r="94" spans="1:14" x14ac:dyDescent="0.2">
      <c r="A94" s="10"/>
      <c r="B94" s="40" t="s">
        <v>214</v>
      </c>
      <c r="E94" s="2" t="s">
        <v>227</v>
      </c>
      <c r="F94" s="152" t="s">
        <v>314</v>
      </c>
      <c r="L94" s="51">
        <f>L93*H20</f>
        <v>18.029524505724982</v>
      </c>
      <c r="N94" s="51">
        <f>H20*N93</f>
        <v>656.31740664367828</v>
      </c>
    </row>
    <row r="95" spans="1:14" x14ac:dyDescent="0.2">
      <c r="A95" s="10"/>
      <c r="B95" s="40" t="s">
        <v>133</v>
      </c>
      <c r="E95" s="2" t="s">
        <v>227</v>
      </c>
      <c r="F95" s="152" t="s">
        <v>314</v>
      </c>
      <c r="L95" s="51">
        <f>L92+L94</f>
        <v>81.457930858319457</v>
      </c>
      <c r="N95" s="51">
        <f>N92+N94</f>
        <v>2965.2616692423703</v>
      </c>
    </row>
    <row r="96" spans="1:14" x14ac:dyDescent="0.2">
      <c r="A96" s="71"/>
      <c r="B96" s="2" t="s">
        <v>215</v>
      </c>
      <c r="E96" s="2" t="s">
        <v>227</v>
      </c>
      <c r="F96" s="152" t="s">
        <v>313</v>
      </c>
      <c r="L96" s="52">
        <f>L44</f>
        <v>24.638620679616817</v>
      </c>
      <c r="N96" s="94">
        <f>N45*N46*H22</f>
        <v>737.21050600863919</v>
      </c>
    </row>
    <row r="98" spans="1:18" s="9" customFormat="1" x14ac:dyDescent="0.25">
      <c r="B98" s="9" t="s">
        <v>100</v>
      </c>
      <c r="F98" s="162"/>
    </row>
    <row r="100" spans="1:18" x14ac:dyDescent="0.2">
      <c r="B100" s="1" t="s">
        <v>119</v>
      </c>
    </row>
    <row r="101" spans="1:18" x14ac:dyDescent="0.2">
      <c r="A101" s="10"/>
      <c r="B101" s="40" t="s">
        <v>130</v>
      </c>
      <c r="E101" s="2" t="s">
        <v>322</v>
      </c>
      <c r="L101" s="178">
        <f>(L50+L82+L83)</f>
        <v>332.46915166666668</v>
      </c>
      <c r="N101" s="70">
        <f>(N82+N83)</f>
        <v>7601.36038851782</v>
      </c>
    </row>
    <row r="102" spans="1:18" x14ac:dyDescent="0.2">
      <c r="A102" s="10"/>
      <c r="B102" s="40" t="s">
        <v>131</v>
      </c>
      <c r="E102" s="2" t="s">
        <v>322</v>
      </c>
      <c r="L102" s="70">
        <f>(L50+L95+L96)</f>
        <v>128.10655153793627</v>
      </c>
      <c r="N102" s="70">
        <f>(N50+N95+N96)</f>
        <v>3724.4821752510097</v>
      </c>
    </row>
    <row r="103" spans="1:18" x14ac:dyDescent="0.2">
      <c r="A103" s="10"/>
      <c r="B103" s="40" t="s">
        <v>101</v>
      </c>
      <c r="E103" s="2" t="s">
        <v>322</v>
      </c>
      <c r="L103" s="50">
        <f>L101-L102</f>
        <v>204.36260012873041</v>
      </c>
      <c r="N103" s="50">
        <f>N101-N102</f>
        <v>3876.8782132668102</v>
      </c>
      <c r="R103" s="2" t="s">
        <v>278</v>
      </c>
    </row>
    <row r="104" spans="1:18" x14ac:dyDescent="0.2">
      <c r="A104" s="10"/>
      <c r="B104" s="40" t="s">
        <v>176</v>
      </c>
      <c r="E104" s="2" t="s">
        <v>322</v>
      </c>
      <c r="L104" s="50">
        <f>L103*H24</f>
        <v>102.1813000643652</v>
      </c>
      <c r="N104" s="50">
        <f>N103*H24</f>
        <v>1938.4391066334051</v>
      </c>
    </row>
    <row r="106" spans="1:18" s="9" customFormat="1" x14ac:dyDescent="0.25">
      <c r="B106" s="9" t="s">
        <v>116</v>
      </c>
      <c r="F106" s="162"/>
    </row>
    <row r="108" spans="1:18" x14ac:dyDescent="0.2">
      <c r="B108" s="45" t="s">
        <v>173</v>
      </c>
    </row>
    <row r="109" spans="1:18" x14ac:dyDescent="0.2">
      <c r="A109" s="10"/>
      <c r="B109" s="40" t="s">
        <v>117</v>
      </c>
      <c r="E109" s="2" t="s">
        <v>322</v>
      </c>
      <c r="F109" s="152" t="s">
        <v>313</v>
      </c>
      <c r="L109" s="70">
        <f>(L54*$H$22)/(1+H23)</f>
        <v>215.73264714267773</v>
      </c>
    </row>
    <row r="110" spans="1:18" x14ac:dyDescent="0.2">
      <c r="A110" s="10"/>
      <c r="B110" s="40" t="s">
        <v>145</v>
      </c>
      <c r="E110" s="2" t="s">
        <v>323</v>
      </c>
      <c r="F110" s="152" t="s">
        <v>313</v>
      </c>
      <c r="L110" s="70">
        <f>(L55*$H$22)/(1+H23)</f>
        <v>54.586244064396702</v>
      </c>
    </row>
    <row r="112" spans="1:18" s="77" customFormat="1" x14ac:dyDescent="0.25">
      <c r="B112" s="77" t="s">
        <v>220</v>
      </c>
      <c r="F112" s="163"/>
    </row>
    <row r="113" spans="1:13" s="76" customFormat="1" x14ac:dyDescent="0.25">
      <c r="F113" s="164"/>
    </row>
    <row r="114" spans="1:13" x14ac:dyDescent="0.2">
      <c r="B114" s="45" t="s">
        <v>174</v>
      </c>
    </row>
    <row r="115" spans="1:13" x14ac:dyDescent="0.2">
      <c r="A115" s="10"/>
      <c r="B115" s="2" t="s">
        <v>185</v>
      </c>
      <c r="E115" s="2" t="s">
        <v>322</v>
      </c>
      <c r="F115" s="152" t="s">
        <v>313</v>
      </c>
      <c r="L115" s="70">
        <f>(L58*H22)/(1+H23)</f>
        <v>195.70479059504135</v>
      </c>
    </row>
    <row r="116" spans="1:13" x14ac:dyDescent="0.2">
      <c r="A116" s="10"/>
      <c r="B116" s="2" t="s">
        <v>184</v>
      </c>
      <c r="E116" s="2" t="s">
        <v>323</v>
      </c>
      <c r="F116" s="152" t="s">
        <v>313</v>
      </c>
      <c r="L116" s="70">
        <f>(L59*H22)/(1+H23)</f>
        <v>47.593645928528929</v>
      </c>
      <c r="M116" s="71"/>
    </row>
  </sheetData>
  <pageMargins left="0.7" right="0.7" top="0.75" bottom="0.75" header="0.3" footer="0.3"/>
  <pageSetup paperSize="9" scale="3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CC"/>
    <pageSetUpPr fitToPage="1"/>
  </sheetPr>
  <dimension ref="A2:N37"/>
  <sheetViews>
    <sheetView showGridLines="0" zoomScaleNormal="100" workbookViewId="0">
      <pane xSplit="6" ySplit="11" topLeftCell="G12" activePane="bottomRight" state="frozen"/>
      <selection activeCell="N66" activeCellId="1" sqref="F55 N66"/>
      <selection pane="topRight" activeCell="N66" activeCellId="1" sqref="F55 N66"/>
      <selection pane="bottomLeft" activeCell="N66" activeCellId="1" sqref="F55 N66"/>
      <selection pane="bottomRight"/>
    </sheetView>
  </sheetViews>
  <sheetFormatPr defaultRowHeight="12.75" x14ac:dyDescent="0.2"/>
  <cols>
    <col min="1" max="1" width="4.5703125" style="2" customWidth="1"/>
    <col min="2" max="2" width="41.42578125" style="2" customWidth="1"/>
    <col min="3" max="4" width="4.5703125" style="2" customWidth="1"/>
    <col min="5" max="5" width="21.140625" style="2" bestFit="1" customWidth="1"/>
    <col min="6" max="6" width="9.140625" style="152"/>
    <col min="7" max="7" width="2.7109375" style="2" customWidth="1"/>
    <col min="8" max="8" width="13.7109375" style="2" customWidth="1"/>
    <col min="9" max="9" width="2.7109375" style="2" customWidth="1"/>
    <col min="10" max="10" width="13.7109375" style="2" customWidth="1"/>
    <col min="11" max="13" width="2.7109375" style="2" customWidth="1"/>
    <col min="14" max="28" width="13.7109375" style="2" customWidth="1"/>
    <col min="29" max="16384" width="9.140625" style="2"/>
  </cols>
  <sheetData>
    <row r="2" spans="1:14" s="33" customFormat="1" ht="18" x14ac:dyDescent="0.25">
      <c r="B2" s="33" t="s">
        <v>193</v>
      </c>
      <c r="F2" s="165"/>
    </row>
    <row r="4" spans="1:14" x14ac:dyDescent="0.2">
      <c r="B4" s="1" t="s">
        <v>63</v>
      </c>
      <c r="C4" s="1"/>
      <c r="D4" s="1"/>
    </row>
    <row r="5" spans="1:14" x14ac:dyDescent="0.2">
      <c r="B5" s="40" t="s">
        <v>151</v>
      </c>
      <c r="C5" s="3"/>
      <c r="D5" s="3"/>
      <c r="H5" s="34"/>
    </row>
    <row r="6" spans="1:14" x14ac:dyDescent="0.2">
      <c r="B6" s="40"/>
      <c r="C6" s="3"/>
      <c r="D6" s="3"/>
      <c r="H6" s="34"/>
    </row>
    <row r="7" spans="1:14" x14ac:dyDescent="0.2">
      <c r="B7" s="5" t="s">
        <v>33</v>
      </c>
      <c r="C7" s="3"/>
      <c r="D7" s="3"/>
      <c r="H7" s="34"/>
    </row>
    <row r="8" spans="1:14" x14ac:dyDescent="0.2">
      <c r="B8" s="5"/>
      <c r="C8" s="3"/>
      <c r="D8" s="3"/>
    </row>
    <row r="10" spans="1:14" s="9" customFormat="1" x14ac:dyDescent="0.25">
      <c r="B10" s="9" t="s">
        <v>49</v>
      </c>
      <c r="E10" s="9" t="s">
        <v>30</v>
      </c>
      <c r="F10" s="162"/>
      <c r="H10" s="9" t="s">
        <v>31</v>
      </c>
      <c r="J10" s="9" t="s">
        <v>171</v>
      </c>
      <c r="N10" s="9" t="s">
        <v>51</v>
      </c>
    </row>
    <row r="13" spans="1:14" s="9" customFormat="1" x14ac:dyDescent="0.25">
      <c r="B13" s="9" t="s">
        <v>52</v>
      </c>
      <c r="F13" s="162"/>
    </row>
    <row r="15" spans="1:14" x14ac:dyDescent="0.2">
      <c r="B15" s="1" t="s">
        <v>71</v>
      </c>
    </row>
    <row r="16" spans="1:14" x14ac:dyDescent="0.2">
      <c r="A16" s="10"/>
      <c r="B16" s="2" t="s">
        <v>317</v>
      </c>
      <c r="E16" s="2" t="s">
        <v>304</v>
      </c>
      <c r="F16" s="152" t="s">
        <v>313</v>
      </c>
      <c r="J16" s="58">
        <f>'Gegevens warmteregeling &amp; ACM'!I19</f>
        <v>0.33312999999999998</v>
      </c>
    </row>
    <row r="17" spans="1:10" x14ac:dyDescent="0.2">
      <c r="A17" s="10"/>
      <c r="B17" s="2" t="s">
        <v>318</v>
      </c>
      <c r="E17" s="2" t="s">
        <v>304</v>
      </c>
      <c r="F17" s="152" t="s">
        <v>313</v>
      </c>
      <c r="J17" s="58">
        <f>'Gegevens warmteregeling &amp; ACM'!I20</f>
        <v>7.7499999999999999E-2</v>
      </c>
    </row>
    <row r="18" spans="1:10" x14ac:dyDescent="0.2">
      <c r="A18" s="10"/>
    </row>
    <row r="19" spans="1:10" x14ac:dyDescent="0.2">
      <c r="A19" s="10"/>
      <c r="B19" s="2" t="s">
        <v>319</v>
      </c>
      <c r="E19" s="2" t="s">
        <v>304</v>
      </c>
      <c r="F19" s="152" t="s">
        <v>313</v>
      </c>
      <c r="J19" s="58">
        <f>Gasleveranciers!J26</f>
        <v>0.24867897989431262</v>
      </c>
    </row>
    <row r="20" spans="1:10" x14ac:dyDescent="0.2">
      <c r="A20" s="10"/>
    </row>
    <row r="21" spans="1:10" x14ac:dyDescent="0.2">
      <c r="A21" s="10"/>
      <c r="B21" s="2" t="s">
        <v>103</v>
      </c>
      <c r="E21" s="2" t="s">
        <v>113</v>
      </c>
      <c r="J21" s="52">
        <f>'Gegevens warmteregeling &amp; ACM'!I34</f>
        <v>0.79</v>
      </c>
    </row>
    <row r="22" spans="1:10" x14ac:dyDescent="0.2">
      <c r="A22" s="10"/>
      <c r="B22" s="2" t="s">
        <v>77</v>
      </c>
      <c r="E22" s="2" t="s">
        <v>113</v>
      </c>
      <c r="J22" s="52">
        <f>'Gegevens warmteregeling &amp; ACM'!I35</f>
        <v>0.21</v>
      </c>
    </row>
    <row r="23" spans="1:10" x14ac:dyDescent="0.2">
      <c r="A23" s="10"/>
      <c r="B23" s="2" t="s">
        <v>78</v>
      </c>
      <c r="E23" s="2" t="s">
        <v>113</v>
      </c>
      <c r="J23" s="52">
        <f>'Gegevens warmteregeling &amp; ACM'!I36</f>
        <v>0.94</v>
      </c>
    </row>
    <row r="24" spans="1:10" x14ac:dyDescent="0.2">
      <c r="A24" s="10"/>
      <c r="B24" s="2" t="s">
        <v>79</v>
      </c>
      <c r="E24" s="2" t="s">
        <v>113</v>
      </c>
      <c r="J24" s="52">
        <f>'Gegevens warmteregeling &amp; ACM'!I37</f>
        <v>0.68</v>
      </c>
    </row>
    <row r="25" spans="1:10" x14ac:dyDescent="0.2">
      <c r="A25" s="10"/>
    </row>
    <row r="26" spans="1:10" x14ac:dyDescent="0.2">
      <c r="A26" s="10"/>
      <c r="B26" s="2" t="s">
        <v>85</v>
      </c>
      <c r="E26" s="2" t="s">
        <v>113</v>
      </c>
      <c r="J26" s="129">
        <f>'Gegevens warmteregeling &amp; ACM'!I30</f>
        <v>3.517E-2</v>
      </c>
    </row>
    <row r="28" spans="1:10" s="9" customFormat="1" x14ac:dyDescent="0.25">
      <c r="B28" s="9" t="s">
        <v>167</v>
      </c>
      <c r="F28" s="162"/>
    </row>
    <row r="30" spans="1:10" x14ac:dyDescent="0.2">
      <c r="B30" s="1" t="s">
        <v>102</v>
      </c>
    </row>
    <row r="31" spans="1:10" x14ac:dyDescent="0.2">
      <c r="A31" s="10"/>
      <c r="B31" s="2" t="s">
        <v>212</v>
      </c>
      <c r="E31" s="2" t="s">
        <v>304</v>
      </c>
      <c r="F31" s="152" t="s">
        <v>313</v>
      </c>
      <c r="J31" s="51">
        <f>J19+J16+J17</f>
        <v>0.65930897989431259</v>
      </c>
    </row>
    <row r="32" spans="1:10" x14ac:dyDescent="0.2">
      <c r="A32" s="10"/>
    </row>
    <row r="33" spans="1:10" x14ac:dyDescent="0.2">
      <c r="A33" s="10"/>
      <c r="B33" s="2" t="s">
        <v>165</v>
      </c>
      <c r="J33" s="59">
        <f>(J21/J23)+(J22/J24)</f>
        <v>1.1492490613266584</v>
      </c>
    </row>
    <row r="34" spans="1:10" x14ac:dyDescent="0.2">
      <c r="A34" s="10"/>
      <c r="B34" s="40" t="s">
        <v>166</v>
      </c>
      <c r="J34" s="51">
        <f>1/J33</f>
        <v>0.87013340593520283</v>
      </c>
    </row>
    <row r="35" spans="1:10" x14ac:dyDescent="0.2">
      <c r="A35" s="10"/>
    </row>
    <row r="36" spans="1:10" x14ac:dyDescent="0.2">
      <c r="A36" s="10"/>
      <c r="B36" s="1" t="s">
        <v>168</v>
      </c>
    </row>
    <row r="37" spans="1:10" x14ac:dyDescent="0.2">
      <c r="A37" s="10"/>
      <c r="B37" s="2" t="s">
        <v>303</v>
      </c>
      <c r="E37" s="2" t="s">
        <v>301</v>
      </c>
      <c r="F37" s="152" t="s">
        <v>313</v>
      </c>
      <c r="J37" s="51">
        <f>J31/(J34*J26)</f>
        <v>21.544220252140331</v>
      </c>
    </row>
  </sheetData>
  <pageMargins left="0.7" right="0.7" top="0.75" bottom="0.75" header="0.3" footer="0.3"/>
  <pageSetup paperSize="9" scale="6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842F3-758F-4AFB-BD8B-B87AC37F9AB1}">
  <sheetPr>
    <tabColor theme="0" tint="-4.9989318521683403E-2"/>
  </sheetPr>
  <dimension ref="A1"/>
  <sheetViews>
    <sheetView showGridLines="0" zoomScaleNormal="100" workbookViewId="0"/>
  </sheetViews>
  <sheetFormatPr defaultRowHeight="12.75" x14ac:dyDescent="0.25"/>
  <cols>
    <col min="1" max="16384" width="9.140625" style="38"/>
  </cols>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304C7-B508-44D5-A056-9D5A92FAA7E6}">
  <sheetPr>
    <tabColor rgb="FFCCFFFF"/>
  </sheetPr>
  <dimension ref="B2:O64"/>
  <sheetViews>
    <sheetView showGridLines="0" zoomScale="80" zoomScaleNormal="80" workbookViewId="0"/>
  </sheetViews>
  <sheetFormatPr defaultRowHeight="12.75" x14ac:dyDescent="0.25"/>
  <cols>
    <col min="1" max="1" width="4.7109375" style="2" customWidth="1"/>
    <col min="2" max="2" width="9.28515625" style="2" customWidth="1"/>
    <col min="3" max="5" width="10.5703125" style="2" customWidth="1"/>
    <col min="6" max="6" width="16.28515625" style="2" bestFit="1" customWidth="1"/>
    <col min="7" max="7" width="19.42578125" style="2" customWidth="1"/>
    <col min="8" max="8" width="10.5703125" style="2" customWidth="1"/>
    <col min="9" max="9" width="11.28515625" style="2" customWidth="1"/>
    <col min="10" max="10" width="13.7109375" style="2" customWidth="1"/>
    <col min="11" max="11" width="13.7109375" style="2" bestFit="1" customWidth="1"/>
    <col min="12" max="12" width="10.42578125" style="2" customWidth="1"/>
    <col min="13" max="17" width="10.5703125" style="2" customWidth="1"/>
    <col min="18" max="31" width="13.7109375" style="2" customWidth="1"/>
    <col min="32" max="16384" width="9.140625" style="2"/>
  </cols>
  <sheetData>
    <row r="2" spans="2:12" s="33" customFormat="1" ht="18" x14ac:dyDescent="0.25">
      <c r="B2" s="33" t="s">
        <v>416</v>
      </c>
    </row>
    <row r="4" spans="2:12" x14ac:dyDescent="0.25">
      <c r="B4" s="45" t="s">
        <v>63</v>
      </c>
      <c r="C4" s="1"/>
      <c r="D4" s="1"/>
    </row>
    <row r="5" spans="2:12" x14ac:dyDescent="0.25">
      <c r="B5" s="2" t="s">
        <v>415</v>
      </c>
      <c r="H5" s="34"/>
    </row>
    <row r="6" spans="2:12" x14ac:dyDescent="0.25">
      <c r="B6" s="2" t="s">
        <v>417</v>
      </c>
    </row>
    <row r="9" spans="2:12" s="186" customFormat="1" x14ac:dyDescent="0.25">
      <c r="B9" s="186" t="s">
        <v>373</v>
      </c>
      <c r="G9" s="186" t="s">
        <v>30</v>
      </c>
      <c r="H9" s="186" t="s">
        <v>31</v>
      </c>
      <c r="L9" s="186" t="s">
        <v>50</v>
      </c>
    </row>
    <row r="10" spans="2:12" s="188" customFormat="1" x14ac:dyDescent="0.2">
      <c r="B10" s="187"/>
      <c r="C10" s="187"/>
      <c r="D10" s="187"/>
      <c r="E10" s="187"/>
      <c r="F10" s="187"/>
      <c r="G10" s="187"/>
      <c r="H10" s="187"/>
      <c r="I10" s="187"/>
      <c r="J10" s="187"/>
    </row>
    <row r="11" spans="2:12" s="188" customFormat="1" x14ac:dyDescent="0.2">
      <c r="B11" s="189" t="s">
        <v>374</v>
      </c>
      <c r="C11" s="187" t="s">
        <v>31</v>
      </c>
      <c r="D11" s="187"/>
      <c r="E11" s="187"/>
      <c r="F11" s="187"/>
      <c r="H11" s="190">
        <v>8.6150000000000002</v>
      </c>
      <c r="J11" s="187"/>
      <c r="L11" s="187" t="s">
        <v>293</v>
      </c>
    </row>
    <row r="12" spans="2:12" s="188" customFormat="1" x14ac:dyDescent="0.2">
      <c r="B12" s="189" t="s">
        <v>375</v>
      </c>
      <c r="C12" s="187" t="s">
        <v>376</v>
      </c>
      <c r="D12" s="187"/>
      <c r="E12" s="187"/>
      <c r="F12" s="187"/>
      <c r="H12" s="190">
        <v>0.26600000000000001</v>
      </c>
      <c r="I12" s="187"/>
      <c r="J12" s="187"/>
      <c r="L12" s="187" t="s">
        <v>293</v>
      </c>
    </row>
    <row r="13" spans="2:12" s="188" customFormat="1" x14ac:dyDescent="0.2">
      <c r="B13" s="189" t="s">
        <v>377</v>
      </c>
      <c r="C13" s="187" t="s">
        <v>378</v>
      </c>
      <c r="D13" s="187"/>
      <c r="E13" s="187"/>
      <c r="F13" s="187"/>
      <c r="G13" s="187" t="s">
        <v>81</v>
      </c>
      <c r="H13" s="191">
        <v>3.7900000000000003E-2</v>
      </c>
      <c r="I13" s="187"/>
      <c r="J13" s="187"/>
      <c r="L13" s="187" t="s">
        <v>371</v>
      </c>
    </row>
    <row r="14" spans="2:12" s="78" customFormat="1" x14ac:dyDescent="0.2">
      <c r="B14" s="189" t="s">
        <v>379</v>
      </c>
      <c r="C14" s="187" t="s">
        <v>380</v>
      </c>
      <c r="D14" s="187"/>
      <c r="E14" s="187"/>
      <c r="F14" s="187"/>
      <c r="G14" s="187" t="s">
        <v>91</v>
      </c>
      <c r="H14" s="192">
        <v>15</v>
      </c>
      <c r="J14" s="187"/>
    </row>
    <row r="15" spans="2:12" s="78" customFormat="1" x14ac:dyDescent="0.2">
      <c r="B15" s="189"/>
      <c r="C15" s="187" t="s">
        <v>381</v>
      </c>
      <c r="D15" s="187"/>
      <c r="E15" s="187"/>
      <c r="F15" s="187"/>
      <c r="G15" s="187" t="s">
        <v>81</v>
      </c>
      <c r="H15" s="193">
        <v>0.02</v>
      </c>
      <c r="J15" s="187"/>
      <c r="L15" s="78" t="s">
        <v>382</v>
      </c>
    </row>
    <row r="16" spans="2:12" s="78" customFormat="1" x14ac:dyDescent="0.2">
      <c r="B16" s="188"/>
      <c r="C16" s="194"/>
      <c r="D16" s="194"/>
      <c r="E16" s="194"/>
    </row>
    <row r="17" spans="2:15" s="78" customFormat="1" ht="14.25" x14ac:dyDescent="0.2">
      <c r="B17" s="188"/>
      <c r="C17" s="195" t="s">
        <v>383</v>
      </c>
      <c r="D17" s="194"/>
      <c r="E17" s="194"/>
    </row>
    <row r="18" spans="2:15" s="78" customFormat="1" ht="14.25" x14ac:dyDescent="0.2">
      <c r="B18" s="188"/>
      <c r="C18" s="195"/>
      <c r="D18" s="194"/>
      <c r="E18" s="194"/>
    </row>
    <row r="19" spans="2:15" s="187" customFormat="1" x14ac:dyDescent="0.2">
      <c r="C19" s="187" t="s">
        <v>288</v>
      </c>
      <c r="N19" s="196"/>
      <c r="O19" s="196"/>
    </row>
    <row r="20" spans="2:15" s="187" customFormat="1" x14ac:dyDescent="0.2">
      <c r="C20" s="187" t="s">
        <v>384</v>
      </c>
      <c r="G20" s="187" t="s">
        <v>385</v>
      </c>
      <c r="H20" s="197">
        <v>808.31018227553477</v>
      </c>
      <c r="L20" s="187" t="s">
        <v>293</v>
      </c>
      <c r="N20" s="196"/>
      <c r="O20" s="196"/>
    </row>
    <row r="21" spans="2:15" s="187" customFormat="1" x14ac:dyDescent="0.2">
      <c r="C21" s="187" t="s">
        <v>386</v>
      </c>
      <c r="G21" s="187" t="s">
        <v>385</v>
      </c>
      <c r="H21" s="197">
        <v>563.2545350733933</v>
      </c>
      <c r="L21" s="187" t="s">
        <v>293</v>
      </c>
      <c r="N21" s="196"/>
      <c r="O21" s="196"/>
    </row>
    <row r="22" spans="2:15" s="187" customFormat="1" x14ac:dyDescent="0.2">
      <c r="C22" s="187" t="s">
        <v>387</v>
      </c>
      <c r="G22" s="187" t="s">
        <v>385</v>
      </c>
      <c r="H22" s="197">
        <v>563.2545350733933</v>
      </c>
      <c r="L22" s="187" t="s">
        <v>293</v>
      </c>
      <c r="N22" s="196"/>
      <c r="O22" s="196"/>
    </row>
    <row r="23" spans="2:15" s="78" customFormat="1" x14ac:dyDescent="0.2">
      <c r="B23" s="188"/>
      <c r="C23" s="194"/>
      <c r="D23" s="194"/>
      <c r="E23" s="194"/>
    </row>
    <row r="24" spans="2:15" s="186" customFormat="1" x14ac:dyDescent="0.25">
      <c r="B24" s="186" t="s">
        <v>388</v>
      </c>
      <c r="L24" s="186" t="s">
        <v>50</v>
      </c>
    </row>
    <row r="25" spans="2:15" s="78" customFormat="1" x14ac:dyDescent="0.2">
      <c r="B25" s="188"/>
      <c r="C25" s="198"/>
      <c r="D25" s="188"/>
      <c r="E25" s="198"/>
      <c r="F25" s="198"/>
    </row>
    <row r="26" spans="2:15" s="78" customFormat="1" ht="15" x14ac:dyDescent="0.25">
      <c r="B26" s="188"/>
      <c r="C26" s="199" t="s">
        <v>389</v>
      </c>
      <c r="D26" s="199"/>
      <c r="E26" s="199"/>
      <c r="F26" s="200" t="s">
        <v>390</v>
      </c>
      <c r="G26" s="200" t="s">
        <v>391</v>
      </c>
      <c r="H26" s="187"/>
    </row>
    <row r="27" spans="2:15" s="78" customFormat="1" ht="15" x14ac:dyDescent="0.25">
      <c r="B27" s="188"/>
      <c r="C27" s="200" t="s">
        <v>392</v>
      </c>
      <c r="D27" s="200" t="s">
        <v>393</v>
      </c>
      <c r="E27" s="199" t="s">
        <v>394</v>
      </c>
      <c r="F27" s="200"/>
      <c r="G27" s="200"/>
      <c r="H27" s="187"/>
    </row>
    <row r="28" spans="2:15" s="78" customFormat="1" ht="15" x14ac:dyDescent="0.25">
      <c r="C28" s="200" t="s">
        <v>395</v>
      </c>
      <c r="D28" s="200" t="s">
        <v>395</v>
      </c>
      <c r="E28" s="200" t="s">
        <v>395</v>
      </c>
      <c r="F28" s="200" t="s">
        <v>396</v>
      </c>
      <c r="G28" s="200" t="s">
        <v>397</v>
      </c>
      <c r="H28" s="187"/>
    </row>
    <row r="29" spans="2:15" s="105" customFormat="1" x14ac:dyDescent="0.2">
      <c r="C29" s="201">
        <v>0</v>
      </c>
      <c r="D29" s="201">
        <v>50</v>
      </c>
      <c r="E29" s="202">
        <f t="shared" ref="E29:E38" si="0">(C29+D29)/2</f>
        <v>25</v>
      </c>
      <c r="F29" s="203">
        <f t="shared" ref="F29:F38" si="1">EXP($H$11+$H$12*LN(E29))</f>
        <v>12980.726629793926</v>
      </c>
      <c r="G29" s="204">
        <f>F29-$F$31</f>
        <v>-5813.4426404779824</v>
      </c>
      <c r="H29" s="187"/>
    </row>
    <row r="30" spans="2:15" s="78" customFormat="1" x14ac:dyDescent="0.2">
      <c r="C30" s="205">
        <f t="shared" ref="C30:C38" si="2">D29+1</f>
        <v>51</v>
      </c>
      <c r="D30" s="201">
        <v>75</v>
      </c>
      <c r="E30" s="202">
        <f t="shared" si="0"/>
        <v>63</v>
      </c>
      <c r="F30" s="203">
        <f t="shared" si="1"/>
        <v>16598.603382488043</v>
      </c>
      <c r="G30" s="204">
        <f>F30-$F$31</f>
        <v>-2195.565887783865</v>
      </c>
      <c r="H30" s="187"/>
    </row>
    <row r="31" spans="2:15" s="78" customFormat="1" ht="15" x14ac:dyDescent="0.25">
      <c r="B31" s="206"/>
      <c r="C31" s="207">
        <f t="shared" si="2"/>
        <v>76</v>
      </c>
      <c r="D31" s="208">
        <v>125</v>
      </c>
      <c r="E31" s="209">
        <f t="shared" si="0"/>
        <v>100.5</v>
      </c>
      <c r="F31" s="210">
        <f t="shared" si="1"/>
        <v>18794.169270271908</v>
      </c>
      <c r="G31" s="211" t="s">
        <v>398</v>
      </c>
      <c r="H31" s="212" t="s">
        <v>399</v>
      </c>
    </row>
    <row r="32" spans="2:15" s="78" customFormat="1" x14ac:dyDescent="0.2">
      <c r="B32" s="188"/>
      <c r="C32" s="205">
        <f t="shared" si="2"/>
        <v>126</v>
      </c>
      <c r="D32" s="201">
        <v>200</v>
      </c>
      <c r="E32" s="202">
        <f t="shared" si="0"/>
        <v>163</v>
      </c>
      <c r="F32" s="203">
        <f t="shared" si="1"/>
        <v>21374.15056603455</v>
      </c>
      <c r="G32" s="204">
        <f t="shared" ref="G32:G38" si="3">F32-$F$31</f>
        <v>2579.9812957626418</v>
      </c>
      <c r="H32" s="187"/>
    </row>
    <row r="33" spans="2:14" s="78" customFormat="1" x14ac:dyDescent="0.2">
      <c r="B33" s="188"/>
      <c r="C33" s="205">
        <f t="shared" si="2"/>
        <v>201</v>
      </c>
      <c r="D33" s="201">
        <v>400</v>
      </c>
      <c r="E33" s="202">
        <f t="shared" si="0"/>
        <v>300.5</v>
      </c>
      <c r="F33" s="203">
        <f t="shared" si="1"/>
        <v>25150.903581024173</v>
      </c>
      <c r="G33" s="204">
        <f t="shared" si="3"/>
        <v>6356.7343107522647</v>
      </c>
      <c r="H33" s="187"/>
    </row>
    <row r="34" spans="2:14" s="78" customFormat="1" x14ac:dyDescent="0.2">
      <c r="B34" s="188"/>
      <c r="C34" s="205">
        <f t="shared" si="2"/>
        <v>401</v>
      </c>
      <c r="D34" s="201">
        <v>750</v>
      </c>
      <c r="E34" s="202">
        <f t="shared" si="0"/>
        <v>575.5</v>
      </c>
      <c r="F34" s="203">
        <f t="shared" si="1"/>
        <v>29896.408487556662</v>
      </c>
      <c r="G34" s="204">
        <f t="shared" si="3"/>
        <v>11102.239217284754</v>
      </c>
      <c r="H34" s="187"/>
    </row>
    <row r="35" spans="2:14" s="78" customFormat="1" ht="15" x14ac:dyDescent="0.25">
      <c r="B35" s="188"/>
      <c r="C35" s="207">
        <f t="shared" si="2"/>
        <v>751</v>
      </c>
      <c r="D35" s="208">
        <v>1250</v>
      </c>
      <c r="E35" s="209">
        <f t="shared" si="0"/>
        <v>1000.5</v>
      </c>
      <c r="F35" s="213">
        <f t="shared" si="1"/>
        <v>34634.163938980382</v>
      </c>
      <c r="G35" s="214">
        <f t="shared" si="3"/>
        <v>15839.994668708474</v>
      </c>
      <c r="H35" s="212" t="s">
        <v>400</v>
      </c>
    </row>
    <row r="36" spans="2:14" s="78" customFormat="1" x14ac:dyDescent="0.2">
      <c r="B36" s="188"/>
      <c r="C36" s="205">
        <f t="shared" si="2"/>
        <v>1251</v>
      </c>
      <c r="D36" s="201">
        <v>2000</v>
      </c>
      <c r="E36" s="202">
        <f t="shared" si="0"/>
        <v>1625.5</v>
      </c>
      <c r="F36" s="203">
        <f t="shared" si="1"/>
        <v>39406.648187373466</v>
      </c>
      <c r="G36" s="204">
        <f t="shared" si="3"/>
        <v>20612.478917101558</v>
      </c>
      <c r="H36" s="187"/>
    </row>
    <row r="37" spans="2:14" s="78" customFormat="1" x14ac:dyDescent="0.2">
      <c r="B37" s="188"/>
      <c r="C37" s="205">
        <f t="shared" si="2"/>
        <v>2001</v>
      </c>
      <c r="D37" s="201">
        <v>4000</v>
      </c>
      <c r="E37" s="202">
        <f t="shared" si="0"/>
        <v>3000.5</v>
      </c>
      <c r="F37" s="203">
        <f t="shared" si="1"/>
        <v>46385.310434826453</v>
      </c>
      <c r="G37" s="204">
        <f t="shared" si="3"/>
        <v>27591.141164554545</v>
      </c>
      <c r="H37" s="187"/>
    </row>
    <row r="38" spans="2:14" s="78" customFormat="1" x14ac:dyDescent="0.2">
      <c r="C38" s="205">
        <f t="shared" si="2"/>
        <v>4001</v>
      </c>
      <c r="D38" s="201">
        <v>8000</v>
      </c>
      <c r="E38" s="202">
        <f t="shared" si="0"/>
        <v>6000.5</v>
      </c>
      <c r="F38" s="203">
        <f t="shared" si="1"/>
        <v>55775.673178544508</v>
      </c>
      <c r="G38" s="204">
        <f t="shared" si="3"/>
        <v>36981.5039082726</v>
      </c>
      <c r="H38" s="187"/>
    </row>
    <row r="40" spans="2:14" s="186" customFormat="1" x14ac:dyDescent="0.25">
      <c r="B40" s="186" t="s">
        <v>401</v>
      </c>
      <c r="L40" s="186" t="s">
        <v>50</v>
      </c>
    </row>
    <row r="41" spans="2:14" ht="13.5" thickBot="1" x14ac:dyDescent="0.3"/>
    <row r="42" spans="2:14" ht="15.75" thickBot="1" x14ac:dyDescent="0.3">
      <c r="C42" s="199" t="s">
        <v>402</v>
      </c>
      <c r="D42" s="187"/>
      <c r="E42" s="215"/>
      <c r="F42" s="187"/>
      <c r="G42" s="187"/>
      <c r="H42" s="216">
        <f>F31/2*$H$13+F31/$H$14</f>
        <v>1609.09412568978</v>
      </c>
      <c r="L42" s="217"/>
      <c r="M42" s="217"/>
      <c r="N42" s="217"/>
    </row>
    <row r="43" spans="2:14" ht="15" x14ac:dyDescent="0.25">
      <c r="C43" s="199"/>
      <c r="D43" s="187"/>
      <c r="E43" s="215"/>
      <c r="F43" s="187"/>
      <c r="G43" s="187"/>
      <c r="H43" s="218"/>
      <c r="L43" s="217"/>
      <c r="M43" s="217"/>
      <c r="N43" s="217"/>
    </row>
    <row r="44" spans="2:14" ht="15" x14ac:dyDescent="0.25">
      <c r="C44" s="219" t="s">
        <v>403</v>
      </c>
      <c r="D44" s="220"/>
      <c r="E44" s="220"/>
      <c r="F44" s="220"/>
      <c r="G44" s="220"/>
      <c r="H44" s="219" t="s">
        <v>404</v>
      </c>
      <c r="L44" s="217"/>
      <c r="M44" s="217"/>
      <c r="N44" s="217"/>
    </row>
    <row r="45" spans="2:14" ht="15" x14ac:dyDescent="0.25">
      <c r="C45" s="221"/>
      <c r="D45" s="222"/>
      <c r="E45" s="222"/>
      <c r="F45" s="222"/>
      <c r="G45" s="222"/>
      <c r="H45" s="221" t="s">
        <v>405</v>
      </c>
      <c r="L45" s="217"/>
      <c r="M45" s="217"/>
      <c r="N45" s="217"/>
    </row>
    <row r="46" spans="2:14" ht="15" x14ac:dyDescent="0.25">
      <c r="C46" s="199" t="s">
        <v>406</v>
      </c>
      <c r="D46" s="187"/>
      <c r="E46" s="187"/>
      <c r="F46" s="187"/>
      <c r="G46" s="187"/>
      <c r="H46" s="223">
        <f>H42+H20</f>
        <v>2417.4043079653147</v>
      </c>
      <c r="L46" s="217"/>
      <c r="M46" s="217"/>
      <c r="N46" s="217"/>
    </row>
    <row r="47" spans="2:14" ht="15" x14ac:dyDescent="0.25">
      <c r="C47" s="199" t="s">
        <v>407</v>
      </c>
      <c r="D47" s="187"/>
      <c r="E47" s="215"/>
      <c r="F47" s="187"/>
      <c r="G47" s="187"/>
      <c r="H47" s="223">
        <f>H42+H21</f>
        <v>2172.348660763173</v>
      </c>
      <c r="L47" s="217"/>
      <c r="M47" s="217"/>
      <c r="N47" s="217"/>
    </row>
    <row r="48" spans="2:14" ht="15" x14ac:dyDescent="0.25">
      <c r="C48" s="199" t="s">
        <v>408</v>
      </c>
      <c r="D48" s="187"/>
      <c r="E48" s="215"/>
      <c r="F48" s="187"/>
      <c r="G48" s="187"/>
      <c r="H48" s="223">
        <f>H42+H22</f>
        <v>2172.348660763173</v>
      </c>
      <c r="L48" s="217"/>
      <c r="M48" s="217"/>
      <c r="N48" s="217"/>
    </row>
    <row r="49" spans="3:14" ht="15" x14ac:dyDescent="0.25">
      <c r="C49" s="199"/>
      <c r="D49" s="187"/>
      <c r="E49" s="215"/>
      <c r="F49" s="187"/>
      <c r="G49" s="187"/>
      <c r="H49" s="215"/>
      <c r="L49" s="217"/>
      <c r="M49" s="217"/>
      <c r="N49" s="217"/>
    </row>
    <row r="50" spans="3:14" ht="15" x14ac:dyDescent="0.25">
      <c r="C50" s="224" t="s">
        <v>409</v>
      </c>
      <c r="D50" s="225"/>
      <c r="E50" s="220"/>
      <c r="F50" s="220"/>
      <c r="G50" s="219" t="s">
        <v>410</v>
      </c>
      <c r="H50" s="219" t="s">
        <v>404</v>
      </c>
      <c r="L50" s="217"/>
      <c r="M50" s="217"/>
      <c r="N50" s="217"/>
    </row>
    <row r="51" spans="3:14" ht="15" x14ac:dyDescent="0.25">
      <c r="C51" s="226" t="s">
        <v>392</v>
      </c>
      <c r="D51" s="226" t="s">
        <v>393</v>
      </c>
      <c r="E51" s="222"/>
      <c r="F51" s="222"/>
      <c r="G51" s="221" t="s">
        <v>90</v>
      </c>
      <c r="H51" s="219" t="s">
        <v>405</v>
      </c>
      <c r="L51" s="217"/>
      <c r="M51" s="217"/>
      <c r="N51" s="217"/>
    </row>
    <row r="52" spans="3:14" x14ac:dyDescent="0.2">
      <c r="C52" s="187">
        <f>C29</f>
        <v>0</v>
      </c>
      <c r="D52" s="187">
        <f>D29</f>
        <v>50</v>
      </c>
      <c r="E52" s="187"/>
      <c r="F52" s="187"/>
      <c r="G52" s="223">
        <f>G29</f>
        <v>-5813.4426404779824</v>
      </c>
      <c r="H52" s="227">
        <f>G52/2*$H$13+G52/$H$14</f>
        <v>-497.72758073558992</v>
      </c>
      <c r="L52" s="217"/>
      <c r="M52" s="217"/>
      <c r="N52" s="217"/>
    </row>
    <row r="53" spans="3:14" x14ac:dyDescent="0.2">
      <c r="C53" s="187">
        <f>C30</f>
        <v>51</v>
      </c>
      <c r="D53" s="187">
        <f>D30</f>
        <v>75</v>
      </c>
      <c r="E53" s="187"/>
      <c r="F53" s="187"/>
      <c r="G53" s="223">
        <f>G30</f>
        <v>-2195.565887783865</v>
      </c>
      <c r="H53" s="223">
        <f>G53/2*$H$13+G53/$H$14</f>
        <v>-187.97703275909527</v>
      </c>
      <c r="L53" s="217"/>
      <c r="M53" s="217"/>
      <c r="N53" s="217"/>
    </row>
    <row r="54" spans="3:14" x14ac:dyDescent="0.2">
      <c r="C54" s="187"/>
      <c r="D54" s="187"/>
      <c r="E54" s="187"/>
      <c r="F54" s="187"/>
      <c r="G54" s="187"/>
      <c r="H54" s="187"/>
      <c r="L54" s="217"/>
      <c r="M54" s="217"/>
      <c r="N54" s="217"/>
    </row>
    <row r="55" spans="3:14" ht="15" x14ac:dyDescent="0.25">
      <c r="C55" s="224" t="s">
        <v>411</v>
      </c>
      <c r="D55" s="225"/>
      <c r="E55" s="220"/>
      <c r="F55" s="220"/>
      <c r="G55" s="219" t="s">
        <v>412</v>
      </c>
      <c r="H55" s="219" t="s">
        <v>413</v>
      </c>
      <c r="L55" s="217"/>
      <c r="M55" s="217"/>
      <c r="N55" s="217"/>
    </row>
    <row r="56" spans="3:14" ht="15" x14ac:dyDescent="0.25">
      <c r="C56" s="225"/>
      <c r="D56" s="225"/>
      <c r="E56" s="220"/>
      <c r="F56" s="220"/>
      <c r="G56" s="219" t="s">
        <v>414</v>
      </c>
      <c r="H56" s="219" t="s">
        <v>404</v>
      </c>
      <c r="L56" s="217"/>
      <c r="M56" s="217"/>
      <c r="N56" s="217"/>
    </row>
    <row r="57" spans="3:14" ht="15" x14ac:dyDescent="0.25">
      <c r="C57" s="226" t="s">
        <v>392</v>
      </c>
      <c r="D57" s="226" t="s">
        <v>393</v>
      </c>
      <c r="E57" s="222"/>
      <c r="F57" s="222"/>
      <c r="G57" s="221" t="s">
        <v>90</v>
      </c>
      <c r="H57" s="221" t="s">
        <v>405</v>
      </c>
      <c r="L57" s="217"/>
      <c r="M57" s="217"/>
      <c r="N57" s="217"/>
    </row>
    <row r="58" spans="3:14" x14ac:dyDescent="0.2">
      <c r="C58" s="187">
        <f t="shared" ref="C58:D64" si="4">C32</f>
        <v>126</v>
      </c>
      <c r="D58" s="187">
        <f t="shared" si="4"/>
        <v>200</v>
      </c>
      <c r="E58" s="187"/>
      <c r="F58" s="187"/>
      <c r="G58" s="223">
        <f t="shared" ref="G58:G64" si="5">G32</f>
        <v>2579.9812957626418</v>
      </c>
      <c r="H58" s="227">
        <f t="shared" ref="H58:H64" si="6">G58/2*$H$13+G58/$H$14</f>
        <v>220.88939860554487</v>
      </c>
      <c r="L58" s="217"/>
      <c r="M58" s="217"/>
      <c r="N58" s="217"/>
    </row>
    <row r="59" spans="3:14" x14ac:dyDescent="0.2">
      <c r="C59" s="187">
        <f t="shared" si="4"/>
        <v>201</v>
      </c>
      <c r="D59" s="187">
        <f t="shared" si="4"/>
        <v>400</v>
      </c>
      <c r="E59" s="187"/>
      <c r="F59" s="187"/>
      <c r="G59" s="223">
        <f t="shared" si="5"/>
        <v>6356.7343107522647</v>
      </c>
      <c r="H59" s="223">
        <f t="shared" si="6"/>
        <v>544.24240257223971</v>
      </c>
      <c r="L59" s="217"/>
      <c r="M59" s="217"/>
      <c r="N59" s="217"/>
    </row>
    <row r="60" spans="3:14" x14ac:dyDescent="0.2">
      <c r="C60" s="187">
        <f t="shared" si="4"/>
        <v>401</v>
      </c>
      <c r="D60" s="187">
        <f t="shared" si="4"/>
        <v>750</v>
      </c>
      <c r="E60" s="187"/>
      <c r="F60" s="187"/>
      <c r="G60" s="223">
        <f t="shared" si="5"/>
        <v>11102.239217284754</v>
      </c>
      <c r="H60" s="223">
        <f t="shared" si="6"/>
        <v>950.53671431986299</v>
      </c>
      <c r="L60" s="217"/>
      <c r="M60" s="217"/>
      <c r="N60" s="217"/>
    </row>
    <row r="61" spans="3:14" x14ac:dyDescent="0.2">
      <c r="C61" s="187">
        <f t="shared" si="4"/>
        <v>751</v>
      </c>
      <c r="D61" s="187">
        <f t="shared" si="4"/>
        <v>1250</v>
      </c>
      <c r="E61" s="187"/>
      <c r="F61" s="187"/>
      <c r="G61" s="223">
        <f t="shared" si="5"/>
        <v>15839.994668708474</v>
      </c>
      <c r="H61" s="223">
        <f t="shared" si="6"/>
        <v>1356.1675435525906</v>
      </c>
      <c r="L61" s="217"/>
      <c r="M61" s="217"/>
      <c r="N61" s="217"/>
    </row>
    <row r="62" spans="3:14" x14ac:dyDescent="0.2">
      <c r="C62" s="187">
        <f t="shared" si="4"/>
        <v>1251</v>
      </c>
      <c r="D62" s="187">
        <f t="shared" si="4"/>
        <v>2000</v>
      </c>
      <c r="E62" s="187"/>
      <c r="F62" s="187"/>
      <c r="G62" s="223">
        <f t="shared" si="5"/>
        <v>20612.478917101558</v>
      </c>
      <c r="H62" s="223">
        <f t="shared" si="6"/>
        <v>1764.7717366191785</v>
      </c>
      <c r="L62" s="217"/>
      <c r="M62" s="217"/>
      <c r="N62" s="217"/>
    </row>
    <row r="63" spans="3:14" x14ac:dyDescent="0.2">
      <c r="C63" s="187">
        <f t="shared" si="4"/>
        <v>2001</v>
      </c>
      <c r="D63" s="187">
        <f t="shared" si="4"/>
        <v>4000</v>
      </c>
      <c r="E63" s="187"/>
      <c r="F63" s="187"/>
      <c r="G63" s="223">
        <f t="shared" si="5"/>
        <v>27591.141164554545</v>
      </c>
      <c r="H63" s="223">
        <f t="shared" si="6"/>
        <v>2362.2615360386117</v>
      </c>
      <c r="L63" s="217"/>
      <c r="M63" s="217"/>
      <c r="N63" s="217"/>
    </row>
    <row r="64" spans="3:14" x14ac:dyDescent="0.2">
      <c r="C64" s="187">
        <f t="shared" si="4"/>
        <v>4001</v>
      </c>
      <c r="D64" s="187">
        <f t="shared" si="4"/>
        <v>8000</v>
      </c>
      <c r="E64" s="187"/>
      <c r="F64" s="187"/>
      <c r="G64" s="223">
        <f t="shared" si="5"/>
        <v>36981.5039082726</v>
      </c>
      <c r="H64" s="223">
        <f t="shared" si="6"/>
        <v>3166.2330929466057</v>
      </c>
      <c r="L64" s="217"/>
      <c r="M64" s="217"/>
      <c r="N64" s="21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C8D9"/>
    <pageSetUpPr fitToPage="1"/>
  </sheetPr>
  <dimension ref="B2:G56"/>
  <sheetViews>
    <sheetView showGridLines="0" zoomScaleNormal="100" workbookViewId="0">
      <pane ySplit="3" topLeftCell="A4" activePane="bottomLeft" state="frozen"/>
      <selection pane="bottomLeft"/>
    </sheetView>
  </sheetViews>
  <sheetFormatPr defaultRowHeight="12.75" x14ac:dyDescent="0.25"/>
  <cols>
    <col min="1" max="1" width="2.85546875" style="2" customWidth="1"/>
    <col min="2" max="2" width="19.140625" style="2" customWidth="1"/>
    <col min="3" max="3" width="20.7109375" style="2" customWidth="1"/>
    <col min="4" max="4" width="56.85546875" style="2" customWidth="1"/>
    <col min="5" max="5" width="29.85546875" style="2" customWidth="1"/>
    <col min="6" max="6" width="24.7109375" style="2" customWidth="1"/>
    <col min="7" max="7" width="37.28515625" style="2" customWidth="1"/>
    <col min="8" max="16384" width="9.140625" style="2"/>
  </cols>
  <sheetData>
    <row r="2" spans="2:4" s="15" customFormat="1" ht="18" x14ac:dyDescent="0.25">
      <c r="B2" s="4" t="s">
        <v>57</v>
      </c>
      <c r="D2" s="42"/>
    </row>
    <row r="4" spans="2:4" s="9" customFormat="1" x14ac:dyDescent="0.25">
      <c r="B4" s="9" t="s">
        <v>15</v>
      </c>
    </row>
    <row r="6" spans="2:4" x14ac:dyDescent="0.25">
      <c r="B6" s="40" t="s">
        <v>295</v>
      </c>
    </row>
    <row r="7" spans="2:4" x14ac:dyDescent="0.25">
      <c r="B7" s="2" t="s">
        <v>296</v>
      </c>
    </row>
    <row r="9" spans="2:4" s="9" customFormat="1" x14ac:dyDescent="0.25">
      <c r="B9" s="9" t="s">
        <v>66</v>
      </c>
    </row>
    <row r="11" spans="2:4" x14ac:dyDescent="0.25">
      <c r="B11" s="40"/>
    </row>
    <row r="13" spans="2:4" x14ac:dyDescent="0.25">
      <c r="B13" s="6"/>
    </row>
    <row r="26" spans="2:6" s="9" customFormat="1" x14ac:dyDescent="0.25">
      <c r="B26" s="9" t="s">
        <v>16</v>
      </c>
    </row>
    <row r="27" spans="2:6" x14ac:dyDescent="0.25">
      <c r="C27" s="10"/>
    </row>
    <row r="28" spans="2:6" x14ac:dyDescent="0.25">
      <c r="B28" s="1" t="s">
        <v>42</v>
      </c>
      <c r="C28" s="10"/>
      <c r="D28" s="1" t="s">
        <v>17</v>
      </c>
      <c r="F28" s="16"/>
    </row>
    <row r="29" spans="2:6" x14ac:dyDescent="0.25">
      <c r="C29" s="10"/>
    </row>
    <row r="30" spans="2:6" x14ac:dyDescent="0.25">
      <c r="B30" s="17">
        <v>123</v>
      </c>
      <c r="C30" s="10"/>
      <c r="D30" s="40" t="s">
        <v>59</v>
      </c>
    </row>
    <row r="31" spans="2:6" x14ac:dyDescent="0.25">
      <c r="B31" s="18">
        <f>B30</f>
        <v>123</v>
      </c>
      <c r="C31" s="10"/>
      <c r="D31" s="2" t="s">
        <v>18</v>
      </c>
    </row>
    <row r="32" spans="2:6" x14ac:dyDescent="0.25">
      <c r="B32" s="19">
        <f>B31+B30</f>
        <v>246</v>
      </c>
      <c r="C32" s="10"/>
      <c r="D32" s="2" t="s">
        <v>19</v>
      </c>
    </row>
    <row r="33" spans="2:7" x14ac:dyDescent="0.25">
      <c r="B33" s="20">
        <f>B31+B32</f>
        <v>369</v>
      </c>
      <c r="C33" s="10"/>
      <c r="D33" s="40" t="s">
        <v>58</v>
      </c>
      <c r="E33" s="16"/>
      <c r="F33" s="6"/>
    </row>
    <row r="34" spans="2:7" x14ac:dyDescent="0.25">
      <c r="B34" s="21"/>
      <c r="C34" s="10"/>
      <c r="D34" s="3" t="s">
        <v>20</v>
      </c>
      <c r="E34" s="16"/>
    </row>
    <row r="35" spans="2:7" x14ac:dyDescent="0.25">
      <c r="B35" s="10"/>
      <c r="C35" s="10"/>
    </row>
    <row r="36" spans="2:7" x14ac:dyDescent="0.25">
      <c r="B36" s="22" t="s">
        <v>21</v>
      </c>
      <c r="C36" s="10"/>
    </row>
    <row r="37" spans="2:7" x14ac:dyDescent="0.25">
      <c r="B37" s="23">
        <f>B33+16</f>
        <v>385</v>
      </c>
      <c r="C37" s="10"/>
      <c r="D37" s="2" t="s">
        <v>22</v>
      </c>
    </row>
    <row r="38" spans="2:7" x14ac:dyDescent="0.25">
      <c r="B38" s="24">
        <f>B31*PI()</f>
        <v>386.41589639154455</v>
      </c>
      <c r="C38" s="25"/>
      <c r="D38" s="2" t="s">
        <v>23</v>
      </c>
    </row>
    <row r="39" spans="2:7" x14ac:dyDescent="0.25">
      <c r="B39" s="25"/>
      <c r="C39" s="25"/>
    </row>
    <row r="40" spans="2:7" x14ac:dyDescent="0.25">
      <c r="B40" s="26" t="s">
        <v>24</v>
      </c>
      <c r="C40" s="26"/>
    </row>
    <row r="41" spans="2:7" x14ac:dyDescent="0.25">
      <c r="B41" s="27">
        <v>123</v>
      </c>
      <c r="C41" s="26"/>
      <c r="D41" s="3" t="s">
        <v>25</v>
      </c>
      <c r="G41" s="16"/>
    </row>
    <row r="42" spans="2:7" x14ac:dyDescent="0.25">
      <c r="B42" s="28">
        <v>124</v>
      </c>
      <c r="C42" s="26"/>
      <c r="D42" s="3" t="s">
        <v>26</v>
      </c>
    </row>
    <row r="43" spans="2:7" x14ac:dyDescent="0.25">
      <c r="B43" s="29">
        <f>B32-B33</f>
        <v>-123</v>
      </c>
      <c r="C43" s="30"/>
      <c r="D43" s="2" t="s">
        <v>65</v>
      </c>
    </row>
    <row r="46" spans="2:7" x14ac:dyDescent="0.25">
      <c r="B46" s="1" t="s">
        <v>37</v>
      </c>
    </row>
    <row r="47" spans="2:7" x14ac:dyDescent="0.25">
      <c r="B47" s="1"/>
    </row>
    <row r="48" spans="2:7" x14ac:dyDescent="0.25">
      <c r="B48" s="5" t="s">
        <v>43</v>
      </c>
    </row>
    <row r="49" spans="2:4" x14ac:dyDescent="0.25">
      <c r="B49" s="37" t="s">
        <v>36</v>
      </c>
      <c r="C49" s="10"/>
      <c r="D49" s="3" t="s">
        <v>46</v>
      </c>
    </row>
    <row r="50" spans="2:4" x14ac:dyDescent="0.25">
      <c r="B50" s="35" t="s">
        <v>34</v>
      </c>
      <c r="C50" s="10"/>
      <c r="D50" s="3" t="s">
        <v>38</v>
      </c>
    </row>
    <row r="51" spans="2:4" x14ac:dyDescent="0.25">
      <c r="B51" s="36" t="s">
        <v>35</v>
      </c>
      <c r="C51" s="10"/>
      <c r="D51" s="3" t="s">
        <v>39</v>
      </c>
    </row>
    <row r="52" spans="2:4" x14ac:dyDescent="0.25">
      <c r="B52" s="24" t="s">
        <v>35</v>
      </c>
      <c r="C52" s="10"/>
      <c r="D52" s="3" t="s">
        <v>41</v>
      </c>
    </row>
    <row r="53" spans="2:4" x14ac:dyDescent="0.25">
      <c r="C53" s="10"/>
      <c r="D53" s="3"/>
    </row>
    <row r="54" spans="2:4" x14ac:dyDescent="0.25">
      <c r="B54" s="5" t="s">
        <v>45</v>
      </c>
      <c r="C54" s="10"/>
      <c r="D54" s="3"/>
    </row>
    <row r="55" spans="2:4" x14ac:dyDescent="0.25">
      <c r="B55" s="38" t="s">
        <v>40</v>
      </c>
      <c r="C55" s="10"/>
      <c r="D55" s="3" t="s">
        <v>47</v>
      </c>
    </row>
    <row r="56" spans="2:4" x14ac:dyDescent="0.25">
      <c r="B56" s="39" t="s">
        <v>44</v>
      </c>
      <c r="D56" s="3" t="s">
        <v>48</v>
      </c>
    </row>
  </sheetData>
  <pageMargins left="0.74803149606299213" right="0.74803149606299213" top="0.98425196850393704" bottom="0.98425196850393704" header="0.51181102362204722" footer="0.51181102362204722"/>
  <pageSetup paperSize="9" scale="62"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C8D9"/>
    <pageSetUpPr fitToPage="1"/>
  </sheetPr>
  <dimension ref="B2:E25"/>
  <sheetViews>
    <sheetView showGridLines="0" zoomScaleNormal="100" workbookViewId="0">
      <pane ySplit="3" topLeftCell="A4" activePane="bottomLeft" state="frozen"/>
      <selection pane="bottomLeft"/>
    </sheetView>
  </sheetViews>
  <sheetFormatPr defaultRowHeight="12.75" x14ac:dyDescent="0.25"/>
  <cols>
    <col min="1" max="1" width="2.85546875" style="2" customWidth="1"/>
    <col min="2" max="2" width="7.5703125" style="2" customWidth="1"/>
    <col min="3" max="5" width="40.7109375" style="2" customWidth="1"/>
    <col min="6" max="6" width="4.5703125" style="2" customWidth="1"/>
    <col min="7" max="7" width="22" style="2" customWidth="1"/>
    <col min="8" max="16384" width="9.140625" style="2"/>
  </cols>
  <sheetData>
    <row r="2" spans="2:5" s="15" customFormat="1" ht="18" x14ac:dyDescent="0.25">
      <c r="B2" s="4" t="s">
        <v>27</v>
      </c>
    </row>
    <row r="4" spans="2:5" s="9" customFormat="1" x14ac:dyDescent="0.25">
      <c r="B4" s="9" t="s">
        <v>28</v>
      </c>
    </row>
    <row r="6" spans="2:5" x14ac:dyDescent="0.25">
      <c r="B6" s="6"/>
    </row>
    <row r="8" spans="2:5" x14ac:dyDescent="0.25">
      <c r="B8" s="31" t="s">
        <v>60</v>
      </c>
      <c r="C8" s="31" t="s">
        <v>61</v>
      </c>
      <c r="D8" s="31" t="s">
        <v>62</v>
      </c>
      <c r="E8" s="31" t="s">
        <v>67</v>
      </c>
    </row>
    <row r="9" spans="2:5" x14ac:dyDescent="0.25">
      <c r="B9" s="32"/>
      <c r="C9" s="41" t="s">
        <v>69</v>
      </c>
      <c r="D9" s="41" t="s">
        <v>29</v>
      </c>
      <c r="E9" s="41" t="s">
        <v>68</v>
      </c>
    </row>
    <row r="10" spans="2:5" x14ac:dyDescent="0.25">
      <c r="B10" s="43">
        <v>1</v>
      </c>
      <c r="C10" s="7" t="s">
        <v>352</v>
      </c>
      <c r="D10" s="170"/>
      <c r="E10" s="7"/>
    </row>
    <row r="11" spans="2:5" x14ac:dyDescent="0.25">
      <c r="B11" s="7">
        <v>2</v>
      </c>
      <c r="C11" s="7" t="s">
        <v>152</v>
      </c>
      <c r="D11" s="170"/>
      <c r="E11" s="7"/>
    </row>
    <row r="12" spans="2:5" ht="51" x14ac:dyDescent="0.25">
      <c r="B12" s="7">
        <v>3</v>
      </c>
      <c r="C12" s="7" t="s">
        <v>157</v>
      </c>
      <c r="D12" s="170" t="s">
        <v>351</v>
      </c>
      <c r="E12" s="7"/>
    </row>
    <row r="13" spans="2:5" ht="63.75" x14ac:dyDescent="0.25">
      <c r="B13" s="7">
        <v>4</v>
      </c>
      <c r="C13" s="7" t="s">
        <v>158</v>
      </c>
      <c r="D13" s="170" t="s">
        <v>350</v>
      </c>
      <c r="E13" s="7"/>
    </row>
    <row r="14" spans="2:5" x14ac:dyDescent="0.2">
      <c r="B14" s="7">
        <v>5</v>
      </c>
      <c r="C14" s="65" t="s">
        <v>293</v>
      </c>
      <c r="D14" s="170" t="s">
        <v>358</v>
      </c>
      <c r="E14" s="7"/>
    </row>
    <row r="15" spans="2:5" x14ac:dyDescent="0.25">
      <c r="B15" s="7">
        <v>6</v>
      </c>
      <c r="C15" s="7" t="s">
        <v>282</v>
      </c>
      <c r="D15" s="170" t="s">
        <v>348</v>
      </c>
      <c r="E15" s="7"/>
    </row>
    <row r="16" spans="2:5" x14ac:dyDescent="0.25">
      <c r="B16" s="7">
        <v>7</v>
      </c>
      <c r="C16" s="7" t="s">
        <v>297</v>
      </c>
      <c r="D16" s="171" t="s">
        <v>349</v>
      </c>
      <c r="E16" s="7"/>
    </row>
    <row r="17" spans="2:5" ht="38.25" x14ac:dyDescent="0.25">
      <c r="B17" s="7">
        <v>8</v>
      </c>
      <c r="C17" s="7" t="s">
        <v>353</v>
      </c>
      <c r="D17" s="170" t="s">
        <v>345</v>
      </c>
      <c r="E17" s="7"/>
    </row>
    <row r="18" spans="2:5" ht="51" x14ac:dyDescent="0.2">
      <c r="B18" s="7">
        <v>9</v>
      </c>
      <c r="C18" s="7" t="s">
        <v>302</v>
      </c>
      <c r="D18" s="172" t="s">
        <v>291</v>
      </c>
      <c r="E18" s="7"/>
    </row>
    <row r="19" spans="2:5" ht="38.25" x14ac:dyDescent="0.25">
      <c r="B19" s="7">
        <v>10</v>
      </c>
      <c r="C19" s="43" t="s">
        <v>371</v>
      </c>
      <c r="D19" s="185" t="s">
        <v>372</v>
      </c>
      <c r="E19" s="7"/>
    </row>
    <row r="22" spans="2:5" s="9" customFormat="1" x14ac:dyDescent="0.25">
      <c r="B22" s="9" t="s">
        <v>56</v>
      </c>
    </row>
    <row r="24" spans="2:5" x14ac:dyDescent="0.25">
      <c r="B24" s="5" t="s">
        <v>54</v>
      </c>
    </row>
    <row r="25" spans="2:5" x14ac:dyDescent="0.25">
      <c r="B25" s="5" t="s">
        <v>55</v>
      </c>
    </row>
  </sheetData>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sheetPr>
  <dimension ref="A1"/>
  <sheetViews>
    <sheetView showGridLines="0" zoomScaleNormal="100" workbookViewId="0"/>
  </sheetViews>
  <sheetFormatPr defaultRowHeight="12.75" x14ac:dyDescent="0.25"/>
  <cols>
    <col min="1" max="16384" width="9.140625" style="38"/>
  </cols>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FF"/>
    <pageSetUpPr fitToPage="1"/>
  </sheetPr>
  <dimension ref="A2:AB38"/>
  <sheetViews>
    <sheetView showGridLines="0" zoomScaleNormal="100" workbookViewId="0">
      <pane xSplit="6" ySplit="11" topLeftCell="G12" activePane="bottomRight" state="frozen"/>
      <selection pane="topRight"/>
      <selection pane="bottomLeft"/>
      <selection pane="bottomRight"/>
    </sheetView>
  </sheetViews>
  <sheetFormatPr defaultRowHeight="12.75" x14ac:dyDescent="0.25"/>
  <cols>
    <col min="1" max="1" width="3.7109375" style="2" customWidth="1"/>
    <col min="2" max="2" width="41.42578125" style="2" customWidth="1"/>
    <col min="3" max="5" width="4.5703125" style="2" customWidth="1"/>
    <col min="6" max="6" width="13.7109375" style="2" customWidth="1"/>
    <col min="7" max="7" width="2.7109375" style="2" customWidth="1"/>
    <col min="8" max="8" width="13.7109375" style="2" customWidth="1"/>
    <col min="9" max="9" width="11.28515625" style="2" customWidth="1"/>
    <col min="10" max="11" width="13.7109375" style="2" customWidth="1"/>
    <col min="12" max="12" width="11.7109375" style="2" customWidth="1"/>
    <col min="13" max="13" width="16.140625" style="2" customWidth="1"/>
    <col min="14" max="14" width="12.5703125" style="2" customWidth="1"/>
    <col min="15" max="29" width="13.7109375" style="2" customWidth="1"/>
    <col min="30" max="16384" width="9.140625" style="2"/>
  </cols>
  <sheetData>
    <row r="2" spans="1:14" s="33" customFormat="1" ht="18" x14ac:dyDescent="0.25">
      <c r="B2" s="33" t="s">
        <v>356</v>
      </c>
    </row>
    <row r="4" spans="1:14" x14ac:dyDescent="0.25">
      <c r="A4" s="1"/>
      <c r="B4" s="1" t="s">
        <v>64</v>
      </c>
      <c r="C4" s="1"/>
      <c r="D4" s="1"/>
    </row>
    <row r="5" spans="1:14" x14ac:dyDescent="0.25">
      <c r="A5" s="1"/>
      <c r="B5" s="40" t="s">
        <v>253</v>
      </c>
      <c r="C5" s="3"/>
      <c r="D5" s="3"/>
      <c r="H5" s="34"/>
    </row>
    <row r="6" spans="1:14" x14ac:dyDescent="0.25">
      <c r="A6" s="40"/>
      <c r="B6" s="40" t="s">
        <v>254</v>
      </c>
      <c r="C6" s="3"/>
      <c r="D6" s="3"/>
      <c r="H6" s="34"/>
    </row>
    <row r="7" spans="1:14" x14ac:dyDescent="0.25">
      <c r="A7" s="40"/>
      <c r="B7" s="40" t="s">
        <v>255</v>
      </c>
      <c r="C7" s="3"/>
      <c r="D7" s="3"/>
      <c r="H7" s="34"/>
    </row>
    <row r="8" spans="1:14" x14ac:dyDescent="0.25">
      <c r="A8" s="40"/>
      <c r="B8" s="40" t="s">
        <v>257</v>
      </c>
      <c r="C8" s="3"/>
      <c r="D8" s="3"/>
      <c r="H8" s="34"/>
    </row>
    <row r="10" spans="1:14" s="9" customFormat="1" x14ac:dyDescent="0.25">
      <c r="B10" s="9" t="s">
        <v>49</v>
      </c>
      <c r="F10" s="9" t="s">
        <v>30</v>
      </c>
    </row>
    <row r="13" spans="1:14" s="107" customFormat="1" x14ac:dyDescent="0.25">
      <c r="B13" s="107" t="s">
        <v>261</v>
      </c>
      <c r="H13" s="108" t="s">
        <v>31</v>
      </c>
      <c r="I13" s="108"/>
      <c r="J13" s="108"/>
      <c r="K13" s="107" t="s">
        <v>51</v>
      </c>
      <c r="L13" s="108"/>
    </row>
    <row r="14" spans="1:14" s="105" customFormat="1" x14ac:dyDescent="0.25">
      <c r="H14" s="95"/>
      <c r="I14" s="95"/>
      <c r="J14" s="95"/>
      <c r="K14" s="95"/>
      <c r="L14" s="95"/>
    </row>
    <row r="15" spans="1:14" s="81" customFormat="1" ht="12.75" customHeight="1" x14ac:dyDescent="0.25">
      <c r="B15" s="180" t="s">
        <v>250</v>
      </c>
      <c r="F15" s="82" t="s">
        <v>227</v>
      </c>
      <c r="H15" s="52">
        <f>'Berekening huurtarieven'!J44</f>
        <v>106.09655153793628</v>
      </c>
      <c r="J15" s="130"/>
      <c r="L15" s="229"/>
    </row>
    <row r="16" spans="1:14" s="81" customFormat="1" ht="13.5" customHeight="1" x14ac:dyDescent="0.25">
      <c r="B16" s="180" t="s">
        <v>251</v>
      </c>
      <c r="F16" s="82" t="s">
        <v>227</v>
      </c>
      <c r="G16" s="115"/>
      <c r="H16" s="52">
        <f>'Berekening huurtarieven'!O44</f>
        <v>87.547670494225571</v>
      </c>
      <c r="I16" s="116"/>
      <c r="J16" s="130"/>
      <c r="K16" s="116"/>
      <c r="L16" s="229"/>
      <c r="M16" s="89"/>
      <c r="N16" s="89"/>
    </row>
    <row r="17" spans="2:28" s="81" customFormat="1" ht="12" customHeight="1" x14ac:dyDescent="0.25">
      <c r="B17" s="180" t="s">
        <v>252</v>
      </c>
      <c r="F17" s="82" t="s">
        <v>227</v>
      </c>
      <c r="G17" s="115"/>
      <c r="H17" s="52">
        <f>'Berekening huurtarieven'!P44</f>
        <v>96.568075218605813</v>
      </c>
      <c r="I17" s="116"/>
      <c r="J17" s="130"/>
      <c r="K17" s="116"/>
      <c r="L17" s="229"/>
      <c r="M17" s="89"/>
      <c r="N17" s="89"/>
    </row>
    <row r="18" spans="2:28" s="81" customFormat="1" ht="15" x14ac:dyDescent="0.25">
      <c r="B18" s="82"/>
      <c r="F18" s="123"/>
      <c r="G18" s="117"/>
      <c r="H18" s="118"/>
      <c r="I18" s="118"/>
      <c r="J18" s="118"/>
      <c r="K18" s="118"/>
      <c r="L18" s="118"/>
    </row>
    <row r="19" spans="2:28" s="80" customFormat="1" x14ac:dyDescent="0.25">
      <c r="B19" s="80" t="s">
        <v>329</v>
      </c>
      <c r="F19" s="114"/>
      <c r="G19" s="114"/>
      <c r="H19" s="114"/>
      <c r="I19" s="114"/>
      <c r="J19" s="114"/>
      <c r="K19" s="107" t="s">
        <v>51</v>
      </c>
      <c r="L19" s="114"/>
    </row>
    <row r="20" spans="2:28" s="82" customFormat="1" x14ac:dyDescent="0.2"/>
    <row r="21" spans="2:28" s="82" customFormat="1" x14ac:dyDescent="0.2">
      <c r="B21" s="121" t="s">
        <v>271</v>
      </c>
    </row>
    <row r="22" spans="2:28" s="82" customFormat="1" x14ac:dyDescent="0.2">
      <c r="B22" s="180" t="s">
        <v>330</v>
      </c>
      <c r="F22" s="82" t="s">
        <v>227</v>
      </c>
      <c r="H22" s="52">
        <f>'Berekening huurtarieven'!I49</f>
        <v>-372.22435789843564</v>
      </c>
      <c r="J22" s="130"/>
      <c r="L22" s="230"/>
    </row>
    <row r="23" spans="2:28" s="82" customFormat="1" x14ac:dyDescent="0.2">
      <c r="B23" s="181" t="s">
        <v>331</v>
      </c>
      <c r="D23" s="86"/>
      <c r="E23" s="86"/>
      <c r="F23" s="82" t="s">
        <v>227</v>
      </c>
      <c r="G23" s="86"/>
      <c r="H23" s="52">
        <f>'Berekening huurtarieven'!I50</f>
        <v>-31.868608775404397</v>
      </c>
      <c r="I23" s="86"/>
      <c r="J23" s="130"/>
      <c r="K23" s="86"/>
      <c r="L23" s="230"/>
      <c r="M23" s="78"/>
      <c r="N23" s="86"/>
      <c r="O23" s="86"/>
      <c r="P23" s="86"/>
      <c r="Q23" s="86"/>
      <c r="R23" s="86"/>
      <c r="S23" s="86"/>
      <c r="T23" s="86"/>
      <c r="U23" s="86"/>
      <c r="V23" s="86"/>
      <c r="W23" s="86"/>
      <c r="X23" s="86"/>
      <c r="Y23" s="86"/>
      <c r="Z23" s="86"/>
      <c r="AA23" s="86"/>
      <c r="AB23" s="86"/>
    </row>
    <row r="24" spans="2:28" s="82" customFormat="1" x14ac:dyDescent="0.2">
      <c r="B24" s="182" t="s">
        <v>332</v>
      </c>
      <c r="D24" s="86"/>
      <c r="E24" s="86"/>
      <c r="F24" s="82" t="s">
        <v>227</v>
      </c>
      <c r="G24" s="86"/>
      <c r="H24" s="52">
        <f>'Berekening huurtarieven'!M49</f>
        <v>143.36618838459276</v>
      </c>
      <c r="I24" s="86"/>
      <c r="J24" s="130"/>
      <c r="K24" s="86"/>
      <c r="L24" s="230"/>
      <c r="M24" s="78"/>
      <c r="N24" s="86"/>
      <c r="O24" s="86"/>
      <c r="P24" s="86"/>
      <c r="Q24" s="86"/>
      <c r="R24" s="86"/>
      <c r="S24" s="86"/>
      <c r="T24" s="86"/>
      <c r="U24" s="86"/>
      <c r="V24" s="86"/>
      <c r="W24" s="86"/>
      <c r="X24" s="86"/>
      <c r="Y24" s="86"/>
      <c r="Z24" s="86"/>
      <c r="AA24" s="86"/>
      <c r="AB24" s="86"/>
    </row>
    <row r="25" spans="2:28" s="82" customFormat="1" x14ac:dyDescent="0.2">
      <c r="B25" s="181" t="s">
        <v>339</v>
      </c>
      <c r="D25" s="86"/>
      <c r="E25" s="86"/>
      <c r="F25" s="82" t="s">
        <v>227</v>
      </c>
      <c r="G25" s="86"/>
      <c r="H25" s="52">
        <f>'Berekening huurtarieven'!M50</f>
        <v>12.274535162194226</v>
      </c>
      <c r="I25" s="86"/>
      <c r="J25" s="130"/>
      <c r="K25" s="86"/>
      <c r="L25" s="230"/>
      <c r="M25" s="78"/>
      <c r="N25" s="89"/>
      <c r="O25" s="86"/>
      <c r="P25" s="86"/>
      <c r="Q25" s="86"/>
      <c r="R25" s="86"/>
      <c r="S25" s="86"/>
      <c r="T25" s="86"/>
      <c r="U25" s="86"/>
      <c r="V25" s="86"/>
      <c r="W25" s="86"/>
      <c r="X25" s="86"/>
      <c r="Y25" s="86"/>
      <c r="Z25" s="86"/>
      <c r="AA25" s="86"/>
      <c r="AB25" s="86"/>
    </row>
    <row r="26" spans="2:28" s="82" customFormat="1" x14ac:dyDescent="0.2">
      <c r="B26" s="182" t="s">
        <v>332</v>
      </c>
      <c r="D26" s="86"/>
      <c r="E26" s="86"/>
      <c r="F26" s="82" t="s">
        <v>227</v>
      </c>
      <c r="G26" s="86"/>
      <c r="H26" s="52">
        <f>'Berekening huurtarieven'!M49</f>
        <v>143.36618838459276</v>
      </c>
      <c r="I26" s="86"/>
      <c r="J26" s="130"/>
      <c r="K26" s="86"/>
      <c r="L26" s="230"/>
      <c r="M26" s="78"/>
      <c r="N26" s="89"/>
      <c r="O26" s="86"/>
      <c r="P26" s="86"/>
      <c r="Q26" s="86"/>
      <c r="R26" s="86"/>
      <c r="S26" s="86"/>
      <c r="T26" s="86"/>
      <c r="U26" s="86"/>
      <c r="V26" s="86"/>
      <c r="W26" s="86"/>
      <c r="X26" s="86"/>
      <c r="Y26" s="86"/>
      <c r="Z26" s="86"/>
      <c r="AA26" s="86"/>
      <c r="AB26" s="86"/>
    </row>
    <row r="27" spans="2:28" s="87" customFormat="1" x14ac:dyDescent="0.2">
      <c r="B27" s="181" t="s">
        <v>340</v>
      </c>
      <c r="F27" s="82" t="s">
        <v>227</v>
      </c>
      <c r="H27" s="119">
        <f>'Berekening huurtarieven'!M50</f>
        <v>12.274535162194226</v>
      </c>
      <c r="J27" s="176"/>
      <c r="L27" s="230"/>
      <c r="M27" s="78"/>
    </row>
    <row r="28" spans="2:28" s="87" customFormat="1" x14ac:dyDescent="0.2">
      <c r="B28" s="182"/>
      <c r="F28" s="82"/>
      <c r="H28" s="122"/>
      <c r="J28" s="176"/>
      <c r="L28" s="230"/>
      <c r="M28" s="78"/>
    </row>
    <row r="29" spans="2:28" s="87" customFormat="1" x14ac:dyDescent="0.2">
      <c r="B29" s="183" t="s">
        <v>272</v>
      </c>
      <c r="F29" s="82"/>
      <c r="H29" s="122"/>
      <c r="J29" s="176"/>
      <c r="L29" s="230"/>
      <c r="M29" s="78"/>
    </row>
    <row r="30" spans="2:28" s="87" customFormat="1" x14ac:dyDescent="0.2">
      <c r="B30" s="182" t="s">
        <v>338</v>
      </c>
      <c r="F30" s="82" t="s">
        <v>227</v>
      </c>
      <c r="H30" s="119">
        <f>'Berekening huurtarieven'!T49</f>
        <v>45.380089398229032</v>
      </c>
      <c r="J30" s="176"/>
      <c r="L30" s="230"/>
      <c r="M30" s="78"/>
    </row>
    <row r="31" spans="2:28" s="87" customFormat="1" x14ac:dyDescent="0.2">
      <c r="B31" s="181" t="s">
        <v>270</v>
      </c>
      <c r="F31" s="82" t="s">
        <v>227</v>
      </c>
      <c r="H31" s="119">
        <f>'Berekening huurtarieven'!T50</f>
        <v>3.8852919873117089</v>
      </c>
      <c r="J31" s="176"/>
      <c r="L31" s="230"/>
      <c r="M31" s="78"/>
    </row>
    <row r="32" spans="2:28" s="87" customFormat="1" x14ac:dyDescent="0.2">
      <c r="B32" s="182"/>
      <c r="C32" s="88"/>
      <c r="D32" s="88"/>
      <c r="E32" s="88"/>
      <c r="F32" s="86"/>
      <c r="G32" s="88"/>
      <c r="H32" s="79"/>
      <c r="I32" s="88"/>
      <c r="J32" s="130"/>
      <c r="K32" s="88"/>
      <c r="L32" s="230"/>
      <c r="M32" s="78"/>
      <c r="N32" s="88"/>
      <c r="O32" s="88"/>
      <c r="P32" s="88"/>
    </row>
    <row r="33" spans="1:16" s="87" customFormat="1" x14ac:dyDescent="0.2">
      <c r="B33" s="183" t="s">
        <v>273</v>
      </c>
      <c r="C33" s="88"/>
      <c r="D33" s="88"/>
      <c r="E33" s="88"/>
      <c r="F33" s="86"/>
      <c r="G33" s="88"/>
      <c r="H33" s="79"/>
      <c r="I33" s="88"/>
      <c r="J33" s="130"/>
      <c r="K33" s="88"/>
      <c r="L33" s="230"/>
      <c r="M33" s="78"/>
      <c r="N33" s="88"/>
      <c r="O33" s="88"/>
      <c r="P33" s="88"/>
    </row>
    <row r="34" spans="1:16" s="87" customFormat="1" x14ac:dyDescent="0.2">
      <c r="B34" s="182" t="s">
        <v>334</v>
      </c>
      <c r="C34" s="88"/>
      <c r="D34" s="88"/>
      <c r="E34" s="88"/>
      <c r="F34" s="82" t="s">
        <v>227</v>
      </c>
      <c r="G34" s="88"/>
      <c r="H34" s="111">
        <f>'Berekening huurtarieven'!R49</f>
        <v>65.488544818884762</v>
      </c>
      <c r="I34" s="88"/>
      <c r="J34" s="72"/>
      <c r="K34" s="89"/>
      <c r="L34" s="230"/>
      <c r="M34" s="78"/>
      <c r="N34" s="88"/>
      <c r="O34" s="88"/>
      <c r="P34" s="88"/>
    </row>
    <row r="35" spans="1:16" s="87" customFormat="1" ht="12" customHeight="1" x14ac:dyDescent="0.2">
      <c r="A35" s="150"/>
      <c r="B35" s="184" t="s">
        <v>333</v>
      </c>
      <c r="C35" s="89"/>
      <c r="D35" s="89"/>
      <c r="E35" s="89"/>
      <c r="F35" s="82" t="s">
        <v>227</v>
      </c>
      <c r="G35" s="89"/>
      <c r="H35" s="111">
        <f>'Berekening huurtarieven'!R50</f>
        <v>5.6069109122435172</v>
      </c>
      <c r="I35" s="89"/>
      <c r="J35" s="72"/>
      <c r="K35" s="89" t="s">
        <v>305</v>
      </c>
      <c r="L35" s="230"/>
      <c r="M35" s="90"/>
      <c r="N35" s="89"/>
      <c r="O35" s="89"/>
      <c r="P35" s="89"/>
    </row>
    <row r="36" spans="1:16" s="87" customFormat="1" ht="12" customHeight="1" x14ac:dyDescent="0.2">
      <c r="A36" s="150"/>
      <c r="B36" s="89" t="s">
        <v>335</v>
      </c>
      <c r="C36" s="89"/>
      <c r="D36" s="89"/>
      <c r="E36" s="89"/>
      <c r="F36" s="82" t="s">
        <v>227</v>
      </c>
      <c r="G36" s="89"/>
      <c r="H36" s="120">
        <f>'Berekening huurtarieven'!S49</f>
        <v>385.97349793957613</v>
      </c>
      <c r="I36" s="89"/>
      <c r="J36" s="177"/>
      <c r="K36" s="89"/>
      <c r="L36" s="230"/>
      <c r="M36" s="90"/>
      <c r="N36" s="89"/>
      <c r="O36" s="89"/>
      <c r="P36" s="89"/>
    </row>
    <row r="37" spans="1:16" s="87" customFormat="1" x14ac:dyDescent="0.2">
      <c r="B37" s="184" t="s">
        <v>336</v>
      </c>
      <c r="C37" s="89"/>
      <c r="D37" s="89"/>
      <c r="E37" s="89"/>
      <c r="F37" s="82" t="s">
        <v>227</v>
      </c>
      <c r="G37" s="89"/>
      <c r="H37" s="120">
        <f>'Berekening huurtarieven'!S50</f>
        <v>33.045764315260044</v>
      </c>
      <c r="I37" s="89"/>
      <c r="J37" s="177"/>
      <c r="K37" s="89"/>
      <c r="L37" s="230"/>
      <c r="M37" s="89"/>
      <c r="N37" s="89"/>
      <c r="O37" s="89"/>
      <c r="P37" s="89"/>
    </row>
    <row r="38" spans="1:16" x14ac:dyDescent="0.25">
      <c r="J38" s="10"/>
    </row>
  </sheetData>
  <pageMargins left="0.70866141732283472" right="0.70866141732283472" top="0.74803149606299213" bottom="0.74803149606299213" header="0.31496062992125984" footer="0.31496062992125984"/>
  <pageSetup paperSize="9" scale="52" orientation="landscape" r:id="rId1"/>
  <ignoredErrors>
    <ignoredError sqref="H25:H2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A2:P36"/>
  <sheetViews>
    <sheetView showGridLines="0" zoomScaleNormal="100" workbookViewId="0">
      <pane xSplit="6" ySplit="13" topLeftCell="G14" activePane="bottomRight" state="frozen"/>
      <selection pane="topRight"/>
      <selection pane="bottomLeft"/>
      <selection pane="bottomRight"/>
    </sheetView>
  </sheetViews>
  <sheetFormatPr defaultRowHeight="12.75" x14ac:dyDescent="0.25"/>
  <cols>
    <col min="1" max="1" width="3.7109375" style="2" customWidth="1"/>
    <col min="2" max="2" width="41.42578125" style="2" customWidth="1"/>
    <col min="3" max="5" width="4.5703125" style="2" customWidth="1"/>
    <col min="6" max="6" width="13.7109375" style="2" customWidth="1"/>
    <col min="7" max="7" width="2.7109375" style="2" customWidth="1"/>
    <col min="8" max="8" width="13.42578125" style="2" customWidth="1"/>
    <col min="9" max="9" width="13.7109375" style="2" customWidth="1"/>
    <col min="10" max="10" width="11.28515625" style="2" customWidth="1"/>
    <col min="11" max="11" width="13.7109375" style="2" customWidth="1"/>
    <col min="12" max="13" width="11.7109375" style="2" customWidth="1"/>
    <col min="14" max="14" width="12.5703125" style="2" customWidth="1"/>
    <col min="15" max="15" width="22.42578125" style="2" bestFit="1" customWidth="1"/>
    <col min="16" max="16" width="12.5703125" style="2" customWidth="1"/>
    <col min="17" max="31" width="13.7109375" style="2" customWidth="1"/>
    <col min="32" max="16384" width="9.140625" style="2"/>
  </cols>
  <sheetData>
    <row r="2" spans="1:16" s="33" customFormat="1" ht="18" x14ac:dyDescent="0.25">
      <c r="B2" s="33" t="s">
        <v>262</v>
      </c>
    </row>
    <row r="4" spans="1:16" x14ac:dyDescent="0.25">
      <c r="A4" s="1"/>
      <c r="B4" s="1" t="s">
        <v>64</v>
      </c>
      <c r="C4" s="1"/>
      <c r="D4" s="1"/>
    </row>
    <row r="5" spans="1:16" x14ac:dyDescent="0.25">
      <c r="A5" s="1"/>
      <c r="B5" s="40" t="s">
        <v>274</v>
      </c>
      <c r="C5" s="3"/>
      <c r="D5" s="3"/>
      <c r="I5" s="34"/>
    </row>
    <row r="6" spans="1:16" x14ac:dyDescent="0.25">
      <c r="A6" s="1"/>
      <c r="B6" s="40" t="s">
        <v>342</v>
      </c>
      <c r="C6" s="3"/>
      <c r="D6" s="3"/>
      <c r="I6" s="34"/>
    </row>
    <row r="7" spans="1:16" x14ac:dyDescent="0.25">
      <c r="A7" s="40"/>
      <c r="B7" s="40" t="s">
        <v>343</v>
      </c>
      <c r="C7" s="3"/>
      <c r="D7" s="3"/>
      <c r="I7" s="34"/>
    </row>
    <row r="8" spans="1:16" x14ac:dyDescent="0.25">
      <c r="A8" s="40"/>
      <c r="B8" s="40"/>
      <c r="C8" s="3"/>
      <c r="D8" s="3"/>
      <c r="I8" s="34"/>
    </row>
    <row r="9" spans="1:16" x14ac:dyDescent="0.25">
      <c r="A9" s="5"/>
      <c r="B9" s="5" t="s">
        <v>33</v>
      </c>
      <c r="C9" s="3"/>
      <c r="D9" s="3"/>
      <c r="I9" s="34"/>
    </row>
    <row r="10" spans="1:16" x14ac:dyDescent="0.25">
      <c r="A10" s="22"/>
      <c r="B10" s="40" t="s">
        <v>218</v>
      </c>
      <c r="C10" s="3"/>
      <c r="D10" s="3"/>
      <c r="N10" s="71"/>
    </row>
    <row r="11" spans="1:16" x14ac:dyDescent="0.25">
      <c r="A11" s="10"/>
    </row>
    <row r="12" spans="1:16" s="9" customFormat="1" x14ac:dyDescent="0.25">
      <c r="B12" s="9" t="s">
        <v>49</v>
      </c>
      <c r="F12" s="9" t="s">
        <v>30</v>
      </c>
    </row>
    <row r="15" spans="1:16" s="107" customFormat="1" x14ac:dyDescent="0.25">
      <c r="B15" s="107" t="s">
        <v>287</v>
      </c>
      <c r="H15" s="107" t="s">
        <v>31</v>
      </c>
      <c r="I15" s="108" t="s">
        <v>223</v>
      </c>
      <c r="J15" s="108" t="s">
        <v>224</v>
      </c>
      <c r="K15" s="108" t="s">
        <v>225</v>
      </c>
      <c r="L15" s="108" t="s">
        <v>226</v>
      </c>
      <c r="M15" s="109" t="s">
        <v>233</v>
      </c>
      <c r="N15" s="108"/>
      <c r="O15" s="107" t="s">
        <v>50</v>
      </c>
      <c r="P15" s="107" t="s">
        <v>51</v>
      </c>
    </row>
    <row r="16" spans="1:16" s="105" customFormat="1" x14ac:dyDescent="0.25">
      <c r="A16" s="175"/>
      <c r="I16" s="95"/>
      <c r="J16" s="95"/>
      <c r="K16" s="95"/>
      <c r="L16" s="95"/>
      <c r="M16" s="95"/>
      <c r="N16" s="95"/>
    </row>
    <row r="17" spans="1:16" s="81" customFormat="1" ht="13.5" customHeight="1" x14ac:dyDescent="0.25">
      <c r="B17" s="121" t="s">
        <v>250</v>
      </c>
      <c r="C17" s="82"/>
      <c r="D17" s="82"/>
      <c r="E17" s="82"/>
      <c r="F17" s="82"/>
      <c r="G17" s="82"/>
      <c r="H17" s="82"/>
      <c r="I17" s="82"/>
      <c r="J17" s="82"/>
      <c r="K17" s="82"/>
      <c r="L17" s="82"/>
      <c r="M17" s="82"/>
    </row>
    <row r="18" spans="1:16" s="81" customFormat="1" ht="13.5" customHeight="1" x14ac:dyDescent="0.25">
      <c r="B18" s="82" t="s">
        <v>234</v>
      </c>
      <c r="C18" s="82"/>
      <c r="D18" s="82"/>
      <c r="E18" s="82"/>
      <c r="F18" s="82" t="s">
        <v>227</v>
      </c>
      <c r="G18" s="82"/>
      <c r="H18" s="82"/>
      <c r="I18" s="47">
        <v>579.20173739048153</v>
      </c>
      <c r="J18" s="47">
        <v>951.42609528891717</v>
      </c>
      <c r="K18" s="47">
        <v>1119.1803648925991</v>
      </c>
      <c r="L18" s="47">
        <v>961.79375769870205</v>
      </c>
      <c r="M18" s="153">
        <v>1094.7922836735099</v>
      </c>
      <c r="N18" s="104"/>
      <c r="O18" s="40" t="s">
        <v>293</v>
      </c>
      <c r="P18" s="89" t="s">
        <v>341</v>
      </c>
    </row>
    <row r="19" spans="1:16" s="81" customFormat="1" ht="12.75" customHeight="1" x14ac:dyDescent="0.25">
      <c r="B19" s="82" t="s">
        <v>288</v>
      </c>
      <c r="C19" s="82"/>
      <c r="D19" s="82"/>
      <c r="E19" s="82"/>
      <c r="F19" s="82" t="s">
        <v>227</v>
      </c>
      <c r="G19" s="82"/>
      <c r="H19" s="47">
        <v>24.638620679616817</v>
      </c>
      <c r="I19" s="154"/>
      <c r="J19" s="154"/>
      <c r="K19" s="154"/>
      <c r="L19" s="154"/>
      <c r="M19" s="158"/>
      <c r="N19" s="104"/>
      <c r="O19" s="40" t="s">
        <v>293</v>
      </c>
      <c r="P19" s="10"/>
    </row>
    <row r="20" spans="1:16" s="87" customFormat="1" x14ac:dyDescent="0.2">
      <c r="B20" s="89"/>
      <c r="G20" s="89"/>
      <c r="H20" s="89"/>
      <c r="M20" s="158"/>
      <c r="N20" s="89"/>
      <c r="O20" s="89"/>
    </row>
    <row r="21" spans="1:16" s="107" customFormat="1" x14ac:dyDescent="0.25">
      <c r="B21" s="80" t="s">
        <v>286</v>
      </c>
      <c r="F21" s="108"/>
      <c r="I21" s="108" t="s">
        <v>264</v>
      </c>
      <c r="J21" s="108" t="s">
        <v>265</v>
      </c>
      <c r="K21" s="108"/>
      <c r="L21" s="108"/>
      <c r="M21" s="109"/>
      <c r="N21" s="108"/>
      <c r="O21" s="107" t="s">
        <v>50</v>
      </c>
      <c r="P21" s="107" t="s">
        <v>51</v>
      </c>
    </row>
    <row r="22" spans="1:16" x14ac:dyDescent="0.25">
      <c r="F22" s="40"/>
      <c r="I22" s="95"/>
      <c r="J22" s="95"/>
    </row>
    <row r="23" spans="1:16" x14ac:dyDescent="0.25">
      <c r="B23" s="1" t="s">
        <v>258</v>
      </c>
      <c r="F23" s="40"/>
      <c r="I23" s="95"/>
      <c r="J23" s="95"/>
    </row>
    <row r="24" spans="1:16" x14ac:dyDescent="0.2">
      <c r="A24" s="10"/>
      <c r="B24" s="82" t="s">
        <v>234</v>
      </c>
      <c r="F24" s="82" t="s">
        <v>227</v>
      </c>
      <c r="H24" s="47">
        <v>845.04205446397737</v>
      </c>
      <c r="O24" s="40" t="s">
        <v>293</v>
      </c>
    </row>
    <row r="25" spans="1:16" x14ac:dyDescent="0.2">
      <c r="A25" s="10"/>
      <c r="B25" s="82" t="s">
        <v>288</v>
      </c>
      <c r="F25" s="82" t="s">
        <v>227</v>
      </c>
      <c r="H25" s="47">
        <v>15.198162494225574</v>
      </c>
      <c r="L25" s="146"/>
      <c r="O25" s="40" t="s">
        <v>293</v>
      </c>
    </row>
    <row r="26" spans="1:16" x14ac:dyDescent="0.2">
      <c r="A26" s="10"/>
      <c r="B26" s="82" t="s">
        <v>270</v>
      </c>
      <c r="F26" s="82" t="s">
        <v>227</v>
      </c>
      <c r="H26" s="47">
        <v>45.380089398229032</v>
      </c>
      <c r="I26" s="143"/>
      <c r="J26" s="144"/>
      <c r="O26" s="40" t="s">
        <v>293</v>
      </c>
    </row>
    <row r="27" spans="1:16" x14ac:dyDescent="0.25">
      <c r="A27" s="10"/>
      <c r="F27" s="40"/>
      <c r="H27" s="146"/>
      <c r="I27" s="10"/>
      <c r="J27" s="145"/>
      <c r="O27" s="40"/>
    </row>
    <row r="28" spans="1:16" ht="13.5" customHeight="1" x14ac:dyDescent="0.2">
      <c r="B28" s="121" t="s">
        <v>259</v>
      </c>
      <c r="F28" s="82"/>
      <c r="H28" s="146"/>
      <c r="I28" s="127"/>
      <c r="J28" s="128"/>
      <c r="K28" s="78"/>
      <c r="O28" s="40"/>
    </row>
    <row r="29" spans="1:16" ht="13.5" customHeight="1" x14ac:dyDescent="0.2">
      <c r="B29" s="82" t="s">
        <v>234</v>
      </c>
      <c r="F29" s="82" t="s">
        <v>227</v>
      </c>
      <c r="H29" s="47">
        <v>950.39804622597126</v>
      </c>
      <c r="O29" s="40" t="s">
        <v>293</v>
      </c>
    </row>
    <row r="30" spans="1:16" ht="13.5" customHeight="1" x14ac:dyDescent="0.2">
      <c r="B30" s="82" t="s">
        <v>288</v>
      </c>
      <c r="F30" s="82" t="s">
        <v>227</v>
      </c>
      <c r="H30" s="47">
        <v>15.198162494225574</v>
      </c>
      <c r="O30" s="40" t="s">
        <v>293</v>
      </c>
      <c r="P30" s="10"/>
    </row>
    <row r="31" spans="1:16" x14ac:dyDescent="0.25">
      <c r="F31" s="40"/>
      <c r="H31" s="146"/>
    </row>
    <row r="32" spans="1:16" s="107" customFormat="1" x14ac:dyDescent="0.25">
      <c r="B32" s="80" t="s">
        <v>324</v>
      </c>
      <c r="F32" s="108"/>
      <c r="H32" s="147"/>
      <c r="I32" s="108"/>
      <c r="J32" s="108"/>
      <c r="K32" s="108"/>
      <c r="L32" s="108"/>
      <c r="M32" s="109"/>
      <c r="N32" s="108"/>
      <c r="O32" s="107" t="s">
        <v>50</v>
      </c>
      <c r="P32" s="107" t="s">
        <v>51</v>
      </c>
    </row>
    <row r="33" spans="2:15" x14ac:dyDescent="0.25">
      <c r="B33" s="34"/>
      <c r="F33" s="40"/>
      <c r="H33" s="146"/>
    </row>
    <row r="34" spans="2:15" s="81" customFormat="1" ht="15" x14ac:dyDescent="0.25">
      <c r="B34" s="106" t="s">
        <v>228</v>
      </c>
      <c r="F34" s="82"/>
      <c r="H34" s="148"/>
    </row>
    <row r="35" spans="2:15" s="81" customFormat="1" ht="14.25" customHeight="1" x14ac:dyDescent="0.25">
      <c r="B35" s="83" t="s">
        <v>247</v>
      </c>
      <c r="C35" s="84"/>
      <c r="F35" s="82" t="s">
        <v>227</v>
      </c>
      <c r="H35" s="47">
        <v>65.488544818884762</v>
      </c>
      <c r="O35" s="40" t="s">
        <v>293</v>
      </c>
    </row>
    <row r="36" spans="2:15" s="81" customFormat="1" ht="14.25" customHeight="1" x14ac:dyDescent="0.25">
      <c r="B36" s="82" t="s">
        <v>248</v>
      </c>
      <c r="F36" s="82" t="s">
        <v>227</v>
      </c>
      <c r="H36" s="47">
        <v>385.97349793957613</v>
      </c>
      <c r="O36" s="40" t="s">
        <v>293</v>
      </c>
    </row>
  </sheetData>
  <pageMargins left="0.70866141732283472" right="0.70866141732283472" top="0.74803149606299213" bottom="0.74803149606299213" header="0.31496062992125984" footer="0.31496062992125984"/>
  <pageSetup paperSize="9" scale="4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CC"/>
    <pageSetUpPr fitToPage="1"/>
  </sheetPr>
  <dimension ref="A2:AB51"/>
  <sheetViews>
    <sheetView showGridLines="0" tabSelected="1" zoomScaleNormal="100" workbookViewId="0">
      <pane xSplit="6" ySplit="13" topLeftCell="G14" activePane="bottomRight" state="frozen"/>
      <selection pane="topRight"/>
      <selection pane="bottomLeft"/>
      <selection pane="bottomRight"/>
    </sheetView>
  </sheetViews>
  <sheetFormatPr defaultRowHeight="12.75" x14ac:dyDescent="0.25"/>
  <cols>
    <col min="1" max="1" width="3.7109375" style="2" customWidth="1"/>
    <col min="2" max="2" width="41.42578125" style="2" customWidth="1"/>
    <col min="3" max="5" width="4.5703125" style="2" customWidth="1"/>
    <col min="6" max="6" width="13.7109375" style="2" customWidth="1"/>
    <col min="7" max="7" width="2.7109375" style="2" customWidth="1"/>
    <col min="8" max="8" width="13.28515625" style="2" customWidth="1"/>
    <col min="9" max="9" width="13.7109375" style="2" customWidth="1"/>
    <col min="10" max="10" width="11.28515625" style="2" customWidth="1"/>
    <col min="11" max="11" width="13.7109375" style="2" customWidth="1"/>
    <col min="12" max="12" width="11.7109375" style="2" customWidth="1"/>
    <col min="13" max="14" width="12.5703125" style="2" customWidth="1"/>
    <col min="15" max="29" width="13.7109375" style="2" customWidth="1"/>
    <col min="30" max="16384" width="9.140625" style="2"/>
  </cols>
  <sheetData>
    <row r="2" spans="1:13" s="33" customFormat="1" ht="18" x14ac:dyDescent="0.25">
      <c r="B2" s="33" t="s">
        <v>263</v>
      </c>
    </row>
    <row r="4" spans="1:13" x14ac:dyDescent="0.25">
      <c r="A4" s="1"/>
      <c r="B4" s="1" t="s">
        <v>64</v>
      </c>
      <c r="C4" s="1"/>
      <c r="D4" s="1"/>
    </row>
    <row r="5" spans="1:13" x14ac:dyDescent="0.25">
      <c r="A5" s="1"/>
      <c r="B5" s="40" t="s">
        <v>249</v>
      </c>
      <c r="C5" s="3"/>
      <c r="D5" s="3"/>
      <c r="I5" s="34"/>
    </row>
    <row r="6" spans="1:13" x14ac:dyDescent="0.25">
      <c r="A6" s="40"/>
      <c r="B6" s="40" t="s">
        <v>256</v>
      </c>
      <c r="C6" s="3"/>
      <c r="D6" s="3"/>
      <c r="I6" s="34"/>
    </row>
    <row r="7" spans="1:13" x14ac:dyDescent="0.25">
      <c r="A7" s="40"/>
      <c r="B7" s="40" t="s">
        <v>266</v>
      </c>
      <c r="C7" s="3"/>
      <c r="D7" s="3"/>
      <c r="I7" s="34"/>
    </row>
    <row r="8" spans="1:13" x14ac:dyDescent="0.25">
      <c r="A8" s="40"/>
      <c r="B8" s="40"/>
      <c r="C8" s="3"/>
      <c r="D8" s="3"/>
      <c r="I8" s="34"/>
    </row>
    <row r="9" spans="1:13" x14ac:dyDescent="0.25">
      <c r="A9" s="5"/>
      <c r="B9" s="5" t="s">
        <v>33</v>
      </c>
      <c r="C9" s="3"/>
      <c r="D9" s="3"/>
      <c r="I9" s="34"/>
    </row>
    <row r="10" spans="1:13" x14ac:dyDescent="0.25">
      <c r="A10" s="22"/>
      <c r="B10" s="40" t="s">
        <v>218</v>
      </c>
      <c r="C10" s="3"/>
      <c r="D10" s="3"/>
      <c r="M10" s="71"/>
    </row>
    <row r="12" spans="1:13" s="9" customFormat="1" x14ac:dyDescent="0.25">
      <c r="B12" s="9" t="s">
        <v>49</v>
      </c>
      <c r="F12" s="9" t="s">
        <v>30</v>
      </c>
    </row>
    <row r="15" spans="1:13" s="107" customFormat="1" x14ac:dyDescent="0.25">
      <c r="B15" s="107" t="s">
        <v>234</v>
      </c>
      <c r="H15" s="107" t="s">
        <v>31</v>
      </c>
      <c r="I15" s="108" t="s">
        <v>223</v>
      </c>
      <c r="J15" s="108" t="s">
        <v>224</v>
      </c>
      <c r="K15" s="108" t="s">
        <v>225</v>
      </c>
      <c r="L15" s="108" t="s">
        <v>226</v>
      </c>
      <c r="M15" s="109" t="s">
        <v>233</v>
      </c>
    </row>
    <row r="16" spans="1:13" s="105" customFormat="1" x14ac:dyDescent="0.25">
      <c r="I16" s="95"/>
      <c r="J16" s="95"/>
      <c r="K16" s="95"/>
      <c r="L16" s="95"/>
      <c r="M16" s="95"/>
    </row>
    <row r="17" spans="1:28" s="81" customFormat="1" ht="15" x14ac:dyDescent="0.25">
      <c r="A17" s="141"/>
      <c r="B17" s="82" t="s">
        <v>250</v>
      </c>
      <c r="F17" s="82" t="s">
        <v>227</v>
      </c>
      <c r="I17" s="52">
        <f>'Gegevens t.b.v. huurtarieven'!I18</f>
        <v>579.20173739048153</v>
      </c>
      <c r="J17" s="52">
        <f>'Gegevens t.b.v. huurtarieven'!J18</f>
        <v>951.42609528891717</v>
      </c>
      <c r="K17" s="52">
        <f>'Gegevens t.b.v. huurtarieven'!K18</f>
        <v>1119.1803648925991</v>
      </c>
      <c r="L17" s="52">
        <f>'Gegevens t.b.v. huurtarieven'!L18</f>
        <v>961.79375769870205</v>
      </c>
      <c r="M17" s="52">
        <f>'Gegevens t.b.v. huurtarieven'!M18</f>
        <v>1094.7922836735099</v>
      </c>
      <c r="T17" s="89"/>
    </row>
    <row r="18" spans="1:28" s="81" customFormat="1" ht="14.25" customHeight="1" x14ac:dyDescent="0.25">
      <c r="B18" s="82" t="s">
        <v>258</v>
      </c>
      <c r="F18" s="82" t="s">
        <v>227</v>
      </c>
      <c r="H18" s="52">
        <f>'Gegevens t.b.v. huurtarieven'!H24</f>
        <v>845.04205446397737</v>
      </c>
      <c r="I18" s="113"/>
      <c r="J18" s="113"/>
      <c r="K18" s="113"/>
      <c r="L18" s="113"/>
      <c r="M18" s="104"/>
    </row>
    <row r="19" spans="1:28" s="81" customFormat="1" ht="15" x14ac:dyDescent="0.25">
      <c r="B19" s="82" t="s">
        <v>259</v>
      </c>
      <c r="F19" s="82" t="s">
        <v>227</v>
      </c>
      <c r="H19" s="52">
        <f>'Gegevens t.b.v. huurtarieven'!H29</f>
        <v>950.39804622597126</v>
      </c>
      <c r="I19" s="113"/>
      <c r="J19" s="79"/>
      <c r="K19" s="113"/>
      <c r="L19" s="113"/>
      <c r="M19" s="104"/>
    </row>
    <row r="20" spans="1:28" x14ac:dyDescent="0.25">
      <c r="F20" s="157"/>
    </row>
    <row r="21" spans="1:28" s="81" customFormat="1" ht="15" x14ac:dyDescent="0.25">
      <c r="B21" s="106" t="s">
        <v>346</v>
      </c>
      <c r="F21" s="82"/>
    </row>
    <row r="22" spans="1:28" s="81" customFormat="1" ht="15" x14ac:dyDescent="0.25">
      <c r="B22" s="83" t="s">
        <v>229</v>
      </c>
      <c r="C22" s="84"/>
      <c r="F22" s="82" t="s">
        <v>227</v>
      </c>
      <c r="H22" s="52">
        <f>'Gegevens t.b.v. huurtarieven'!H35</f>
        <v>65.488544818884762</v>
      </c>
    </row>
    <row r="23" spans="1:28" s="81" customFormat="1" ht="15" x14ac:dyDescent="0.25">
      <c r="B23" s="82" t="s">
        <v>230</v>
      </c>
      <c r="F23" s="82" t="s">
        <v>227</v>
      </c>
      <c r="H23" s="52">
        <f>'Gegevens t.b.v. huurtarieven'!H36</f>
        <v>385.97349793957613</v>
      </c>
    </row>
    <row r="24" spans="1:28" s="87" customFormat="1" x14ac:dyDescent="0.2">
      <c r="B24" s="82" t="s">
        <v>270</v>
      </c>
      <c r="C24" s="89"/>
      <c r="D24" s="89"/>
      <c r="E24" s="89"/>
      <c r="F24" s="82" t="s">
        <v>227</v>
      </c>
      <c r="G24" s="89"/>
      <c r="H24" s="52">
        <f>'Gegevens t.b.v. huurtarieven'!H26</f>
        <v>45.380089398229032</v>
      </c>
      <c r="I24" s="89"/>
      <c r="J24" s="89"/>
      <c r="K24" s="89"/>
      <c r="L24" s="89"/>
      <c r="N24" s="89"/>
      <c r="O24" s="89"/>
      <c r="P24" s="89"/>
    </row>
    <row r="26" spans="1:28" s="80" customFormat="1" x14ac:dyDescent="0.25">
      <c r="B26" s="80" t="s">
        <v>244</v>
      </c>
    </row>
    <row r="27" spans="1:28" s="82" customFormat="1" x14ac:dyDescent="0.2"/>
    <row r="28" spans="1:28" s="82" customFormat="1" x14ac:dyDescent="0.2">
      <c r="A28" s="149"/>
      <c r="B28" s="85" t="s">
        <v>93</v>
      </c>
      <c r="D28" s="86"/>
      <c r="E28" s="86"/>
      <c r="F28" s="86" t="s">
        <v>113</v>
      </c>
      <c r="G28" s="86"/>
      <c r="H28" s="136">
        <f>'Gegevens warmteregeling &amp; ACM'!I49</f>
        <v>15</v>
      </c>
      <c r="I28" s="86"/>
      <c r="J28" s="86"/>
      <c r="K28" s="86"/>
      <c r="L28" s="86"/>
      <c r="N28" s="86"/>
      <c r="O28" s="86"/>
      <c r="P28" s="86"/>
      <c r="Q28" s="86"/>
      <c r="R28" s="86"/>
      <c r="S28" s="86"/>
      <c r="T28" s="86"/>
      <c r="U28" s="86"/>
      <c r="V28" s="86"/>
      <c r="W28" s="86"/>
      <c r="X28" s="86"/>
      <c r="Y28" s="86"/>
      <c r="Z28" s="86"/>
      <c r="AA28" s="86"/>
      <c r="AB28" s="86"/>
    </row>
    <row r="29" spans="1:28" s="87" customFormat="1" x14ac:dyDescent="0.2">
      <c r="B29" s="85" t="s">
        <v>231</v>
      </c>
      <c r="F29" s="87" t="s">
        <v>81</v>
      </c>
      <c r="H29" s="134">
        <f>'Gegevens warmteregeling &amp; ACM'!I28</f>
        <v>3.7900000000000003E-2</v>
      </c>
    </row>
    <row r="30" spans="1:28" s="87" customFormat="1" x14ac:dyDescent="0.2">
      <c r="A30" s="150"/>
      <c r="B30" s="89" t="s">
        <v>245</v>
      </c>
      <c r="C30" s="89"/>
      <c r="D30" s="89"/>
      <c r="E30" s="89"/>
      <c r="F30" s="89" t="s">
        <v>227</v>
      </c>
      <c r="G30" s="89"/>
      <c r="H30" s="52">
        <f>'Gegevens t.b.v. huurtarieven'!H19</f>
        <v>24.638620679616817</v>
      </c>
      <c r="I30" s="89"/>
      <c r="J30" s="89"/>
      <c r="K30" s="89"/>
      <c r="L30" s="89"/>
      <c r="N30" s="89"/>
      <c r="O30" s="89"/>
      <c r="P30" s="89"/>
    </row>
    <row r="31" spans="1:28" s="87" customFormat="1" x14ac:dyDescent="0.2">
      <c r="A31" s="150"/>
      <c r="B31" s="89" t="s">
        <v>246</v>
      </c>
      <c r="C31" s="89"/>
      <c r="D31" s="89"/>
      <c r="E31" s="89"/>
      <c r="F31" s="89" t="s">
        <v>227</v>
      </c>
      <c r="G31" s="89"/>
      <c r="H31" s="52">
        <f>'Gegevens t.b.v. huurtarieven'!H25</f>
        <v>15.198162494225574</v>
      </c>
      <c r="I31" s="89"/>
      <c r="J31" s="89"/>
      <c r="K31" s="89"/>
      <c r="L31" s="89"/>
      <c r="N31" s="89"/>
      <c r="O31" s="89"/>
      <c r="P31" s="89"/>
    </row>
    <row r="32" spans="1:28" s="87" customFormat="1" x14ac:dyDescent="0.2">
      <c r="B32" s="89"/>
      <c r="G32" s="89"/>
    </row>
    <row r="33" spans="1:20" s="80" customFormat="1" x14ac:dyDescent="0.25">
      <c r="B33" s="80" t="s">
        <v>235</v>
      </c>
      <c r="I33" s="80" t="s">
        <v>223</v>
      </c>
      <c r="J33" s="80" t="s">
        <v>224</v>
      </c>
      <c r="K33" s="80" t="s">
        <v>225</v>
      </c>
      <c r="L33" s="80" t="s">
        <v>226</v>
      </c>
      <c r="M33" s="110" t="s">
        <v>233</v>
      </c>
      <c r="O33" s="80" t="s">
        <v>264</v>
      </c>
      <c r="P33" s="80" t="s">
        <v>265</v>
      </c>
      <c r="R33" s="80" t="s">
        <v>268</v>
      </c>
      <c r="S33" s="80" t="s">
        <v>269</v>
      </c>
      <c r="T33" s="80" t="s">
        <v>337</v>
      </c>
    </row>
    <row r="34" spans="1:20" s="87" customFormat="1" x14ac:dyDescent="0.2">
      <c r="B34" s="92"/>
      <c r="C34" s="92"/>
      <c r="I34" s="93"/>
      <c r="J34" s="93"/>
      <c r="K34" s="93"/>
      <c r="L34" s="93"/>
      <c r="O34" s="2"/>
      <c r="P34" s="2"/>
      <c r="R34" s="2"/>
      <c r="S34" s="2"/>
    </row>
    <row r="35" spans="1:20" s="87" customFormat="1" x14ac:dyDescent="0.2">
      <c r="B35" s="86" t="s">
        <v>163</v>
      </c>
      <c r="C35" s="88"/>
      <c r="F35" s="86" t="s">
        <v>227</v>
      </c>
      <c r="I35" s="91">
        <f>I17</f>
        <v>579.20173739048153</v>
      </c>
      <c r="J35" s="91">
        <f>J17</f>
        <v>951.42609528891717</v>
      </c>
      <c r="K35" s="91">
        <f>K17</f>
        <v>1119.1803648925991</v>
      </c>
      <c r="L35" s="91">
        <f>L17</f>
        <v>961.79375769870205</v>
      </c>
      <c r="M35" s="91">
        <f>M17</f>
        <v>1094.7922836735099</v>
      </c>
      <c r="N35" s="125"/>
      <c r="O35" s="126">
        <v>845.04</v>
      </c>
      <c r="P35" s="126">
        <f>H19</f>
        <v>950.39804622597126</v>
      </c>
      <c r="Q35" s="125"/>
      <c r="R35" s="126">
        <f>H22</f>
        <v>65.488544818884762</v>
      </c>
      <c r="S35" s="126">
        <f>H23</f>
        <v>385.97349793957613</v>
      </c>
      <c r="T35" s="126">
        <f>H24</f>
        <v>45.380089398229032</v>
      </c>
    </row>
    <row r="36" spans="1:20" s="87" customFormat="1" x14ac:dyDescent="0.2">
      <c r="B36" s="87" t="s">
        <v>236</v>
      </c>
      <c r="F36" s="86" t="s">
        <v>227</v>
      </c>
      <c r="I36" s="94">
        <f>I35/H28</f>
        <v>38.613449159365437</v>
      </c>
      <c r="J36" s="94">
        <f>J35/H28</f>
        <v>63.428406352594479</v>
      </c>
      <c r="K36" s="94">
        <f>K35/H28</f>
        <v>74.61202432617327</v>
      </c>
      <c r="L36" s="94">
        <f>L35/H28</f>
        <v>64.119583846580142</v>
      </c>
      <c r="M36" s="94">
        <f>M35/H28</f>
        <v>72.986152244900666</v>
      </c>
      <c r="O36" s="94">
        <f>O35/H28</f>
        <v>56.335999999999999</v>
      </c>
      <c r="P36" s="94">
        <f>P35/H28</f>
        <v>63.359869748398083</v>
      </c>
      <c r="R36" s="94">
        <f>R35/H28</f>
        <v>4.3659029879256508</v>
      </c>
      <c r="S36" s="94">
        <f>S35/H28</f>
        <v>25.731566529305077</v>
      </c>
      <c r="T36" s="94">
        <f>T35/H28</f>
        <v>3.0253392932152687</v>
      </c>
    </row>
    <row r="37" spans="1:20" s="95" customFormat="1" x14ac:dyDescent="0.25">
      <c r="A37" s="151"/>
      <c r="B37" s="96" t="s">
        <v>237</v>
      </c>
      <c r="F37" s="86" t="s">
        <v>113</v>
      </c>
      <c r="H37" s="137">
        <f>H28/2</f>
        <v>7.5</v>
      </c>
      <c r="J37" s="142"/>
      <c r="K37" s="142"/>
      <c r="L37" s="142"/>
      <c r="M37" s="142"/>
      <c r="O37" s="142"/>
      <c r="P37" s="142"/>
      <c r="Q37" s="151"/>
      <c r="R37" s="142"/>
      <c r="S37" s="142"/>
    </row>
    <row r="38" spans="1:20" s="87" customFormat="1" x14ac:dyDescent="0.2">
      <c r="B38" s="87" t="s">
        <v>238</v>
      </c>
      <c r="F38" s="86" t="s">
        <v>227</v>
      </c>
      <c r="I38" s="97">
        <f>I36*H37</f>
        <v>289.60086869524076</v>
      </c>
      <c r="J38" s="97">
        <f>J36*H37</f>
        <v>475.71304764445858</v>
      </c>
      <c r="K38" s="97">
        <f>K36*H37</f>
        <v>559.59018244629954</v>
      </c>
      <c r="L38" s="97">
        <f>L36*H37</f>
        <v>480.89687884935108</v>
      </c>
      <c r="M38" s="97">
        <f>M36*H37</f>
        <v>547.39614183675496</v>
      </c>
      <c r="O38" s="97">
        <f>O36*H37</f>
        <v>422.52</v>
      </c>
      <c r="P38" s="97">
        <f>P36*H37</f>
        <v>475.19902311298563</v>
      </c>
      <c r="R38" s="97">
        <f>R36*H37</f>
        <v>32.744272409442381</v>
      </c>
      <c r="S38" s="97">
        <f>S36*H37</f>
        <v>192.98674896978807</v>
      </c>
      <c r="T38" s="97">
        <f>T36*H37</f>
        <v>22.690044699114516</v>
      </c>
    </row>
    <row r="39" spans="1:20" s="86" customFormat="1" x14ac:dyDescent="0.25">
      <c r="B39" s="98" t="s">
        <v>239</v>
      </c>
      <c r="F39" s="86" t="s">
        <v>227</v>
      </c>
      <c r="I39" s="97">
        <f>I38*H29</f>
        <v>10.975872923549625</v>
      </c>
      <c r="J39" s="97">
        <f>J38*H29</f>
        <v>18.029524505724982</v>
      </c>
      <c r="K39" s="97">
        <f>K38*H29</f>
        <v>21.208467914714753</v>
      </c>
      <c r="L39" s="97">
        <f>L38*H29</f>
        <v>18.225991708390406</v>
      </c>
      <c r="M39" s="97">
        <f>M38*H29</f>
        <v>20.746313775613014</v>
      </c>
      <c r="O39" s="97">
        <f>O38*H29</f>
        <v>16.013508000000002</v>
      </c>
      <c r="P39" s="97">
        <f>P38*H29</f>
        <v>18.010042975982156</v>
      </c>
      <c r="R39" s="97">
        <f>R38*H29</f>
        <v>1.2410079243178664</v>
      </c>
      <c r="S39" s="97">
        <f>S38*H29</f>
        <v>7.3141977859549687</v>
      </c>
      <c r="T39" s="97">
        <f>T38*H29</f>
        <v>0.85995269409644026</v>
      </c>
    </row>
    <row r="40" spans="1:20" s="87" customFormat="1" x14ac:dyDescent="0.2">
      <c r="B40" s="87" t="s">
        <v>240</v>
      </c>
      <c r="F40" s="86" t="s">
        <v>227</v>
      </c>
      <c r="I40" s="99">
        <f>I36+I39</f>
        <v>49.589322082915061</v>
      </c>
      <c r="J40" s="99">
        <f>J36+J39</f>
        <v>81.457930858319457</v>
      </c>
      <c r="K40" s="99">
        <f>K36+K39</f>
        <v>95.820492240888029</v>
      </c>
      <c r="L40" s="99">
        <f>L36+L39</f>
        <v>82.345575554970551</v>
      </c>
      <c r="M40" s="99">
        <f>M36+M39</f>
        <v>93.732466020513684</v>
      </c>
      <c r="O40" s="99">
        <f>O36+O39</f>
        <v>72.349508</v>
      </c>
      <c r="P40" s="99">
        <f>P36+P39</f>
        <v>81.369912724380242</v>
      </c>
      <c r="R40" s="99">
        <f>R36+R39</f>
        <v>5.6069109122435172</v>
      </c>
      <c r="S40" s="99">
        <f>S36+S39</f>
        <v>33.045764315260044</v>
      </c>
      <c r="T40" s="99">
        <f>T36+T39</f>
        <v>3.8852919873117089</v>
      </c>
    </row>
    <row r="41" spans="1:20" s="87" customFormat="1" x14ac:dyDescent="0.2">
      <c r="B41" s="100"/>
      <c r="C41" s="92"/>
      <c r="D41" s="92"/>
      <c r="E41" s="92"/>
      <c r="I41" s="101"/>
      <c r="J41" s="101"/>
      <c r="K41" s="101"/>
      <c r="L41" s="101"/>
      <c r="M41" s="101"/>
      <c r="O41" s="101"/>
      <c r="P41" s="101"/>
      <c r="R41" s="102"/>
      <c r="S41" s="102"/>
    </row>
    <row r="42" spans="1:20" s="87" customFormat="1" x14ac:dyDescent="0.2">
      <c r="B42" s="86" t="s">
        <v>232</v>
      </c>
      <c r="C42" s="88"/>
      <c r="D42" s="88"/>
      <c r="E42" s="88"/>
      <c r="F42" s="86" t="s">
        <v>227</v>
      </c>
      <c r="I42" s="91">
        <f>$H$30</f>
        <v>24.638620679616817</v>
      </c>
      <c r="J42" s="91">
        <f>$H$30</f>
        <v>24.638620679616817</v>
      </c>
      <c r="K42" s="91">
        <f>$H$30</f>
        <v>24.638620679616817</v>
      </c>
      <c r="L42" s="91">
        <f>$H$30</f>
        <v>24.638620679616817</v>
      </c>
      <c r="M42" s="91">
        <f>$H$30</f>
        <v>24.638620679616817</v>
      </c>
      <c r="O42" s="91">
        <f>H31</f>
        <v>15.198162494225574</v>
      </c>
      <c r="P42" s="91">
        <f>H31</f>
        <v>15.198162494225574</v>
      </c>
      <c r="R42" s="112"/>
      <c r="S42" s="112"/>
      <c r="T42" s="112"/>
    </row>
    <row r="43" spans="1:20" s="87" customFormat="1" x14ac:dyDescent="0.2">
      <c r="B43" s="89"/>
      <c r="C43" s="89"/>
      <c r="D43" s="89"/>
      <c r="E43" s="89"/>
      <c r="I43" s="102"/>
      <c r="J43" s="102"/>
      <c r="K43" s="102"/>
      <c r="L43" s="102"/>
      <c r="M43" s="102"/>
      <c r="O43" s="102"/>
      <c r="P43" s="102"/>
    </row>
    <row r="44" spans="1:20" s="87" customFormat="1" x14ac:dyDescent="0.2">
      <c r="A44" s="150"/>
      <c r="B44" s="89" t="s">
        <v>328</v>
      </c>
      <c r="F44" s="86" t="s">
        <v>227</v>
      </c>
      <c r="I44" s="103">
        <f>I40+I42</f>
        <v>74.227942762531882</v>
      </c>
      <c r="J44" s="103">
        <f t="shared" ref="J44:L44" si="0">J40+J42</f>
        <v>106.09655153793628</v>
      </c>
      <c r="K44" s="103">
        <f t="shared" si="0"/>
        <v>120.45911292050485</v>
      </c>
      <c r="L44" s="103">
        <f t="shared" si="0"/>
        <v>106.98419623458737</v>
      </c>
      <c r="M44" s="103">
        <f t="shared" ref="M44" si="1">M40+M42</f>
        <v>118.3710867001305</v>
      </c>
      <c r="O44" s="103">
        <f>O40+O42</f>
        <v>87.547670494225571</v>
      </c>
      <c r="P44" s="103">
        <f>P40+P42</f>
        <v>96.568075218605813</v>
      </c>
      <c r="R44" s="169"/>
      <c r="S44" s="169"/>
      <c r="T44" s="169"/>
    </row>
    <row r="45" spans="1:20" s="87" customFormat="1" x14ac:dyDescent="0.2">
      <c r="I45" s="124"/>
      <c r="J45" s="124"/>
      <c r="K45" s="124"/>
      <c r="L45" s="124"/>
      <c r="M45" s="124"/>
      <c r="O45" s="124"/>
      <c r="P45" s="124"/>
      <c r="R45" s="124"/>
      <c r="S45" s="124"/>
    </row>
    <row r="46" spans="1:20" s="80" customFormat="1" x14ac:dyDescent="0.25">
      <c r="B46" s="80" t="s">
        <v>267</v>
      </c>
      <c r="I46" s="80" t="s">
        <v>223</v>
      </c>
      <c r="J46" s="80" t="s">
        <v>224</v>
      </c>
      <c r="K46" s="80" t="s">
        <v>225</v>
      </c>
      <c r="L46" s="80" t="s">
        <v>226</v>
      </c>
      <c r="M46" s="110" t="s">
        <v>233</v>
      </c>
      <c r="R46" s="80" t="s">
        <v>268</v>
      </c>
      <c r="S46" s="80" t="s">
        <v>269</v>
      </c>
      <c r="T46" s="80" t="s">
        <v>337</v>
      </c>
    </row>
    <row r="48" spans="1:20" s="121" customFormat="1" x14ac:dyDescent="0.2">
      <c r="B48" s="121" t="s">
        <v>260</v>
      </c>
      <c r="O48" s="2"/>
      <c r="P48" s="2"/>
    </row>
    <row r="49" spans="1:20" s="121" customFormat="1" x14ac:dyDescent="0.2">
      <c r="B49" s="82" t="s">
        <v>327</v>
      </c>
      <c r="F49" s="2" t="s">
        <v>227</v>
      </c>
      <c r="I49" s="51">
        <f>I35-$J$35</f>
        <v>-372.22435789843564</v>
      </c>
      <c r="J49" s="112"/>
      <c r="K49" s="51">
        <f>K35-$J$35</f>
        <v>167.75426960368191</v>
      </c>
      <c r="L49" s="51">
        <f>L35-$J$35</f>
        <v>10.367662409784884</v>
      </c>
      <c r="M49" s="51">
        <f>M35-$J$35</f>
        <v>143.36618838459276</v>
      </c>
      <c r="O49" s="2"/>
      <c r="P49" s="2"/>
      <c r="R49" s="52">
        <f>R35</f>
        <v>65.488544818884762</v>
      </c>
      <c r="S49" s="52">
        <f>S35</f>
        <v>385.97349793957613</v>
      </c>
      <c r="T49" s="52">
        <f>T35</f>
        <v>45.380089398229032</v>
      </c>
    </row>
    <row r="50" spans="1:20" ht="12" customHeight="1" x14ac:dyDescent="0.25">
      <c r="A50" s="141"/>
      <c r="B50" s="2" t="s">
        <v>326</v>
      </c>
      <c r="F50" s="2" t="s">
        <v>227</v>
      </c>
      <c r="I50" s="51">
        <f>I40-J40</f>
        <v>-31.868608775404397</v>
      </c>
      <c r="J50" s="112"/>
      <c r="K50" s="51">
        <f>K40-J40</f>
        <v>14.362561382568572</v>
      </c>
      <c r="L50" s="51">
        <f>L40-J40</f>
        <v>0.88764469665109402</v>
      </c>
      <c r="M50" s="94">
        <f>M40-J40</f>
        <v>12.274535162194226</v>
      </c>
      <c r="R50" s="52">
        <f>R40</f>
        <v>5.6069109122435172</v>
      </c>
      <c r="S50" s="52">
        <f>S40</f>
        <v>33.045764315260044</v>
      </c>
      <c r="T50" s="52">
        <f>T40</f>
        <v>3.8852919873117089</v>
      </c>
    </row>
    <row r="51" spans="1:20" x14ac:dyDescent="0.25">
      <c r="B51" s="2" t="s">
        <v>325</v>
      </c>
      <c r="F51" s="2" t="s">
        <v>227</v>
      </c>
      <c r="O51" s="130"/>
      <c r="P51" s="169"/>
    </row>
  </sheetData>
  <pageMargins left="0.70866141732283472" right="0.70866141732283472" top="0.74803149606299213" bottom="0.74803149606299213" header="0.31496062992125984" footer="0.31496062992125984"/>
  <pageSetup paperSize="9" scale="4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sheetPr>
  <dimension ref="A1"/>
  <sheetViews>
    <sheetView showGridLines="0" zoomScaleNormal="100" workbookViewId="0"/>
  </sheetViews>
  <sheetFormatPr defaultRowHeight="12.75" x14ac:dyDescent="0.25"/>
  <cols>
    <col min="1" max="16384" width="9.140625" style="38"/>
  </cols>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FF"/>
    <pageSetUpPr fitToPage="1"/>
  </sheetPr>
  <dimension ref="A2:AA51"/>
  <sheetViews>
    <sheetView showGridLines="0" zoomScaleNormal="100" workbookViewId="0">
      <pane xSplit="6" ySplit="12" topLeftCell="G13" activePane="bottomRight" state="frozen"/>
      <selection pane="topRight"/>
      <selection pane="bottomLeft"/>
      <selection pane="bottomRight"/>
    </sheetView>
  </sheetViews>
  <sheetFormatPr defaultRowHeight="12.75" x14ac:dyDescent="0.25"/>
  <cols>
    <col min="1" max="1" width="3.7109375" style="2" customWidth="1"/>
    <col min="2" max="2" width="41.42578125" style="2" customWidth="1"/>
    <col min="3" max="5" width="4.5703125" style="2" customWidth="1"/>
    <col min="6" max="6" width="20.5703125" style="2" bestFit="1" customWidth="1"/>
    <col min="7" max="7" width="2.7109375" style="2" customWidth="1"/>
    <col min="8" max="8" width="13.7109375" style="2" customWidth="1"/>
    <col min="9" max="9" width="2.7109375" style="2" customWidth="1"/>
    <col min="10" max="10" width="13.7109375" style="2" customWidth="1"/>
    <col min="11" max="11" width="2.7109375" style="2" customWidth="1"/>
    <col min="12" max="15" width="12.5703125" style="2" customWidth="1"/>
    <col min="16" max="18" width="2.7109375" style="2" customWidth="1"/>
    <col min="19" max="33" width="13.7109375" style="2" customWidth="1"/>
    <col min="34" max="16384" width="9.140625" style="2"/>
  </cols>
  <sheetData>
    <row r="2" spans="1:19" s="33" customFormat="1" ht="18" x14ac:dyDescent="0.25">
      <c r="B2" s="33" t="s">
        <v>357</v>
      </c>
    </row>
    <row r="4" spans="1:19" x14ac:dyDescent="0.25">
      <c r="A4" s="1"/>
      <c r="B4" s="1" t="s">
        <v>64</v>
      </c>
      <c r="C4" s="1"/>
      <c r="D4" s="1"/>
    </row>
    <row r="5" spans="1:19" x14ac:dyDescent="0.25">
      <c r="A5" s="1"/>
      <c r="B5" s="40" t="s">
        <v>275</v>
      </c>
      <c r="C5" s="3"/>
      <c r="D5" s="3"/>
      <c r="H5" s="34"/>
    </row>
    <row r="6" spans="1:19" x14ac:dyDescent="0.25">
      <c r="A6" s="40"/>
      <c r="B6" s="40"/>
      <c r="C6" s="3"/>
      <c r="D6" s="3"/>
      <c r="H6" s="34"/>
    </row>
    <row r="7" spans="1:19" x14ac:dyDescent="0.25">
      <c r="A7" s="40"/>
      <c r="B7" s="40"/>
      <c r="C7" s="3"/>
      <c r="D7" s="3"/>
      <c r="H7" s="34"/>
    </row>
    <row r="8" spans="1:19" x14ac:dyDescent="0.25">
      <c r="A8" s="5"/>
      <c r="B8" s="5" t="s">
        <v>33</v>
      </c>
      <c r="C8" s="3"/>
      <c r="D8" s="3"/>
      <c r="H8" s="34"/>
    </row>
    <row r="9" spans="1:19" x14ac:dyDescent="0.25">
      <c r="A9" s="22"/>
      <c r="B9" s="40" t="s">
        <v>276</v>
      </c>
      <c r="C9" s="3"/>
      <c r="D9" s="3"/>
      <c r="L9" s="71"/>
    </row>
    <row r="11" spans="1:19" s="9" customFormat="1" x14ac:dyDescent="0.25">
      <c r="B11" s="9" t="s">
        <v>49</v>
      </c>
      <c r="F11" s="9" t="s">
        <v>30</v>
      </c>
      <c r="H11" s="9" t="s">
        <v>31</v>
      </c>
      <c r="J11" s="9" t="s">
        <v>53</v>
      </c>
      <c r="L11" s="9" t="s">
        <v>104</v>
      </c>
      <c r="M11" s="9" t="s">
        <v>105</v>
      </c>
      <c r="N11" s="9" t="s">
        <v>106</v>
      </c>
      <c r="O11" s="9" t="s">
        <v>107</v>
      </c>
      <c r="S11" s="9" t="s">
        <v>51</v>
      </c>
    </row>
    <row r="13" spans="1:19" s="9" customFormat="1" x14ac:dyDescent="0.25">
      <c r="B13" s="9" t="s">
        <v>109</v>
      </c>
    </row>
    <row r="14" spans="1:19" x14ac:dyDescent="0.25">
      <c r="A14" s="10"/>
    </row>
    <row r="15" spans="1:19" x14ac:dyDescent="0.25">
      <c r="A15" s="1"/>
      <c r="B15" s="1" t="s">
        <v>172</v>
      </c>
    </row>
    <row r="16" spans="1:19" x14ac:dyDescent="0.25">
      <c r="A16" s="61"/>
      <c r="B16" s="60" t="s">
        <v>175</v>
      </c>
      <c r="F16" s="2" t="s">
        <v>300</v>
      </c>
      <c r="L16" s="52">
        <f>'Vaste kosten verbruik'!L70</f>
        <v>184.51340616292737</v>
      </c>
      <c r="M16" s="52">
        <f>'Vaste kosten verbruik'!L73</f>
        <v>92.256703081463684</v>
      </c>
      <c r="N16" s="66"/>
      <c r="O16" s="52">
        <f>'Vaste kosten verbruik'!L73</f>
        <v>92.256703081463684</v>
      </c>
    </row>
    <row r="17" spans="1:27" x14ac:dyDescent="0.25">
      <c r="A17" s="10"/>
    </row>
    <row r="18" spans="1:27" x14ac:dyDescent="0.25">
      <c r="A18" s="138"/>
      <c r="B18" s="1" t="s">
        <v>108</v>
      </c>
    </row>
    <row r="19" spans="1:27" x14ac:dyDescent="0.25">
      <c r="A19" s="10"/>
      <c r="B19" s="40" t="s">
        <v>186</v>
      </c>
      <c r="F19" s="2" t="s">
        <v>300</v>
      </c>
      <c r="L19" s="52">
        <f>'Vaste kosten verbruik'!$L$103</f>
        <v>204.36260012873041</v>
      </c>
      <c r="M19" s="52">
        <f>'Vaste kosten verbruik'!$L$104</f>
        <v>102.1813000643652</v>
      </c>
      <c r="N19" s="66"/>
      <c r="O19" s="52">
        <f>'Vaste kosten verbruik'!$L$104</f>
        <v>102.1813000643652</v>
      </c>
    </row>
    <row r="20" spans="1:27" x14ac:dyDescent="0.25">
      <c r="A20" s="10"/>
      <c r="B20" s="40"/>
    </row>
    <row r="21" spans="1:27" x14ac:dyDescent="0.25">
      <c r="A21" s="10"/>
      <c r="B21" s="40" t="s">
        <v>137</v>
      </c>
      <c r="F21" s="2" t="s">
        <v>300</v>
      </c>
      <c r="L21" s="50">
        <f>L16+L19</f>
        <v>388.87600629165775</v>
      </c>
      <c r="M21" s="50">
        <f>M16+M19</f>
        <v>194.43800314582887</v>
      </c>
      <c r="N21" s="50">
        <f>'Vaste kosten verbruik'!L109</f>
        <v>215.73264714267773</v>
      </c>
      <c r="O21" s="50">
        <f>O16+O19</f>
        <v>194.43800314582887</v>
      </c>
      <c r="X21" s="228"/>
      <c r="Y21" s="228"/>
      <c r="Z21" s="228"/>
      <c r="AA21" s="228"/>
    </row>
    <row r="22" spans="1:27" x14ac:dyDescent="0.25">
      <c r="A22" s="10"/>
      <c r="B22" s="2" t="s">
        <v>159</v>
      </c>
      <c r="F22" s="2" t="s">
        <v>300</v>
      </c>
      <c r="L22" s="66"/>
      <c r="M22" s="66"/>
      <c r="N22" s="50">
        <f>'Vaste kosten verbruik'!L110</f>
        <v>54.586244064396702</v>
      </c>
      <c r="O22" s="66"/>
      <c r="X22" s="228"/>
      <c r="Y22" s="228"/>
      <c r="Z22" s="228"/>
      <c r="AA22" s="228"/>
    </row>
    <row r="24" spans="1:27" s="9" customFormat="1" x14ac:dyDescent="0.25">
      <c r="B24" s="9" t="s">
        <v>110</v>
      </c>
    </row>
    <row r="25" spans="1:27" x14ac:dyDescent="0.25">
      <c r="N25" s="10"/>
      <c r="P25" s="10"/>
      <c r="Q25" s="10"/>
    </row>
    <row r="26" spans="1:27" x14ac:dyDescent="0.25">
      <c r="A26" s="10"/>
      <c r="B26" s="2" t="s">
        <v>359</v>
      </c>
      <c r="F26" s="2" t="s">
        <v>321</v>
      </c>
      <c r="L26" s="50">
        <f>'Variabele kosten verbruik'!J37</f>
        <v>21.544220252140331</v>
      </c>
      <c r="M26" s="50">
        <f>'Variabele kosten verbruik'!J37</f>
        <v>21.544220252140331</v>
      </c>
      <c r="N26" s="66"/>
      <c r="O26" s="50">
        <f>'Variabele kosten verbruik'!J37</f>
        <v>21.544220252140331</v>
      </c>
      <c r="P26" s="155"/>
      <c r="Q26" s="10"/>
      <c r="X26" s="228"/>
      <c r="Y26" s="228"/>
      <c r="Z26" s="228"/>
      <c r="AA26" s="228"/>
    </row>
    <row r="28" spans="1:27" s="9" customFormat="1" x14ac:dyDescent="0.25">
      <c r="B28" s="9" t="s">
        <v>111</v>
      </c>
    </row>
    <row r="29" spans="1:27" x14ac:dyDescent="0.25">
      <c r="M29" s="10"/>
      <c r="O29" s="10"/>
    </row>
    <row r="30" spans="1:27" x14ac:dyDescent="0.25">
      <c r="A30" s="10"/>
      <c r="B30" s="72" t="s">
        <v>191</v>
      </c>
      <c r="F30" s="2" t="s">
        <v>300</v>
      </c>
      <c r="H30" s="50">
        <f>'Vaste kosten verbruik'!$L$115</f>
        <v>195.70479059504135</v>
      </c>
      <c r="I30" s="155"/>
      <c r="J30" s="2">
        <v>195.70479059504135</v>
      </c>
      <c r="M30" s="130"/>
      <c r="N30" s="130"/>
      <c r="O30" s="130"/>
    </row>
    <row r="31" spans="1:27" x14ac:dyDescent="0.25">
      <c r="A31" s="10"/>
      <c r="B31" s="72" t="s">
        <v>190</v>
      </c>
      <c r="F31" s="2" t="s">
        <v>300</v>
      </c>
      <c r="H31" s="50">
        <f>'Vaste kosten verbruik'!$L$116</f>
        <v>47.593645928528929</v>
      </c>
      <c r="I31" s="155"/>
      <c r="J31" s="2">
        <v>47.593645928528929</v>
      </c>
      <c r="M31" s="130"/>
      <c r="N31" s="130"/>
      <c r="O31" s="130"/>
    </row>
    <row r="33" spans="1:15" s="9" customFormat="1" x14ac:dyDescent="0.25">
      <c r="B33" s="9" t="s">
        <v>188</v>
      </c>
    </row>
    <row r="34" spans="1:15" x14ac:dyDescent="0.25">
      <c r="A34" s="10"/>
    </row>
    <row r="35" spans="1:15" x14ac:dyDescent="0.25">
      <c r="A35" s="10"/>
      <c r="B35" s="1" t="s">
        <v>82</v>
      </c>
    </row>
    <row r="36" spans="1:15" x14ac:dyDescent="0.25">
      <c r="A36" s="10"/>
      <c r="B36" s="72" t="s">
        <v>183</v>
      </c>
      <c r="F36" s="2" t="s">
        <v>227</v>
      </c>
      <c r="H36" s="52">
        <f>'Vaste kosten verbruik'!$N$86</f>
        <v>4123.0293667679998</v>
      </c>
      <c r="M36" s="130"/>
      <c r="N36" s="131"/>
      <c r="O36" s="130"/>
    </row>
    <row r="37" spans="1:15" x14ac:dyDescent="0.25">
      <c r="M37" s="10"/>
      <c r="N37" s="10"/>
      <c r="O37" s="10"/>
    </row>
    <row r="38" spans="1:15" x14ac:dyDescent="0.25">
      <c r="B38" s="1" t="s">
        <v>138</v>
      </c>
      <c r="M38" s="10"/>
      <c r="N38" s="10"/>
      <c r="O38" s="10"/>
    </row>
    <row r="39" spans="1:15" x14ac:dyDescent="0.25">
      <c r="A39" s="10"/>
      <c r="B39" s="40" t="s">
        <v>186</v>
      </c>
      <c r="F39" s="2" t="s">
        <v>227</v>
      </c>
      <c r="H39" s="52">
        <f>'Vaste kosten verbruik'!$N$103</f>
        <v>3876.8782132668102</v>
      </c>
      <c r="M39" s="130"/>
      <c r="N39" s="131"/>
      <c r="O39" s="130"/>
    </row>
    <row r="40" spans="1:15" x14ac:dyDescent="0.25">
      <c r="B40" s="40"/>
    </row>
    <row r="41" spans="1:15" x14ac:dyDescent="0.25">
      <c r="B41" s="1" t="s">
        <v>188</v>
      </c>
      <c r="O41" s="72"/>
    </row>
    <row r="42" spans="1:15" x14ac:dyDescent="0.25">
      <c r="B42" s="40" t="s">
        <v>187</v>
      </c>
      <c r="L42" s="67"/>
      <c r="M42" s="52">
        <f>'Vaste kosten verbruik'!H24</f>
        <v>0.5</v>
      </c>
      <c r="N42" s="67"/>
      <c r="O42" s="52">
        <f>'Vaste kosten verbruik'!H24</f>
        <v>0.5</v>
      </c>
    </row>
    <row r="43" spans="1:15" x14ac:dyDescent="0.25">
      <c r="A43" s="10"/>
      <c r="B43" s="40" t="s">
        <v>137</v>
      </c>
      <c r="F43" s="2" t="s">
        <v>227</v>
      </c>
      <c r="L43" s="51">
        <f>H36+H39</f>
        <v>7999.9075800348101</v>
      </c>
      <c r="M43" s="51">
        <f>(H36+H39)*M42</f>
        <v>3999.953790017405</v>
      </c>
      <c r="N43" s="66"/>
      <c r="O43" s="51">
        <f>(H36+H39)*O42</f>
        <v>3999.953790017405</v>
      </c>
    </row>
    <row r="45" spans="1:15" s="9" customFormat="1" x14ac:dyDescent="0.25">
      <c r="B45" s="9" t="s">
        <v>189</v>
      </c>
    </row>
    <row r="47" spans="1:15" x14ac:dyDescent="0.25">
      <c r="A47" s="10"/>
      <c r="B47" s="1" t="s">
        <v>217</v>
      </c>
      <c r="L47" s="51">
        <f>L43-L21</f>
        <v>7611.031573743152</v>
      </c>
      <c r="M47" s="51">
        <f>M43-M21</f>
        <v>3805.515786871576</v>
      </c>
      <c r="N47" s="66"/>
      <c r="O47" s="51">
        <f>O43-O21</f>
        <v>3805.515786871576</v>
      </c>
    </row>
    <row r="48" spans="1:15" x14ac:dyDescent="0.25">
      <c r="B48" s="40"/>
    </row>
    <row r="49" spans="1:27" x14ac:dyDescent="0.25">
      <c r="A49" s="78"/>
      <c r="B49" s="40" t="s">
        <v>299</v>
      </c>
      <c r="F49" s="2" t="s">
        <v>320</v>
      </c>
      <c r="L49" s="50">
        <f>L47/900</f>
        <v>8.4567017486035017</v>
      </c>
      <c r="M49" s="50">
        <f>M47/900</f>
        <v>4.2283508743017508</v>
      </c>
      <c r="N49" s="66"/>
      <c r="O49" s="50">
        <f>O47/900</f>
        <v>4.2283508743017508</v>
      </c>
      <c r="P49" s="155"/>
      <c r="X49" s="228"/>
      <c r="Y49" s="228"/>
      <c r="Z49" s="228"/>
      <c r="AA49" s="228"/>
    </row>
    <row r="50" spans="1:27" x14ac:dyDescent="0.25">
      <c r="M50" s="10"/>
      <c r="N50" s="10"/>
      <c r="O50" s="10"/>
    </row>
    <row r="51" spans="1:27" x14ac:dyDescent="0.25">
      <c r="L51" s="140"/>
      <c r="M51" s="140"/>
      <c r="N51" s="131"/>
      <c r="O51" s="140"/>
    </row>
  </sheetData>
  <pageMargins left="0.70866141732283472" right="0.70866141732283472" top="0.74803149606299213" bottom="0.74803149606299213" header="0.31496062992125984" footer="0.31496062992125984"/>
  <pageSetup paperSize="9" scale="69" orientation="landscape" r:id="rId1"/>
  <ignoredErrors>
    <ignoredError sqref="N21"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B188DB82022345827FE1320EF82ED1" ma:contentTypeVersion="0" ma:contentTypeDescription="Een nieuw document maken." ma:contentTypeScope="" ma:versionID="32da2b98808773a141474379c895ae81">
  <xsd:schema xmlns:xsd="http://www.w3.org/2001/XMLSchema" xmlns:xs="http://www.w3.org/2001/XMLSchema" xmlns:p="http://schemas.microsoft.com/office/2006/metadata/properties" xmlns:ns2="a4d27e08-178b-46d4-bae9-57e4d69ee758" targetNamespace="http://schemas.microsoft.com/office/2006/metadata/properties" ma:root="true" ma:fieldsID="283faef33c5193aea6c968f969d31549" ns2:_="">
    <xsd:import namespace="a4d27e08-178b-46d4-bae9-57e4d69ee758"/>
    <xsd:element name="properties">
      <xsd:complexType>
        <xsd:sequence>
          <xsd:element name="documentManagement">
            <xsd:complexType>
              <xsd:all>
                <xsd:element ref="ns2:Projectfas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d27e08-178b-46d4-bae9-57e4d69ee758" elementFormDefault="qualified">
    <xsd:import namespace="http://schemas.microsoft.com/office/2006/documentManagement/types"/>
    <xsd:import namespace="http://schemas.microsoft.com/office/infopath/2007/PartnerControls"/>
    <xsd:element name="Projectfase" ma:index="8" ma:displayName="Projectfase" ma:default="Fase 1" ma:format="Dropdown" ma:internalName="Projectfase">
      <xsd:simpleType>
        <xsd:restriction base="dms:Choice">
          <xsd:enumeration value="Fase 1"/>
          <xsd:enumeration value="Fase 2"/>
          <xsd:enumeration value="Fase 3"/>
          <xsd:enumeration value="N.V.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ojectfase xmlns="a4d27e08-178b-46d4-bae9-57e4d69ee758">Fase 1</Projectfas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5E1B45-A19B-45CC-8979-331211171A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d27e08-178b-46d4-bae9-57e4d69ee7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DAB9D1-B815-4B0E-93E7-4496A7FE99F6}">
  <ds:schemaRefs>
    <ds:schemaRef ds:uri="http://schemas.openxmlformats.org/package/2006/metadata/core-properties"/>
    <ds:schemaRef ds:uri="a4d27e08-178b-46d4-bae9-57e4d69ee758"/>
    <ds:schemaRef ds:uri="http://schemas.microsoft.com/office/infopath/2007/PartnerControls"/>
    <ds:schemaRef ds:uri="http://www.w3.org/XML/1998/namespace"/>
    <ds:schemaRef ds:uri="http://schemas.microsoft.com/office/2006/metadata/properties"/>
    <ds:schemaRef ds:uri="http://schemas.microsoft.com/office/2006/documentManagement/types"/>
    <ds:schemaRef ds:uri="http://purl.org/dc/terms/"/>
    <ds:schemaRef ds:uri="http://purl.org/dc/elements/1.1/"/>
    <ds:schemaRef ds:uri="http://purl.org/dc/dcmitype/"/>
  </ds:schemaRefs>
</ds:datastoreItem>
</file>

<file path=customXml/itemProps3.xml><?xml version="1.0" encoding="utf-8"?>
<ds:datastoreItem xmlns:ds="http://schemas.openxmlformats.org/officeDocument/2006/customXml" ds:itemID="{5AD5E579-EDEB-42CD-B662-5E3E21C16D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18</vt:i4>
      </vt:variant>
      <vt:variant>
        <vt:lpstr>Benoemde bereiken</vt:lpstr>
      </vt:variant>
      <vt:variant>
        <vt:i4>12</vt:i4>
      </vt:variant>
    </vt:vector>
  </HeadingPairs>
  <TitlesOfParts>
    <vt:vector size="30" baseType="lpstr">
      <vt:lpstr>Titelblad</vt:lpstr>
      <vt:lpstr>Toelichting</vt:lpstr>
      <vt:lpstr>Bronnen en toepassingen</vt:lpstr>
      <vt:lpstr>Huur --&gt;</vt:lpstr>
      <vt:lpstr>Resultaat huurtarieven</vt:lpstr>
      <vt:lpstr>Gegevens t.b.v. huurtarieven</vt:lpstr>
      <vt:lpstr>Berekening huurtarieven</vt:lpstr>
      <vt:lpstr>Levering --&gt;</vt:lpstr>
      <vt:lpstr>Resultaat levering</vt:lpstr>
      <vt:lpstr>Input --&gt;</vt:lpstr>
      <vt:lpstr>Gegevens warmteregeling &amp; ACM</vt:lpstr>
      <vt:lpstr>Gasleveranciers</vt:lpstr>
      <vt:lpstr>Netbeheer</vt:lpstr>
      <vt:lpstr>Berekeningen --&gt;</vt:lpstr>
      <vt:lpstr>Vaste kosten verbruik</vt:lpstr>
      <vt:lpstr>Variabele kosten verbruik</vt:lpstr>
      <vt:lpstr>Huur collectief --&gt;</vt:lpstr>
      <vt:lpstr>Resultaat huur collectief</vt:lpstr>
      <vt:lpstr>'Berekening huurtarieven'!Afdrukbereik</vt:lpstr>
      <vt:lpstr>'Bronnen en toepassingen'!Afdrukbereik</vt:lpstr>
      <vt:lpstr>Gasleveranciers!Afdrukbereik</vt:lpstr>
      <vt:lpstr>'Gegevens t.b.v. huurtarieven'!Afdrukbereik</vt:lpstr>
      <vt:lpstr>'Gegevens warmteregeling &amp; ACM'!Afdrukbereik</vt:lpstr>
      <vt:lpstr>Netbeheer!Afdrukbereik</vt:lpstr>
      <vt:lpstr>'Resultaat huurtarieven'!Afdrukbereik</vt:lpstr>
      <vt:lpstr>'Resultaat levering'!Afdrukbereik</vt:lpstr>
      <vt:lpstr>Titelblad!Afdrukbereik</vt:lpstr>
      <vt:lpstr>Toelichting!Afdrukbereik</vt:lpstr>
      <vt:lpstr>'Variabele kosten verbruik'!Afdrukbereik</vt:lpstr>
      <vt:lpstr>'Vaste kosten verbruik'!Afdrukbereik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2023-01-03T16:07:19Z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0x0101003EB188DB82022345827FE1320EF82ED1</vt:lpwstr>
  </property>
</Properties>
</file>