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8_{186C7D0A-9755-4D30-A9F4-5F13BD224B1F}" xr6:coauthVersionLast="47" xr6:coauthVersionMax="47" xr10:uidLastSave="{00000000-0000-0000-0000-000000000000}"/>
  <bookViews>
    <workbookView xWindow="2640" yWindow="2640" windowWidth="21600" windowHeight="12735" xr2:uid="{00000000-000D-0000-FFFF-FFFF00000000}"/>
  </bookViews>
  <sheets>
    <sheet name="Titelblad" sheetId="9" r:id="rId1"/>
    <sheet name="Toelichting" sheetId="10" r:id="rId2"/>
    <sheet name="Bronnen en toepassingen" sheetId="11" r:id="rId3"/>
    <sheet name="Resultaat" sheetId="24" r:id="rId4"/>
    <sheet name="Bijlage 1" sheetId="25" r:id="rId5"/>
    <sheet name="Input --&gt;" sheetId="26" r:id="rId6"/>
    <sheet name="Gegevens inkoopcorrectie" sheetId="27" r:id="rId7"/>
    <sheet name="Gegevens nieuwe productieprijs" sheetId="28" r:id="rId8"/>
    <sheet name="Berekeningen --&gt;" sheetId="29" r:id="rId9"/>
    <sheet name="Inkoopcorrectie brandstof" sheetId="30" r:id="rId10"/>
    <sheet name="Schatting productieprijs" sheetId="3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5" i="30" l="1"/>
  <c r="L52" i="30" l="1"/>
  <c r="L50" i="30"/>
  <c r="H31" i="31" l="1"/>
  <c r="H30" i="31"/>
  <c r="H24" i="31"/>
  <c r="H23" i="31"/>
  <c r="H22" i="31"/>
  <c r="H18" i="31"/>
  <c r="H17" i="31"/>
  <c r="H19" i="31" s="1"/>
  <c r="H37" i="31" s="1"/>
  <c r="H71" i="30"/>
  <c r="Q42" i="30"/>
  <c r="P42" i="30"/>
  <c r="O42" i="30"/>
  <c r="N42" i="30"/>
  <c r="N60" i="30" s="1"/>
  <c r="M42" i="30"/>
  <c r="L42" i="30"/>
  <c r="Q41" i="30"/>
  <c r="Q60" i="30" s="1"/>
  <c r="P41" i="30"/>
  <c r="P60" i="30" s="1"/>
  <c r="O41" i="30"/>
  <c r="O60" i="30" s="1"/>
  <c r="N41" i="30"/>
  <c r="M41" i="30"/>
  <c r="L41" i="30"/>
  <c r="L60" i="30" s="1"/>
  <c r="Q37" i="30"/>
  <c r="P37" i="30"/>
  <c r="O37" i="30"/>
  <c r="N37" i="30"/>
  <c r="M37" i="30"/>
  <c r="L37" i="30"/>
  <c r="H31" i="30"/>
  <c r="H29" i="30"/>
  <c r="P38" i="30" s="1"/>
  <c r="H28" i="30"/>
  <c r="M38" i="30" s="1"/>
  <c r="H25" i="30"/>
  <c r="O50" i="30" s="1"/>
  <c r="H24" i="30"/>
  <c r="M50" i="30" s="1"/>
  <c r="H21" i="30"/>
  <c r="P49" i="30" s="1"/>
  <c r="H20" i="30"/>
  <c r="M49" i="30" s="1"/>
  <c r="H19" i="30"/>
  <c r="O48" i="30" s="1"/>
  <c r="H18" i="30"/>
  <c r="M48" i="30" s="1"/>
  <c r="H18" i="28"/>
  <c r="I16" i="25"/>
  <c r="H37" i="24"/>
  <c r="H36" i="24"/>
  <c r="H31" i="24"/>
  <c r="I18" i="25" s="1"/>
  <c r="H21" i="24"/>
  <c r="I25" i="25" s="1"/>
  <c r="H38" i="31" l="1"/>
  <c r="M60" i="30"/>
  <c r="N49" i="30"/>
  <c r="O49" i="30"/>
  <c r="O52" i="30" s="1"/>
  <c r="O58" i="30" s="1"/>
  <c r="Q49" i="30"/>
  <c r="Q38" i="30"/>
  <c r="O38" i="30"/>
  <c r="O43" i="30"/>
  <c r="O45" i="30" s="1"/>
  <c r="O57" i="30" s="1"/>
  <c r="Q43" i="30"/>
  <c r="N38" i="30"/>
  <c r="N43" i="30" s="1"/>
  <c r="N57" i="30" s="1"/>
  <c r="M52" i="30"/>
  <c r="M58" i="30" s="1"/>
  <c r="L48" i="30"/>
  <c r="P43" i="30"/>
  <c r="P45" i="30" s="1"/>
  <c r="P57" i="30" s="1"/>
  <c r="M43" i="30"/>
  <c r="M45" i="30" s="1"/>
  <c r="H44" i="31"/>
  <c r="H45" i="31" s="1"/>
  <c r="H29" i="24" s="1"/>
  <c r="P48" i="30"/>
  <c r="P50" i="30"/>
  <c r="Q48" i="30"/>
  <c r="Q50" i="30"/>
  <c r="H70" i="30"/>
  <c r="H72" i="30" s="1"/>
  <c r="H14" i="24" s="1"/>
  <c r="I17" i="25" s="1"/>
  <c r="L38" i="30"/>
  <c r="L43" i="30" s="1"/>
  <c r="L45" i="30" s="1"/>
  <c r="L57" i="30" s="1"/>
  <c r="N48" i="30"/>
  <c r="L49" i="30"/>
  <c r="N50" i="30"/>
  <c r="Q45" i="30"/>
  <c r="Q57" i="30" s="1"/>
  <c r="B18" i="10"/>
  <c r="M57" i="30" l="1"/>
  <c r="M59" i="30" s="1"/>
  <c r="O59" i="30"/>
  <c r="O61" i="30" s="1"/>
  <c r="N52" i="30"/>
  <c r="N58" i="30" s="1"/>
  <c r="N59" i="30" s="1"/>
  <c r="N61" i="30" s="1"/>
  <c r="L58" i="30"/>
  <c r="L59" i="30" s="1"/>
  <c r="L61" i="30" s="1"/>
  <c r="P52" i="30"/>
  <c r="P58" i="30" s="1"/>
  <c r="P59" i="30" s="1"/>
  <c r="P61" i="30" s="1"/>
  <c r="Q52" i="30"/>
  <c r="Q58" i="30" s="1"/>
  <c r="Q59" i="30" s="1"/>
  <c r="Q61" i="30" s="1"/>
  <c r="I28" i="25"/>
  <c r="B19" i="10"/>
  <c r="M61" i="30" l="1"/>
  <c r="H63" i="30"/>
  <c r="H64" i="30"/>
  <c r="B20" i="10"/>
  <c r="H65" i="30" l="1"/>
  <c r="H17" i="24"/>
  <c r="I21" i="25" s="1"/>
  <c r="H18" i="24"/>
  <c r="H23" i="24" s="1"/>
  <c r="H30" i="24" s="1"/>
  <c r="H32" i="24" s="1"/>
  <c r="I22" i="25" l="1"/>
  <c r="I29" i="25"/>
  <c r="H33" i="24"/>
  <c r="H38" i="24" l="1"/>
  <c r="I31" i="25"/>
  <c r="I30" i="25"/>
</calcChain>
</file>

<file path=xl/sharedStrings.xml><?xml version="1.0" encoding="utf-8"?>
<sst xmlns="http://schemas.openxmlformats.org/spreadsheetml/2006/main" count="435" uniqueCount="283">
  <si>
    <t>Overige opmerkingen</t>
  </si>
  <si>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</si>
  <si>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</si>
  <si>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</si>
  <si>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</si>
  <si>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</si>
  <si>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</si>
  <si>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</si>
  <si>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</si>
  <si>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</si>
  <si>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</si>
  <si>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</si>
  <si>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</si>
  <si>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</si>
  <si>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</si>
  <si>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</si>
  <si>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</si>
  <si>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</si>
  <si>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</si>
  <si>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</si>
  <si>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</si>
  <si>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</si>
  <si>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</si>
  <si>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</si>
  <si>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</si>
  <si>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</si>
  <si>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</si>
  <si>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</si>
  <si>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</si>
  <si>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</si>
  <si>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</si>
  <si>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</si>
  <si>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</si>
  <si>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</si>
  <si>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</si>
  <si>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</si>
  <si>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</si>
  <si>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</si>
  <si>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</si>
  <si>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</si>
  <si>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</si>
  <si>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</si>
  <si>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</si>
  <si>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</si>
  <si>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</si>
  <si>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</si>
  <si>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</si>
  <si>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</si>
  <si>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</si>
  <si>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</si>
  <si>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Beschrijving berekening</t>
  </si>
  <si>
    <t>Beschrijving resultaat</t>
  </si>
  <si>
    <t xml:space="preserve">Bij inhoudelijke verschillen tussen de berekening in dit bestand en de berekening zoals die volgt uit het bijbehorende besluit, is het besluit leidend. </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</si>
  <si>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</si>
  <si>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</si>
  <si>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</si>
  <si>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</si>
  <si>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</si>
  <si>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Data en input (bron wordt vermeld)</t>
  </si>
  <si>
    <t>Berekende waarde die wordt opgehaald op een ander tabblad, incl. (eind)resultaat van berekening</t>
  </si>
  <si>
    <t>Gestandaardiseerde tabbladen, omvat tenminste: 'Titelblad', 'Toelichting' en 'Bronnen en toepassingen' (kleur: ACM-lichtpaars)</t>
  </si>
  <si>
    <t>Definitief? (ja/nee)</t>
  </si>
  <si>
    <t>Indien publicatie, datum van dit bestand:</t>
  </si>
  <si>
    <t>Indien definitief, wordt bestand openbaar en/of gepubliceerd? (ja/nee)</t>
  </si>
  <si>
    <t>Juridisch integraal onderdeel van bovenstaande besluit(en) (ja/nee)?</t>
  </si>
  <si>
    <t>Indien publicatie, bevat bedrijfsvertrouwelijke gegevens? (ja/nee)</t>
  </si>
  <si>
    <t>[ EINDE TABBLAD ]</t>
  </si>
  <si>
    <t>Naam bestand</t>
  </si>
  <si>
    <t>Aanvullende gegevens bestand</t>
  </si>
  <si>
    <t>Datum/wijze ontvangst, versie nr., URL, etc.</t>
  </si>
  <si>
    <t>Dit blad dient als scheidingstabblad en moet leeg blijven</t>
  </si>
  <si>
    <t>Op dit blad mogen geen teksten, gegevens of berekeningen worden opgenomen</t>
  </si>
  <si>
    <t>Deze berekening is ontwikkeld in het standaardsjabloon van ACM Directie Energie, versie 5 (juni 2021)</t>
  </si>
  <si>
    <t>Tevens stelt de ACM een nieuw niveau van het Pagabontarief vast, dat gebaseerd is op dit variabele gebruikstarief.</t>
  </si>
  <si>
    <t>kWh</t>
  </si>
  <si>
    <t>Correctie voor brandstofnacalculatie distributeur in variabele gebruikstarief</t>
  </si>
  <si>
    <t>Correctie variabele gebruikstarief vanwege brandstofnacalculatie distributeur</t>
  </si>
  <si>
    <t>USD, pp 2023</t>
  </si>
  <si>
    <t>Brandstofcorrectie per kWh</t>
  </si>
  <si>
    <t>USD, pp 2023 / kWh</t>
  </si>
  <si>
    <t>%</t>
  </si>
  <si>
    <t>Dit pagabontarief is het bruto tarief, vóór aftrek van eventueel beschikbare subsidies</t>
  </si>
  <si>
    <t>Dit blad wordt gebruikt om in Bijlage 1 van het besluit een overzicht van de belangrijkste gegevens te kunnen weergeven.</t>
  </si>
  <si>
    <t>Belangrijkste parameters</t>
  </si>
  <si>
    <t>Correctie voor brandstofnacalculatie distributeur</t>
  </si>
  <si>
    <t>Alle hier vastgestelde tarieven betreffen maximumtarieven vóór toepassing van eventueel beschikbare subsidies</t>
  </si>
  <si>
    <t>Gegevens over brandstofprijzen en productie</t>
  </si>
  <si>
    <t>Zie de genummerde brongegevens in het bronnenoverzicht voor de herkomst van de data.</t>
  </si>
  <si>
    <t>Omdat WEB per oktober 2019 niet langer met brandstof produceert, bevat de productieprijs van WEB vanaf 2020 geen brandstofcomponent meer. De nacalculatie van de brandstofcomponent ziet dus nog uitsluitend op gewijzigde inkoopkosten bij ContourGlobal.</t>
  </si>
  <si>
    <t>Data van CGB over productie</t>
  </si>
  <si>
    <t>Gerealiseerde productie en brandstofcomponent</t>
  </si>
  <si>
    <t>Gerealiseerde totale productie CGB (incl. hernieuwbaar)</t>
  </si>
  <si>
    <t>[6]</t>
  </si>
  <si>
    <t>Gefactureerde productieprijs CGB</t>
  </si>
  <si>
    <t>USD/kWh</t>
  </si>
  <si>
    <t>Prijzen in 5 decimalen</t>
  </si>
  <si>
    <t>Vastgestelde gegevens over CGB (o.b.v. tarievenbeschikkingen)</t>
  </si>
  <si>
    <t>Geschatte totale productie CGB voor 2023</t>
  </si>
  <si>
    <t>[4], tabblad 'Production price 2023', cel H16</t>
  </si>
  <si>
    <t>Deel productieprijs exclusief brandstofcomponent CGB voor 2023</t>
  </si>
  <si>
    <t>[4], tabblad 'Production price 2023', cel H18</t>
  </si>
  <si>
    <t>[2], tabblad 'Schatting productieprijs', cel H38</t>
  </si>
  <si>
    <t>Data van WEB over productie</t>
  </si>
  <si>
    <t>Gerealiseerde inkoop brandstof en productie WEB</t>
  </si>
  <si>
    <t>Gerealiseerde totale productie WEB (uitsluitend solar)</t>
  </si>
  <si>
    <t>[7]</t>
  </si>
  <si>
    <t>Vastgestelde gegevens over WEB (o.b.v. tarievenbeschikkingen)</t>
  </si>
  <si>
    <t>Geschatte totale productie WEB voor 2023</t>
  </si>
  <si>
    <t>[3], tabblad 'Resultaat', cel H17</t>
  </si>
  <si>
    <t>Omdat WEB uitsluitend nog met solar produceert, is deze productieprijs niet meer afhankelijk van een brandstofcomponent, en geldt deze dus voor heel 2023.</t>
  </si>
  <si>
    <t>Overige gegevens</t>
  </si>
  <si>
    <t>Gegevens over WEB distributeur</t>
  </si>
  <si>
    <t>[3], tabblad 'Resultaat', cel H21</t>
  </si>
  <si>
    <t>[3], tabblad 'Resultaat', cel H22</t>
  </si>
  <si>
    <t>[3], tabblad 'Variabel tarief elektriciteit', cel H40</t>
  </si>
  <si>
    <t xml:space="preserve">De schattingen voor productievolumes en brandstofrendement zijn gelijk aan het besluit voor 1 januari. </t>
  </si>
  <si>
    <t>Geschatte productie met brandstof</t>
  </si>
  <si>
    <t>Geschatte productie met wind en zon</t>
  </si>
  <si>
    <t>Geschat brandstofrendement productie met LSD</t>
  </si>
  <si>
    <t>liter / kWh</t>
  </si>
  <si>
    <t>Meeste recente brandstofprijzen</t>
  </si>
  <si>
    <t>USD/liter</t>
  </si>
  <si>
    <t>[8]</t>
  </si>
  <si>
    <t>Overige gegevens voor vaststellen variabel gebruikstarief</t>
  </si>
  <si>
    <t>Wettelijke rente voor Caribisch Nederland</t>
  </si>
  <si>
    <t>[9]</t>
  </si>
  <si>
    <t>Aanpassing met ingang van 2022: vergoeding inflatie en tijdwaarde van geld door middel van wettelijke rente</t>
  </si>
  <si>
    <t>[3], tabblad 'Variabel tarief elektriciteit', cel H35</t>
  </si>
  <si>
    <t>Voor WEB is geen brandstofcomponent vastgesteld, omdat WEB uitsluitend nog produceert met het zonnepark. Bij de berekening van de maandelijkse gewogen gemiddelde gerealiseerde brandstofcomponent, nemen we de waarde van 'nul' wel mee, omdat de aandelen van CGB en WEB in de productie per maand variëren.</t>
  </si>
  <si>
    <t>Geschatte productieniveaus WEB en CGB</t>
  </si>
  <si>
    <t>Geschatte totale productie CGB voor 2023 (geheel jaar)</t>
  </si>
  <si>
    <t>Geschatte totale productie WEB voor 2023 (geheel jaar)</t>
  </si>
  <si>
    <t>Geschatte brandstofcomponenten (o.b.v. tarievenbeschikkingen)</t>
  </si>
  <si>
    <t>Vastgestelde productieprijs CGB</t>
  </si>
  <si>
    <t>Berekening geschatte en gerealiseerde brandstofcomponenten</t>
  </si>
  <si>
    <t>Gegevens gerealiseerde brandstofcomponent CGB (= gefactureerd)</t>
  </si>
  <si>
    <t>Gefactureerde productieprijs</t>
  </si>
  <si>
    <t>Deel productieprijs exclusief brandstofcomponent CGB</t>
  </si>
  <si>
    <t>Berekening gerealiseerde gewogen gemiddelde brandstofcomponent</t>
  </si>
  <si>
    <t>Gerealiseerde totale productie CGB (per maand)</t>
  </si>
  <si>
    <t>Gerealiseerde totale productie WEB (per maand)</t>
  </si>
  <si>
    <t>Gefactureerde brandstofcomponent CGB</t>
  </si>
  <si>
    <t>Brandstofcomponent WEB is op nihil vastgesteld (uitsluitend productie met zon)</t>
  </si>
  <si>
    <t>We nemen de waarde 'nul' wel mee in de weging, omdat door wisselende productie de weging per maand verschilt.</t>
  </si>
  <si>
    <t>Gerealiseerde gewogen gemiddelde brandstofcomponent</t>
  </si>
  <si>
    <t>Berekening geschatte gewogen gemiddelde brandstofcomponent</t>
  </si>
  <si>
    <t>Geschatte totale productie CGB (jaartotaal voor deze maand)</t>
  </si>
  <si>
    <t>Geschatte totale productie WEB (jaartotaal voor deze maand)</t>
  </si>
  <si>
    <t>Geschatte brandstofcomponent CGB (o.b.v. tarievenbeschikking)</t>
  </si>
  <si>
    <t>Geschatte brandstofcomponent WEB (o.b.v. tarievenbeschikking)</t>
  </si>
  <si>
    <t>Geschatte gewogen gemiddelde brandstofcomponent</t>
  </si>
  <si>
    <t>Interpretatie: dit zijn de kosten geweest van WEB distributeur voor de inkoop van brandstof</t>
  </si>
  <si>
    <t>Interpretatie: dit zijn de opbrengsten geweest van WEB distributeur ter dekking van de brandstofkosten</t>
  </si>
  <si>
    <t>Verschil tussen gerealiseerde en geschatte brandstofcomponent</t>
  </si>
  <si>
    <t>positief bedrag = WEB heeft hogere inkoopkosten brandstofcomponent dan geschat, en krijgt hiervoor een bedrag vergoed, dus een positieve nacalculatie</t>
  </si>
  <si>
    <t>Gerealiseerde volumes (eigen productie + inkoop bij CGB)</t>
  </si>
  <si>
    <t>Bedrag inkoopcorrectie brandstofcomponent per maand</t>
  </si>
  <si>
    <t>USD</t>
  </si>
  <si>
    <t>Totaal bedrag nacalculatie</t>
  </si>
  <si>
    <t>De geschatte gewogen gemiddelde productieprijs is de gemiddelde productieprijs waarmee 'distributeur WEB' wordt geconfronteerd. Deze wordt vanaf 2021 iets anders berekend: we nemen nu het gewogen gemiddelde van de totale productieprijs voor CGB en voor WEB, i.p.v. een losse berekening van de brandstofcomponent.</t>
  </si>
  <si>
    <t>Ophalen gegevens van CGB voor berekening</t>
  </si>
  <si>
    <t>Gegevens ten behoeve van productieprijs CGB</t>
  </si>
  <si>
    <t>Ophalen gegevens van WEB voor berekening</t>
  </si>
  <si>
    <t>Gegevens over productie WEB</t>
  </si>
  <si>
    <t>Brandstofcomponent voor WEB is op nul gesteld, aangezien WEB uitsluitend nog met solar produceert</t>
  </si>
  <si>
    <t>Berekening nieuwe schatting brandstofcomponent</t>
  </si>
  <si>
    <t>Geschatte aandeel van productie met brandstof</t>
  </si>
  <si>
    <t>Gebaseerd op 100% productie met LSD</t>
  </si>
  <si>
    <t>Op dit blad stelt de ACM het nieuwe variabele gebruikstarief voor elektriciteit vast, dat geldt voor WEB per 1 juli 2024.</t>
  </si>
  <si>
    <t>Berekening correctiebedragen in variabel gebruikstarief WEB elektriciteit per 1 juli 2024</t>
  </si>
  <si>
    <t>Verwachting totale productie 1 juli tot 31 december 2024</t>
  </si>
  <si>
    <t>USD, pp 2024</t>
  </si>
  <si>
    <t>Betreft nacalculatie over november 2023 - april 2024</t>
  </si>
  <si>
    <t>USD, pp 2024 / kWh</t>
  </si>
  <si>
    <t>Correctie voor profit sharing en nacalculatie over heel 2024 in variabele gebruikstarief</t>
  </si>
  <si>
    <t>Correctiebedrag voor variabel gebruikstarief 2024 per kWh (heel 2024)</t>
  </si>
  <si>
    <t>Totale correctiebedrag per kWh in variabel gebruikstarief per 1 juli 2024</t>
  </si>
  <si>
    <t>Berekening variabel gebruikstarief WEB elektriciteit per 1 juli 2024</t>
  </si>
  <si>
    <t>Berekening variabele gebruikstarief per 1 juli 2024</t>
  </si>
  <si>
    <t>Nieuwe schatting gewogen gemiddelde productieprijs per 1 juli 2024</t>
  </si>
  <si>
    <t>Netverliespercentage (geschat voor 2024)</t>
  </si>
  <si>
    <t>Variabel gebruikstarief per 1 juli 2024</t>
  </si>
  <si>
    <t>Variabel gebruikstarief per 1 juli 2024 afgerond op 4 decimalen</t>
  </si>
  <si>
    <t>Berekening Pagabontarief per 1 juli 2024</t>
  </si>
  <si>
    <t>Variabel distributietarief vastgesteld per 1 jan 2024 (voor jan - juni 2024)</t>
  </si>
  <si>
    <t>Pagabontarief elektriciteit  (jan - juni 2024)</t>
  </si>
  <si>
    <t>Pagabontarief per 1 juli 2024</t>
  </si>
  <si>
    <t>Belangrijkste gegevens variabel gebruikstarief WEB per 1 juli 2024</t>
  </si>
  <si>
    <t>Toegepaste wettelijke rente voor 2024</t>
  </si>
  <si>
    <t>Totale distributievolume 2e helft 2024</t>
  </si>
  <si>
    <t>Correctie voor profit sharing en nacalculaties (voor heel 2024)</t>
  </si>
  <si>
    <t>Correctiebedrag voor variabel gebruikstarief 2023 per kWh (heel 2024)</t>
  </si>
  <si>
    <t>Opbouw variabel gebruikstarief per 1 juli 2024</t>
  </si>
  <si>
    <t>Variabele gebruikstarief per 1 juli 2024 (inclusief kosten netverlies)</t>
  </si>
  <si>
    <t xml:space="preserve">Hieronder zijn alle brongegevens opgenomen die de ACM nodig heeft om de inkoopcorrectie voor brandstof te bepalen over de periode november 2023 - april 2024. </t>
  </si>
  <si>
    <t>Dit bedrag betrekt de ACM bij het vaststellen van het nieuwe variabele gebruikstarief per 1 juli 2024. Dit betreft ook gegevens die afkomstig zijn van ContourGlobal Bonaire.</t>
  </si>
  <si>
    <t>november 2023</t>
  </si>
  <si>
    <t>december 2023</t>
  </si>
  <si>
    <t>januari 2024</t>
  </si>
  <si>
    <t>februari 2024</t>
  </si>
  <si>
    <t>maart 2024</t>
  </si>
  <si>
    <t>april 2024</t>
  </si>
  <si>
    <t>Geschatte totale productie CGB voor 2024</t>
  </si>
  <si>
    <t>Deel productieprijs exclusief brandstofcomponent CGB voor 2024</t>
  </si>
  <si>
    <t>Geschatte brandstofcomponent CGB voor jul - dec 2023</t>
  </si>
  <si>
    <t>Geschatte brandstofcomponent CGB voor jan - juni 2024</t>
  </si>
  <si>
    <t>Geschatte totale productie WEB voor 2024</t>
  </si>
  <si>
    <t>Productieprijs (brandstofcomponent is nihil) WEB voor 2024</t>
  </si>
  <si>
    <t>Variabel distributietarief  (jan - juni 2024)</t>
  </si>
  <si>
    <t>Geschatte aandeel eerste half jaar in totale eilandvraag Bonaire 2024</t>
  </si>
  <si>
    <t>Netverliespercentage voor WEB zoals vastgesteld in tarievenbeschikking 2024</t>
  </si>
  <si>
    <t>Gegevens over nieuwe productiesituatie per 1 juli 2024</t>
  </si>
  <si>
    <t>Hieronder zijn alle brongegevens opgenomen die de ACM nodig heeft om een nieuwe hoogte van de productieprijs te bepalen, zoals CGB die mag rekenen vanaf juli 2024.</t>
  </si>
  <si>
    <t>De brandstofprijs voor LSD wordt uiteraard geüpdated in deze berekening (wordt gebaseerd op de laatste factuur van mei 2024).</t>
  </si>
  <si>
    <t>Geschatte totale productie CGB in 2024</t>
  </si>
  <si>
    <t>Gegevens over brandstofrendement CGB (verwachtingen voor 2024)</t>
  </si>
  <si>
    <t>Brandstofprijs LSD CGB mei 2024</t>
  </si>
  <si>
    <t>Correctiebedrag van toepassing op juli - december 2024</t>
  </si>
  <si>
    <t>Zoals opgenomen in productieprijsbeschikking voor CGB voor 2024</t>
  </si>
  <si>
    <t>Correctiebedrag van toepassing op heel 2024, betreft effecten van profit sharing en overige nacalculaties</t>
  </si>
  <si>
    <t>Nacalculatie inkoop brandstofcomponent voor distributeur WEB (november 2023 - april 2024)</t>
  </si>
  <si>
    <t>De werkelijke kosten die WEB distributeur heeft gehad voor de inkoop van elektriciteit in de maanden november 2023 tot en met april 2024 wijken af van de geschatte kosten, omdat de inkoop bij CGB afhangt van variërende brandstofprijzen, en omdat de productiehoeveelheden van CGB en WEB maandelijks variëren.</t>
  </si>
  <si>
    <t>De ACM calculeert het verschil na dat ontstaan is door de gewijzigde brandstofprijzen bij CGB in de periode november 2023 - april 2024, WEB distributeur krijgt dit verschil terug via de tarieven in juli tot en met december 2024.</t>
  </si>
  <si>
    <t>Geschatte totale productie CGB voor 2024 (geheel jaar)</t>
  </si>
  <si>
    <t>Geschatte totale productie WEB voor 2024 (geheel jaar)</t>
  </si>
  <si>
    <t>Geschatte brandstofcomponent CGB voor juli - dec 2023</t>
  </si>
  <si>
    <t>Berekening nacalculatiebedrag inkoopcorrectie brandstofcomponent voor distributeur WEB (november 2023 - april 2024)</t>
  </si>
  <si>
    <t>Bedrag nacalculatie voor november en december 2023</t>
  </si>
  <si>
    <t>Bedrag nacalculatie voor januari - april 2024</t>
  </si>
  <si>
    <t>Inschatting productie WEB en productie CGB periode 1 juli tot 31 december 2024</t>
  </si>
  <si>
    <t>Inschatting totale productie ContourGlobal en WEB in 2024</t>
  </si>
  <si>
    <t>Aandeel verwachte jaarproductie in jan - juni 2024</t>
  </si>
  <si>
    <t>Schatting productieprijzen vanaf 1 juli 2024</t>
  </si>
  <si>
    <t>Op dit tabblad wordt op basis van de beschikbare gegevens een nieuwe schatting gemaakt van de brandstofcomponent per 1 juli 2024.</t>
  </si>
  <si>
    <t>Deel productieprijs exclusief brandstofcomponent WEB voor 2024</t>
  </si>
  <si>
    <t>Geschatte brandstofcomponent CGB voor tarief per 1 juli 2024</t>
  </si>
  <si>
    <t>Schatting brandstofcomponent CGB voor tarief per 1 juli 2024</t>
  </si>
  <si>
    <t>Berekening geschatte gewogen gemiddelde productieprijs voor distributeur WEB voor juli - dec 2024</t>
  </si>
  <si>
    <t>Berekening geschatte productieprijs per 1 juli 2024</t>
  </si>
  <si>
    <t>Geschatte productieprijs (incl. brandstofcomponent) voor CGB per 1 juli 2024</t>
  </si>
  <si>
    <t>Geschatte gewogen gemiddelde productieprijs per 1 juli 2024</t>
  </si>
  <si>
    <t>Tarieven WEB per 1 januari 2023</t>
  </si>
  <si>
    <t>Tarieven CGB per 1 januari 2023</t>
  </si>
  <si>
    <t>Maandelijkse facturen CGB aan WEB</t>
  </si>
  <si>
    <t>Gerealiseerde productie WEB</t>
  </si>
  <si>
    <t>Brandstofprijs LSD mei CGB</t>
  </si>
  <si>
    <t>Wettelijke rente</t>
  </si>
  <si>
    <t>NB: deze is uitsluitend vastgesteld i.h.k.v. tarief voor WEB per 1 juli 2023</t>
  </si>
  <si>
    <t>Tarieven WEB per 1 juli 2023</t>
  </si>
  <si>
    <t>Tarieven WEB per 1 januari 2024</t>
  </si>
  <si>
    <t>Tarieven CGB per 1 januari 2024</t>
  </si>
  <si>
    <t>[5], tabblad 'Production price 2024', cel H16</t>
  </si>
  <si>
    <t>[5], tabblad 'Production price 2024', cel H18</t>
  </si>
  <si>
    <t>[5], tabblad 'Production price 2024', cel H20</t>
  </si>
  <si>
    <t>Beschikking distributietarieven drinkwater 2024 Bonaire WEB | ACM.nl</t>
  </si>
  <si>
    <t>Beschikking productieprijs elektriciteit 2024 Bonaire ContourGlobal | ACM.nl</t>
  </si>
  <si>
    <t>Beschikking productieprijs elektriciteit 2023 Bonaire ContourGlobal | ACM.nl</t>
  </si>
  <si>
    <t>Beschikking variabel tarief elektriciteit 1 juli 2023 Bonaire | ACM.nl</t>
  </si>
  <si>
    <t>Beschikking distributietarieven elektriciteit 2023 Bonaire WEB | ACM.nl</t>
  </si>
  <si>
    <t>https://wetten.overheid.nl/BWBR0030649/2011-11-18</t>
  </si>
  <si>
    <t>[3], tabblad 'Gegevens raming 2024', cel L21</t>
  </si>
  <si>
    <t>[5], tabblad 'Est. Production and costs 2024', cel H14</t>
  </si>
  <si>
    <t>[5], tabblad 'Est. Production and costs 2024', cel H17</t>
  </si>
  <si>
    <t>[5], tabblad 'Total income 2024', cel H52</t>
  </si>
  <si>
    <t>[3], tabblad 'Gegevens raming 2024', cel L15</t>
  </si>
  <si>
    <t>[1], tabblad 'Gegevens raming 2023', cel L15</t>
  </si>
  <si>
    <t>Deze productieprijs is geen tarief dat door de ACM wordt vastgesteld, het dient uitsluitend voor de berekening van het nieuwe variabele gebruikstarief per 1 juli 2024.</t>
  </si>
  <si>
    <t>ACM/23/181654</t>
  </si>
  <si>
    <t>Berekening variabel gebruikstarief elektriciteit WEB per 1 juli 2024</t>
  </si>
  <si>
    <t>Beschikking variabel tarief elektriciteit 1 juli 2024 Bonaire (Caribisch Nederland)</t>
  </si>
  <si>
    <t>- Er wordt een update gemaakt van de kosten die WEB heeft voor inkoop van elektriciteit bij ContourGlobal Bonaire, hierna CGB. De brandstofprijs kan veranderd zijn ten opzichte van het vorige besluit, en de ACM past het variabele gebruikstarief ieder half jaar aan op de nieuwe brandstofprijzen.</t>
  </si>
  <si>
    <t>De ACM berekent in dit bestand wat het variabele gebruikstarief wordt voor levering van elektriciteit door WEB, per 1 juli 2024.</t>
  </si>
  <si>
    <t>Het variabele gebruikstarief wordt bijgesteld ten opzichte van het tarief per 1 januari 2024, op basis van twee wijzigingen:</t>
  </si>
  <si>
    <t>- WEB ontvangt een vergoeding voor het verschil in betaalde en vergoede brandstofcomponent (aan CGB) over de periode november 2023 - april 2024.</t>
  </si>
  <si>
    <t>Ontvangen van WEB per e-mail op 17 mei 2024</t>
  </si>
  <si>
    <t>Ontvangen van WEB per e-mail op 15 mei 2024 en op 17 mei 2024 (gecorrigeerde factuur februari 2024)</t>
  </si>
  <si>
    <t>Ontvangen van CGB per e-mail op 29 mei 2024</t>
  </si>
  <si>
    <t>Brandstofprijs CGB 20 mei 2024</t>
  </si>
  <si>
    <t>ACM/UIT/620991</t>
  </si>
  <si>
    <t>Waarde</t>
  </si>
  <si>
    <t>Ja</t>
  </si>
  <si>
    <t>nee</t>
  </si>
  <si>
    <t>Mogelijkheden van bezwaar en beroep staan open tegen het besluit waarbij dit bestand hoort (zie kenmerken hierboven).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</si>
</sst>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0_ ;_ * \-#,##0.0000_ ;_ * &quot;-&quot;??_ ;_ @_ "/>
    <numFmt numFmtId="166" formatCode="_ * #,##0.0000_ ;_ * \-#,##0.0000_ ;_ * &quot;-&quot;????_ ;_ @_ "/>
    <numFmt numFmtId="167" formatCode="_ * #,##0.00000_ ;_ * \-#,##0.00000_ ;_ * &quot;-&quot;??_ ;_ @_ "/>
    <numFmt numFmtId="168" formatCode="_ * #,##0.0000000_ ;_ * \-#,##0.0000000_ ;_ * &quot;-&quot;????_ ;_ @_ "/>
    <numFmt numFmtId="169" formatCode="_ * #,##0_ ;_ * \-#,##0_ ;_ * &quot;-&quot;????_ ;_ @_ "/>
    <numFmt numFmtId="170" formatCode="_ * #,##0.00000_ ;_ * \-#,##0.00000_ ;_ * &quot;-&quot;_ ;_ @_ "/>
  </numFmts>
  <fonts count="28"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67">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6" borderId="1">
      <alignment vertical="top"/>
    </xf>
    <xf numFmtId="49" fontId="6" fillId="0" borderId="0">
      <alignment vertical="top"/>
    </xf>
    <xf numFmtId="41" fontId="5" fillId="9" borderId="0">
      <alignment vertical="top"/>
    </xf>
    <xf numFmtId="41" fontId="5" fillId="8" borderId="0">
      <alignment vertical="top"/>
    </xf>
    <xf numFmtId="41" fontId="5" fillId="7" borderId="0">
      <alignment vertical="top"/>
    </xf>
    <xf numFmtId="41" fontId="5" fillId="43" borderId="0">
      <alignment vertical="top"/>
    </xf>
    <xf numFmtId="41" fontId="5" fillId="6" borderId="0">
      <alignment vertical="top"/>
    </xf>
    <xf numFmtId="41" fontId="5" fillId="10" borderId="0">
      <alignment vertical="top"/>
    </xf>
    <xf numFmtId="49" fontId="10" fillId="0" borderId="0">
      <alignment vertical="top"/>
    </xf>
    <xf numFmtId="49" fontId="9" fillId="0" borderId="0">
      <alignment vertical="top"/>
    </xf>
    <xf numFmtId="0" fontId="14" fillId="12" borderId="3" applyNumberFormat="0" applyAlignment="0" applyProtection="0"/>
    <xf numFmtId="0" fontId="15" fillId="13" borderId="4" applyNumberFormat="0" applyAlignment="0" applyProtection="0"/>
    <xf numFmtId="0" fontId="16" fillId="13" borderId="3" applyNumberFormat="0" applyAlignment="0" applyProtection="0"/>
    <xf numFmtId="0" fontId="17" fillId="0" borderId="5" applyNumberFormat="0" applyFill="0" applyAlignment="0" applyProtection="0"/>
    <xf numFmtId="0" fontId="11" fillId="14" borderId="6" applyNumberFormat="0" applyAlignment="0" applyProtection="0"/>
    <xf numFmtId="0" fontId="13" fillId="15" borderId="7" applyNumberFormat="0" applyFont="0" applyAlignment="0" applyProtection="0"/>
    <xf numFmtId="0" fontId="18"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6" fillId="40" borderId="0" applyNumberFormat="0" applyBorder="0" applyAlignment="0" applyProtection="0"/>
    <xf numFmtId="0" fontId="27" fillId="0" borderId="0" applyNumberFormat="0" applyFill="0" applyBorder="0" applyAlignment="0" applyProtection="0"/>
    <xf numFmtId="49" fontId="19" fillId="0" borderId="0" applyFill="0" applyBorder="0" applyAlignment="0" applyProtection="0"/>
    <xf numFmtId="43" fontId="5" fillId="41" borderId="0" applyNumberFormat="0">
      <alignment vertical="top"/>
    </xf>
    <xf numFmtId="43" fontId="5" fillId="8" borderId="0" applyFont="0" applyFill="0" applyBorder="0" applyAlignment="0" applyProtection="0">
      <alignment vertical="top"/>
    </xf>
    <xf numFmtId="10" fontId="5" fillId="0" borderId="0" applyFont="0" applyFill="0" applyBorder="0" applyAlignment="0" applyProtection="0">
      <alignment vertical="top"/>
    </xf>
    <xf numFmtId="41" fontId="5" fillId="42" borderId="0">
      <alignment vertical="top"/>
    </xf>
    <xf numFmtId="49" fontId="6" fillId="16" borderId="1">
      <alignment vertical="top"/>
    </xf>
  </cellStyleXfs>
  <cellXfs count="91">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6"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10" fillId="0" borderId="0" xfId="4" applyFont="1" applyFill="1">
      <alignment vertical="top"/>
    </xf>
    <xf numFmtId="49" fontId="7" fillId="16" borderId="2" xfId="6" applyFont="1" applyBorder="1">
      <alignment vertical="top"/>
    </xf>
    <xf numFmtId="0" fontId="8" fillId="5" borderId="1" xfId="5" applyNumberFormat="1">
      <alignment vertical="top"/>
    </xf>
    <xf numFmtId="0" fontId="12" fillId="0" borderId="0" xfId="4" applyFont="1">
      <alignment vertical="top"/>
    </xf>
    <xf numFmtId="49" fontId="11" fillId="5" borderId="2" xfId="5" applyFont="1" applyBorder="1">
      <alignment vertical="top"/>
    </xf>
    <xf numFmtId="0" fontId="5" fillId="11" borderId="0" xfId="4" applyFill="1">
      <alignment vertical="top"/>
    </xf>
    <xf numFmtId="49" fontId="7" fillId="16" borderId="0" xfId="6" applyFont="1" applyBorder="1">
      <alignment vertical="top"/>
    </xf>
    <xf numFmtId="0" fontId="5" fillId="0" borderId="0" xfId="4" applyFont="1">
      <alignment vertical="top"/>
    </xf>
    <xf numFmtId="49" fontId="5" fillId="16" borderId="2" xfId="6" applyFont="1" applyBorder="1">
      <alignment vertical="top"/>
    </xf>
    <xf numFmtId="0" fontId="5" fillId="0" borderId="0" xfId="4" quotePrefix="1">
      <alignment vertical="top"/>
    </xf>
    <xf numFmtId="0" fontId="5" fillId="0" borderId="2" xfId="4" applyFont="1" applyBorder="1">
      <alignment vertical="top"/>
    </xf>
    <xf numFmtId="49" fontId="10" fillId="0" borderId="0" xfId="14">
      <alignment vertical="top"/>
    </xf>
    <xf numFmtId="49" fontId="6" fillId="0" borderId="0" xfId="7">
      <alignment vertical="top"/>
    </xf>
    <xf numFmtId="49" fontId="9" fillId="0" borderId="0" xfId="15">
      <alignment vertical="top"/>
    </xf>
    <xf numFmtId="41" fontId="5" fillId="9" borderId="0" xfId="8">
      <alignment vertical="top"/>
    </xf>
    <xf numFmtId="9" fontId="5" fillId="0" borderId="0" xfId="4" applyNumberFormat="1">
      <alignment vertical="top"/>
    </xf>
    <xf numFmtId="41" fontId="5" fillId="43" borderId="0" xfId="11">
      <alignment vertical="top"/>
    </xf>
    <xf numFmtId="49" fontId="19" fillId="0" borderId="0" xfId="61" applyAlignment="1">
      <alignment vertical="top"/>
    </xf>
    <xf numFmtId="0" fontId="5" fillId="0" borderId="2" xfId="4" applyFont="1" applyBorder="1" applyAlignment="1">
      <alignment horizontal="left" vertical="top" wrapText="1"/>
    </xf>
    <xf numFmtId="41" fontId="5" fillId="10" borderId="0" xfId="13">
      <alignment vertical="top"/>
    </xf>
    <xf numFmtId="41" fontId="5" fillId="8" borderId="0" xfId="9">
      <alignment vertical="top"/>
    </xf>
    <xf numFmtId="0" fontId="9" fillId="11" borderId="0" xfId="4" applyFont="1" applyFill="1">
      <alignment vertical="top"/>
    </xf>
    <xf numFmtId="49" fontId="5" fillId="0" borderId="0" xfId="7" applyFont="1">
      <alignment vertical="top"/>
    </xf>
    <xf numFmtId="0" fontId="5" fillId="41" borderId="0" xfId="62" applyNumberFormat="1">
      <alignment vertical="top"/>
    </xf>
    <xf numFmtId="164" fontId="5" fillId="10" borderId="0" xfId="13" applyNumberFormat="1">
      <alignment vertical="top"/>
    </xf>
    <xf numFmtId="165" fontId="5" fillId="8" borderId="0" xfId="9" applyNumberFormat="1">
      <alignment vertical="top"/>
    </xf>
    <xf numFmtId="165" fontId="5" fillId="10" borderId="0" xfId="63" applyNumberFormat="1" applyFill="1">
      <alignment vertical="top"/>
    </xf>
    <xf numFmtId="165" fontId="5" fillId="8" borderId="0" xfId="63" applyNumberFormat="1">
      <alignment vertical="top"/>
    </xf>
    <xf numFmtId="10" fontId="5" fillId="10" borderId="0" xfId="64" applyFill="1">
      <alignment vertical="top"/>
    </xf>
    <xf numFmtId="165" fontId="5" fillId="9" borderId="0" xfId="63" applyNumberFormat="1" applyFill="1">
      <alignment vertical="top"/>
    </xf>
    <xf numFmtId="165" fontId="5" fillId="10" borderId="0" xfId="13" applyNumberFormat="1">
      <alignment vertical="top"/>
    </xf>
    <xf numFmtId="165" fontId="5" fillId="9" borderId="0" xfId="8" applyNumberFormat="1">
      <alignment vertical="top"/>
    </xf>
    <xf numFmtId="166" fontId="5" fillId="0" borderId="0" xfId="4" applyNumberFormat="1">
      <alignment vertical="top"/>
    </xf>
    <xf numFmtId="49" fontId="12" fillId="0" borderId="0" xfId="15" applyFont="1">
      <alignment vertical="top"/>
    </xf>
    <xf numFmtId="49" fontId="5" fillId="41" borderId="0" xfId="62" applyNumberFormat="1">
      <alignment vertical="top"/>
    </xf>
    <xf numFmtId="10" fontId="5" fillId="0" borderId="0" xfId="64" applyFill="1">
      <alignment vertical="top"/>
    </xf>
    <xf numFmtId="164" fontId="5" fillId="0" borderId="0" xfId="13" applyNumberFormat="1" applyFill="1">
      <alignment vertical="top"/>
    </xf>
    <xf numFmtId="165" fontId="5" fillId="0" borderId="0" xfId="9" applyNumberFormat="1" applyFill="1">
      <alignment vertical="top"/>
    </xf>
    <xf numFmtId="165" fontId="5" fillId="0" borderId="0" xfId="63" applyNumberFormat="1" applyFill="1">
      <alignment vertical="top"/>
    </xf>
    <xf numFmtId="165" fontId="5" fillId="0" borderId="0" xfId="8" applyNumberFormat="1" applyFill="1">
      <alignment vertical="top"/>
    </xf>
    <xf numFmtId="3" fontId="5" fillId="0" borderId="0" xfId="4" applyNumberFormat="1">
      <alignment vertical="top"/>
    </xf>
    <xf numFmtId="164" fontId="5" fillId="43" borderId="0" xfId="11" applyNumberFormat="1">
      <alignment vertical="top"/>
    </xf>
    <xf numFmtId="167" fontId="5" fillId="43" borderId="0" xfId="11" applyNumberFormat="1">
      <alignment vertical="top"/>
    </xf>
    <xf numFmtId="164" fontId="5" fillId="0" borderId="0" xfId="4" applyNumberFormat="1">
      <alignment vertical="top"/>
    </xf>
    <xf numFmtId="165" fontId="5" fillId="43" borderId="0" xfId="11" applyNumberFormat="1">
      <alignment vertical="top"/>
    </xf>
    <xf numFmtId="10" fontId="5" fillId="43" borderId="0" xfId="64" applyFill="1">
      <alignment vertical="top"/>
    </xf>
    <xf numFmtId="0" fontId="25" fillId="0" borderId="0" xfId="0" applyFont="1" applyAlignment="1"/>
    <xf numFmtId="0" fontId="1" fillId="0" borderId="0" xfId="0" applyFont="1" applyAlignment="1"/>
    <xf numFmtId="0" fontId="0" fillId="0" borderId="0" xfId="0" applyAlignment="1"/>
    <xf numFmtId="164" fontId="5" fillId="8" borderId="0" xfId="9" applyNumberFormat="1">
      <alignment vertical="top"/>
    </xf>
    <xf numFmtId="165" fontId="5" fillId="43" borderId="0" xfId="63" applyNumberFormat="1" applyFill="1">
      <alignment vertical="top"/>
    </xf>
    <xf numFmtId="41" fontId="5" fillId="0" borderId="0" xfId="12" applyFill="1">
      <alignment vertical="top"/>
    </xf>
    <xf numFmtId="49" fontId="12" fillId="0" borderId="0" xfId="7" applyFont="1">
      <alignment vertical="top"/>
    </xf>
    <xf numFmtId="10" fontId="5" fillId="43" borderId="0" xfId="11" applyNumberFormat="1">
      <alignment vertical="top"/>
    </xf>
    <xf numFmtId="49" fontId="6" fillId="16" borderId="1" xfId="66">
      <alignment vertical="top"/>
    </xf>
    <xf numFmtId="164" fontId="5" fillId="10" borderId="0" xfId="63" applyNumberFormat="1" applyFill="1">
      <alignment vertical="top"/>
    </xf>
    <xf numFmtId="43" fontId="5" fillId="41" borderId="0" xfId="62">
      <alignment vertical="top"/>
    </xf>
    <xf numFmtId="165" fontId="5" fillId="8" borderId="0" xfId="63" applyNumberFormat="1" applyFill="1">
      <alignment vertical="top"/>
    </xf>
    <xf numFmtId="43" fontId="5" fillId="0" borderId="0" xfId="63" applyFill="1">
      <alignment vertical="top"/>
    </xf>
    <xf numFmtId="165" fontId="5" fillId="41" borderId="0" xfId="63" applyNumberFormat="1" applyFill="1">
      <alignment vertical="top"/>
    </xf>
    <xf numFmtId="43" fontId="6" fillId="16" borderId="1" xfId="63" applyFont="1" applyFill="1" applyBorder="1">
      <alignment vertical="top"/>
    </xf>
    <xf numFmtId="164" fontId="5" fillId="8" borderId="0" xfId="63" applyNumberFormat="1" applyFill="1">
      <alignment vertical="top"/>
    </xf>
    <xf numFmtId="164" fontId="5" fillId="0" borderId="0" xfId="63" applyNumberFormat="1" applyFill="1">
      <alignment vertical="top"/>
    </xf>
    <xf numFmtId="164" fontId="5" fillId="8" borderId="0" xfId="63" applyNumberFormat="1">
      <alignment vertical="top"/>
    </xf>
    <xf numFmtId="168" fontId="5" fillId="0" borderId="0" xfId="4" applyNumberFormat="1">
      <alignment vertical="top"/>
    </xf>
    <xf numFmtId="164" fontId="5" fillId="9" borderId="0" xfId="63" applyNumberFormat="1" applyFill="1">
      <alignment vertical="top"/>
    </xf>
    <xf numFmtId="169" fontId="5" fillId="8" borderId="0" xfId="4" applyNumberFormat="1" applyFill="1">
      <alignment vertical="top"/>
    </xf>
    <xf numFmtId="10" fontId="5" fillId="10" borderId="0" xfId="13" applyNumberFormat="1">
      <alignment vertical="top"/>
    </xf>
    <xf numFmtId="169" fontId="5" fillId="9" borderId="0" xfId="4" applyNumberFormat="1" applyFill="1">
      <alignment vertical="top"/>
    </xf>
    <xf numFmtId="165" fontId="6" fillId="16" borderId="1" xfId="63" applyNumberFormat="1" applyFont="1" applyFill="1" applyBorder="1">
      <alignment vertical="top"/>
    </xf>
    <xf numFmtId="2" fontId="1" fillId="0" borderId="0" xfId="0" applyNumberFormat="1" applyFont="1" applyAlignment="1">
      <alignment horizontal="center" vertical="center"/>
    </xf>
    <xf numFmtId="2" fontId="1" fillId="0" borderId="0" xfId="0" applyNumberFormat="1" applyFont="1" applyAlignment="1">
      <alignment horizontal="left" vertical="center"/>
    </xf>
    <xf numFmtId="0" fontId="1" fillId="0" borderId="0" xfId="0" applyFont="1" applyAlignment="1">
      <alignment horizontal="left"/>
    </xf>
    <xf numFmtId="10" fontId="5" fillId="8" borderId="0" xfId="64" applyFill="1">
      <alignment vertical="top"/>
    </xf>
    <xf numFmtId="49" fontId="19" fillId="0" borderId="2" xfId="61" applyBorder="1" applyAlignment="1">
      <alignment vertical="top"/>
    </xf>
    <xf numFmtId="169" fontId="5" fillId="0" borderId="0" xfId="4" applyNumberFormat="1">
      <alignment vertical="top"/>
    </xf>
    <xf numFmtId="170" fontId="5" fillId="43" borderId="0" xfId="11" applyNumberFormat="1">
      <alignment vertical="top"/>
    </xf>
    <xf numFmtId="49" fontId="5" fillId="0" borderId="0" xfId="14" applyFont="1">
      <alignment vertical="top"/>
    </xf>
    <xf numFmtId="15" fontId="5" fillId="0" borderId="2" xfId="4" applyNumberFormat="1" applyBorder="1" applyAlignment="1">
      <alignment horizontal="left" vertical="top" wrapText="1"/>
    </xf>
  </cellXfs>
  <cellStyles count="67">
    <cellStyle name="_kop1 Bladtitel" xfId="5" xr:uid="{00000000-0005-0000-0000-000000000000}"/>
    <cellStyle name="_kop2 Bloktitel" xfId="6" xr:uid="{00000000-0005-0000-0000-000001000000}"/>
    <cellStyle name="_kop2 Bloktitel 2" xfId="66" xr:uid="{6325C1B6-2C80-49CE-AFF8-754B9CE44B88}"/>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Dataverzoek" xfId="65" xr:uid="{00000000-0005-0000-0000-00001F000000}"/>
    <cellStyle name="Cel Input" xfId="11"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99FF99"/>
      <color rgb="FFFFFFCC"/>
      <color rgb="FFCCC8D9"/>
      <color rgb="FFCCFFCC"/>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beschikking-productieprijs-elektriciteit-2023-bonaire-contourglobal" TargetMode="External"/><Relationship Id="rId7" Type="http://schemas.openxmlformats.org/officeDocument/2006/relationships/printerSettings" Target="../printerSettings/printerSettings3.bin"/><Relationship Id="rId2" Type="http://schemas.openxmlformats.org/officeDocument/2006/relationships/hyperlink" Target="https://www.acm.nl/nl/publicaties/beschikking-productieprijs-elektriciteit-2024-bonaire-contourglobal" TargetMode="External"/><Relationship Id="rId1" Type="http://schemas.openxmlformats.org/officeDocument/2006/relationships/hyperlink" Target="https://www.acm.nl/nl/publicaties/beschikking-distributietarieven-drinkwater-2024-bonaire-web" TargetMode="External"/><Relationship Id="rId6" Type="http://schemas.openxmlformats.org/officeDocument/2006/relationships/hyperlink" Target="https://wetten.overheid.nl/BWBR0030649/2011-11-18" TargetMode="External"/><Relationship Id="rId5" Type="http://schemas.openxmlformats.org/officeDocument/2006/relationships/hyperlink" Target="https://www.acm.nl/nl/publicaties/beschikking-distributietarieven-elektriciteit-2023-bonaire-web" TargetMode="External"/><Relationship Id="rId4" Type="http://schemas.openxmlformats.org/officeDocument/2006/relationships/hyperlink" Target="https://www.acm.nl/nl/publicaties/beschikking-variabel-tarief-elektriciteit-1-juli-2023-bonair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E47"/>
  <sheetViews>
    <sheetView showGridLines="0" tabSelected="1" zoomScale="85" zoomScaleNormal="85" workbookViewId="0">
      <pane ySplit="3" topLeftCell="A4" activePane="bottomLeft" state="frozen"/>
      <selection activeCell="O39" sqref="O39"/>
      <selection pane="bottomLeft"/>
    </sheetView>
  </sheetViews>
  <sheetFormatPr defaultRowHeight="12.75" x14ac:dyDescent="0.2"/>
  <cols>
    <col min="1" max="1" width="5.7109375" style="2" customWidth="1"/>
    <col min="2" max="2" width="43.7109375" style="2" customWidth="1"/>
    <col min="3" max="3" width="91.85546875" style="2" customWidth="1"/>
    <col min="4" max="4" width="5.7109375" style="2" customWidth="1"/>
    <col min="5" max="16384" width="9.140625" style="2"/>
  </cols>
  <sheetData>
    <row r="2" spans="2:5" s="7" customFormat="1" ht="18" x14ac:dyDescent="0.2">
      <c r="B2" s="7" t="s">
        <v>1</v>
      </c>
    </row>
    <row r="6" spans="2:5" x14ac:dyDescent="0.2">
      <c r="B6" s="3"/>
    </row>
    <row r="13" spans="2:5" s="8" customFormat="1" x14ac:dyDescent="0.2">
      <c r="B13" s="8" t="s">
        <v>2</v>
      </c>
    </row>
    <row r="14" spans="2:5" s="9" customFormat="1" x14ac:dyDescent="0.2"/>
    <row r="15" spans="2:5" x14ac:dyDescent="0.2">
      <c r="B15" s="10" t="s">
        <v>3</v>
      </c>
      <c r="C15" s="11" t="s">
        <v>267</v>
      </c>
      <c r="E15" s="23"/>
    </row>
    <row r="16" spans="2:5" x14ac:dyDescent="0.2">
      <c r="B16" s="10" t="s">
        <v>4</v>
      </c>
      <c r="C16" s="11" t="s">
        <v>268</v>
      </c>
    </row>
    <row r="17" spans="2:3" x14ac:dyDescent="0.2">
      <c r="B17" s="10" t="s">
        <v>5</v>
      </c>
      <c r="C17" s="11"/>
    </row>
    <row r="18" spans="2:3" x14ac:dyDescent="0.2">
      <c r="B18" s="10" t="s">
        <v>6</v>
      </c>
      <c r="C18" s="11" t="s">
        <v>269</v>
      </c>
    </row>
    <row r="19" spans="2:3" x14ac:dyDescent="0.2">
      <c r="B19" s="10" t="s">
        <v>7</v>
      </c>
      <c r="C19" s="11"/>
    </row>
    <row r="20" spans="2:3" x14ac:dyDescent="0.2">
      <c r="B20" s="10" t="s">
        <v>8</v>
      </c>
      <c r="C20" s="11" t="s">
        <v>278</v>
      </c>
    </row>
    <row r="21" spans="2:3" x14ac:dyDescent="0.2">
      <c r="B21" s="10" t="s">
        <v>9</v>
      </c>
      <c r="C21" s="11"/>
    </row>
    <row r="22" spans="2:3" x14ac:dyDescent="0.2">
      <c r="B22" s="10" t="s">
        <v>10</v>
      </c>
      <c r="C22" s="11"/>
    </row>
    <row r="24" spans="2:3" x14ac:dyDescent="0.2">
      <c r="B24" s="25" t="s">
        <v>72</v>
      </c>
    </row>
    <row r="27" spans="2:3" s="8" customFormat="1" x14ac:dyDescent="0.2">
      <c r="B27" s="8" t="s">
        <v>11</v>
      </c>
    </row>
    <row r="29" spans="2:3" x14ac:dyDescent="0.2">
      <c r="B29" s="30" t="s">
        <v>61</v>
      </c>
      <c r="C29" s="11" t="s">
        <v>280</v>
      </c>
    </row>
    <row r="30" spans="2:3" ht="25.5" x14ac:dyDescent="0.2">
      <c r="B30" s="30" t="s">
        <v>63</v>
      </c>
      <c r="C30" s="11" t="s">
        <v>280</v>
      </c>
    </row>
    <row r="31" spans="2:3" x14ac:dyDescent="0.2">
      <c r="B31" s="30" t="s">
        <v>62</v>
      </c>
      <c r="C31" s="90">
        <v>45463</v>
      </c>
    </row>
    <row r="32" spans="2:3" ht="25.5" x14ac:dyDescent="0.2">
      <c r="B32" s="30" t="s">
        <v>64</v>
      </c>
      <c r="C32" s="11" t="s">
        <v>280</v>
      </c>
    </row>
    <row r="33" spans="2:3" ht="25.5" x14ac:dyDescent="0.2">
      <c r="B33" s="30" t="s">
        <v>65</v>
      </c>
      <c r="C33" s="11" t="s">
        <v>281</v>
      </c>
    </row>
    <row r="34" spans="2:3" x14ac:dyDescent="0.2">
      <c r="B34" s="10" t="s">
        <v>10</v>
      </c>
      <c r="C34" s="11"/>
    </row>
    <row r="36" spans="2:3" x14ac:dyDescent="0.2">
      <c r="B36" s="89" t="s">
        <v>282</v>
      </c>
    </row>
    <row r="37" spans="2:3" x14ac:dyDescent="0.2">
      <c r="B37" s="23"/>
    </row>
    <row r="38" spans="2:3" x14ac:dyDescent="0.2">
      <c r="B38" s="23"/>
    </row>
    <row r="39" spans="2:3" s="8" customFormat="1" x14ac:dyDescent="0.2">
      <c r="B39" s="8" t="s">
        <v>12</v>
      </c>
    </row>
    <row r="41" spans="2:3" x14ac:dyDescent="0.2">
      <c r="B41" s="2" t="s">
        <v>52</v>
      </c>
    </row>
    <row r="46" spans="2:3" x14ac:dyDescent="0.2">
      <c r="B46" s="4"/>
    </row>
    <row r="47" spans="2:3" x14ac:dyDescent="0.2">
      <c r="B47" s="25" t="s">
        <v>66</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4D71-FB15-4A24-A91C-79E8DABA690F}">
  <sheetPr>
    <tabColor rgb="FFFFFFCC"/>
  </sheetPr>
  <dimension ref="B2:S78"/>
  <sheetViews>
    <sheetView showGridLines="0" zoomScale="85" zoomScaleNormal="85" workbookViewId="0">
      <pane xSplit="6" ySplit="13" topLeftCell="G26" activePane="bottomRight" state="frozen"/>
      <selection activeCell="F51" sqref="F51"/>
      <selection pane="topRight" activeCell="F51" sqref="F51"/>
      <selection pane="bottomLeft" activeCell="F51" sqref="F51"/>
      <selection pane="bottomRight"/>
    </sheetView>
  </sheetViews>
  <sheetFormatPr defaultRowHeight="12.75" x14ac:dyDescent="0.2"/>
  <cols>
    <col min="1" max="1" width="5.7109375" style="2" customWidth="1"/>
    <col min="2" max="2" width="66.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6.42578125" style="2" customWidth="1"/>
    <col min="18" max="18" width="2.7109375" style="2" customWidth="1"/>
    <col min="19" max="19" width="12.5703125" style="2" customWidth="1"/>
    <col min="20" max="33" width="13.7109375" style="2" customWidth="1"/>
    <col min="34" max="16384" width="9.140625" style="2"/>
  </cols>
  <sheetData>
    <row r="2" spans="2:19" s="14" customFormat="1" ht="18" x14ac:dyDescent="0.2">
      <c r="B2" s="14" t="s">
        <v>220</v>
      </c>
    </row>
    <row r="4" spans="2:19" x14ac:dyDescent="0.2">
      <c r="B4" s="1" t="s">
        <v>50</v>
      </c>
      <c r="C4" s="1"/>
      <c r="D4" s="1"/>
    </row>
    <row r="5" spans="2:19" x14ac:dyDescent="0.2">
      <c r="B5" s="2" t="s">
        <v>221</v>
      </c>
      <c r="H5" s="15"/>
    </row>
    <row r="6" spans="2:19" x14ac:dyDescent="0.2">
      <c r="B6" s="2" t="s">
        <v>222</v>
      </c>
      <c r="H6" s="15"/>
    </row>
    <row r="7" spans="2:19" x14ac:dyDescent="0.2">
      <c r="H7" s="15"/>
    </row>
    <row r="8" spans="2:19" x14ac:dyDescent="0.2">
      <c r="B8" s="25" t="s">
        <v>25</v>
      </c>
      <c r="H8" s="15"/>
    </row>
    <row r="9" spans="2:19" x14ac:dyDescent="0.2">
      <c r="B9" s="25" t="s">
        <v>128</v>
      </c>
      <c r="H9" s="15"/>
    </row>
    <row r="10" spans="2:19" x14ac:dyDescent="0.2">
      <c r="H10" s="15"/>
    </row>
    <row r="12" spans="2:19" s="8" customFormat="1" x14ac:dyDescent="0.2">
      <c r="B12" s="8" t="s">
        <v>39</v>
      </c>
      <c r="F12" s="8" t="s">
        <v>22</v>
      </c>
      <c r="H12" s="8" t="s">
        <v>23</v>
      </c>
      <c r="J12" s="8" t="s">
        <v>43</v>
      </c>
      <c r="L12" s="8" t="s">
        <v>196</v>
      </c>
      <c r="M12" s="8" t="s">
        <v>197</v>
      </c>
      <c r="N12" s="8" t="s">
        <v>198</v>
      </c>
      <c r="O12" s="8" t="s">
        <v>199</v>
      </c>
      <c r="P12" s="8" t="s">
        <v>200</v>
      </c>
      <c r="Q12" s="8" t="s">
        <v>201</v>
      </c>
      <c r="S12" s="8" t="s">
        <v>41</v>
      </c>
    </row>
    <row r="15" spans="2:19" s="66" customFormat="1" x14ac:dyDescent="0.2">
      <c r="B15" s="66" t="s">
        <v>42</v>
      </c>
    </row>
    <row r="17" spans="2:8" x14ac:dyDescent="0.2">
      <c r="B17" s="1" t="s">
        <v>129</v>
      </c>
    </row>
    <row r="18" spans="2:8" x14ac:dyDescent="0.2">
      <c r="B18" s="2" t="s">
        <v>130</v>
      </c>
      <c r="F18" s="2" t="s">
        <v>74</v>
      </c>
      <c r="H18" s="31">
        <f>'Gegevens inkoopcorrectie'!H23</f>
        <v>139967600</v>
      </c>
    </row>
    <row r="19" spans="2:8" x14ac:dyDescent="0.2">
      <c r="B19" s="2" t="s">
        <v>223</v>
      </c>
      <c r="F19" s="2" t="s">
        <v>74</v>
      </c>
      <c r="H19" s="31">
        <f>'Gegevens inkoopcorrectie'!H24</f>
        <v>147882686.243</v>
      </c>
    </row>
    <row r="20" spans="2:8" x14ac:dyDescent="0.2">
      <c r="B20" s="2" t="s">
        <v>131</v>
      </c>
      <c r="F20" s="2" t="s">
        <v>74</v>
      </c>
      <c r="H20" s="31">
        <f>'Gegevens inkoopcorrectie'!H37</f>
        <v>248086.58000000002</v>
      </c>
    </row>
    <row r="21" spans="2:8" x14ac:dyDescent="0.2">
      <c r="B21" s="2" t="s">
        <v>224</v>
      </c>
      <c r="F21" s="2" t="s">
        <v>74</v>
      </c>
      <c r="H21" s="31">
        <f>'Gegevens inkoopcorrectie'!H38</f>
        <v>231464</v>
      </c>
    </row>
    <row r="23" spans="2:8" x14ac:dyDescent="0.2">
      <c r="B23" s="1" t="s">
        <v>132</v>
      </c>
    </row>
    <row r="24" spans="2:8" x14ac:dyDescent="0.2">
      <c r="B24" s="2" t="s">
        <v>225</v>
      </c>
      <c r="F24" s="2" t="s">
        <v>77</v>
      </c>
      <c r="H24" s="42">
        <f>'Gegevens inkoopcorrectie'!H27</f>
        <v>0.1825155132178079</v>
      </c>
    </row>
    <row r="25" spans="2:8" x14ac:dyDescent="0.2">
      <c r="B25" s="2" t="s">
        <v>205</v>
      </c>
      <c r="F25" s="2" t="s">
        <v>171</v>
      </c>
      <c r="H25" s="42">
        <f>'Gegevens inkoopcorrectie'!H28</f>
        <v>0.1975900386149986</v>
      </c>
    </row>
    <row r="27" spans="2:8" x14ac:dyDescent="0.2">
      <c r="B27" s="1" t="s">
        <v>133</v>
      </c>
    </row>
    <row r="28" spans="2:8" x14ac:dyDescent="0.2">
      <c r="B28" s="2" t="s">
        <v>99</v>
      </c>
      <c r="F28" s="2" t="s">
        <v>77</v>
      </c>
      <c r="H28" s="42">
        <f>'Gegevens inkoopcorrectie'!H25</f>
        <v>0.13636000000000001</v>
      </c>
    </row>
    <row r="29" spans="2:8" x14ac:dyDescent="0.2">
      <c r="B29" s="2" t="s">
        <v>203</v>
      </c>
      <c r="F29" s="2" t="s">
        <v>171</v>
      </c>
      <c r="H29" s="42">
        <f>'Gegevens inkoopcorrectie'!H26</f>
        <v>0.14101</v>
      </c>
    </row>
    <row r="31" spans="2:8" x14ac:dyDescent="0.2">
      <c r="B31" s="2" t="s">
        <v>124</v>
      </c>
      <c r="F31" s="2" t="s">
        <v>80</v>
      </c>
      <c r="H31" s="40">
        <f>'Gegevens nieuwe productieprijs'!H29</f>
        <v>0.03</v>
      </c>
    </row>
    <row r="34" spans="2:19" s="66" customFormat="1" x14ac:dyDescent="0.2">
      <c r="B34" s="66" t="s">
        <v>134</v>
      </c>
    </row>
    <row r="36" spans="2:19" x14ac:dyDescent="0.2">
      <c r="B36" s="1" t="s">
        <v>135</v>
      </c>
    </row>
    <row r="37" spans="2:19" x14ac:dyDescent="0.2">
      <c r="B37" s="2" t="s">
        <v>136</v>
      </c>
      <c r="F37" s="2" t="s">
        <v>94</v>
      </c>
      <c r="L37" s="38">
        <f>'Gegevens inkoopcorrectie'!L20</f>
        <v>0.31253999999999998</v>
      </c>
      <c r="M37" s="38">
        <f>'Gegevens inkoopcorrectie'!M20</f>
        <v>0.34221000000000001</v>
      </c>
      <c r="N37" s="38">
        <f>'Gegevens inkoopcorrectie'!N20</f>
        <v>0.34633999999999998</v>
      </c>
      <c r="O37" s="38">
        <f>'Gegevens inkoopcorrectie'!O20</f>
        <v>0.33554</v>
      </c>
      <c r="P37" s="38">
        <f>'Gegevens inkoopcorrectie'!P20</f>
        <v>0.31342999999999999</v>
      </c>
      <c r="Q37" s="38">
        <f>'Gegevens inkoopcorrectie'!Q20</f>
        <v>0.31358000000000003</v>
      </c>
    </row>
    <row r="38" spans="2:19" x14ac:dyDescent="0.2">
      <c r="B38" s="2" t="s">
        <v>137</v>
      </c>
      <c r="F38" s="2" t="s">
        <v>94</v>
      </c>
      <c r="L38" s="38">
        <f>$H$28</f>
        <v>0.13636000000000001</v>
      </c>
      <c r="M38" s="38">
        <f>$H$28</f>
        <v>0.13636000000000001</v>
      </c>
      <c r="N38" s="38">
        <f>$H$29</f>
        <v>0.14101</v>
      </c>
      <c r="O38" s="38">
        <f>$H$29</f>
        <v>0.14101</v>
      </c>
      <c r="P38" s="38">
        <f>$H$29</f>
        <v>0.14101</v>
      </c>
      <c r="Q38" s="38">
        <f>$H$29</f>
        <v>0.14101</v>
      </c>
    </row>
    <row r="40" spans="2:19" x14ac:dyDescent="0.2">
      <c r="B40" s="1" t="s">
        <v>138</v>
      </c>
    </row>
    <row r="41" spans="2:19" x14ac:dyDescent="0.2">
      <c r="B41" s="2" t="s">
        <v>139</v>
      </c>
      <c r="F41" s="2" t="s">
        <v>74</v>
      </c>
      <c r="L41" s="67">
        <f>'Gegevens inkoopcorrectie'!L19</f>
        <v>12935910</v>
      </c>
      <c r="M41" s="67">
        <f>'Gegevens inkoopcorrectie'!M19</f>
        <v>12782840</v>
      </c>
      <c r="N41" s="67">
        <f>'Gegevens inkoopcorrectie'!N19</f>
        <v>12635070</v>
      </c>
      <c r="O41" s="67">
        <f>'Gegevens inkoopcorrectie'!O19</f>
        <v>12089440</v>
      </c>
      <c r="P41" s="67">
        <f>'Gegevens inkoopcorrectie'!P19</f>
        <v>13250390</v>
      </c>
      <c r="Q41" s="67">
        <f>'Gegevens inkoopcorrectie'!Q19</f>
        <v>13591710</v>
      </c>
    </row>
    <row r="42" spans="2:19" x14ac:dyDescent="0.2">
      <c r="B42" s="2" t="s">
        <v>140</v>
      </c>
      <c r="F42" s="2" t="s">
        <v>74</v>
      </c>
      <c r="L42" s="67">
        <f>'Gegevens inkoopcorrectie'!L34</f>
        <v>14296</v>
      </c>
      <c r="M42" s="67">
        <f>'Gegevens inkoopcorrectie'!M34</f>
        <v>16055</v>
      </c>
      <c r="N42" s="67">
        <f>'Gegevens inkoopcorrectie'!N34</f>
        <v>17478</v>
      </c>
      <c r="O42" s="67">
        <f>'Gegevens inkoopcorrectie'!O34</f>
        <v>15898</v>
      </c>
      <c r="P42" s="67">
        <f>'Gegevens inkoopcorrectie'!P34</f>
        <v>16867</v>
      </c>
      <c r="Q42" s="67">
        <f>'Gegevens inkoopcorrectie'!Q34</f>
        <v>14814</v>
      </c>
    </row>
    <row r="43" spans="2:19" x14ac:dyDescent="0.2">
      <c r="B43" s="2" t="s">
        <v>141</v>
      </c>
      <c r="F43" s="2" t="s">
        <v>94</v>
      </c>
      <c r="L43" s="37">
        <f t="shared" ref="L43:Q43" si="0">L37-L38</f>
        <v>0.17617999999999998</v>
      </c>
      <c r="M43" s="37">
        <f t="shared" si="0"/>
        <v>0.20585000000000001</v>
      </c>
      <c r="N43" s="37">
        <f t="shared" si="0"/>
        <v>0.20532999999999998</v>
      </c>
      <c r="O43" s="37">
        <f t="shared" si="0"/>
        <v>0.19453000000000001</v>
      </c>
      <c r="P43" s="37">
        <f t="shared" si="0"/>
        <v>0.17241999999999999</v>
      </c>
      <c r="Q43" s="37">
        <f t="shared" si="0"/>
        <v>0.17257000000000003</v>
      </c>
    </row>
    <row r="44" spans="2:19" x14ac:dyDescent="0.2">
      <c r="B44" s="2" t="s">
        <v>142</v>
      </c>
      <c r="F44" s="2" t="s">
        <v>94</v>
      </c>
      <c r="L44" s="68"/>
      <c r="M44" s="68"/>
      <c r="N44" s="68"/>
      <c r="O44" s="68"/>
      <c r="P44" s="68"/>
      <c r="Q44" s="68"/>
      <c r="S44" s="2" t="s">
        <v>143</v>
      </c>
    </row>
    <row r="45" spans="2:19" x14ac:dyDescent="0.2">
      <c r="B45" s="2" t="s">
        <v>144</v>
      </c>
      <c r="F45" s="2" t="s">
        <v>94</v>
      </c>
      <c r="L45" s="69">
        <f>(L41*L43+L42*L44)/(L41+L42)</f>
        <v>0.17598551125750431</v>
      </c>
      <c r="M45" s="69">
        <f t="shared" ref="M45:Q45" si="1">(M41*M43+M42*M44)/(M41+M42)</f>
        <v>0.20559178069669296</v>
      </c>
      <c r="N45" s="69">
        <f>(N41*N43+N42*N44)/(N41+N42)</f>
        <v>0.20504636086739206</v>
      </c>
      <c r="O45" s="69">
        <f t="shared" si="1"/>
        <v>0.19427452279316776</v>
      </c>
      <c r="P45" s="69">
        <f t="shared" si="1"/>
        <v>0.17220079808509023</v>
      </c>
      <c r="Q45" s="69">
        <f t="shared" si="1"/>
        <v>0.17238211571890077</v>
      </c>
    </row>
    <row r="46" spans="2:19" x14ac:dyDescent="0.2">
      <c r="L46" s="70"/>
      <c r="M46" s="70"/>
      <c r="N46" s="70"/>
      <c r="O46" s="70"/>
      <c r="P46" s="70"/>
      <c r="Q46" s="70"/>
    </row>
    <row r="47" spans="2:19" x14ac:dyDescent="0.2">
      <c r="B47" s="1" t="s">
        <v>145</v>
      </c>
      <c r="L47" s="70"/>
      <c r="M47" s="70"/>
      <c r="N47" s="70"/>
      <c r="O47" s="70"/>
      <c r="P47" s="70"/>
      <c r="Q47" s="70"/>
    </row>
    <row r="48" spans="2:19" x14ac:dyDescent="0.2">
      <c r="B48" s="2" t="s">
        <v>146</v>
      </c>
      <c r="F48" s="2" t="s">
        <v>74</v>
      </c>
      <c r="L48" s="31">
        <f>$H$18</f>
        <v>139967600</v>
      </c>
      <c r="M48" s="31">
        <f>$H$18</f>
        <v>139967600</v>
      </c>
      <c r="N48" s="31">
        <f>$H$19</f>
        <v>147882686.243</v>
      </c>
      <c r="O48" s="31">
        <f>$H$19</f>
        <v>147882686.243</v>
      </c>
      <c r="P48" s="31">
        <f>$H$19</f>
        <v>147882686.243</v>
      </c>
      <c r="Q48" s="31">
        <f>$H$19</f>
        <v>147882686.243</v>
      </c>
    </row>
    <row r="49" spans="2:19" x14ac:dyDescent="0.2">
      <c r="B49" s="2" t="s">
        <v>147</v>
      </c>
      <c r="F49" s="2" t="s">
        <v>74</v>
      </c>
      <c r="L49" s="31">
        <f>$H$20</f>
        <v>248086.58000000002</v>
      </c>
      <c r="M49" s="31">
        <f>$H$20</f>
        <v>248086.58000000002</v>
      </c>
      <c r="N49" s="31">
        <f>$H$21</f>
        <v>231464</v>
      </c>
      <c r="O49" s="31">
        <f>$H$21</f>
        <v>231464</v>
      </c>
      <c r="P49" s="31">
        <f>$H$21</f>
        <v>231464</v>
      </c>
      <c r="Q49" s="31">
        <f>$H$21</f>
        <v>231464</v>
      </c>
    </row>
    <row r="50" spans="2:19" x14ac:dyDescent="0.2">
      <c r="B50" s="2" t="s">
        <v>148</v>
      </c>
      <c r="F50" s="2" t="s">
        <v>94</v>
      </c>
      <c r="L50" s="38">
        <f>$H$24</f>
        <v>0.1825155132178079</v>
      </c>
      <c r="M50" s="38">
        <f>$H$24</f>
        <v>0.1825155132178079</v>
      </c>
      <c r="N50" s="38">
        <f>$H$25</f>
        <v>0.1975900386149986</v>
      </c>
      <c r="O50" s="38">
        <f>$H$25</f>
        <v>0.1975900386149986</v>
      </c>
      <c r="P50" s="38">
        <f>$H$25</f>
        <v>0.1975900386149986</v>
      </c>
      <c r="Q50" s="38">
        <f>$H$25</f>
        <v>0.1975900386149986</v>
      </c>
    </row>
    <row r="51" spans="2:19" x14ac:dyDescent="0.2">
      <c r="B51" s="2" t="s">
        <v>149</v>
      </c>
      <c r="F51" s="2" t="s">
        <v>94</v>
      </c>
      <c r="L51" s="71"/>
      <c r="M51" s="71"/>
      <c r="N51" s="71"/>
      <c r="O51" s="71"/>
      <c r="P51" s="71"/>
      <c r="Q51" s="71"/>
    </row>
    <row r="52" spans="2:19" x14ac:dyDescent="0.2">
      <c r="B52" s="2" t="s">
        <v>150</v>
      </c>
      <c r="F52" s="2" t="s">
        <v>94</v>
      </c>
      <c r="L52" s="69">
        <f>(L48*L50+L49*L51)/(L48+L49)</f>
        <v>0.18219258465984431</v>
      </c>
      <c r="M52" s="69">
        <f t="shared" ref="M52:Q52" si="2">(M48*M50+M49*M51)/(M48+M49)</f>
        <v>0.18219258465984431</v>
      </c>
      <c r="N52" s="69">
        <f t="shared" si="2"/>
        <v>0.19728125663418888</v>
      </c>
      <c r="O52" s="69">
        <f t="shared" si="2"/>
        <v>0.19728125663418888</v>
      </c>
      <c r="P52" s="69">
        <f t="shared" si="2"/>
        <v>0.19728125663418888</v>
      </c>
      <c r="Q52" s="69">
        <f t="shared" si="2"/>
        <v>0.19728125663418888</v>
      </c>
    </row>
    <row r="53" spans="2:19" x14ac:dyDescent="0.2">
      <c r="H53" s="15"/>
      <c r="L53" s="70"/>
      <c r="M53" s="70"/>
      <c r="N53" s="70"/>
      <c r="O53" s="70"/>
      <c r="P53" s="70"/>
      <c r="Q53" s="70"/>
    </row>
    <row r="54" spans="2:19" x14ac:dyDescent="0.2">
      <c r="H54" s="15"/>
      <c r="L54" s="70"/>
      <c r="M54" s="70"/>
      <c r="N54" s="70"/>
      <c r="O54" s="70"/>
      <c r="P54" s="70"/>
      <c r="Q54" s="70"/>
    </row>
    <row r="55" spans="2:19" s="66" customFormat="1" x14ac:dyDescent="0.2">
      <c r="B55" s="66" t="s">
        <v>226</v>
      </c>
      <c r="L55" s="72"/>
      <c r="M55" s="72"/>
      <c r="N55" s="72"/>
      <c r="O55" s="72"/>
      <c r="P55" s="72"/>
      <c r="Q55" s="72"/>
    </row>
    <row r="56" spans="2:19" x14ac:dyDescent="0.2">
      <c r="L56" s="70"/>
      <c r="M56" s="70"/>
      <c r="N56" s="70"/>
      <c r="O56" s="70"/>
      <c r="P56" s="70"/>
      <c r="Q56" s="70"/>
    </row>
    <row r="57" spans="2:19" x14ac:dyDescent="0.2">
      <c r="B57" s="2" t="s">
        <v>144</v>
      </c>
      <c r="F57" s="2" t="s">
        <v>94</v>
      </c>
      <c r="L57" s="38">
        <f t="shared" ref="L57:Q57" si="3">L45</f>
        <v>0.17598551125750431</v>
      </c>
      <c r="M57" s="38">
        <f t="shared" si="3"/>
        <v>0.20559178069669296</v>
      </c>
      <c r="N57" s="38">
        <f t="shared" si="3"/>
        <v>0.20504636086739206</v>
      </c>
      <c r="O57" s="38">
        <f t="shared" si="3"/>
        <v>0.19427452279316776</v>
      </c>
      <c r="P57" s="38">
        <f t="shared" si="3"/>
        <v>0.17220079808509023</v>
      </c>
      <c r="Q57" s="38">
        <f t="shared" si="3"/>
        <v>0.17238211571890077</v>
      </c>
      <c r="S57" s="2" t="s">
        <v>151</v>
      </c>
    </row>
    <row r="58" spans="2:19" x14ac:dyDescent="0.2">
      <c r="B58" s="2" t="s">
        <v>150</v>
      </c>
      <c r="F58" s="2" t="s">
        <v>94</v>
      </c>
      <c r="L58" s="38">
        <f t="shared" ref="L58:Q58" si="4">L52</f>
        <v>0.18219258465984431</v>
      </c>
      <c r="M58" s="38">
        <f t="shared" si="4"/>
        <v>0.18219258465984431</v>
      </c>
      <c r="N58" s="38">
        <f t="shared" si="4"/>
        <v>0.19728125663418888</v>
      </c>
      <c r="O58" s="38">
        <f t="shared" si="4"/>
        <v>0.19728125663418888</v>
      </c>
      <c r="P58" s="38">
        <f t="shared" si="4"/>
        <v>0.19728125663418888</v>
      </c>
      <c r="Q58" s="38">
        <f t="shared" si="4"/>
        <v>0.19728125663418888</v>
      </c>
      <c r="S58" s="2" t="s">
        <v>152</v>
      </c>
    </row>
    <row r="59" spans="2:19" x14ac:dyDescent="0.2">
      <c r="B59" s="2" t="s">
        <v>153</v>
      </c>
      <c r="F59" s="2" t="s">
        <v>94</v>
      </c>
      <c r="H59" s="44"/>
      <c r="L59" s="69">
        <f>L57-L58</f>
        <v>-6.207073402340002E-3</v>
      </c>
      <c r="M59" s="69">
        <f t="shared" ref="M59:Q59" si="5">M57-M58</f>
        <v>2.3399196036848646E-2</v>
      </c>
      <c r="N59" s="69">
        <f t="shared" si="5"/>
        <v>7.7651042332031739E-3</v>
      </c>
      <c r="O59" s="69">
        <f t="shared" si="5"/>
        <v>-3.0067338410211253E-3</v>
      </c>
      <c r="P59" s="69">
        <f t="shared" si="5"/>
        <v>-2.5080458549098655E-2</v>
      </c>
      <c r="Q59" s="69">
        <f t="shared" si="5"/>
        <v>-2.4899140915288109E-2</v>
      </c>
      <c r="S59" s="2" t="s">
        <v>154</v>
      </c>
    </row>
    <row r="60" spans="2:19" x14ac:dyDescent="0.2">
      <c r="B60" s="2" t="s">
        <v>155</v>
      </c>
      <c r="F60" s="2" t="s">
        <v>74</v>
      </c>
      <c r="H60" s="87"/>
      <c r="L60" s="73">
        <f t="shared" ref="L60:Q60" si="6">L41+L42</f>
        <v>12950206</v>
      </c>
      <c r="M60" s="73">
        <f t="shared" si="6"/>
        <v>12798895</v>
      </c>
      <c r="N60" s="73">
        <f t="shared" si="6"/>
        <v>12652548</v>
      </c>
      <c r="O60" s="73">
        <f t="shared" si="6"/>
        <v>12105338</v>
      </c>
      <c r="P60" s="73">
        <f t="shared" si="6"/>
        <v>13267257</v>
      </c>
      <c r="Q60" s="73">
        <f t="shared" si="6"/>
        <v>13606524</v>
      </c>
    </row>
    <row r="61" spans="2:19" x14ac:dyDescent="0.2">
      <c r="B61" s="2" t="s">
        <v>156</v>
      </c>
      <c r="F61" s="2" t="s">
        <v>157</v>
      </c>
      <c r="H61" s="87"/>
      <c r="L61" s="73">
        <f>L59*L60</f>
        <v>-80382.879217423906</v>
      </c>
      <c r="M61" s="73">
        <f t="shared" ref="M61:Q61" si="7">M59*M60</f>
        <v>299483.85316004197</v>
      </c>
      <c r="N61" s="73">
        <f t="shared" si="7"/>
        <v>98248.354035606346</v>
      </c>
      <c r="O61" s="73">
        <f t="shared" si="7"/>
        <v>-36397.529421598985</v>
      </c>
      <c r="P61" s="73">
        <f t="shared" si="7"/>
        <v>-332748.889248739</v>
      </c>
      <c r="Q61" s="73">
        <f t="shared" si="7"/>
        <v>-338790.75844324962</v>
      </c>
    </row>
    <row r="62" spans="2:19" x14ac:dyDescent="0.2">
      <c r="L62" s="74"/>
      <c r="M62" s="74"/>
    </row>
    <row r="63" spans="2:19" x14ac:dyDescent="0.2">
      <c r="B63" s="2" t="s">
        <v>227</v>
      </c>
      <c r="F63" s="2" t="s">
        <v>77</v>
      </c>
      <c r="H63" s="75">
        <f>L61+M61</f>
        <v>219100.97394261806</v>
      </c>
      <c r="L63" s="55"/>
      <c r="N63" s="23"/>
    </row>
    <row r="64" spans="2:19" x14ac:dyDescent="0.2">
      <c r="B64" s="2" t="s">
        <v>228</v>
      </c>
      <c r="F64" s="2" t="s">
        <v>171</v>
      </c>
      <c r="H64" s="75">
        <f>SUM(N61:Q61)</f>
        <v>-609688.82307798124</v>
      </c>
      <c r="L64" s="76"/>
      <c r="M64" s="76"/>
      <c r="N64" s="23"/>
      <c r="O64" s="76"/>
      <c r="P64" s="76"/>
      <c r="Q64" s="76"/>
    </row>
    <row r="65" spans="2:14" x14ac:dyDescent="0.2">
      <c r="B65" s="2" t="s">
        <v>158</v>
      </c>
      <c r="F65" s="2" t="s">
        <v>171</v>
      </c>
      <c r="H65" s="77">
        <f>H63*(1+H31)+H64</f>
        <v>-384014.81991708465</v>
      </c>
      <c r="L65" s="55"/>
      <c r="N65" s="23"/>
    </row>
    <row r="68" spans="2:14" s="66" customFormat="1" x14ac:dyDescent="0.2">
      <c r="B68" s="66" t="s">
        <v>229</v>
      </c>
    </row>
    <row r="70" spans="2:14" x14ac:dyDescent="0.2">
      <c r="B70" s="2" t="s">
        <v>230</v>
      </c>
      <c r="F70" s="2" t="s">
        <v>74</v>
      </c>
      <c r="H70" s="78">
        <f>H19+H21</f>
        <v>148114150.243</v>
      </c>
    </row>
    <row r="71" spans="2:14" x14ac:dyDescent="0.2">
      <c r="B71" s="2" t="s">
        <v>231</v>
      </c>
      <c r="F71" s="2" t="s">
        <v>80</v>
      </c>
      <c r="H71" s="79">
        <f>'Gegevens inkoopcorrectie'!H47</f>
        <v>0.48457129668392435</v>
      </c>
    </row>
    <row r="72" spans="2:14" x14ac:dyDescent="0.2">
      <c r="B72" s="2" t="s">
        <v>170</v>
      </c>
      <c r="F72" s="2" t="s">
        <v>74</v>
      </c>
      <c r="H72" s="80">
        <f>H70*(1-H71)</f>
        <v>76342284.402511895</v>
      </c>
    </row>
    <row r="78" spans="2:14" x14ac:dyDescent="0.2">
      <c r="B78" s="25" t="s">
        <v>66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2BA7D-D961-4322-91E8-A15AFA07B4F0}">
  <sheetPr>
    <tabColor rgb="FFFFFFCC"/>
  </sheetPr>
  <dimension ref="B2:R51"/>
  <sheetViews>
    <sheetView showGridLines="0" zoomScale="85" zoomScaleNormal="85" workbookViewId="0">
      <pane xSplit="6" ySplit="12" topLeftCell="G13" activePane="bottomRight" state="frozen"/>
      <selection activeCell="F51" sqref="F51"/>
      <selection pane="topRight" activeCell="F51" sqref="F51"/>
      <selection pane="bottomLeft" activeCell="F51" sqref="F51"/>
      <selection pane="bottomRight"/>
    </sheetView>
  </sheetViews>
  <sheetFormatPr defaultRowHeight="12.75" x14ac:dyDescent="0.2"/>
  <cols>
    <col min="1" max="1" width="5.7109375" style="2" customWidth="1"/>
    <col min="2" max="2" width="62.42578125" style="2" customWidth="1"/>
    <col min="3" max="5" width="5.7109375" style="2" customWidth="1"/>
    <col min="6" max="6" width="20.28515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3" width="13.7109375" style="2" customWidth="1"/>
    <col min="24" max="16384" width="9.140625" style="2"/>
  </cols>
  <sheetData>
    <row r="2" spans="2:18" s="14" customFormat="1" ht="18" x14ac:dyDescent="0.2">
      <c r="B2" s="14" t="s">
        <v>232</v>
      </c>
    </row>
    <row r="4" spans="2:18" x14ac:dyDescent="0.2">
      <c r="B4" s="1" t="s">
        <v>50</v>
      </c>
      <c r="C4" s="1"/>
      <c r="D4" s="1"/>
    </row>
    <row r="5" spans="2:18" x14ac:dyDescent="0.2">
      <c r="B5" s="2" t="s">
        <v>233</v>
      </c>
      <c r="H5" s="15"/>
    </row>
    <row r="6" spans="2:18" x14ac:dyDescent="0.2">
      <c r="H6" s="15"/>
    </row>
    <row r="7" spans="2:18" x14ac:dyDescent="0.2">
      <c r="B7" s="25" t="s">
        <v>25</v>
      </c>
      <c r="H7" s="15"/>
    </row>
    <row r="8" spans="2:18" x14ac:dyDescent="0.2">
      <c r="B8" s="25" t="s">
        <v>159</v>
      </c>
      <c r="H8" s="15"/>
    </row>
    <row r="9" spans="2:18" x14ac:dyDescent="0.2">
      <c r="H9" s="15"/>
    </row>
    <row r="11" spans="2:18" s="8" customFormat="1" x14ac:dyDescent="0.2">
      <c r="B11" s="8" t="s">
        <v>39</v>
      </c>
      <c r="F11" s="8" t="s">
        <v>22</v>
      </c>
      <c r="H11" s="8" t="s">
        <v>23</v>
      </c>
      <c r="J11" s="8" t="s">
        <v>41</v>
      </c>
    </row>
    <row r="14" spans="2:18" s="66" customFormat="1" x14ac:dyDescent="0.2">
      <c r="B14" s="66" t="s">
        <v>160</v>
      </c>
      <c r="H14" s="81"/>
    </row>
    <row r="15" spans="2:18" x14ac:dyDescent="0.2">
      <c r="H15" s="50"/>
    </row>
    <row r="16" spans="2:18" s="59" customFormat="1" x14ac:dyDescent="0.2">
      <c r="B16" s="58" t="s">
        <v>202</v>
      </c>
      <c r="L16" s="82"/>
      <c r="M16" s="82"/>
      <c r="N16" s="82"/>
      <c r="O16" s="82"/>
      <c r="P16" s="82"/>
      <c r="Q16" s="82"/>
      <c r="R16" s="83"/>
    </row>
    <row r="17" spans="2:18" s="59" customFormat="1" x14ac:dyDescent="0.2">
      <c r="B17" s="34" t="s">
        <v>116</v>
      </c>
      <c r="F17" s="2" t="s">
        <v>74</v>
      </c>
      <c r="H17" s="31">
        <f>'Gegevens nieuwe productieprijs'!H16</f>
        <v>102738899</v>
      </c>
      <c r="J17" s="60"/>
      <c r="R17" s="84"/>
    </row>
    <row r="18" spans="2:18" s="59" customFormat="1" x14ac:dyDescent="0.2">
      <c r="B18" s="34" t="s">
        <v>117</v>
      </c>
      <c r="F18" s="2" t="s">
        <v>74</v>
      </c>
      <c r="H18" s="31">
        <f>'Gegevens nieuwe productieprijs'!H17</f>
        <v>45143787.243000001</v>
      </c>
      <c r="J18" s="60"/>
      <c r="R18" s="84"/>
    </row>
    <row r="19" spans="2:18" s="59" customFormat="1" x14ac:dyDescent="0.2">
      <c r="B19" s="60" t="s">
        <v>214</v>
      </c>
      <c r="F19" s="2" t="s">
        <v>74</v>
      </c>
      <c r="H19" s="61">
        <f>H17+H18</f>
        <v>147882686.243</v>
      </c>
      <c r="R19" s="84"/>
    </row>
    <row r="20" spans="2:18" s="59" customFormat="1" x14ac:dyDescent="0.2">
      <c r="R20" s="84"/>
    </row>
    <row r="21" spans="2:18" s="59" customFormat="1" x14ac:dyDescent="0.2">
      <c r="B21" s="58" t="s">
        <v>161</v>
      </c>
      <c r="R21" s="84"/>
    </row>
    <row r="22" spans="2:18" s="59" customFormat="1" x14ac:dyDescent="0.2">
      <c r="B22" s="2" t="s">
        <v>203</v>
      </c>
      <c r="F22" s="2" t="s">
        <v>173</v>
      </c>
      <c r="H22" s="38">
        <f>'Gegevens inkoopcorrectie'!H26</f>
        <v>0.14101</v>
      </c>
      <c r="R22" s="84"/>
    </row>
    <row r="23" spans="2:18" s="59" customFormat="1" x14ac:dyDescent="0.2">
      <c r="B23" s="60" t="s">
        <v>118</v>
      </c>
      <c r="F23" s="60" t="s">
        <v>119</v>
      </c>
      <c r="H23" s="38">
        <f>'Gegevens nieuwe productieprijs'!H21</f>
        <v>0.27365698782011383</v>
      </c>
      <c r="R23" s="84"/>
    </row>
    <row r="24" spans="2:18" s="59" customFormat="1" x14ac:dyDescent="0.2">
      <c r="B24" s="2" t="s">
        <v>216</v>
      </c>
      <c r="F24" s="2" t="s">
        <v>121</v>
      </c>
      <c r="H24" s="38">
        <f>'Gegevens nieuwe productieprijs'!H24</f>
        <v>0.98219999999999996</v>
      </c>
      <c r="R24" s="84"/>
    </row>
    <row r="25" spans="2:18" s="59" customFormat="1" x14ac:dyDescent="0.2">
      <c r="R25" s="84"/>
    </row>
    <row r="26" spans="2:18" x14ac:dyDescent="0.2">
      <c r="H26" s="50"/>
    </row>
    <row r="27" spans="2:18" s="66" customFormat="1" x14ac:dyDescent="0.2">
      <c r="B27" s="66" t="s">
        <v>162</v>
      </c>
    </row>
    <row r="28" spans="2:18" x14ac:dyDescent="0.2">
      <c r="H28" s="50"/>
    </row>
    <row r="29" spans="2:18" x14ac:dyDescent="0.2">
      <c r="B29" s="1" t="s">
        <v>163</v>
      </c>
      <c r="H29" s="50"/>
    </row>
    <row r="30" spans="2:18" x14ac:dyDescent="0.2">
      <c r="B30" s="2" t="s">
        <v>206</v>
      </c>
      <c r="F30" s="2" t="s">
        <v>74</v>
      </c>
      <c r="H30" s="31">
        <f>'Gegevens inkoopcorrectie'!H38</f>
        <v>231464</v>
      </c>
    </row>
    <row r="31" spans="2:18" x14ac:dyDescent="0.2">
      <c r="B31" s="2" t="s">
        <v>234</v>
      </c>
      <c r="F31" s="2" t="s">
        <v>173</v>
      </c>
      <c r="H31" s="38">
        <f>'Gegevens inkoopcorrectie'!H39</f>
        <v>0.74350000000000005</v>
      </c>
      <c r="J31" s="2" t="s">
        <v>164</v>
      </c>
    </row>
    <row r="32" spans="2:18" x14ac:dyDescent="0.2">
      <c r="H32" s="50"/>
    </row>
    <row r="33" spans="2:10" x14ac:dyDescent="0.2">
      <c r="H33" s="50"/>
    </row>
    <row r="34" spans="2:10" s="66" customFormat="1" x14ac:dyDescent="0.2">
      <c r="B34" s="66" t="s">
        <v>236</v>
      </c>
    </row>
    <row r="35" spans="2:10" x14ac:dyDescent="0.2">
      <c r="H35" s="50"/>
    </row>
    <row r="36" spans="2:10" x14ac:dyDescent="0.2">
      <c r="B36" s="1" t="s">
        <v>165</v>
      </c>
      <c r="H36" s="50"/>
    </row>
    <row r="37" spans="2:10" x14ac:dyDescent="0.2">
      <c r="B37" s="2" t="s">
        <v>166</v>
      </c>
      <c r="F37" s="2" t="s">
        <v>80</v>
      </c>
      <c r="H37" s="85">
        <f>H17/H19</f>
        <v>0.69473243697494114</v>
      </c>
    </row>
    <row r="38" spans="2:10" x14ac:dyDescent="0.2">
      <c r="B38" s="2" t="s">
        <v>235</v>
      </c>
      <c r="F38" s="2" t="s">
        <v>173</v>
      </c>
      <c r="H38" s="39">
        <f>H37*H24*H23</f>
        <v>0.18673427877191534</v>
      </c>
      <c r="J38" s="2" t="s">
        <v>167</v>
      </c>
    </row>
    <row r="39" spans="2:10" x14ac:dyDescent="0.2">
      <c r="H39" s="50"/>
    </row>
    <row r="40" spans="2:10" x14ac:dyDescent="0.2">
      <c r="H40" s="50"/>
    </row>
    <row r="41" spans="2:10" s="66" customFormat="1" x14ac:dyDescent="0.2">
      <c r="B41" s="66" t="s">
        <v>237</v>
      </c>
    </row>
    <row r="42" spans="2:10" x14ac:dyDescent="0.2">
      <c r="H42" s="50"/>
    </row>
    <row r="43" spans="2:10" x14ac:dyDescent="0.2">
      <c r="B43" s="1" t="s">
        <v>238</v>
      </c>
      <c r="H43" s="50"/>
    </row>
    <row r="44" spans="2:10" x14ac:dyDescent="0.2">
      <c r="B44" s="2" t="s">
        <v>239</v>
      </c>
      <c r="F44" s="2" t="s">
        <v>173</v>
      </c>
      <c r="H44" s="69">
        <f>H22+H38</f>
        <v>0.32774427877191536</v>
      </c>
    </row>
    <row r="45" spans="2:10" x14ac:dyDescent="0.2">
      <c r="B45" s="2" t="s">
        <v>240</v>
      </c>
      <c r="F45" s="2" t="s">
        <v>173</v>
      </c>
      <c r="H45" s="41">
        <f>(H44*H19+H31*H30)/(H19+H30)</f>
        <v>0.32839399712833472</v>
      </c>
      <c r="J45" s="2" t="s">
        <v>266</v>
      </c>
    </row>
    <row r="46" spans="2:10" x14ac:dyDescent="0.2">
      <c r="H46" s="50"/>
    </row>
    <row r="51" spans="2:2" x14ac:dyDescent="0.2">
      <c r="B51" s="25" t="s">
        <v>66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H39"/>
  <sheetViews>
    <sheetView showGridLines="0" zoomScale="85" zoomScaleNormal="85" workbookViewId="0">
      <pane ySplit="3" topLeftCell="A4" activePane="bottomLeft" state="frozen"/>
      <selection activeCell="O39" sqref="O39"/>
      <selection pane="bottomLeft"/>
    </sheetView>
  </sheetViews>
  <sheetFormatPr defaultRowHeight="12.75" x14ac:dyDescent="0.2"/>
  <cols>
    <col min="1" max="1" width="5.7109375" style="2" customWidth="1"/>
    <col min="2" max="2" width="35.28515625" style="2" customWidth="1"/>
    <col min="3" max="3" width="2.7109375" style="2" customWidth="1"/>
    <col min="4" max="4" width="86.140625" style="2" customWidth="1"/>
    <col min="5" max="5" width="29.85546875" style="2" customWidth="1"/>
    <col min="6" max="6" width="24.7109375" style="2" customWidth="1"/>
    <col min="7" max="7" width="37.28515625" style="2" customWidth="1"/>
    <col min="8" max="16384" width="9.140625" style="2"/>
  </cols>
  <sheetData>
    <row r="2" spans="2:8" s="7" customFormat="1" ht="18" x14ac:dyDescent="0.2">
      <c r="B2" s="7" t="s">
        <v>47</v>
      </c>
    </row>
    <row r="5" spans="2:8" s="8" customFormat="1" x14ac:dyDescent="0.2">
      <c r="B5" s="8" t="s">
        <v>13</v>
      </c>
    </row>
    <row r="7" spans="2:8" x14ac:dyDescent="0.2">
      <c r="B7" s="19" t="s">
        <v>271</v>
      </c>
    </row>
    <row r="8" spans="2:8" x14ac:dyDescent="0.2">
      <c r="B8" s="2" t="s">
        <v>272</v>
      </c>
      <c r="H8" s="27"/>
    </row>
    <row r="9" spans="2:8" x14ac:dyDescent="0.2">
      <c r="B9" s="2" t="s">
        <v>270</v>
      </c>
    </row>
    <row r="10" spans="2:8" x14ac:dyDescent="0.2">
      <c r="B10" s="21" t="s">
        <v>273</v>
      </c>
    </row>
    <row r="13" spans="2:8" s="8" customFormat="1" x14ac:dyDescent="0.2">
      <c r="B13" s="8" t="s">
        <v>14</v>
      </c>
    </row>
    <row r="14" spans="2:8" x14ac:dyDescent="0.2">
      <c r="C14" s="9"/>
    </row>
    <row r="15" spans="2:8" x14ac:dyDescent="0.2">
      <c r="B15" s="24" t="s">
        <v>33</v>
      </c>
      <c r="C15" s="9"/>
      <c r="D15" s="24" t="s">
        <v>15</v>
      </c>
      <c r="F15" s="12"/>
    </row>
    <row r="16" spans="2:8" x14ac:dyDescent="0.2">
      <c r="C16" s="9"/>
    </row>
    <row r="17" spans="2:6" x14ac:dyDescent="0.2">
      <c r="B17" s="28">
        <v>123</v>
      </c>
      <c r="C17" s="9"/>
      <c r="D17" s="19" t="s">
        <v>58</v>
      </c>
    </row>
    <row r="18" spans="2:6" x14ac:dyDescent="0.2">
      <c r="B18" s="31">
        <f>B17</f>
        <v>123</v>
      </c>
      <c r="C18" s="9"/>
      <c r="D18" s="2" t="s">
        <v>16</v>
      </c>
    </row>
    <row r="19" spans="2:6" x14ac:dyDescent="0.2">
      <c r="B19" s="32">
        <f>B18+B17</f>
        <v>246</v>
      </c>
      <c r="C19" s="9"/>
      <c r="D19" s="2" t="s">
        <v>17</v>
      </c>
    </row>
    <row r="20" spans="2:6" x14ac:dyDescent="0.2">
      <c r="B20" s="26">
        <f>B18+B19</f>
        <v>369</v>
      </c>
      <c r="C20" s="9"/>
      <c r="D20" s="19" t="s">
        <v>59</v>
      </c>
      <c r="E20" s="12"/>
      <c r="F20" s="5"/>
    </row>
    <row r="21" spans="2:6" x14ac:dyDescent="0.2">
      <c r="B21" s="35"/>
      <c r="C21" s="9"/>
      <c r="D21" s="19" t="s">
        <v>18</v>
      </c>
      <c r="E21" s="12"/>
    </row>
    <row r="22" spans="2:6" x14ac:dyDescent="0.2">
      <c r="B22" s="9"/>
      <c r="C22" s="9"/>
    </row>
    <row r="24" spans="2:6" x14ac:dyDescent="0.2">
      <c r="B24" s="24" t="s">
        <v>29</v>
      </c>
    </row>
    <row r="25" spans="2:6" x14ac:dyDescent="0.2">
      <c r="B25" s="1"/>
    </row>
    <row r="26" spans="2:6" x14ac:dyDescent="0.2">
      <c r="B26" s="25" t="s">
        <v>34</v>
      </c>
    </row>
    <row r="27" spans="2:6" x14ac:dyDescent="0.2">
      <c r="B27" s="26" t="s">
        <v>28</v>
      </c>
      <c r="C27" s="9"/>
      <c r="D27" s="3" t="s">
        <v>37</v>
      </c>
    </row>
    <row r="28" spans="2:6" x14ac:dyDescent="0.2">
      <c r="B28" s="28" t="s">
        <v>26</v>
      </c>
      <c r="C28" s="9"/>
      <c r="D28" s="3" t="s">
        <v>30</v>
      </c>
    </row>
    <row r="29" spans="2:6" x14ac:dyDescent="0.2">
      <c r="B29" s="32" t="s">
        <v>27</v>
      </c>
      <c r="C29" s="9"/>
      <c r="D29" s="3" t="s">
        <v>31</v>
      </c>
    </row>
    <row r="30" spans="2:6" x14ac:dyDescent="0.2">
      <c r="C30" s="9"/>
      <c r="D30" s="3"/>
    </row>
    <row r="31" spans="2:6" x14ac:dyDescent="0.2">
      <c r="B31" s="25" t="s">
        <v>36</v>
      </c>
      <c r="C31" s="9"/>
      <c r="D31" s="3"/>
    </row>
    <row r="32" spans="2:6" x14ac:dyDescent="0.2">
      <c r="B32" s="17" t="s">
        <v>32</v>
      </c>
      <c r="C32" s="9"/>
      <c r="D32" s="3" t="s">
        <v>38</v>
      </c>
    </row>
    <row r="33" spans="2:4" x14ac:dyDescent="0.2">
      <c r="B33" s="18" t="s">
        <v>35</v>
      </c>
      <c r="D33" s="19" t="s">
        <v>60</v>
      </c>
    </row>
    <row r="39" spans="2:4" x14ac:dyDescent="0.2">
      <c r="B39" s="25" t="s">
        <v>66</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I33"/>
  <sheetViews>
    <sheetView showGridLines="0" zoomScale="85" zoomScaleNormal="85" workbookViewId="0">
      <pane ySplit="3" topLeftCell="A4" activePane="bottomLeft" state="frozen"/>
      <selection activeCell="B6" sqref="B6"/>
      <selection pane="bottomLeft"/>
    </sheetView>
  </sheetViews>
  <sheetFormatPr defaultRowHeight="12.75" x14ac:dyDescent="0.2"/>
  <cols>
    <col min="1" max="1" width="5.7109375" style="2" customWidth="1"/>
    <col min="2" max="2" width="7.5703125" style="2" customWidth="1"/>
    <col min="3" max="3" width="35.140625" style="2" customWidth="1"/>
    <col min="4" max="5" width="36.28515625" style="2" customWidth="1"/>
    <col min="6" max="6" width="40.7109375" style="2" customWidth="1"/>
    <col min="7" max="7" width="49.7109375" style="2" customWidth="1"/>
    <col min="8" max="8" width="5.7109375" style="2" customWidth="1"/>
    <col min="9" max="16384" width="9.140625" style="2"/>
  </cols>
  <sheetData>
    <row r="2" spans="2:9" s="7" customFormat="1" ht="18" x14ac:dyDescent="0.2">
      <c r="B2" s="7" t="s">
        <v>19</v>
      </c>
    </row>
    <row r="5" spans="2:9" s="8" customFormat="1" x14ac:dyDescent="0.2">
      <c r="B5" s="8" t="s">
        <v>20</v>
      </c>
    </row>
    <row r="7" spans="2:9" x14ac:dyDescent="0.2">
      <c r="B7" s="25" t="s">
        <v>55</v>
      </c>
    </row>
    <row r="8" spans="2:9" x14ac:dyDescent="0.2">
      <c r="B8" s="25" t="s">
        <v>56</v>
      </c>
    </row>
    <row r="10" spans="2:9" x14ac:dyDescent="0.2">
      <c r="B10" s="16" t="s">
        <v>48</v>
      </c>
      <c r="C10" s="16" t="s">
        <v>49</v>
      </c>
      <c r="D10" s="16" t="s">
        <v>67</v>
      </c>
      <c r="E10" s="16" t="s">
        <v>54</v>
      </c>
      <c r="F10" s="16" t="s">
        <v>68</v>
      </c>
      <c r="G10" s="16" t="s">
        <v>0</v>
      </c>
      <c r="I10" s="23"/>
    </row>
    <row r="11" spans="2:9" x14ac:dyDescent="0.2">
      <c r="B11" s="13"/>
      <c r="C11" s="20" t="s">
        <v>53</v>
      </c>
      <c r="D11" s="20" t="s">
        <v>21</v>
      </c>
      <c r="E11" s="20" t="s">
        <v>57</v>
      </c>
      <c r="F11" s="20" t="s">
        <v>69</v>
      </c>
      <c r="G11" s="20"/>
    </row>
    <row r="12" spans="2:9" x14ac:dyDescent="0.2">
      <c r="B12" s="22">
        <v>1</v>
      </c>
      <c r="C12" s="6" t="s">
        <v>241</v>
      </c>
      <c r="D12" s="6"/>
      <c r="E12" s="6"/>
      <c r="F12" s="29" t="s">
        <v>258</v>
      </c>
      <c r="G12" s="6"/>
    </row>
    <row r="13" spans="2:9" x14ac:dyDescent="0.2">
      <c r="B13" s="6">
        <v>2</v>
      </c>
      <c r="C13" s="6" t="s">
        <v>248</v>
      </c>
      <c r="D13" s="6"/>
      <c r="E13" s="6"/>
      <c r="F13" s="29" t="s">
        <v>257</v>
      </c>
      <c r="G13" s="6"/>
    </row>
    <row r="14" spans="2:9" x14ac:dyDescent="0.2">
      <c r="B14" s="6">
        <v>3</v>
      </c>
      <c r="C14" s="6" t="s">
        <v>249</v>
      </c>
      <c r="D14" s="6"/>
      <c r="E14" s="6"/>
      <c r="F14" s="29" t="s">
        <v>254</v>
      </c>
      <c r="G14" s="6"/>
    </row>
    <row r="15" spans="2:9" x14ac:dyDescent="0.2">
      <c r="B15" s="6">
        <v>4</v>
      </c>
      <c r="C15" s="6" t="s">
        <v>242</v>
      </c>
      <c r="D15" s="6"/>
      <c r="E15" s="6"/>
      <c r="F15" s="29" t="s">
        <v>256</v>
      </c>
      <c r="G15" s="6"/>
    </row>
    <row r="16" spans="2:9" x14ac:dyDescent="0.2">
      <c r="B16" s="6">
        <v>5</v>
      </c>
      <c r="C16" s="6" t="s">
        <v>250</v>
      </c>
      <c r="D16" s="6"/>
      <c r="E16" s="6"/>
      <c r="F16" s="29" t="s">
        <v>255</v>
      </c>
      <c r="G16" s="6"/>
    </row>
    <row r="17" spans="2:7" x14ac:dyDescent="0.2">
      <c r="B17" s="6">
        <v>6</v>
      </c>
      <c r="C17" s="6" t="s">
        <v>243</v>
      </c>
      <c r="D17" s="6"/>
      <c r="E17" s="6"/>
      <c r="F17" s="6" t="s">
        <v>275</v>
      </c>
      <c r="G17" s="6"/>
    </row>
    <row r="18" spans="2:7" x14ac:dyDescent="0.2">
      <c r="B18" s="6">
        <v>7</v>
      </c>
      <c r="C18" s="6" t="s">
        <v>244</v>
      </c>
      <c r="D18" s="6"/>
      <c r="E18" s="6"/>
      <c r="F18" s="6" t="s">
        <v>274</v>
      </c>
      <c r="G18" s="6"/>
    </row>
    <row r="19" spans="2:7" x14ac:dyDescent="0.2">
      <c r="B19" s="6">
        <v>8</v>
      </c>
      <c r="C19" s="6" t="s">
        <v>245</v>
      </c>
      <c r="D19" s="6"/>
      <c r="E19" s="6"/>
      <c r="F19" s="6" t="s">
        <v>276</v>
      </c>
      <c r="G19" s="6"/>
    </row>
    <row r="20" spans="2:7" x14ac:dyDescent="0.2">
      <c r="B20" s="6">
        <v>9</v>
      </c>
      <c r="C20" s="6" t="s">
        <v>246</v>
      </c>
      <c r="D20" s="6"/>
      <c r="E20" s="6"/>
      <c r="F20" s="86" t="s">
        <v>259</v>
      </c>
      <c r="G20" s="6"/>
    </row>
    <row r="21" spans="2:7" x14ac:dyDescent="0.2">
      <c r="B21" s="6">
        <v>10</v>
      </c>
      <c r="C21" s="6"/>
      <c r="D21" s="6"/>
      <c r="E21" s="6"/>
      <c r="F21" s="6"/>
      <c r="G21" s="6"/>
    </row>
    <row r="24" spans="2:7" s="8" customFormat="1" x14ac:dyDescent="0.2">
      <c r="B24" s="8" t="s">
        <v>46</v>
      </c>
    </row>
    <row r="26" spans="2:7" x14ac:dyDescent="0.2">
      <c r="B26" s="25" t="s">
        <v>44</v>
      </c>
    </row>
    <row r="27" spans="2:7" x14ac:dyDescent="0.2">
      <c r="B27" s="25" t="s">
        <v>45</v>
      </c>
    </row>
    <row r="33" spans="2:2" x14ac:dyDescent="0.2">
      <c r="B33" s="25" t="s">
        <v>66</v>
      </c>
    </row>
  </sheetData>
  <hyperlinks>
    <hyperlink ref="F14" r:id="rId1" display="https://www.acm.nl/nl/publicaties/beschikking-distributietarieven-drinkwater-2024-bonaire-web" xr:uid="{4B42E2AB-D11E-4283-BCC9-074AABAE548F}"/>
    <hyperlink ref="F16" r:id="rId2" display="https://www.acm.nl/nl/publicaties/beschikking-productieprijs-elektriciteit-2024-bonaire-contourglobal" xr:uid="{4354972A-EA08-4F0F-9ABC-12AABAB7BD12}"/>
    <hyperlink ref="F15" r:id="rId3" display="https://www.acm.nl/nl/publicaties/beschikking-productieprijs-elektriciteit-2023-bonaire-contourglobal" xr:uid="{157BACC3-A614-405A-9B8A-45E534852DC4}"/>
    <hyperlink ref="F13" r:id="rId4" location=":~:text=De%20ACM%20past%20het%20variabele,jaarlijks%20vast%20per%201%20januari." display="https://www.acm.nl/nl/publicaties/beschikking-variabel-tarief-elektriciteit-1-juli-2023-bonaire - :~:text=De%20ACM%20past%20het%20variabele,jaarlijks%20vast%20per%201%20januari." xr:uid="{03A0224B-6BC7-4B99-8705-DB9BBF9A2A52}"/>
    <hyperlink ref="F12" r:id="rId5" display="https://www.acm.nl/nl/publicaties/beschikking-distributietarieven-elektriciteit-2023-bonaire-web" xr:uid="{C58039EA-EA22-49CF-86A9-EF644BA7D241}"/>
    <hyperlink ref="F20" r:id="rId6" xr:uid="{85A42F44-E24B-4D16-BF66-49BDA58B3CC1}"/>
  </hyperlinks>
  <pageMargins left="0.75" right="0.75" top="1" bottom="1" header="0.5" footer="0.5"/>
  <pageSetup paperSize="9"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AB553-847B-4EA2-B069-09B01138A81E}">
  <sheetPr>
    <tabColor rgb="FFCCFFFF"/>
  </sheetPr>
  <dimension ref="B2:K47"/>
  <sheetViews>
    <sheetView showGridLines="0" zoomScale="85" zoomScaleNormal="85" workbookViewId="0">
      <pane xSplit="6" ySplit="10" topLeftCell="G11" activePane="bottomRight" state="frozen"/>
      <selection activeCell="F51" sqref="F51"/>
      <selection pane="topRight" activeCell="F51" sqref="F51"/>
      <selection pane="bottomLeft" activeCell="F51" sqref="F51"/>
      <selection pane="bottomRight"/>
    </sheetView>
  </sheetViews>
  <sheetFormatPr defaultRowHeight="12.75" x14ac:dyDescent="0.2"/>
  <cols>
    <col min="1" max="1" width="5.7109375" style="2" customWidth="1"/>
    <col min="2" max="2" width="75.42578125" style="2" customWidth="1"/>
    <col min="3" max="5" width="5.7109375" style="2" customWidth="1"/>
    <col min="6" max="6" width="20.7109375" style="2" customWidth="1"/>
    <col min="7" max="7" width="2.7109375" style="2" customWidth="1"/>
    <col min="8" max="8" width="13.7109375" style="2" customWidth="1"/>
    <col min="9" max="9" width="2.7109375" style="2" customWidth="1"/>
    <col min="10" max="10" width="39.28515625" style="2" customWidth="1"/>
    <col min="11" max="24" width="13.7109375" style="2" customWidth="1"/>
    <col min="25" max="16384" width="9.140625" style="2"/>
  </cols>
  <sheetData>
    <row r="2" spans="2:10" s="14" customFormat="1" ht="18" x14ac:dyDescent="0.2">
      <c r="B2" s="14" t="s">
        <v>28</v>
      </c>
    </row>
    <row r="4" spans="2:10" x14ac:dyDescent="0.2">
      <c r="B4" s="24" t="s">
        <v>51</v>
      </c>
      <c r="C4" s="1"/>
      <c r="D4" s="1"/>
    </row>
    <row r="5" spans="2:10" x14ac:dyDescent="0.2">
      <c r="B5" s="2" t="s">
        <v>168</v>
      </c>
      <c r="H5" s="15"/>
    </row>
    <row r="6" spans="2:10" x14ac:dyDescent="0.2">
      <c r="B6" s="2" t="s">
        <v>73</v>
      </c>
      <c r="H6" s="15"/>
    </row>
    <row r="7" spans="2:10" x14ac:dyDescent="0.2">
      <c r="B7" s="4"/>
    </row>
    <row r="9" spans="2:10" s="8" customFormat="1" x14ac:dyDescent="0.2">
      <c r="B9" s="8" t="s">
        <v>39</v>
      </c>
      <c r="F9" s="8" t="s">
        <v>22</v>
      </c>
      <c r="H9" s="8" t="s">
        <v>23</v>
      </c>
      <c r="J9" s="8" t="s">
        <v>41</v>
      </c>
    </row>
    <row r="12" spans="2:10" s="8" customFormat="1" x14ac:dyDescent="0.2">
      <c r="B12" s="8" t="s">
        <v>169</v>
      </c>
    </row>
    <row r="14" spans="2:10" x14ac:dyDescent="0.2">
      <c r="B14" s="2" t="s">
        <v>170</v>
      </c>
      <c r="F14" s="2" t="s">
        <v>74</v>
      </c>
      <c r="H14" s="36">
        <f>'Inkoopcorrectie brandstof'!H72</f>
        <v>76342284.402511895</v>
      </c>
    </row>
    <row r="16" spans="2:10" x14ac:dyDescent="0.2">
      <c r="B16" s="1" t="s">
        <v>75</v>
      </c>
    </row>
    <row r="17" spans="2:10" x14ac:dyDescent="0.2">
      <c r="B17" s="2" t="s">
        <v>76</v>
      </c>
      <c r="F17" s="2" t="s">
        <v>171</v>
      </c>
      <c r="H17" s="36">
        <f>'Inkoopcorrectie brandstof'!H65</f>
        <v>-384014.81991708465</v>
      </c>
      <c r="J17" s="2" t="s">
        <v>172</v>
      </c>
    </row>
    <row r="18" spans="2:10" x14ac:dyDescent="0.2">
      <c r="B18" s="2" t="s">
        <v>78</v>
      </c>
      <c r="F18" s="2" t="s">
        <v>173</v>
      </c>
      <c r="H18" s="37">
        <f>H17/H14</f>
        <v>-5.0301719803455261E-3</v>
      </c>
    </row>
    <row r="20" spans="2:10" x14ac:dyDescent="0.2">
      <c r="B20" s="1" t="s">
        <v>174</v>
      </c>
    </row>
    <row r="21" spans="2:10" x14ac:dyDescent="0.2">
      <c r="B21" s="2" t="s">
        <v>175</v>
      </c>
      <c r="F21" s="2" t="s">
        <v>173</v>
      </c>
      <c r="H21" s="38">
        <f>'Gegevens nieuwe productieprijs'!H32</f>
        <v>-4.1347349430065533E-5</v>
      </c>
    </row>
    <row r="23" spans="2:10" x14ac:dyDescent="0.2">
      <c r="B23" s="2" t="s">
        <v>176</v>
      </c>
      <c r="F23" s="2" t="s">
        <v>173</v>
      </c>
      <c r="H23" s="39">
        <f>H18+H21</f>
        <v>-5.0715193297755914E-3</v>
      </c>
    </row>
    <row r="26" spans="2:10" s="8" customFormat="1" x14ac:dyDescent="0.2">
      <c r="B26" s="8" t="s">
        <v>177</v>
      </c>
    </row>
    <row r="28" spans="2:10" x14ac:dyDescent="0.2">
      <c r="B28" s="1" t="s">
        <v>178</v>
      </c>
    </row>
    <row r="29" spans="2:10" x14ac:dyDescent="0.2">
      <c r="B29" s="2" t="s">
        <v>179</v>
      </c>
      <c r="F29" s="2" t="s">
        <v>173</v>
      </c>
      <c r="H29" s="38">
        <f>'Schatting productieprijs'!H45</f>
        <v>0.32839399712833472</v>
      </c>
    </row>
    <row r="30" spans="2:10" x14ac:dyDescent="0.2">
      <c r="B30" s="2" t="s">
        <v>176</v>
      </c>
      <c r="F30" s="2" t="s">
        <v>173</v>
      </c>
      <c r="H30" s="38">
        <f>H23</f>
        <v>-5.0715193297755914E-3</v>
      </c>
    </row>
    <row r="31" spans="2:10" x14ac:dyDescent="0.2">
      <c r="B31" s="2" t="s">
        <v>180</v>
      </c>
      <c r="F31" s="2" t="s">
        <v>80</v>
      </c>
      <c r="H31" s="40">
        <f>'Gegevens inkoopcorrectie'!H48</f>
        <v>8.9168918694288099E-2</v>
      </c>
    </row>
    <row r="32" spans="2:10" x14ac:dyDescent="0.2">
      <c r="B32" s="2" t="s">
        <v>181</v>
      </c>
      <c r="F32" s="2" t="s">
        <v>173</v>
      </c>
      <c r="H32" s="39">
        <f>(H29+H30)/(1-H31)</f>
        <v>0.35497523573203471</v>
      </c>
    </row>
    <row r="33" spans="2:11" x14ac:dyDescent="0.2">
      <c r="B33" s="2" t="s">
        <v>182</v>
      </c>
      <c r="F33" s="2" t="s">
        <v>173</v>
      </c>
      <c r="H33" s="41">
        <f>ROUND(H32,4)</f>
        <v>0.35499999999999998</v>
      </c>
      <c r="K33" s="44"/>
    </row>
    <row r="35" spans="2:11" x14ac:dyDescent="0.2">
      <c r="B35" s="1" t="s">
        <v>183</v>
      </c>
    </row>
    <row r="36" spans="2:11" x14ac:dyDescent="0.2">
      <c r="B36" s="2" t="s">
        <v>184</v>
      </c>
      <c r="F36" s="2" t="s">
        <v>173</v>
      </c>
      <c r="H36" s="42">
        <f>'Gegevens inkoopcorrectie'!H45</f>
        <v>0.35749999999999998</v>
      </c>
    </row>
    <row r="37" spans="2:11" x14ac:dyDescent="0.2">
      <c r="B37" s="2" t="s">
        <v>185</v>
      </c>
      <c r="F37" s="2" t="s">
        <v>173</v>
      </c>
      <c r="H37" s="42">
        <f>'Gegevens inkoopcorrectie'!H46</f>
        <v>0.6371</v>
      </c>
    </row>
    <row r="38" spans="2:11" x14ac:dyDescent="0.2">
      <c r="B38" s="2" t="s">
        <v>186</v>
      </c>
      <c r="F38" s="2" t="s">
        <v>173</v>
      </c>
      <c r="H38" s="43">
        <f>H37+(H33-H36)</f>
        <v>0.63460000000000005</v>
      </c>
      <c r="J38" s="2" t="s">
        <v>81</v>
      </c>
    </row>
    <row r="41" spans="2:11" x14ac:dyDescent="0.2">
      <c r="H41" s="44"/>
    </row>
    <row r="42" spans="2:11" x14ac:dyDescent="0.2">
      <c r="B42" s="5"/>
      <c r="H42" s="44"/>
    </row>
    <row r="43" spans="2:11" x14ac:dyDescent="0.2">
      <c r="B43" s="25" t="s">
        <v>66</v>
      </c>
    </row>
    <row r="44" spans="2:11" x14ac:dyDescent="0.2">
      <c r="H44" s="44"/>
    </row>
    <row r="47" spans="2:11" x14ac:dyDescent="0.2">
      <c r="H47" s="4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C1BA3-C35F-491F-81CB-9EBF277730D9}">
  <sheetPr>
    <tabColor rgb="FFFFFF00"/>
  </sheetPr>
  <dimension ref="A2:L45"/>
  <sheetViews>
    <sheetView showGridLines="0" zoomScale="85" zoomScaleNormal="85" workbookViewId="0"/>
  </sheetViews>
  <sheetFormatPr defaultRowHeight="12.75" x14ac:dyDescent="0.2"/>
  <cols>
    <col min="1" max="1" width="3.42578125" style="2" customWidth="1"/>
    <col min="2" max="2" width="4.28515625" style="2" customWidth="1"/>
    <col min="3" max="3" width="64.85546875" style="2" customWidth="1"/>
    <col min="4" max="5" width="3.7109375" style="2" customWidth="1"/>
    <col min="6" max="6" width="1.85546875" style="2" customWidth="1"/>
    <col min="7" max="7" width="18" style="2" customWidth="1"/>
    <col min="8" max="8" width="3.140625" style="2" customWidth="1"/>
    <col min="9" max="9" width="12" style="2" customWidth="1"/>
    <col min="10" max="10" width="5.85546875" style="2" customWidth="1"/>
    <col min="11" max="11" width="5" style="2" customWidth="1"/>
    <col min="12" max="24" width="13.7109375" style="2" customWidth="1"/>
    <col min="25" max="16384" width="9.140625" style="2"/>
  </cols>
  <sheetData>
    <row r="2" spans="1:11" s="14" customFormat="1" ht="18" x14ac:dyDescent="0.2">
      <c r="B2" s="14" t="s">
        <v>28</v>
      </c>
    </row>
    <row r="4" spans="1:11" x14ac:dyDescent="0.2">
      <c r="C4" s="24" t="s">
        <v>51</v>
      </c>
      <c r="D4" s="1"/>
      <c r="E4" s="1"/>
    </row>
    <row r="5" spans="1:11" x14ac:dyDescent="0.2">
      <c r="C5" s="2" t="s">
        <v>82</v>
      </c>
      <c r="I5" s="15"/>
    </row>
    <row r="6" spans="1:11" x14ac:dyDescent="0.2">
      <c r="C6" s="45"/>
      <c r="I6" s="15"/>
    </row>
    <row r="8" spans="1:11" s="8" customFormat="1" x14ac:dyDescent="0.2">
      <c r="C8" s="8" t="s">
        <v>39</v>
      </c>
    </row>
    <row r="11" spans="1:11" x14ac:dyDescent="0.2">
      <c r="A11" s="35"/>
      <c r="B11" s="35"/>
      <c r="C11" s="35"/>
      <c r="D11" s="35"/>
      <c r="E11" s="35"/>
      <c r="F11" s="35"/>
      <c r="G11" s="35"/>
      <c r="H11" s="35"/>
      <c r="I11" s="35"/>
      <c r="J11" s="35"/>
      <c r="K11" s="35"/>
    </row>
    <row r="12" spans="1:11" x14ac:dyDescent="0.2">
      <c r="A12" s="35"/>
      <c r="K12" s="35"/>
    </row>
    <row r="13" spans="1:11" s="8" customFormat="1" x14ac:dyDescent="0.2">
      <c r="A13" s="46"/>
      <c r="C13" s="8" t="s">
        <v>187</v>
      </c>
      <c r="G13" s="8" t="s">
        <v>22</v>
      </c>
      <c r="I13" s="8" t="s">
        <v>279</v>
      </c>
      <c r="K13" s="35"/>
    </row>
    <row r="14" spans="1:11" x14ac:dyDescent="0.2">
      <c r="A14" s="35"/>
      <c r="K14" s="35"/>
    </row>
    <row r="15" spans="1:11" x14ac:dyDescent="0.2">
      <c r="A15" s="35"/>
      <c r="C15" s="1" t="s">
        <v>83</v>
      </c>
      <c r="K15" s="35"/>
    </row>
    <row r="16" spans="1:11" x14ac:dyDescent="0.2">
      <c r="A16" s="35"/>
      <c r="C16" s="2" t="s">
        <v>188</v>
      </c>
      <c r="G16" s="2" t="s">
        <v>80</v>
      </c>
      <c r="I16" s="47">
        <f>'Gegevens nieuwe productieprijs'!H29</f>
        <v>0.03</v>
      </c>
      <c r="K16" s="35"/>
    </row>
    <row r="17" spans="1:12" x14ac:dyDescent="0.2">
      <c r="A17" s="35"/>
      <c r="C17" s="2" t="s">
        <v>189</v>
      </c>
      <c r="G17" s="2" t="s">
        <v>74</v>
      </c>
      <c r="I17" s="48">
        <f>Resultaat!H14</f>
        <v>76342284.402511895</v>
      </c>
      <c r="K17" s="35"/>
    </row>
    <row r="18" spans="1:12" x14ac:dyDescent="0.2">
      <c r="A18" s="35"/>
      <c r="C18" s="2" t="s">
        <v>180</v>
      </c>
      <c r="G18" s="2" t="s">
        <v>80</v>
      </c>
      <c r="I18" s="47">
        <f>Resultaat!H31</f>
        <v>8.9168918694288099E-2</v>
      </c>
      <c r="K18" s="35"/>
    </row>
    <row r="19" spans="1:12" x14ac:dyDescent="0.2">
      <c r="A19" s="35"/>
      <c r="K19" s="35"/>
    </row>
    <row r="20" spans="1:12" x14ac:dyDescent="0.2">
      <c r="A20" s="35"/>
      <c r="C20" s="1" t="s">
        <v>84</v>
      </c>
      <c r="K20" s="35"/>
    </row>
    <row r="21" spans="1:12" x14ac:dyDescent="0.2">
      <c r="A21" s="35"/>
      <c r="C21" s="2" t="s">
        <v>76</v>
      </c>
      <c r="G21" s="2" t="s">
        <v>171</v>
      </c>
      <c r="I21" s="48">
        <f>Resultaat!H17</f>
        <v>-384014.81991708465</v>
      </c>
      <c r="K21" s="35"/>
    </row>
    <row r="22" spans="1:12" x14ac:dyDescent="0.2">
      <c r="A22" s="35"/>
      <c r="C22" s="2" t="s">
        <v>78</v>
      </c>
      <c r="G22" s="2" t="s">
        <v>173</v>
      </c>
      <c r="I22" s="49">
        <f>Resultaat!H18</f>
        <v>-5.0301719803455261E-3</v>
      </c>
      <c r="K22" s="35"/>
    </row>
    <row r="23" spans="1:12" x14ac:dyDescent="0.2">
      <c r="A23" s="35"/>
      <c r="K23" s="35"/>
    </row>
    <row r="24" spans="1:12" x14ac:dyDescent="0.2">
      <c r="A24" s="35"/>
      <c r="C24" s="1" t="s">
        <v>190</v>
      </c>
      <c r="K24" s="35"/>
    </row>
    <row r="25" spans="1:12" x14ac:dyDescent="0.2">
      <c r="A25" s="35"/>
      <c r="C25" s="2" t="s">
        <v>191</v>
      </c>
      <c r="G25" s="2" t="s">
        <v>173</v>
      </c>
      <c r="I25" s="50">
        <f>Resultaat!H21</f>
        <v>-4.1347349430065533E-5</v>
      </c>
      <c r="K25" s="35"/>
    </row>
    <row r="26" spans="1:12" x14ac:dyDescent="0.2">
      <c r="A26" s="35"/>
      <c r="K26" s="35"/>
    </row>
    <row r="27" spans="1:12" x14ac:dyDescent="0.2">
      <c r="A27" s="35"/>
      <c r="C27" s="1" t="s">
        <v>192</v>
      </c>
      <c r="K27" s="35"/>
    </row>
    <row r="28" spans="1:12" x14ac:dyDescent="0.2">
      <c r="A28" s="35"/>
      <c r="C28" s="2" t="s">
        <v>179</v>
      </c>
      <c r="G28" s="2" t="s">
        <v>173</v>
      </c>
      <c r="I28" s="50">
        <f>Resultaat!H29</f>
        <v>0.32839399712833472</v>
      </c>
      <c r="K28" s="35"/>
    </row>
    <row r="29" spans="1:12" x14ac:dyDescent="0.2">
      <c r="A29" s="35"/>
      <c r="C29" s="2" t="s">
        <v>176</v>
      </c>
      <c r="G29" s="2" t="s">
        <v>173</v>
      </c>
      <c r="I29" s="50">
        <f>Resultaat!H30</f>
        <v>-5.0715193297755914E-3</v>
      </c>
      <c r="K29" s="35"/>
    </row>
    <row r="30" spans="1:12" x14ac:dyDescent="0.2">
      <c r="A30" s="35"/>
      <c r="C30" s="2" t="s">
        <v>193</v>
      </c>
      <c r="G30" s="2" t="s">
        <v>173</v>
      </c>
      <c r="I30" s="50">
        <f>Resultaat!H33</f>
        <v>0.35499999999999998</v>
      </c>
      <c r="K30" s="35"/>
      <c r="L30" s="44"/>
    </row>
    <row r="31" spans="1:12" x14ac:dyDescent="0.2">
      <c r="A31" s="35"/>
      <c r="C31" s="2" t="s">
        <v>186</v>
      </c>
      <c r="G31" s="2" t="s">
        <v>173</v>
      </c>
      <c r="I31" s="51">
        <f>Resultaat!H38</f>
        <v>0.63460000000000005</v>
      </c>
      <c r="K31" s="35"/>
    </row>
    <row r="32" spans="1:12" x14ac:dyDescent="0.2">
      <c r="A32" s="35"/>
      <c r="I32" s="51"/>
      <c r="K32" s="35"/>
    </row>
    <row r="33" spans="1:11" x14ac:dyDescent="0.2">
      <c r="A33" s="35"/>
      <c r="C33" s="4" t="s">
        <v>85</v>
      </c>
      <c r="I33" s="51"/>
      <c r="K33" s="35"/>
    </row>
    <row r="34" spans="1:11" x14ac:dyDescent="0.2">
      <c r="A34" s="35"/>
      <c r="I34" s="51"/>
      <c r="K34" s="35"/>
    </row>
    <row r="35" spans="1:11" x14ac:dyDescent="0.2">
      <c r="A35" s="35"/>
      <c r="K35" s="35"/>
    </row>
    <row r="36" spans="1:11" x14ac:dyDescent="0.2">
      <c r="A36" s="35"/>
      <c r="B36" s="35"/>
      <c r="C36" s="35"/>
      <c r="D36" s="35"/>
      <c r="E36" s="35"/>
      <c r="F36" s="35"/>
      <c r="G36" s="35"/>
      <c r="H36" s="35"/>
      <c r="I36" s="35"/>
      <c r="J36" s="35"/>
      <c r="K36" s="35"/>
    </row>
    <row r="41" spans="1:11" x14ac:dyDescent="0.2">
      <c r="B41" s="25" t="s">
        <v>66</v>
      </c>
    </row>
    <row r="42" spans="1:11" x14ac:dyDescent="0.2">
      <c r="H42" s="44"/>
    </row>
    <row r="45" spans="1:11" x14ac:dyDescent="0.2">
      <c r="H45" s="4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4043E-DD21-4C7A-8A77-E3D02551794E}">
  <sheetPr>
    <tabColor theme="0" tint="-4.9989318521683403E-2"/>
  </sheetPr>
  <dimension ref="B2:B3"/>
  <sheetViews>
    <sheetView showGridLines="0" zoomScale="85" zoomScaleNormal="85" workbookViewId="0">
      <selection activeCell="F51" sqref="F51"/>
    </sheetView>
  </sheetViews>
  <sheetFormatPr defaultRowHeight="12.75" x14ac:dyDescent="0.2"/>
  <cols>
    <col min="1" max="1" width="5.7109375" style="17" customWidth="1"/>
    <col min="2" max="16384" width="9.140625" style="17"/>
  </cols>
  <sheetData>
    <row r="2" spans="2:2" x14ac:dyDescent="0.2">
      <c r="B2" s="33" t="s">
        <v>70</v>
      </c>
    </row>
    <row r="3" spans="2:2" x14ac:dyDescent="0.2">
      <c r="B3" s="33" t="s">
        <v>71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08634-10B3-4AE0-BEBF-FB5DBAD6D288}">
  <sheetPr>
    <tabColor rgb="FFE1FFE1"/>
  </sheetPr>
  <dimension ref="B2:U53"/>
  <sheetViews>
    <sheetView showGridLines="0" zoomScale="85" zoomScaleNormal="85" workbookViewId="0">
      <pane xSplit="6" ySplit="14" topLeftCell="G15" activePane="bottomRight" state="frozen"/>
      <selection activeCell="F51" sqref="F51"/>
      <selection pane="topRight" activeCell="F51" sqref="F51"/>
      <selection pane="bottomLeft" activeCell="F51" sqref="F51"/>
      <selection pane="bottomRight"/>
    </sheetView>
  </sheetViews>
  <sheetFormatPr defaultRowHeight="12.75" x14ac:dyDescent="0.2"/>
  <cols>
    <col min="1" max="1" width="5.7109375" style="2" customWidth="1"/>
    <col min="2" max="2" width="56.5703125" style="2" customWidth="1"/>
    <col min="3" max="5" width="5.7109375" style="2" customWidth="1"/>
    <col min="6" max="6" width="24.28515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6.85546875" style="2" customWidth="1"/>
    <col min="18" max="18" width="2.7109375" style="2" customWidth="1"/>
    <col min="19" max="19" width="39" style="2" customWidth="1"/>
    <col min="20" max="20" width="2.7109375" style="2" customWidth="1"/>
    <col min="21" max="21" width="30.7109375" style="2" customWidth="1"/>
    <col min="22" max="22" width="2.7109375" style="2" customWidth="1"/>
    <col min="23" max="37" width="13.7109375" style="2" customWidth="1"/>
    <col min="38" max="16384" width="9.140625" style="2"/>
  </cols>
  <sheetData>
    <row r="2" spans="2:21" s="14" customFormat="1" ht="18" x14ac:dyDescent="0.2">
      <c r="B2" s="14" t="s">
        <v>86</v>
      </c>
    </row>
    <row r="4" spans="2:21" x14ac:dyDescent="0.2">
      <c r="B4" s="24" t="s">
        <v>24</v>
      </c>
      <c r="C4" s="1"/>
      <c r="D4" s="1"/>
      <c r="L4"/>
    </row>
    <row r="5" spans="2:21" x14ac:dyDescent="0.2">
      <c r="B5" s="2" t="s">
        <v>194</v>
      </c>
      <c r="H5" s="15"/>
    </row>
    <row r="6" spans="2:21" x14ac:dyDescent="0.2">
      <c r="B6" s="2" t="s">
        <v>195</v>
      </c>
      <c r="H6" s="15"/>
    </row>
    <row r="7" spans="2:21" x14ac:dyDescent="0.2">
      <c r="B7" s="2" t="s">
        <v>87</v>
      </c>
      <c r="H7" s="15"/>
    </row>
    <row r="9" spans="2:21" x14ac:dyDescent="0.2">
      <c r="B9" s="25" t="s">
        <v>25</v>
      </c>
    </row>
    <row r="10" spans="2:21" x14ac:dyDescent="0.2">
      <c r="B10" s="4" t="s">
        <v>88</v>
      </c>
    </row>
    <row r="13" spans="2:21" s="8" customFormat="1" x14ac:dyDescent="0.2">
      <c r="B13" s="8" t="s">
        <v>39</v>
      </c>
      <c r="F13" s="8" t="s">
        <v>22</v>
      </c>
      <c r="H13" s="8" t="s">
        <v>23</v>
      </c>
      <c r="J13" s="8" t="s">
        <v>43</v>
      </c>
      <c r="L13" s="8" t="s">
        <v>196</v>
      </c>
      <c r="M13" s="8" t="s">
        <v>197</v>
      </c>
      <c r="N13" s="8" t="s">
        <v>198</v>
      </c>
      <c r="O13" s="8" t="s">
        <v>199</v>
      </c>
      <c r="P13" s="8" t="s">
        <v>200</v>
      </c>
      <c r="Q13" s="8" t="s">
        <v>201</v>
      </c>
      <c r="S13" s="8" t="s">
        <v>40</v>
      </c>
      <c r="U13" s="8" t="s">
        <v>41</v>
      </c>
    </row>
    <row r="16" spans="2:21" s="8" customFormat="1" x14ac:dyDescent="0.2">
      <c r="B16" s="8" t="s">
        <v>89</v>
      </c>
    </row>
    <row r="18" spans="2:21" x14ac:dyDescent="0.2">
      <c r="B18" s="1" t="s">
        <v>90</v>
      </c>
      <c r="L18" s="52"/>
      <c r="M18" s="52"/>
      <c r="N18" s="52"/>
      <c r="O18" s="52"/>
      <c r="P18" s="52"/>
      <c r="Q18" s="52"/>
    </row>
    <row r="19" spans="2:21" x14ac:dyDescent="0.2">
      <c r="B19" s="2" t="s">
        <v>91</v>
      </c>
      <c r="F19" s="2" t="s">
        <v>74</v>
      </c>
      <c r="L19" s="53">
        <v>12935910</v>
      </c>
      <c r="M19" s="53">
        <v>12782840</v>
      </c>
      <c r="N19" s="53">
        <v>12635070</v>
      </c>
      <c r="O19" s="53">
        <v>12089440</v>
      </c>
      <c r="P19" s="53">
        <v>13250390</v>
      </c>
      <c r="Q19" s="53">
        <v>13591710</v>
      </c>
      <c r="S19" s="2" t="s">
        <v>92</v>
      </c>
    </row>
    <row r="20" spans="2:21" x14ac:dyDescent="0.2">
      <c r="B20" s="2" t="s">
        <v>93</v>
      </c>
      <c r="F20" s="2" t="s">
        <v>94</v>
      </c>
      <c r="L20" s="54">
        <v>0.31253999999999998</v>
      </c>
      <c r="M20" s="54">
        <v>0.34221000000000001</v>
      </c>
      <c r="N20" s="54">
        <v>0.34633999999999998</v>
      </c>
      <c r="O20" s="54">
        <v>0.33554</v>
      </c>
      <c r="P20" s="54">
        <v>0.31342999999999999</v>
      </c>
      <c r="Q20" s="54">
        <v>0.31358000000000003</v>
      </c>
      <c r="S20" s="2" t="s">
        <v>92</v>
      </c>
      <c r="U20" s="2" t="s">
        <v>95</v>
      </c>
    </row>
    <row r="21" spans="2:21" x14ac:dyDescent="0.2">
      <c r="S21" s="15"/>
    </row>
    <row r="22" spans="2:21" x14ac:dyDescent="0.2">
      <c r="B22" s="1" t="s">
        <v>96</v>
      </c>
      <c r="L22" s="55"/>
      <c r="M22" s="55"/>
      <c r="N22" s="55"/>
      <c r="O22" s="55"/>
      <c r="P22" s="55"/>
      <c r="Q22" s="55"/>
      <c r="S22" s="15"/>
    </row>
    <row r="23" spans="2:21" x14ac:dyDescent="0.2">
      <c r="B23" s="2" t="s">
        <v>97</v>
      </c>
      <c r="F23" s="2" t="s">
        <v>74</v>
      </c>
      <c r="H23" s="53">
        <v>139967600</v>
      </c>
      <c r="S23" s="2" t="s">
        <v>98</v>
      </c>
    </row>
    <row r="24" spans="2:21" x14ac:dyDescent="0.2">
      <c r="B24" s="2" t="s">
        <v>202</v>
      </c>
      <c r="F24" s="2" t="s">
        <v>74</v>
      </c>
      <c r="H24" s="53">
        <v>147882686.243</v>
      </c>
      <c r="S24" s="2" t="s">
        <v>251</v>
      </c>
    </row>
    <row r="25" spans="2:21" x14ac:dyDescent="0.2">
      <c r="B25" s="2" t="s">
        <v>99</v>
      </c>
      <c r="F25" s="2" t="s">
        <v>79</v>
      </c>
      <c r="H25" s="54">
        <v>0.13636000000000001</v>
      </c>
      <c r="S25" s="2" t="s">
        <v>100</v>
      </c>
    </row>
    <row r="26" spans="2:21" x14ac:dyDescent="0.2">
      <c r="B26" s="2" t="s">
        <v>203</v>
      </c>
      <c r="F26" s="2" t="s">
        <v>173</v>
      </c>
      <c r="H26" s="54">
        <v>0.14101</v>
      </c>
      <c r="S26" s="2" t="s">
        <v>252</v>
      </c>
    </row>
    <row r="27" spans="2:21" x14ac:dyDescent="0.2">
      <c r="B27" s="2" t="s">
        <v>204</v>
      </c>
      <c r="F27" s="2" t="s">
        <v>79</v>
      </c>
      <c r="H27" s="56">
        <v>0.1825155132178079</v>
      </c>
      <c r="S27" s="2" t="s">
        <v>101</v>
      </c>
      <c r="U27" s="2" t="s">
        <v>247</v>
      </c>
    </row>
    <row r="28" spans="2:21" x14ac:dyDescent="0.2">
      <c r="B28" s="2" t="s">
        <v>205</v>
      </c>
      <c r="F28" s="2" t="s">
        <v>173</v>
      </c>
      <c r="H28" s="56">
        <v>0.1975900386149986</v>
      </c>
      <c r="S28" s="2" t="s">
        <v>253</v>
      </c>
    </row>
    <row r="31" spans="2:21" s="8" customFormat="1" x14ac:dyDescent="0.2">
      <c r="B31" s="8" t="s">
        <v>102</v>
      </c>
    </row>
    <row r="33" spans="2:21" x14ac:dyDescent="0.2">
      <c r="B33" s="1" t="s">
        <v>103</v>
      </c>
    </row>
    <row r="34" spans="2:21" x14ac:dyDescent="0.2">
      <c r="B34" s="2" t="s">
        <v>104</v>
      </c>
      <c r="F34" s="2" t="s">
        <v>74</v>
      </c>
      <c r="L34" s="53">
        <v>14296</v>
      </c>
      <c r="M34" s="53">
        <v>16055</v>
      </c>
      <c r="N34" s="53">
        <v>17478</v>
      </c>
      <c r="O34" s="53">
        <v>15898</v>
      </c>
      <c r="P34" s="53">
        <v>16867</v>
      </c>
      <c r="Q34" s="53">
        <v>14814</v>
      </c>
      <c r="S34" s="2" t="s">
        <v>105</v>
      </c>
    </row>
    <row r="35" spans="2:21" x14ac:dyDescent="0.2">
      <c r="S35" s="15"/>
    </row>
    <row r="36" spans="2:21" x14ac:dyDescent="0.2">
      <c r="B36" s="1" t="s">
        <v>106</v>
      </c>
      <c r="S36" s="15"/>
    </row>
    <row r="37" spans="2:21" x14ac:dyDescent="0.2">
      <c r="B37" s="2" t="s">
        <v>107</v>
      </c>
      <c r="F37" s="2" t="s">
        <v>74</v>
      </c>
      <c r="H37" s="53">
        <v>248086.58000000002</v>
      </c>
      <c r="S37" s="2" t="s">
        <v>265</v>
      </c>
    </row>
    <row r="38" spans="2:21" x14ac:dyDescent="0.2">
      <c r="B38" s="2" t="s">
        <v>206</v>
      </c>
      <c r="F38" s="2" t="s">
        <v>74</v>
      </c>
      <c r="H38" s="53">
        <v>231464</v>
      </c>
      <c r="S38" s="2" t="s">
        <v>264</v>
      </c>
    </row>
    <row r="39" spans="2:21" x14ac:dyDescent="0.2">
      <c r="B39" s="2" t="s">
        <v>207</v>
      </c>
      <c r="F39" s="2" t="s">
        <v>173</v>
      </c>
      <c r="H39" s="56">
        <v>0.74350000000000005</v>
      </c>
      <c r="S39" s="2" t="s">
        <v>108</v>
      </c>
      <c r="U39" s="2" t="s">
        <v>109</v>
      </c>
    </row>
    <row r="42" spans="2:21" s="8" customFormat="1" x14ac:dyDescent="0.2">
      <c r="B42" s="8" t="s">
        <v>110</v>
      </c>
    </row>
    <row r="44" spans="2:21" x14ac:dyDescent="0.2">
      <c r="B44" s="1" t="s">
        <v>111</v>
      </c>
    </row>
    <row r="45" spans="2:21" x14ac:dyDescent="0.2">
      <c r="B45" s="2" t="s">
        <v>208</v>
      </c>
      <c r="F45" s="2" t="s">
        <v>173</v>
      </c>
      <c r="H45" s="56">
        <v>0.35749999999999998</v>
      </c>
      <c r="S45" s="2" t="s">
        <v>112</v>
      </c>
      <c r="T45" s="15"/>
      <c r="U45" s="15"/>
    </row>
    <row r="46" spans="2:21" x14ac:dyDescent="0.2">
      <c r="B46" s="2" t="s">
        <v>185</v>
      </c>
      <c r="F46" s="2" t="s">
        <v>173</v>
      </c>
      <c r="H46" s="56">
        <v>0.6371</v>
      </c>
      <c r="S46" s="2" t="s">
        <v>113</v>
      </c>
      <c r="T46" s="15"/>
      <c r="U46" s="15"/>
    </row>
    <row r="47" spans="2:21" x14ac:dyDescent="0.2">
      <c r="B47" s="2" t="s">
        <v>209</v>
      </c>
      <c r="F47" s="2" t="s">
        <v>80</v>
      </c>
      <c r="H47" s="57">
        <v>0.48457129668392435</v>
      </c>
      <c r="S47" s="2" t="s">
        <v>260</v>
      </c>
      <c r="T47" s="15"/>
      <c r="U47" s="15"/>
    </row>
    <row r="48" spans="2:21" x14ac:dyDescent="0.2">
      <c r="B48" s="2" t="s">
        <v>210</v>
      </c>
      <c r="F48" s="2" t="s">
        <v>80</v>
      </c>
      <c r="H48" s="57">
        <v>8.9168918694288099E-2</v>
      </c>
      <c r="S48" s="2" t="s">
        <v>114</v>
      </c>
      <c r="T48" s="15"/>
      <c r="U48" s="15"/>
    </row>
    <row r="49" spans="2:21" x14ac:dyDescent="0.2">
      <c r="B49" s="1"/>
      <c r="S49" s="15"/>
      <c r="T49" s="15"/>
      <c r="U49" s="15"/>
    </row>
    <row r="53" spans="2:21" x14ac:dyDescent="0.2">
      <c r="B53" s="25" t="s">
        <v>66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64939-4D5E-48C8-A06F-C370CF2FE686}">
  <sheetPr>
    <tabColor rgb="FFE1FFE1"/>
  </sheetPr>
  <dimension ref="A2:L36"/>
  <sheetViews>
    <sheetView showGridLines="0" zoomScale="85" zoomScaleNormal="85" workbookViewId="0">
      <pane xSplit="6" ySplit="11" topLeftCell="G12" activePane="bottomRight" state="frozen"/>
      <selection activeCell="F51" sqref="F51"/>
      <selection pane="topRight" activeCell="F51" sqref="F51"/>
      <selection pane="bottomLeft" activeCell="F51" sqref="F51"/>
      <selection pane="bottomRight"/>
    </sheetView>
  </sheetViews>
  <sheetFormatPr defaultRowHeight="12.75" x14ac:dyDescent="0.2"/>
  <cols>
    <col min="1" max="1" width="5.7109375" style="2" customWidth="1"/>
    <col min="2" max="2" width="56.5703125" style="2" customWidth="1"/>
    <col min="3" max="5" width="5.7109375" style="2" customWidth="1"/>
    <col min="6" max="6" width="24.28515625" style="2" customWidth="1"/>
    <col min="7" max="7" width="2.7109375" style="2" customWidth="1"/>
    <col min="8" max="8" width="13.7109375" style="2" customWidth="1"/>
    <col min="9" max="9" width="2.7109375" style="2" customWidth="1"/>
    <col min="10" max="10" width="46" style="2" customWidth="1"/>
    <col min="11" max="11" width="2.7109375" style="2" customWidth="1"/>
    <col min="12" max="12" width="18.85546875" style="2" customWidth="1"/>
    <col min="13" max="18" width="13.7109375" style="2" customWidth="1"/>
    <col min="19" max="16384" width="9.140625" style="2"/>
  </cols>
  <sheetData>
    <row r="2" spans="2:12" s="14" customFormat="1" ht="18" x14ac:dyDescent="0.2">
      <c r="B2" s="14" t="s">
        <v>211</v>
      </c>
    </row>
    <row r="4" spans="2:12" x14ac:dyDescent="0.2">
      <c r="B4" s="24" t="s">
        <v>24</v>
      </c>
      <c r="C4" s="1"/>
      <c r="D4" s="1"/>
      <c r="L4"/>
    </row>
    <row r="5" spans="2:12" x14ac:dyDescent="0.2">
      <c r="B5" s="2" t="s">
        <v>212</v>
      </c>
      <c r="H5" s="15"/>
    </row>
    <row r="6" spans="2:12" x14ac:dyDescent="0.2">
      <c r="B6" s="2" t="s">
        <v>115</v>
      </c>
      <c r="H6" s="15"/>
    </row>
    <row r="7" spans="2:12" x14ac:dyDescent="0.2">
      <c r="B7" s="2" t="s">
        <v>213</v>
      </c>
      <c r="H7" s="15"/>
    </row>
    <row r="10" spans="2:12" s="8" customFormat="1" x14ac:dyDescent="0.2">
      <c r="B10" s="8" t="s">
        <v>39</v>
      </c>
      <c r="F10" s="8" t="s">
        <v>22</v>
      </c>
      <c r="H10" s="8" t="s">
        <v>23</v>
      </c>
      <c r="J10" s="8" t="s">
        <v>40</v>
      </c>
      <c r="L10" s="8" t="s">
        <v>41</v>
      </c>
    </row>
    <row r="13" spans="2:12" s="8" customFormat="1" x14ac:dyDescent="0.2">
      <c r="B13" s="8" t="s">
        <v>89</v>
      </c>
    </row>
    <row r="15" spans="2:12" x14ac:dyDescent="0.2">
      <c r="B15" s="58" t="s">
        <v>202</v>
      </c>
      <c r="C15" s="59"/>
      <c r="D15" s="59"/>
      <c r="E15" s="59"/>
      <c r="F15" s="59"/>
      <c r="G15" s="59"/>
      <c r="H15" s="59"/>
      <c r="I15" s="59"/>
      <c r="J15" s="59"/>
      <c r="K15" s="59"/>
      <c r="L15" s="59"/>
    </row>
    <row r="16" spans="2:12" x14ac:dyDescent="0.2">
      <c r="B16" s="34" t="s">
        <v>116</v>
      </c>
      <c r="C16" s="59"/>
      <c r="D16" s="59"/>
      <c r="E16" s="59"/>
      <c r="F16" s="2" t="s">
        <v>74</v>
      </c>
      <c r="G16" s="59"/>
      <c r="H16" s="28">
        <v>102738899</v>
      </c>
      <c r="I16" s="59"/>
      <c r="J16" s="60" t="s">
        <v>261</v>
      </c>
      <c r="K16" s="59"/>
      <c r="L16" s="59"/>
    </row>
    <row r="17" spans="1:12" x14ac:dyDescent="0.2">
      <c r="B17" s="34" t="s">
        <v>117</v>
      </c>
      <c r="C17" s="59"/>
      <c r="D17" s="59"/>
      <c r="E17" s="59"/>
      <c r="F17" s="2" t="s">
        <v>74</v>
      </c>
      <c r="G17" s="59"/>
      <c r="H17" s="28">
        <v>45143787.243000001</v>
      </c>
      <c r="I17" s="59"/>
      <c r="J17" s="60" t="s">
        <v>262</v>
      </c>
      <c r="K17" s="59"/>
      <c r="L17" s="59"/>
    </row>
    <row r="18" spans="1:12" x14ac:dyDescent="0.2">
      <c r="B18" s="60" t="s">
        <v>214</v>
      </c>
      <c r="C18" s="59"/>
      <c r="D18" s="59"/>
      <c r="E18" s="59"/>
      <c r="F18" s="2" t="s">
        <v>74</v>
      </c>
      <c r="G18" s="59"/>
      <c r="H18" s="61">
        <f>H16+H17</f>
        <v>147882686.243</v>
      </c>
      <c r="I18" s="59"/>
      <c r="J18" s="59"/>
      <c r="K18" s="59"/>
      <c r="L18" s="60"/>
    </row>
    <row r="19" spans="1:12" x14ac:dyDescent="0.2">
      <c r="B19" s="59"/>
      <c r="C19" s="59"/>
      <c r="D19" s="59"/>
      <c r="E19" s="59"/>
      <c r="F19" s="59"/>
      <c r="G19" s="59"/>
      <c r="H19" s="59"/>
      <c r="I19" s="59"/>
      <c r="J19" s="59"/>
      <c r="K19" s="59"/>
      <c r="L19" s="59"/>
    </row>
    <row r="20" spans="1:12" x14ac:dyDescent="0.2">
      <c r="B20" s="58" t="s">
        <v>215</v>
      </c>
      <c r="C20" s="59"/>
      <c r="D20" s="59"/>
      <c r="E20" s="59"/>
      <c r="F20" s="59"/>
      <c r="G20" s="59"/>
      <c r="H20" s="59"/>
      <c r="I20" s="59"/>
      <c r="J20" s="59"/>
      <c r="K20" s="59"/>
      <c r="L20" s="59"/>
    </row>
    <row r="21" spans="1:12" x14ac:dyDescent="0.2">
      <c r="B21" s="60" t="s">
        <v>118</v>
      </c>
      <c r="C21" s="59"/>
      <c r="D21" s="59"/>
      <c r="E21" s="59"/>
      <c r="F21" s="60" t="s">
        <v>119</v>
      </c>
      <c r="G21" s="59"/>
      <c r="H21" s="62">
        <v>0.27365698782011383</v>
      </c>
      <c r="I21" s="59"/>
      <c r="J21" s="60" t="s">
        <v>263</v>
      </c>
      <c r="K21" s="59"/>
      <c r="L21" s="59" t="s">
        <v>218</v>
      </c>
    </row>
    <row r="22" spans="1:12" x14ac:dyDescent="0.2">
      <c r="B22" s="59"/>
      <c r="C22" s="59"/>
      <c r="D22" s="59"/>
      <c r="E22" s="59"/>
      <c r="F22" s="59"/>
      <c r="G22" s="59"/>
      <c r="H22" s="59"/>
      <c r="I22" s="59"/>
      <c r="J22" s="59"/>
      <c r="K22" s="59"/>
      <c r="L22" s="59"/>
    </row>
    <row r="23" spans="1:12" s="24" customFormat="1" x14ac:dyDescent="0.2">
      <c r="A23" s="2"/>
      <c r="B23" s="24" t="s">
        <v>120</v>
      </c>
    </row>
    <row r="24" spans="1:12" x14ac:dyDescent="0.2">
      <c r="A24" s="63"/>
      <c r="B24" s="2" t="s">
        <v>277</v>
      </c>
      <c r="F24" s="2" t="s">
        <v>121</v>
      </c>
      <c r="G24" s="63"/>
      <c r="H24" s="88">
        <v>0.98219999999999996</v>
      </c>
      <c r="I24" s="59"/>
      <c r="J24" s="2" t="s">
        <v>122</v>
      </c>
      <c r="K24" s="59"/>
      <c r="L24" s="64"/>
    </row>
    <row r="25" spans="1:12" x14ac:dyDescent="0.2">
      <c r="B25" s="59"/>
      <c r="C25" s="59"/>
      <c r="D25" s="59"/>
      <c r="E25" s="59"/>
      <c r="F25" s="59"/>
      <c r="G25" s="59"/>
      <c r="H25" s="59"/>
      <c r="I25" s="59"/>
      <c r="J25" s="59"/>
      <c r="K25" s="59"/>
      <c r="L25" s="59"/>
    </row>
    <row r="27" spans="1:12" s="8" customFormat="1" x14ac:dyDescent="0.2">
      <c r="B27" s="8" t="s">
        <v>123</v>
      </c>
    </row>
    <row r="29" spans="1:12" x14ac:dyDescent="0.2">
      <c r="B29" s="2" t="s">
        <v>124</v>
      </c>
      <c r="F29" s="2" t="s">
        <v>80</v>
      </c>
      <c r="H29" s="65">
        <v>0.03</v>
      </c>
      <c r="J29" s="2" t="s">
        <v>125</v>
      </c>
      <c r="L29" s="2" t="s">
        <v>126</v>
      </c>
    </row>
    <row r="31" spans="1:12" x14ac:dyDescent="0.2">
      <c r="B31" s="58" t="s">
        <v>217</v>
      </c>
      <c r="C31" s="59"/>
      <c r="D31" s="59"/>
      <c r="E31" s="59"/>
      <c r="F31" s="59"/>
      <c r="G31" s="59"/>
      <c r="H31" s="59"/>
      <c r="I31" s="59"/>
      <c r="J31" s="59"/>
      <c r="K31" s="59"/>
      <c r="L31" s="59"/>
    </row>
    <row r="32" spans="1:12" x14ac:dyDescent="0.2">
      <c r="B32" s="2" t="s">
        <v>175</v>
      </c>
      <c r="F32" s="2" t="s">
        <v>173</v>
      </c>
      <c r="G32" s="59"/>
      <c r="H32" s="62">
        <v>-4.1347349430065533E-5</v>
      </c>
      <c r="I32" s="59"/>
      <c r="J32" s="2" t="s">
        <v>127</v>
      </c>
      <c r="L32" t="s">
        <v>219</v>
      </c>
    </row>
    <row r="36" spans="2:2" x14ac:dyDescent="0.2">
      <c r="B36" s="25" t="s">
        <v>66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CE32C-224F-4F86-AB39-65A802269982}">
  <sheetPr>
    <tabColor theme="0" tint="-4.9989318521683403E-2"/>
  </sheetPr>
  <dimension ref="B2:B3"/>
  <sheetViews>
    <sheetView showGridLines="0" zoomScale="85" zoomScaleNormal="85" workbookViewId="0">
      <selection activeCell="F51" sqref="F51"/>
    </sheetView>
  </sheetViews>
  <sheetFormatPr defaultRowHeight="12.75" x14ac:dyDescent="0.2"/>
  <cols>
    <col min="1" max="1" width="5.7109375" style="17" customWidth="1"/>
    <col min="2" max="16384" width="9.140625" style="17"/>
  </cols>
  <sheetData>
    <row r="2" spans="2:2" x14ac:dyDescent="0.2">
      <c r="B2" s="33" t="s">
        <v>70</v>
      </c>
    </row>
    <row r="3" spans="2:2" x14ac:dyDescent="0.2">
      <c r="B3" s="33" t="s">
        <v>71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ECT67VDXDTCW-640230012-21</_dlc_DocId>
    <_dlc_DocIdUrl xmlns="5e7bef76-b888-41a2-a261-5f525b37d47e">
      <Url>https://intranet.acm.local/project/excellent-in-excel/_layouts/15/DocIdRedir.aspx?ID=ECT67VDXDTCW-640230012-21</Url>
      <Description>ECT67VDXDTCW-640230012-21</Description>
    </_dlc_DocIdUrl>
    <Status xmlns="94b38974-1436-4631-a0be-797faa579778">Actueel</Status>
  </documentManagement>
</p:properties>
</file>

<file path=customXml/itemProps1.xml><?xml version="1.0" encoding="utf-8"?>
<ds:datastoreItem xmlns:ds="http://schemas.openxmlformats.org/officeDocument/2006/customXml" ds:itemID="{BACF5907-5A9C-413A-AB63-8A8AE74C2D68}">
  <ds:schemaRefs>
    <ds:schemaRef ds:uri="http://schemas.microsoft.com/sharepoint/events"/>
  </ds:schemaRefs>
</ds:datastoreItem>
</file>

<file path=customXml/itemProps2.xml><?xml version="1.0" encoding="utf-8"?>
<ds:datastoreItem xmlns:ds="http://schemas.openxmlformats.org/officeDocument/2006/customXml" ds:itemID="{21CB1C9F-CCF9-4E38-862A-1CB92CDDD7E1}">
  <ds:schemaRefs>
    <ds:schemaRef ds:uri="http://schemas.microsoft.com/sharepoint/v3/contenttype/forms"/>
  </ds:schemaRefs>
</ds:datastoreItem>
</file>

<file path=customXml/itemProps3.xml><?xml version="1.0" encoding="utf-8"?>
<ds:datastoreItem xmlns:ds="http://schemas.openxmlformats.org/officeDocument/2006/customXml" ds:itemID="{84B26A16-E41F-4D2C-9F04-7F70992E0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DC4B28-42FD-4275-AD39-0DAE99CBE63F}">
  <ds:schemaRefs>
    <ds:schemaRef ds:uri="http://schemas.microsoft.com/office/2006/metadata/properties"/>
    <ds:schemaRef ds:uri="http://schemas.microsoft.com/office/infopath/2007/PartnerControls"/>
    <ds:schemaRef ds:uri="5e7bef76-b888-41a2-a261-5f525b37d47e"/>
    <ds:schemaRef ds:uri="94b38974-1436-4631-a0be-797faa5797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Titelblad</vt:lpstr>
      <vt:lpstr>Toelichting</vt:lpstr>
      <vt:lpstr>Bronnen en toepassingen</vt:lpstr>
      <vt:lpstr>Resultaat</vt:lpstr>
      <vt:lpstr>Bijlage 1</vt:lpstr>
      <vt:lpstr>Input --&gt;</vt:lpstr>
      <vt:lpstr>Gegevens inkoopcorrectie</vt:lpstr>
      <vt:lpstr>Gegevens nieuwe productieprijs</vt:lpstr>
      <vt:lpstr>Berekeningen --&gt;</vt:lpstr>
      <vt:lpstr>Inkoopcorrectie brandstof</vt:lpstr>
      <vt:lpstr>Schatting productieprijs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2021-06-08T09:19:18Z</dcterms:created>
  <dcterms:modified xsi:type="dcterms:W3CDTF">2024-06-24T10:10:31Z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7b9a7e49-6114-4146-8cc6-356e1063ad5d</vt:lpwstr>
  </property>
</Properties>
</file>