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8_{74412087-092D-4D28-86FF-35B5C01D91D3}" xr6:coauthVersionLast="47" xr6:coauthVersionMax="47" xr10:uidLastSave="{00000000-0000-0000-0000-000000000000}"/>
  <bookViews>
    <workbookView xWindow="2640" yWindow="2640" windowWidth="21600" windowHeight="12735" tabRatio="789" xr2:uid="{00000000-000D-0000-FFFF-FFFF00000000}"/>
  </bookViews>
  <sheets>
    <sheet name="Cover sheet" sheetId="9" r:id="rId1"/>
    <sheet name="Explanation" sheetId="10" r:id="rId2"/>
    <sheet name="Sources and specifics" sheetId="11" r:id="rId3"/>
    <sheet name="Result" sheetId="24" r:id="rId4"/>
    <sheet name="Input --&gt;" sheetId="13" r:id="rId5"/>
    <sheet name="Fuel prices" sheetId="25" r:id="rId6"/>
    <sheet name="Production data" sheetId="26" r:id="rId7"/>
    <sheet name="Parameters in tariff decisions" sheetId="27" r:id="rId8"/>
    <sheet name="Calculations --&gt;" sheetId="15" r:id="rId9"/>
    <sheet name="Fuel component correction" sheetId="28" r:id="rId10"/>
    <sheet name="Dictum &amp; Annex" sheetId="29"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9" l="1"/>
  <c r="H19" i="24"/>
  <c r="Q32" i="28"/>
  <c r="P32" i="28"/>
  <c r="O32" i="28"/>
  <c r="N32" i="28"/>
  <c r="M32" i="28"/>
  <c r="L32" i="28"/>
  <c r="Q43" i="25" l="1"/>
  <c r="M43" i="25"/>
  <c r="S43" i="25" s="1"/>
  <c r="W33" i="25"/>
  <c r="W31" i="25"/>
  <c r="Q38" i="25" l="1"/>
  <c r="Q37" i="25"/>
  <c r="M38" i="25"/>
  <c r="M37" i="25"/>
  <c r="M28" i="25"/>
  <c r="Q28" i="25"/>
  <c r="M34" i="25"/>
  <c r="Q34" i="25"/>
  <c r="W35" i="25" s="1"/>
  <c r="M36" i="25"/>
  <c r="Q36" i="25"/>
  <c r="Q23" i="25"/>
  <c r="Q24" i="25"/>
  <c r="Q25" i="25"/>
  <c r="M23" i="25"/>
  <c r="M24" i="25"/>
  <c r="M25" i="25"/>
  <c r="Q22" i="25"/>
  <c r="M22" i="25"/>
  <c r="S37" i="25" l="1"/>
  <c r="S38" i="25"/>
  <c r="S36" i="25"/>
  <c r="W39" i="25" s="1"/>
  <c r="S34" i="25"/>
  <c r="S23" i="25"/>
  <c r="S28" i="25"/>
  <c r="S22" i="25"/>
  <c r="S25" i="25"/>
  <c r="S24" i="25"/>
  <c r="W26" i="25" l="1"/>
  <c r="Q27" i="25" l="1"/>
  <c r="M27" i="25"/>
  <c r="S27" i="25" l="1"/>
  <c r="W29" i="25" s="1"/>
  <c r="E13" i="29" l="1"/>
  <c r="Q38" i="28"/>
  <c r="P38" i="28"/>
  <c r="O38" i="28"/>
  <c r="N38" i="28"/>
  <c r="M38" i="28"/>
  <c r="L38" i="28"/>
  <c r="Q29" i="28"/>
  <c r="P29" i="28"/>
  <c r="O29" i="28"/>
  <c r="N29" i="28"/>
  <c r="M29" i="28"/>
  <c r="L29" i="28"/>
  <c r="Q26" i="28"/>
  <c r="P26" i="28"/>
  <c r="O26" i="28"/>
  <c r="N26" i="28"/>
  <c r="M26" i="28"/>
  <c r="L26" i="28"/>
  <c r="Q25" i="28"/>
  <c r="P25" i="28"/>
  <c r="O25" i="28"/>
  <c r="N25" i="28"/>
  <c r="M25" i="28"/>
  <c r="L25" i="28"/>
  <c r="H20" i="28"/>
  <c r="O25" i="27"/>
  <c r="H26" i="24" s="1"/>
  <c r="H38" i="24"/>
  <c r="E32" i="29" s="1"/>
  <c r="H31" i="24"/>
  <c r="E27" i="29" s="1"/>
  <c r="H25" i="24"/>
  <c r="H18" i="24"/>
  <c r="H17" i="24"/>
  <c r="H16" i="24"/>
  <c r="H27" i="24" l="1"/>
  <c r="E23" i="29" s="1"/>
  <c r="H20" i="24"/>
  <c r="H21" i="24" s="1"/>
  <c r="N37" i="28"/>
  <c r="N39" i="28" s="1"/>
  <c r="N42" i="28" s="1"/>
  <c r="O37" i="28"/>
  <c r="O39" i="28" s="1"/>
  <c r="O42" i="28" s="1"/>
  <c r="L37" i="28"/>
  <c r="L39" i="28" s="1"/>
  <c r="L42" i="28" s="1"/>
  <c r="P37" i="28"/>
  <c r="P39" i="28" s="1"/>
  <c r="P42" i="28" s="1"/>
  <c r="M37" i="28"/>
  <c r="M39" i="28" s="1"/>
  <c r="M42" i="28" s="1"/>
  <c r="Q37" i="28"/>
  <c r="Q39" i="28" s="1"/>
  <c r="Q42" i="28" s="1"/>
  <c r="H44" i="28" l="1"/>
  <c r="E21" i="29" s="1"/>
  <c r="H43" i="28"/>
  <c r="E20" i="29" s="1"/>
  <c r="E17" i="29"/>
  <c r="H36" i="24"/>
  <c r="H46" i="28" l="1"/>
  <c r="H24" i="24" s="1"/>
  <c r="H28" i="24" s="1"/>
  <c r="E30" i="29"/>
  <c r="E22" i="29" l="1"/>
  <c r="E24" i="29"/>
  <c r="H37" i="24"/>
  <c r="E31" i="29" l="1"/>
  <c r="H40" i="24"/>
  <c r="E34" i="29" s="1"/>
  <c r="B18" i="10" l="1"/>
  <c r="B19" i="10" l="1"/>
  <c r="B20" i="10" l="1"/>
</calcChain>
</file>

<file path=xl/sharedStrings.xml><?xml version="1.0" encoding="utf-8"?>
<sst xmlns="http://schemas.openxmlformats.org/spreadsheetml/2006/main" count="358" uniqueCount="243">
  <si>
    <t>Disclaimer</t>
  </si>
  <si>
    <t>Data</t>
  </si>
  <si>
    <t>Input --&gt;</t>
  </si>
  <si>
    <t>About this file</t>
  </si>
  <si>
    <t>Case number</t>
  </si>
  <si>
    <t>File title</t>
  </si>
  <si>
    <t>Subtitle</t>
  </si>
  <si>
    <t>Other remarks</t>
  </si>
  <si>
    <t>About the status of this file</t>
  </si>
  <si>
    <t>Final version? (y/n)</t>
  </si>
  <si>
    <t>Is this file legally part of the decision(s) listed above? (y/n)</t>
  </si>
  <si>
    <t>Cell colors (for numbers)</t>
  </si>
  <si>
    <t>Description</t>
  </si>
  <si>
    <t>Data and input (source required)</t>
  </si>
  <si>
    <t>Calculated value</t>
  </si>
  <si>
    <t>Empty cell (not zero) used in a formula range</t>
  </si>
  <si>
    <t>Sheet tab colors</t>
  </si>
  <si>
    <t>Sheet with result/output</t>
  </si>
  <si>
    <t>Sheet with input</t>
  </si>
  <si>
    <t>Sheet with calculations</t>
  </si>
  <si>
    <t>Model sheets</t>
  </si>
  <si>
    <t>Result</t>
  </si>
  <si>
    <t>Calculation</t>
  </si>
  <si>
    <t>Explanatory sheets</t>
  </si>
  <si>
    <t>Explanation</t>
  </si>
  <si>
    <t>Source overview and specific applications</t>
  </si>
  <si>
    <t>Source overview</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</si>
  <si>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</si>
  <si>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</si>
  <si>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</si>
  <si>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</si>
  <si>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</si>
  <si>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</si>
  <si>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Date received, email, URL, file location</t>
  </si>
  <si>
    <t>Unit</t>
  </si>
  <si>
    <t>Constant</t>
  </si>
  <si>
    <t>Remarks</t>
  </si>
  <si>
    <t>Source</t>
  </si>
  <si>
    <t>Cover sheet</t>
  </si>
  <si>
    <t>Belongs to decision(s):</t>
  </si>
  <si>
    <t>Belongs to ACM study/investigation/publication:</t>
  </si>
  <si>
    <t>Reference number of decision(s)</t>
  </si>
  <si>
    <t>If applicable</t>
  </si>
  <si>
    <t>Objections and appeals can be filed against the decision to which this file belongs.</t>
  </si>
  <si>
    <t xml:space="preserve">If there are any substantive differences between the calculation in this file and the calculation that follows from the relevant decision, the decision's calculation is authentic. </t>
  </si>
  <si>
    <t>Explanatory notes to this file</t>
  </si>
  <si>
    <t xml:space="preserve">Explanation about how this file works </t>
  </si>
  <si>
    <t>Legend for the cell and sheet colors</t>
  </si>
  <si>
    <t>Value that is taken from another sheet or cell without calculation</t>
  </si>
  <si>
    <t>Result/calculated value that is used in another sheet</t>
  </si>
  <si>
    <t xml:space="preserve">Empty sheet used for indexing </t>
  </si>
  <si>
    <t>Additional information about this source</t>
  </si>
  <si>
    <t xml:space="preserve">If ACM does use cell or range references, macros, or other more complex functions in Excel, these will be explained on this sheet. </t>
  </si>
  <si>
    <t>Relationship to other calculation files</t>
  </si>
  <si>
    <t>in the overview below, ACM lists the sources that are used for data and calculations in this file.</t>
  </si>
  <si>
    <t>Explanation of the use of specific Excel-applications and other details</t>
  </si>
  <si>
    <t xml:space="preserve">In its calculation files, ACM seeks to use simple and easy-to-follow calculations as much as possible, and seeks to avoid the use of complex formulas or specific applications. </t>
  </si>
  <si>
    <t>When final, will this file be published?</t>
  </si>
  <si>
    <t>[ END OF SHEET ]</t>
  </si>
  <si>
    <t>ACM case number and/or reference</t>
  </si>
  <si>
    <t>liter/kWh</t>
  </si>
  <si>
    <t>%</t>
  </si>
  <si>
    <t>Calculation of correction for fuel price differences</t>
  </si>
  <si>
    <t>kWh</t>
  </si>
  <si>
    <t>New variable usage tariff</t>
  </si>
  <si>
    <t>Input data on fuel prices</t>
  </si>
  <si>
    <t>The monthly fuel prices are the basis for the correction of the fuel component.</t>
  </si>
  <si>
    <t>The sources for this data are the fuel invoices from STUCO. Every invoice forms a row in the calculation below.</t>
  </si>
  <si>
    <t>Date of invoice</t>
  </si>
  <si>
    <t>Volume 
(liters)</t>
  </si>
  <si>
    <t>Unit price
(USD/liter)</t>
  </si>
  <si>
    <t>Line total
(USD)</t>
  </si>
  <si>
    <t>Most recent fuel price</t>
  </si>
  <si>
    <t>File name invoice</t>
  </si>
  <si>
    <t>Fuel invoices</t>
  </si>
  <si>
    <t>Input data on production</t>
  </si>
  <si>
    <t>Monthly production</t>
  </si>
  <si>
    <t>Realized production of electricity</t>
  </si>
  <si>
    <t>Total monthly production</t>
  </si>
  <si>
    <t>[7] Monthly production</t>
  </si>
  <si>
    <t>Parameters in ACM tariff decisions</t>
  </si>
  <si>
    <t xml:space="preserve">Decision &amp; period: </t>
  </si>
  <si>
    <t>Parameters on production and distribution</t>
  </si>
  <si>
    <t>Production parameters</t>
  </si>
  <si>
    <t>Estimated fuel efficiency</t>
  </si>
  <si>
    <t>Estimated share of production by fuel</t>
  </si>
  <si>
    <t>Estimated share of production with fuel = Production based on fuel (expected level) / Total production volume (expected level)</t>
  </si>
  <si>
    <t>Estimations in usage tariff decisions</t>
  </si>
  <si>
    <t>Estimated fuel component STUCO</t>
  </si>
  <si>
    <t>USD/kWh</t>
  </si>
  <si>
    <t>Other parameters</t>
  </si>
  <si>
    <t>Wettelijke rente CNL ('legal fixed interest rate')</t>
  </si>
  <si>
    <t>Calculation of difference between estimated and realized fuel component</t>
  </si>
  <si>
    <t xml:space="preserve">For the production price decisions, ACM makes an estimate of what the fuel costs will be for the producer based on the most recent fuel price. </t>
  </si>
  <si>
    <t>It uses this estimate to determine what monthly remuneration the producer will receive from the distributor. This is the estimated fuel component.</t>
  </si>
  <si>
    <t>The realized fuel component can vary monthly, due to variations in the fuel price. The difference between the estimated and realized fuel component is calculated here.</t>
  </si>
  <si>
    <t>Fuel component = estimated fuel efficiency x estimated share production by fuel x fuel price.</t>
  </si>
  <si>
    <t>For the estimated fuel component, the most recent fuel price at the time of the usage tariff decision is used. For the realized fuel component the most recent fuel price at that month is used. Regularly this is the corresponding month t-2.</t>
  </si>
  <si>
    <t xml:space="preserve">Year: 
Month: </t>
  </si>
  <si>
    <t>Parameters</t>
  </si>
  <si>
    <t>Legal fixed interest rate</t>
  </si>
  <si>
    <t>Data on fuel and production</t>
  </si>
  <si>
    <t>Production price decision input</t>
  </si>
  <si>
    <t>Estimated share production by fuel</t>
  </si>
  <si>
    <t>Realized production</t>
  </si>
  <si>
    <t>Total realized monthly production</t>
  </si>
  <si>
    <t>Fuel price</t>
  </si>
  <si>
    <t>USD/liter</t>
  </si>
  <si>
    <t>The most recent fuel price in month t is assumed to be the weighted average fuel price of month t-2.</t>
  </si>
  <si>
    <t>Calculation fuel correction</t>
  </si>
  <si>
    <t>Difference in monthly fuel component</t>
  </si>
  <si>
    <t>Realized fuel component</t>
  </si>
  <si>
    <t>Estimated fuel component</t>
  </si>
  <si>
    <t>Difference in fuel component</t>
  </si>
  <si>
    <t>Positive number indicates STUCO has had higher purchasing costs than estimated, so STUCO receives a positive reimbursement from the fuel correction.</t>
  </si>
  <si>
    <t>Calculation of fuel component correction</t>
  </si>
  <si>
    <t>Monthly difference to be reimbursed</t>
  </si>
  <si>
    <t>USD</t>
  </si>
  <si>
    <t>Total amount fuel component correction</t>
  </si>
  <si>
    <t xml:space="preserve">Description </t>
  </si>
  <si>
    <t xml:space="preserve">Key Parameters </t>
  </si>
  <si>
    <t>Updated estimation production price</t>
  </si>
  <si>
    <t>Correction for fuel price differences</t>
  </si>
  <si>
    <t xml:space="preserve">Adjusted variable usage tariff </t>
  </si>
  <si>
    <t xml:space="preserve">Note: 'pl' represents price level </t>
  </si>
  <si>
    <t>Explanatory notes</t>
  </si>
  <si>
    <t>Yes</t>
  </si>
  <si>
    <t xml:space="preserve">The variable usage tariff is adapted by making two corrections: </t>
  </si>
  <si>
    <t>Wettelijke rente CNL</t>
  </si>
  <si>
    <t>Production price decision STUCO 2023</t>
  </si>
  <si>
    <t>Beschikking productieprijs elektriciteit 2023 Sint Eustatius STUCO</t>
  </si>
  <si>
    <t>USD, pl 2023</t>
  </si>
  <si>
    <t>This calculation is developed in the standardized format used by the Energy Department of ACM (based on version 5, June 2021)</t>
  </si>
  <si>
    <t xml:space="preserve"> </t>
  </si>
  <si>
    <t>https://www.acm.nl/nl/publicaties/beschikking-productieprijs-elektriciteit-2023-sint-eustatius-stuco</t>
  </si>
  <si>
    <t>https://wetten.overheid.nl/BWBR0030649/2011-11-18</t>
  </si>
  <si>
    <t>This sheet seperates different types of sheets and is intentionally left blank</t>
  </si>
  <si>
    <t>No text, data or calculations may be included on this sheet</t>
  </si>
  <si>
    <t>When published, does this file contain business-confidential information? (y/n)</t>
  </si>
  <si>
    <t>Standardized sheets with general information about this file</t>
  </si>
  <si>
    <t>Berekening variabel gebruikstarief elektriciteit STUCO per 1 juli 2024</t>
  </si>
  <si>
    <t>Beschikking variabel tarief elektriciteit 1 juli 2024 St. Eustatius (Caribisch Nederland)</t>
  </si>
  <si>
    <t>This file is based on the fuel calculation that was used for STUCO for the tariff per 1 January 2024</t>
  </si>
  <si>
    <t>November 2023</t>
  </si>
  <si>
    <t>December 2023</t>
  </si>
  <si>
    <t>January 2024</t>
  </si>
  <si>
    <t>February 2024</t>
  </si>
  <si>
    <t>Unit price
(USD/gallon)</t>
  </si>
  <si>
    <t>Converting volume units</t>
  </si>
  <si>
    <t>US gallon to liter</t>
  </si>
  <si>
    <t>Relevant month</t>
  </si>
  <si>
    <t>Volume 
(gallons)</t>
  </si>
  <si>
    <t>March 2024</t>
  </si>
  <si>
    <t>April 2024</t>
  </si>
  <si>
    <t>Production price decision STUCO 2024</t>
  </si>
  <si>
    <t>Usage tariffs decision 
STUCO July - Dec 2023</t>
  </si>
  <si>
    <t>Usage tariffs decision 
STUCO 2024</t>
  </si>
  <si>
    <t>Usage tariffs decision STUCO July - Dec 2023</t>
  </si>
  <si>
    <t>Usage tariffs decision STUCO 2024</t>
  </si>
  <si>
    <t>https://www.acm.nl/nl/publicaties/beschikking-productieprijs-elektriciteit-2024-sint-eustatius-stuco</t>
  </si>
  <si>
    <t>Beschikking productieprijs elektriciteit 2024 Sint Eustatius STUCO</t>
  </si>
  <si>
    <t>Beschikking variabel tarief elektriciteit 1 juli 2023 St. Eustatius</t>
  </si>
  <si>
    <t>Beschikking distributietarieven elektriciteit 2024 Sint Eustatius STUCO</t>
  </si>
  <si>
    <t>https://www.acm.nl/nl/publicaties/beschikking-variabel-tarief-elektriciteit-1-juli-2023-st-eustatius</t>
  </si>
  <si>
    <t>https://www.acm.nl/nl/publicaties/beschikking-distributietarieven-elektriciteit-2024-sint-eustatius-stuco</t>
  </si>
  <si>
    <t>Production price excluding fuel 2024</t>
  </si>
  <si>
    <t>Estimated total production 2024</t>
  </si>
  <si>
    <t>Estimated total production first half 2024</t>
  </si>
  <si>
    <t>Part of electricity distribution first half of 2024</t>
  </si>
  <si>
    <t>Correction on variable usage tariff 2024</t>
  </si>
  <si>
    <t>Correction per kWh - Profit sharing: network losses 2022</t>
  </si>
  <si>
    <t>USD/kWh, pl 2024</t>
  </si>
  <si>
    <t>Estimated network losses 2024</t>
  </si>
  <si>
    <t>On this sheet, two corrections are applied to calculate the new variable usage tariff of STUCO for the period July to December 2024:</t>
  </si>
  <si>
    <t>First, the ACM presents an updated estimation of the production price per 1 July 2024;</t>
  </si>
  <si>
    <t>New variable usage tariff per 1 July 2024</t>
  </si>
  <si>
    <t>Updated estimation of production price per 1 July 2024</t>
  </si>
  <si>
    <t>Estimated fuel efficiency for 2024</t>
  </si>
  <si>
    <t>Estimated share production by fuel for 2024</t>
  </si>
  <si>
    <t>USD/liter, pl 2024</t>
  </si>
  <si>
    <t>Estimate for fuel component per 1 July 2024</t>
  </si>
  <si>
    <t>Estimation of production price per 1 July 2024</t>
  </si>
  <si>
    <t>USD, pl 2024</t>
  </si>
  <si>
    <t>Estimated production volume 2024</t>
  </si>
  <si>
    <t>Estimated production volume July to December 2024</t>
  </si>
  <si>
    <t>Calculation new variable usage tariff per 1 July 2024</t>
  </si>
  <si>
    <t>Total corrections per kWh in variable usage tariff per 1 July 2024</t>
  </si>
  <si>
    <t>Second, the ACM calculates the effect (per kWh) of the correction for fuel price differences over the period November 2023 - April 2024.</t>
  </si>
  <si>
    <t>This correction reimburses fuel price differences over the period November 2023 - April 2024.</t>
  </si>
  <si>
    <t>Add-on per kWh for fuel component correction</t>
  </si>
  <si>
    <t>This sheet summarizes the relevant information to include in the annex of the decision on the tariffs per July 1, 2024.</t>
  </si>
  <si>
    <t>Key figures decision for variable usage tariff 1 July - 31 December 2024</t>
  </si>
  <si>
    <t>Correction amount for January - April 2024</t>
  </si>
  <si>
    <t>Variable usage tariff for the period 1 July - 31 December 2024</t>
  </si>
  <si>
    <t>Correction amount for November - December 2023</t>
  </si>
  <si>
    <t>Dictum &amp; Annex 1 tariff decision STUCO July, 1 2024</t>
  </si>
  <si>
    <t>ACM/23/181655</t>
  </si>
  <si>
    <t>ACM/UIT/621000</t>
  </si>
  <si>
    <t>This document contains the model that the Authority for Consumers &amp; Markets (ACM) uses to calculate the adjustment of the variable usage tariff for electricity of St. Eustatius Utility Company (STUCO) per July 1, 2024.</t>
  </si>
  <si>
    <t>1. The fuel component is updated. This means that the production price as set in the tariff decision as of January 1, 2024 is updated to match the actual fuel prices more closely.</t>
  </si>
  <si>
    <t>For both corrections mentioned above, other values and parameters will remain as were determined in the tariff decision for 2024.</t>
  </si>
  <si>
    <t>2. The difference between the realized fuel component paid by the distributor and the estimated fuel component for November 2023 to April 2024 will be corrected in the tariff for July-December 2024.</t>
  </si>
  <si>
    <t>On this sheet ACM imports the realized electricity production of STUCO for the period November 2023 to April 2024.</t>
  </si>
  <si>
    <t xml:space="preserve">In this sheet ACM imports the data from the tariff decisions for 2023 and 2024 (both production price decisions and usage tariff decisions). </t>
  </si>
  <si>
    <t>The production price decisions for 2023 and 2024 and the tariff decisions for July 2023 and January 2024 are used as the basis for the correction for the period November 2023 to April 2024. Sources are indicated in row 14.</t>
  </si>
  <si>
    <t>2024
January</t>
  </si>
  <si>
    <t>2024
February</t>
  </si>
  <si>
    <t>2024
March</t>
  </si>
  <si>
    <t>2024
April</t>
  </si>
  <si>
    <t>2023
November</t>
  </si>
  <si>
    <t>2023
December</t>
  </si>
  <si>
    <t>Delta Petroleum Inv #20230911</t>
  </si>
  <si>
    <t>Delta Petroleum Inv #20230918</t>
  </si>
  <si>
    <t>Delta Petroleum Inv #20230919</t>
  </si>
  <si>
    <t>Delta Petroleum Inv #20230921</t>
  </si>
  <si>
    <t>Delta Petroleum Inv #20231012</t>
  </si>
  <si>
    <t>Delta Petroleum Inv #20231025</t>
  </si>
  <si>
    <t>Delta Petroleum Inv #20240112</t>
  </si>
  <si>
    <t>Delta Petroleum Inv #20240208</t>
  </si>
  <si>
    <t>Delta Petroleum Inv #20240209</t>
  </si>
  <si>
    <t>Delta Petroleum Inv #20240229</t>
  </si>
  <si>
    <t>Weighted average fuel price for relevant month (USD/liter)</t>
  </si>
  <si>
    <t>STUCO did not purchase any fuel in November 2023, therefore the fuel price for October 2023 is used as the fuel price for November 2023.</t>
  </si>
  <si>
    <t>STUCO did not purchase any fuel in December 2023, therefore the fuel price for October 2023 is used as the fuel price for December 2023.</t>
  </si>
  <si>
    <t>STUCO Invoice 20240508</t>
  </si>
  <si>
    <t>[1] "Data on volumes and tariffs" cell L24, [2] Estimates for 2024"  cell L35</t>
  </si>
  <si>
    <t>[1] "Data on volumes and tariffs" cell L20, [2] "Estimates for 2024" cell L24</t>
  </si>
  <si>
    <t>[3] "Result" H20, [4]  "Electricity Production" L33</t>
  </si>
  <si>
    <t>[4] "Electricity Production" L32</t>
  </si>
  <si>
    <t>[4] "Estimates for 2024" L22</t>
  </si>
  <si>
    <t>[4] "Estimates for 2024" L23</t>
  </si>
  <si>
    <t>[4] "Electricity Distribution" M63</t>
  </si>
  <si>
    <t>[4] "Estimates for 2024" M17</t>
  </si>
  <si>
    <t>Corrections per kWh apply to January-December 2024.</t>
  </si>
  <si>
    <t>[8] Wettelijke rente CNL</t>
  </si>
  <si>
    <t>Fuel invoices September 2023 through February 2024</t>
  </si>
  <si>
    <t>Delta Petroleum Inv #xxxxxxxx</t>
  </si>
  <si>
    <t>Fuel invoice May 2024</t>
  </si>
  <si>
    <t>E-mail from STUCO to ACM on June 5, 2024</t>
  </si>
  <si>
    <t>Total fuel component correction</t>
  </si>
  <si>
    <t>Most recent fuel price (8 May 2024)</t>
  </si>
  <si>
    <t>No</t>
  </si>
  <si>
    <t>STUCO Overview of Production of Electricity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</si>
</sst>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0.0000"/>
  </numFmts>
  <fonts count="31"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rgb="FF00B0F0"/>
      <name val="Arial"/>
      <family val="2"/>
    </font>
    <font>
      <sz val="10"/>
      <color rgb="FF00B0F0"/>
      <name val="Arial"/>
      <family val="2"/>
    </font>
    <font>
      <sz val="8"/>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5">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7" borderId="1">
      <alignment vertical="top"/>
    </xf>
    <xf numFmtId="49" fontId="6" fillId="0" borderId="0">
      <alignment vertical="top"/>
    </xf>
    <xf numFmtId="41" fontId="5" fillId="10" borderId="0">
      <alignment vertical="top"/>
    </xf>
    <xf numFmtId="41" fontId="5" fillId="9" borderId="0">
      <alignment vertical="top"/>
    </xf>
    <xf numFmtId="41" fontId="5" fillId="8" borderId="0">
      <alignment vertical="top"/>
    </xf>
    <xf numFmtId="41" fontId="5" fillId="44" borderId="0">
      <alignment vertical="top"/>
    </xf>
    <xf numFmtId="41" fontId="5" fillId="7" borderId="0">
      <alignment vertical="top"/>
    </xf>
    <xf numFmtId="41" fontId="5" fillId="11" borderId="0">
      <alignment vertical="top"/>
    </xf>
    <xf numFmtId="49" fontId="10" fillId="0" borderId="0">
      <alignment vertical="top"/>
    </xf>
    <xf numFmtId="49" fontId="9" fillId="0" borderId="0">
      <alignment vertical="top"/>
    </xf>
    <xf numFmtId="0" fontId="14" fillId="13" borderId="8" applyNumberFormat="0" applyAlignment="0" applyProtection="0"/>
    <xf numFmtId="0" fontId="15" fillId="14" borderId="9" applyNumberFormat="0" applyAlignment="0" applyProtection="0"/>
    <xf numFmtId="0" fontId="16" fillId="14" borderId="8" applyNumberFormat="0" applyAlignment="0" applyProtection="0"/>
    <xf numFmtId="0" fontId="17" fillId="0" borderId="10" applyNumberFormat="0" applyFill="0" applyAlignment="0" applyProtection="0"/>
    <xf numFmtId="0" fontId="11" fillId="15" borderId="11" applyNumberFormat="0" applyAlignment="0" applyProtection="0"/>
    <xf numFmtId="0" fontId="13" fillId="16" borderId="12" applyNumberFormat="0" applyFont="0" applyAlignment="0" applyProtection="0"/>
    <xf numFmtId="0" fontId="18"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6" fillId="41" borderId="0" applyNumberFormat="0" applyBorder="0" applyAlignment="0" applyProtection="0"/>
    <xf numFmtId="0" fontId="27" fillId="0" borderId="0" applyNumberFormat="0" applyFill="0" applyBorder="0" applyAlignment="0" applyProtection="0"/>
    <xf numFmtId="49" fontId="19" fillId="0" borderId="0" applyFill="0" applyBorder="0" applyAlignment="0" applyProtection="0"/>
    <xf numFmtId="43" fontId="5" fillId="42" borderId="0" applyNumberFormat="0">
      <alignment vertical="top"/>
    </xf>
    <xf numFmtId="10" fontId="5" fillId="0" borderId="0" applyFont="0" applyFill="0" applyBorder="0" applyAlignment="0" applyProtection="0">
      <alignment vertical="top"/>
    </xf>
    <xf numFmtId="41" fontId="5" fillId="43" borderId="0">
      <alignment vertical="top"/>
    </xf>
  </cellStyleXfs>
  <cellXfs count="64">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7" borderId="1" xfId="6">
      <alignment vertical="top"/>
    </xf>
    <xf numFmtId="0" fontId="5" fillId="0" borderId="0" xfId="4" applyFill="1">
      <alignment vertical="top"/>
    </xf>
    <xf numFmtId="0" fontId="5" fillId="0" borderId="2" xfId="4" applyBorder="1" applyAlignment="1">
      <alignment horizontal="left" vertical="top" wrapText="1"/>
    </xf>
    <xf numFmtId="0" fontId="10" fillId="0" borderId="0" xfId="4" applyFont="1" applyFill="1">
      <alignment vertical="top"/>
    </xf>
    <xf numFmtId="0" fontId="5" fillId="6" borderId="0" xfId="4" applyFill="1">
      <alignment vertical="top"/>
    </xf>
    <xf numFmtId="49" fontId="7" fillId="17" borderId="2" xfId="6" applyFont="1" applyBorder="1">
      <alignment vertical="top"/>
    </xf>
    <xf numFmtId="0" fontId="8" fillId="5" borderId="1" xfId="5" applyNumberFormat="1">
      <alignment vertical="top"/>
    </xf>
    <xf numFmtId="0" fontId="12" fillId="0" borderId="0" xfId="4" applyFont="1">
      <alignment vertical="top"/>
    </xf>
    <xf numFmtId="0" fontId="5" fillId="12" borderId="0" xfId="4" applyFill="1">
      <alignment vertical="top"/>
    </xf>
    <xf numFmtId="0" fontId="5" fillId="0" borderId="0" xfId="4" applyFont="1">
      <alignment vertical="top"/>
    </xf>
    <xf numFmtId="49" fontId="5" fillId="17"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10" borderId="0" xfId="8">
      <alignment vertical="top"/>
    </xf>
    <xf numFmtId="41" fontId="5" fillId="44" borderId="0" xfId="11">
      <alignment vertical="top"/>
    </xf>
    <xf numFmtId="49" fontId="19" fillId="0" borderId="0" xfId="61" applyAlignment="1">
      <alignment vertical="top"/>
    </xf>
    <xf numFmtId="0" fontId="5" fillId="0" borderId="2" xfId="4" applyFont="1" applyBorder="1" applyAlignment="1">
      <alignment horizontal="left" vertical="top" wrapText="1"/>
    </xf>
    <xf numFmtId="41" fontId="5" fillId="11" borderId="0" xfId="13">
      <alignment vertical="top"/>
    </xf>
    <xf numFmtId="41" fontId="5" fillId="9" borderId="0" xfId="9">
      <alignment vertical="top"/>
    </xf>
    <xf numFmtId="49" fontId="28" fillId="0" borderId="0" xfId="14" applyFont="1">
      <alignment vertical="top"/>
    </xf>
    <xf numFmtId="0" fontId="29" fillId="0" borderId="0" xfId="4" applyFont="1">
      <alignment vertical="top"/>
    </xf>
    <xf numFmtId="49" fontId="5" fillId="17" borderId="0" xfId="6" applyFont="1" applyBorder="1">
      <alignment vertical="top"/>
    </xf>
    <xf numFmtId="49" fontId="11" fillId="5" borderId="1" xfId="5" applyFont="1">
      <alignment vertical="top"/>
    </xf>
    <xf numFmtId="0" fontId="9" fillId="12" borderId="0" xfId="4" applyFont="1" applyFill="1">
      <alignment vertical="top"/>
    </xf>
    <xf numFmtId="164" fontId="5" fillId="11" borderId="0" xfId="13" applyNumberFormat="1">
      <alignment vertical="top"/>
    </xf>
    <xf numFmtId="10" fontId="5" fillId="11" borderId="0" xfId="13" applyNumberFormat="1">
      <alignment vertical="top"/>
    </xf>
    <xf numFmtId="164" fontId="5" fillId="9" borderId="0" xfId="9" applyNumberFormat="1">
      <alignment vertical="top"/>
    </xf>
    <xf numFmtId="164" fontId="5" fillId="10" borderId="0" xfId="8" applyNumberFormat="1">
      <alignment vertical="top"/>
    </xf>
    <xf numFmtId="49" fontId="6" fillId="17" borderId="1" xfId="6" applyAlignment="1">
      <alignment vertical="top" wrapText="1"/>
    </xf>
    <xf numFmtId="14" fontId="5" fillId="44" borderId="0" xfId="11" applyNumberFormat="1">
      <alignment vertical="top"/>
    </xf>
    <xf numFmtId="164" fontId="5" fillId="44" borderId="0" xfId="11" applyNumberFormat="1">
      <alignment vertical="top"/>
    </xf>
    <xf numFmtId="10" fontId="5" fillId="44" borderId="0" xfId="63" applyFill="1">
      <alignment vertical="top"/>
    </xf>
    <xf numFmtId="10" fontId="5" fillId="9" borderId="0" xfId="63" applyFill="1">
      <alignment vertical="top"/>
    </xf>
    <xf numFmtId="10" fontId="5" fillId="44" borderId="0" xfId="11" applyNumberFormat="1">
      <alignment vertical="top"/>
    </xf>
    <xf numFmtId="0" fontId="5" fillId="0" borderId="5" xfId="4" applyBorder="1">
      <alignment vertical="top"/>
    </xf>
    <xf numFmtId="0" fontId="5" fillId="0" borderId="6" xfId="4" applyBorder="1">
      <alignment vertical="top"/>
    </xf>
    <xf numFmtId="0" fontId="5" fillId="0" borderId="7" xfId="4" applyBorder="1">
      <alignment vertical="top"/>
    </xf>
    <xf numFmtId="49" fontId="6" fillId="17" borderId="3" xfId="6" applyBorder="1">
      <alignment vertical="top"/>
    </xf>
    <xf numFmtId="49" fontId="6" fillId="17" borderId="4" xfId="6" applyBorder="1">
      <alignment vertical="top"/>
    </xf>
    <xf numFmtId="0" fontId="5" fillId="0" borderId="17" xfId="4" applyBorder="1">
      <alignment vertical="top"/>
    </xf>
    <xf numFmtId="0" fontId="5" fillId="0" borderId="18" xfId="4" applyBorder="1">
      <alignment vertical="top"/>
    </xf>
    <xf numFmtId="10" fontId="5" fillId="0" borderId="0" xfId="4" applyNumberFormat="1">
      <alignment vertical="top"/>
    </xf>
    <xf numFmtId="165" fontId="5" fillId="0" borderId="0" xfId="4" applyNumberFormat="1">
      <alignment vertical="top"/>
    </xf>
    <xf numFmtId="3" fontId="5" fillId="0" borderId="0" xfId="4" applyNumberFormat="1">
      <alignment vertical="top"/>
    </xf>
    <xf numFmtId="0" fontId="5" fillId="0" borderId="19" xfId="4" applyBorder="1">
      <alignment vertical="top"/>
    </xf>
    <xf numFmtId="0" fontId="5" fillId="0" borderId="20" xfId="4" applyBorder="1">
      <alignment vertical="top"/>
    </xf>
    <xf numFmtId="0" fontId="5" fillId="0" borderId="21" xfId="4" applyBorder="1">
      <alignment vertical="top"/>
    </xf>
    <xf numFmtId="0" fontId="5" fillId="0" borderId="2" xfId="4" applyBorder="1" applyAlignment="1">
      <alignment vertical="top" wrapText="1"/>
    </xf>
    <xf numFmtId="49" fontId="19" fillId="0" borderId="2" xfId="61" applyBorder="1" applyAlignment="1">
      <alignment vertical="top"/>
    </xf>
    <xf numFmtId="17" fontId="5" fillId="44" borderId="0" xfId="11" applyNumberFormat="1">
      <alignment vertical="top"/>
    </xf>
    <xf numFmtId="41" fontId="5" fillId="9" borderId="0" xfId="9" applyNumberFormat="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5">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4"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3"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schikking-productieprijs-elektriciteit-2023-sint-eustatius-stuco" TargetMode="External"/><Relationship Id="rId2" Type="http://schemas.openxmlformats.org/officeDocument/2006/relationships/hyperlink" Target="https://www.acm.nl/nl/publicaties/beschikking-distributietarieven-elektriciteit-2024-sint-eustatius-stuco" TargetMode="External"/><Relationship Id="rId1" Type="http://schemas.openxmlformats.org/officeDocument/2006/relationships/hyperlink" Target="https://wetten.overheid.nl/BWBR0030649/2011-11-18" TargetMode="External"/><Relationship Id="rId6" Type="http://schemas.openxmlformats.org/officeDocument/2006/relationships/printerSettings" Target="../printerSettings/printerSettings3.bin"/><Relationship Id="rId5" Type="http://schemas.openxmlformats.org/officeDocument/2006/relationships/hyperlink" Target="https://www.acm.nl/nl/publicaties/beschikking-variabel-tarief-elektriciteit-1-juli-2023-st-eustatius" TargetMode="External"/><Relationship Id="rId4" Type="http://schemas.openxmlformats.org/officeDocument/2006/relationships/hyperlink" Target="https://www.acm.nl/nl/publicaties/beschikking-productieprijs-elektriciteit-2024-sint-eustatius-stu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E42"/>
  <sheetViews>
    <sheetView showGridLines="0" tabSelected="1" zoomScale="85" zoomScaleNormal="85" workbookViewId="0">
      <pane ySplit="3" topLeftCell="A4" activePane="bottomLeft" state="frozen"/>
      <selection activeCell="O39" sqref="O39"/>
      <selection pane="bottomLeft" activeCell="C8" sqref="C8"/>
    </sheetView>
  </sheetViews>
  <sheetFormatPr defaultColWidth="9.140625" defaultRowHeight="12.75" x14ac:dyDescent="0.2"/>
  <cols>
    <col min="1" max="1" width="4.7109375" style="2" customWidth="1"/>
    <col min="2" max="2" width="44.5703125" style="2" customWidth="1"/>
    <col min="3" max="3" width="91.85546875" style="2" customWidth="1"/>
    <col min="4" max="16384" width="9.140625" style="2"/>
  </cols>
  <sheetData>
    <row r="2" spans="2:5" s="7" customFormat="1" ht="18" x14ac:dyDescent="0.2">
      <c r="B2" s="7" t="s">
        <v>38</v>
      </c>
    </row>
    <row r="6" spans="2:5" x14ac:dyDescent="0.2">
      <c r="B6" s="3"/>
    </row>
    <row r="13" spans="2:5" s="8" customFormat="1" x14ac:dyDescent="0.2">
      <c r="B13" s="8" t="s">
        <v>3</v>
      </c>
    </row>
    <row r="14" spans="2:5" s="9" customFormat="1" x14ac:dyDescent="0.2"/>
    <row r="15" spans="2:5" x14ac:dyDescent="0.2">
      <c r="B15" s="27" t="s">
        <v>4</v>
      </c>
      <c r="C15" s="10" t="s">
        <v>196</v>
      </c>
      <c r="E15" s="21"/>
    </row>
    <row r="16" spans="2:5" x14ac:dyDescent="0.2">
      <c r="B16" s="27" t="s">
        <v>5</v>
      </c>
      <c r="C16" s="10" t="s">
        <v>140</v>
      </c>
    </row>
    <row r="17" spans="2:3" x14ac:dyDescent="0.2">
      <c r="B17" s="27" t="s">
        <v>6</v>
      </c>
      <c r="C17" s="10"/>
    </row>
    <row r="18" spans="2:3" x14ac:dyDescent="0.2">
      <c r="B18" s="27" t="s">
        <v>39</v>
      </c>
      <c r="C18" s="27" t="s">
        <v>141</v>
      </c>
    </row>
    <row r="19" spans="2:3" x14ac:dyDescent="0.2">
      <c r="B19" s="27" t="s">
        <v>40</v>
      </c>
      <c r="C19" s="10" t="s">
        <v>197</v>
      </c>
    </row>
    <row r="20" spans="2:3" x14ac:dyDescent="0.2">
      <c r="B20" s="27" t="s">
        <v>41</v>
      </c>
      <c r="C20" s="27"/>
    </row>
    <row r="21" spans="2:3" x14ac:dyDescent="0.2">
      <c r="B21" s="27" t="s">
        <v>53</v>
      </c>
      <c r="C21" s="27" t="s">
        <v>142</v>
      </c>
    </row>
    <row r="22" spans="2:3" x14ac:dyDescent="0.2">
      <c r="B22" s="27" t="s">
        <v>7</v>
      </c>
      <c r="C22" s="10"/>
    </row>
    <row r="24" spans="2:3" x14ac:dyDescent="0.2">
      <c r="B24" s="23" t="s">
        <v>132</v>
      </c>
    </row>
    <row r="26" spans="2:3" s="8" customFormat="1" x14ac:dyDescent="0.2">
      <c r="B26" s="8" t="s">
        <v>8</v>
      </c>
    </row>
    <row r="28" spans="2:3" x14ac:dyDescent="0.2">
      <c r="B28" s="27" t="s">
        <v>9</v>
      </c>
      <c r="C28" s="10" t="s">
        <v>126</v>
      </c>
    </row>
    <row r="29" spans="2:3" x14ac:dyDescent="0.2">
      <c r="B29" s="27" t="s">
        <v>57</v>
      </c>
      <c r="C29" s="10" t="s">
        <v>126</v>
      </c>
    </row>
    <row r="30" spans="2:3" ht="25.5" x14ac:dyDescent="0.2">
      <c r="B30" s="27" t="s">
        <v>10</v>
      </c>
      <c r="C30" s="10" t="s">
        <v>126</v>
      </c>
    </row>
    <row r="31" spans="2:3" ht="25.5" x14ac:dyDescent="0.2">
      <c r="B31" s="27" t="s">
        <v>138</v>
      </c>
      <c r="C31" s="27" t="s">
        <v>241</v>
      </c>
    </row>
    <row r="32" spans="2:3" x14ac:dyDescent="0.2">
      <c r="B32" s="27" t="s">
        <v>7</v>
      </c>
      <c r="C32" s="10"/>
    </row>
    <row r="34" spans="2:4" x14ac:dyDescent="0.2">
      <c r="B34" s="62" t="s">
        <v>43</v>
      </c>
      <c r="C34" s="63"/>
      <c r="D34" s="5"/>
    </row>
    <row r="35" spans="2:4" x14ac:dyDescent="0.2">
      <c r="B35" s="20"/>
      <c r="C35" s="20"/>
      <c r="D35" s="5"/>
    </row>
    <row r="37" spans="2:4" s="8" customFormat="1" x14ac:dyDescent="0.2">
      <c r="B37" s="8" t="s">
        <v>0</v>
      </c>
    </row>
    <row r="39" spans="2:4" x14ac:dyDescent="0.2">
      <c r="B39" s="2" t="s">
        <v>44</v>
      </c>
    </row>
    <row r="41" spans="2:4" x14ac:dyDescent="0.2">
      <c r="C41" s="30"/>
    </row>
    <row r="42" spans="2:4" x14ac:dyDescent="0.2">
      <c r="B42" s="4" t="s">
        <v>58</v>
      </c>
    </row>
  </sheetData>
  <mergeCells count="1">
    <mergeCell ref="B34:C34"/>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3CF4-DE87-4757-8CB7-CF1C41DDC929}">
  <sheetPr>
    <tabColor rgb="FFFFFFCC"/>
  </sheetPr>
  <dimension ref="B2:S50"/>
  <sheetViews>
    <sheetView showGridLines="0" zoomScale="85" zoomScaleNormal="85" workbookViewId="0">
      <pane xSplit="6" ySplit="15" topLeftCell="G31" activePane="bottomRight" state="frozen"/>
      <selection activeCell="G12" sqref="G12"/>
      <selection pane="topRight" activeCell="G12" sqref="G12"/>
      <selection pane="bottomLeft" activeCell="G12" sqref="G12"/>
      <selection pane="bottomRight"/>
    </sheetView>
  </sheetViews>
  <sheetFormatPr defaultColWidth="9.140625"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140625" style="2" customWidth="1"/>
    <col min="18" max="18" width="2.7109375" style="2" customWidth="1"/>
    <col min="19" max="33" width="13.7109375" style="2" customWidth="1"/>
    <col min="34" max="16384" width="9.140625" style="2"/>
  </cols>
  <sheetData>
    <row r="2" spans="2:19" s="14" customFormat="1" ht="18" x14ac:dyDescent="0.2">
      <c r="B2" s="14" t="s">
        <v>92</v>
      </c>
    </row>
    <row r="4" spans="2:19" x14ac:dyDescent="0.2">
      <c r="B4" s="22" t="s">
        <v>12</v>
      </c>
      <c r="C4" s="1"/>
      <c r="D4" s="1"/>
    </row>
    <row r="5" spans="2:19" x14ac:dyDescent="0.2">
      <c r="B5" s="2" t="s">
        <v>93</v>
      </c>
      <c r="H5" s="15"/>
    </row>
    <row r="6" spans="2:19" x14ac:dyDescent="0.2">
      <c r="B6" s="2" t="s">
        <v>94</v>
      </c>
      <c r="H6" s="15"/>
    </row>
    <row r="7" spans="2:19" x14ac:dyDescent="0.2">
      <c r="B7" s="2" t="s">
        <v>95</v>
      </c>
      <c r="H7" s="15"/>
    </row>
    <row r="8" spans="2:19" x14ac:dyDescent="0.2">
      <c r="H8" s="15"/>
    </row>
    <row r="9" spans="2:19" x14ac:dyDescent="0.2">
      <c r="B9" s="23" t="s">
        <v>125</v>
      </c>
      <c r="H9" s="15"/>
    </row>
    <row r="10" spans="2:19" x14ac:dyDescent="0.2">
      <c r="B10" s="4" t="s">
        <v>96</v>
      </c>
    </row>
    <row r="11" spans="2:19" x14ac:dyDescent="0.2">
      <c r="B11" s="4" t="s">
        <v>97</v>
      </c>
    </row>
    <row r="14" spans="2:19" s="8" customFormat="1" ht="25.5" x14ac:dyDescent="0.2">
      <c r="B14" s="8" t="s">
        <v>12</v>
      </c>
      <c r="F14" s="8" t="s">
        <v>34</v>
      </c>
      <c r="H14" s="8" t="s">
        <v>35</v>
      </c>
      <c r="J14" s="39" t="s">
        <v>98</v>
      </c>
      <c r="L14" s="39" t="s">
        <v>209</v>
      </c>
      <c r="M14" s="39" t="s">
        <v>210</v>
      </c>
      <c r="N14" s="39" t="s">
        <v>205</v>
      </c>
      <c r="O14" s="39" t="s">
        <v>206</v>
      </c>
      <c r="P14" s="39" t="s">
        <v>207</v>
      </c>
      <c r="Q14" s="39" t="s">
        <v>208</v>
      </c>
      <c r="S14" s="8" t="s">
        <v>36</v>
      </c>
    </row>
    <row r="17" spans="2:19" s="8" customFormat="1" x14ac:dyDescent="0.2">
      <c r="B17" s="8" t="s">
        <v>99</v>
      </c>
    </row>
    <row r="19" spans="2:19" x14ac:dyDescent="0.2">
      <c r="B19" s="22" t="s">
        <v>100</v>
      </c>
    </row>
    <row r="20" spans="2:19" x14ac:dyDescent="0.2">
      <c r="B20" s="2" t="s">
        <v>91</v>
      </c>
      <c r="F20" s="2" t="s">
        <v>61</v>
      </c>
      <c r="H20" s="36">
        <f>'Parameters in tariff decisions'!O32</f>
        <v>0.03</v>
      </c>
    </row>
    <row r="22" spans="2:19" s="8" customFormat="1" x14ac:dyDescent="0.2">
      <c r="B22" s="8" t="s">
        <v>101</v>
      </c>
    </row>
    <row r="24" spans="2:19" x14ac:dyDescent="0.2">
      <c r="B24" s="22" t="s">
        <v>102</v>
      </c>
    </row>
    <row r="25" spans="2:19" x14ac:dyDescent="0.2">
      <c r="B25" s="2" t="s">
        <v>84</v>
      </c>
      <c r="F25" s="2" t="s">
        <v>60</v>
      </c>
      <c r="L25" s="35">
        <f>'Parameters in tariff decisions'!$L$17</f>
        <v>0.27503446875338899</v>
      </c>
      <c r="M25" s="35">
        <f>'Parameters in tariff decisions'!$L$17</f>
        <v>0.27503446875338899</v>
      </c>
      <c r="N25" s="35">
        <f>'Parameters in tariff decisions'!$M$17</f>
        <v>0.27626522408947457</v>
      </c>
      <c r="O25" s="35">
        <f>'Parameters in tariff decisions'!$M$17</f>
        <v>0.27626522408947457</v>
      </c>
      <c r="P25" s="35">
        <f>'Parameters in tariff decisions'!$M$17</f>
        <v>0.27626522408947457</v>
      </c>
      <c r="Q25" s="35">
        <f>'Parameters in tariff decisions'!$M$17</f>
        <v>0.27626522408947457</v>
      </c>
    </row>
    <row r="26" spans="2:19" x14ac:dyDescent="0.2">
      <c r="B26" s="2" t="s">
        <v>103</v>
      </c>
      <c r="F26" s="2" t="s">
        <v>61</v>
      </c>
      <c r="L26" s="36">
        <f>'Parameters in tariff decisions'!$L$18</f>
        <v>0.70445062586926299</v>
      </c>
      <c r="M26" s="36">
        <f>'Parameters in tariff decisions'!$L$18</f>
        <v>0.70445062586926299</v>
      </c>
      <c r="N26" s="36">
        <f>'Parameters in tariff decisions'!$M$18</f>
        <v>0.51666683778875944</v>
      </c>
      <c r="O26" s="36">
        <f>'Parameters in tariff decisions'!$M$18</f>
        <v>0.51666683778875944</v>
      </c>
      <c r="P26" s="36">
        <f>'Parameters in tariff decisions'!$M$18</f>
        <v>0.51666683778875944</v>
      </c>
      <c r="Q26" s="36">
        <f>'Parameters in tariff decisions'!$M$18</f>
        <v>0.51666683778875944</v>
      </c>
    </row>
    <row r="28" spans="2:19" x14ac:dyDescent="0.2">
      <c r="B28" s="1" t="s">
        <v>104</v>
      </c>
    </row>
    <row r="29" spans="2:19" x14ac:dyDescent="0.2">
      <c r="B29" s="2" t="s">
        <v>105</v>
      </c>
      <c r="F29" s="2" t="s">
        <v>63</v>
      </c>
      <c r="L29" s="28">
        <f>'Production data'!H14</f>
        <v>1130669</v>
      </c>
      <c r="M29" s="28">
        <f>'Production data'!I14</f>
        <v>1158503</v>
      </c>
      <c r="N29" s="28">
        <f>'Production data'!J14</f>
        <v>1257063</v>
      </c>
      <c r="O29" s="28">
        <f>'Production data'!K14</f>
        <v>1245084</v>
      </c>
      <c r="P29" s="28">
        <f>'Production data'!L14</f>
        <v>1189623</v>
      </c>
      <c r="Q29" s="28">
        <f>'Production data'!M14</f>
        <v>1375000</v>
      </c>
    </row>
    <row r="31" spans="2:19" x14ac:dyDescent="0.2">
      <c r="B31" s="1" t="s">
        <v>106</v>
      </c>
    </row>
    <row r="32" spans="2:19" x14ac:dyDescent="0.2">
      <c r="B32" s="2" t="s">
        <v>72</v>
      </c>
      <c r="F32" s="2" t="s">
        <v>107</v>
      </c>
      <c r="L32" s="35">
        <f>'Fuel prices'!W26</f>
        <v>1.01003062185792</v>
      </c>
      <c r="M32" s="35">
        <f>'Fuel prices'!W29</f>
        <v>0.96239639821089185</v>
      </c>
      <c r="N32" s="35">
        <f>'Fuel prices'!W31</f>
        <v>0.96239639821089185</v>
      </c>
      <c r="O32" s="35">
        <f>'Fuel prices'!W33</f>
        <v>0.96239639821089185</v>
      </c>
      <c r="P32" s="35">
        <f>'Fuel prices'!W35</f>
        <v>0.81473302667776548</v>
      </c>
      <c r="Q32" s="35">
        <f>'Fuel prices'!W39</f>
        <v>0.86697566521506286</v>
      </c>
      <c r="S32" s="2" t="s">
        <v>108</v>
      </c>
    </row>
    <row r="34" spans="2:19" s="8" customFormat="1" x14ac:dyDescent="0.2">
      <c r="B34" s="8" t="s">
        <v>109</v>
      </c>
    </row>
    <row r="36" spans="2:19" x14ac:dyDescent="0.2">
      <c r="B36" s="1" t="s">
        <v>110</v>
      </c>
    </row>
    <row r="37" spans="2:19" x14ac:dyDescent="0.2">
      <c r="B37" s="2" t="s">
        <v>111</v>
      </c>
      <c r="F37" s="2" t="s">
        <v>89</v>
      </c>
      <c r="L37" s="37">
        <f>L25*L26*L32</f>
        <v>0.19569161861539897</v>
      </c>
      <c r="M37" s="37">
        <f t="shared" ref="M37:Q37" si="0">M25*M26*M32</f>
        <v>0.18646257335157515</v>
      </c>
      <c r="N37" s="37">
        <f t="shared" si="0"/>
        <v>0.13736965141493143</v>
      </c>
      <c r="O37" s="37">
        <f t="shared" si="0"/>
        <v>0.13736965141493143</v>
      </c>
      <c r="P37" s="37">
        <f t="shared" si="0"/>
        <v>0.11629261298048989</v>
      </c>
      <c r="Q37" s="37">
        <f t="shared" si="0"/>
        <v>0.12374957464223979</v>
      </c>
    </row>
    <row r="38" spans="2:19" x14ac:dyDescent="0.2">
      <c r="B38" s="2" t="s">
        <v>112</v>
      </c>
      <c r="F38" s="2" t="s">
        <v>89</v>
      </c>
      <c r="L38" s="35">
        <f>'Parameters in tariff decisions'!$N$21</f>
        <v>0.19921190299184563</v>
      </c>
      <c r="M38" s="35">
        <f>'Parameters in tariff decisions'!$N$21</f>
        <v>0.19921190299184563</v>
      </c>
      <c r="N38" s="35">
        <f>'Parameters in tariff decisions'!$O$21</f>
        <v>0.14024042237737816</v>
      </c>
      <c r="O38" s="35">
        <f>'Parameters in tariff decisions'!$O$21</f>
        <v>0.14024042237737816</v>
      </c>
      <c r="P38" s="35">
        <f>'Parameters in tariff decisions'!$O$21</f>
        <v>0.14024042237737816</v>
      </c>
      <c r="Q38" s="35">
        <f>'Parameters in tariff decisions'!$O$21</f>
        <v>0.14024042237737816</v>
      </c>
    </row>
    <row r="39" spans="2:19" x14ac:dyDescent="0.2">
      <c r="B39" s="2" t="s">
        <v>113</v>
      </c>
      <c r="F39" s="2" t="s">
        <v>89</v>
      </c>
      <c r="L39" s="37">
        <f>L37-L38</f>
        <v>-3.520284376446664E-3</v>
      </c>
      <c r="M39" s="37">
        <f t="shared" ref="M39:Q39" si="1">M37-M38</f>
        <v>-1.2749329640270479E-2</v>
      </c>
      <c r="N39" s="37">
        <f t="shared" si="1"/>
        <v>-2.8707709624467281E-3</v>
      </c>
      <c r="O39" s="37">
        <f t="shared" si="1"/>
        <v>-2.8707709624467281E-3</v>
      </c>
      <c r="P39" s="37">
        <f t="shared" si="1"/>
        <v>-2.3947809396888273E-2</v>
      </c>
      <c r="Q39" s="37">
        <f t="shared" si="1"/>
        <v>-1.649084773513837E-2</v>
      </c>
      <c r="S39" s="2" t="s">
        <v>114</v>
      </c>
    </row>
    <row r="41" spans="2:19" x14ac:dyDescent="0.2">
      <c r="B41" s="1" t="s">
        <v>115</v>
      </c>
    </row>
    <row r="42" spans="2:19" x14ac:dyDescent="0.2">
      <c r="B42" s="2" t="s">
        <v>116</v>
      </c>
      <c r="F42" s="2" t="s">
        <v>117</v>
      </c>
      <c r="L42" s="29">
        <f>L39*L29</f>
        <v>-3980.2764156325734</v>
      </c>
      <c r="M42" s="29">
        <f t="shared" ref="M42:Q42" si="2">M39*M29</f>
        <v>-14770.13663624227</v>
      </c>
      <c r="N42" s="29">
        <f t="shared" si="2"/>
        <v>-3608.7399583661713</v>
      </c>
      <c r="O42" s="29">
        <f t="shared" si="2"/>
        <v>-3574.3509930070222</v>
      </c>
      <c r="P42" s="29">
        <f t="shared" si="2"/>
        <v>-28488.864858154418</v>
      </c>
      <c r="Q42" s="29">
        <f t="shared" si="2"/>
        <v>-22674.915635815258</v>
      </c>
    </row>
    <row r="43" spans="2:19" x14ac:dyDescent="0.2">
      <c r="B43" s="2" t="s">
        <v>194</v>
      </c>
      <c r="F43" s="2" t="s">
        <v>131</v>
      </c>
      <c r="H43" s="29">
        <f>SUM(L42:M42)</f>
        <v>-18750.413051874842</v>
      </c>
    </row>
    <row r="44" spans="2:19" x14ac:dyDescent="0.2">
      <c r="B44" s="2" t="s">
        <v>192</v>
      </c>
      <c r="F44" s="2" t="s">
        <v>182</v>
      </c>
      <c r="H44" s="29">
        <f>SUM(N42:Q42)</f>
        <v>-58346.871445342869</v>
      </c>
    </row>
    <row r="46" spans="2:19" x14ac:dyDescent="0.2">
      <c r="B46" s="1" t="s">
        <v>118</v>
      </c>
      <c r="F46" s="2" t="s">
        <v>182</v>
      </c>
      <c r="H46" s="24">
        <f>H43*(1+H20)+H44</f>
        <v>-77659.796888773955</v>
      </c>
    </row>
    <row r="50" spans="2:2" x14ac:dyDescent="0.2">
      <c r="B50" s="4" t="s">
        <v>58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7631B-3472-48DD-A320-2DD09381A0E1}">
  <sheetPr>
    <tabColor rgb="FFCCFFFF"/>
  </sheetPr>
  <dimension ref="B2:F38"/>
  <sheetViews>
    <sheetView showGridLines="0" zoomScale="85" zoomScaleNormal="85" workbookViewId="0"/>
  </sheetViews>
  <sheetFormatPr defaultColWidth="9.140625" defaultRowHeight="12.75" x14ac:dyDescent="0.2"/>
  <cols>
    <col min="1" max="1" width="9.140625" style="2"/>
    <col min="2" max="2" width="4.7109375" style="2" customWidth="1"/>
    <col min="3" max="3" width="71.42578125" style="2" customWidth="1"/>
    <col min="4" max="4" width="17.5703125" style="2" customWidth="1"/>
    <col min="5" max="5" width="11.42578125" style="2" customWidth="1"/>
    <col min="6" max="6" width="4.7109375" style="2" customWidth="1"/>
    <col min="7" max="15" width="12.5703125" style="2" customWidth="1"/>
    <col min="16" max="18" width="2.7109375" style="2" customWidth="1"/>
    <col min="19" max="33" width="13.7109375" style="2" customWidth="1"/>
    <col min="34" max="16384" width="9.140625" style="2"/>
  </cols>
  <sheetData>
    <row r="2" spans="2:6" s="14" customFormat="1" ht="18" x14ac:dyDescent="0.2">
      <c r="C2" s="14" t="s">
        <v>195</v>
      </c>
    </row>
    <row r="4" spans="2:6" x14ac:dyDescent="0.2">
      <c r="C4" s="22" t="s">
        <v>119</v>
      </c>
    </row>
    <row r="5" spans="2:6" x14ac:dyDescent="0.2">
      <c r="C5" s="2" t="s">
        <v>190</v>
      </c>
      <c r="E5" s="15"/>
    </row>
    <row r="6" spans="2:6" x14ac:dyDescent="0.2">
      <c r="C6" s="4"/>
    </row>
    <row r="7" spans="2:6" x14ac:dyDescent="0.2">
      <c r="C7" s="4"/>
    </row>
    <row r="8" spans="2:6" x14ac:dyDescent="0.2">
      <c r="C8" s="4"/>
    </row>
    <row r="9" spans="2:6" x14ac:dyDescent="0.2">
      <c r="B9" s="45"/>
      <c r="C9" s="46"/>
      <c r="D9" s="46"/>
      <c r="E9" s="46"/>
      <c r="F9" s="47"/>
    </row>
    <row r="10" spans="2:6" s="8" customFormat="1" x14ac:dyDescent="0.2">
      <c r="B10" s="48"/>
      <c r="C10" s="8" t="s">
        <v>191</v>
      </c>
      <c r="F10" s="49"/>
    </row>
    <row r="11" spans="2:6" x14ac:dyDescent="0.2">
      <c r="B11" s="50"/>
      <c r="F11" s="51"/>
    </row>
    <row r="12" spans="2:6" x14ac:dyDescent="0.2">
      <c r="B12" s="50"/>
      <c r="C12" s="1" t="s">
        <v>120</v>
      </c>
      <c r="F12" s="51"/>
    </row>
    <row r="13" spans="2:6" x14ac:dyDescent="0.2">
      <c r="B13" s="50"/>
      <c r="C13" s="2" t="s">
        <v>91</v>
      </c>
      <c r="D13" s="2" t="s">
        <v>61</v>
      </c>
      <c r="E13" s="52">
        <f>'Parameters in tariff decisions'!O32</f>
        <v>0.03</v>
      </c>
      <c r="F13" s="51"/>
    </row>
    <row r="14" spans="2:6" x14ac:dyDescent="0.2">
      <c r="B14" s="50"/>
      <c r="F14" s="51"/>
    </row>
    <row r="15" spans="2:6" x14ac:dyDescent="0.2">
      <c r="B15" s="50"/>
      <c r="C15" s="22" t="s">
        <v>121</v>
      </c>
      <c r="F15" s="51"/>
    </row>
    <row r="16" spans="2:6" x14ac:dyDescent="0.2">
      <c r="B16" s="50"/>
      <c r="C16" s="2" t="s">
        <v>240</v>
      </c>
      <c r="D16" s="2" t="s">
        <v>107</v>
      </c>
      <c r="E16" s="53">
        <f>'Fuel prices'!Q43</f>
        <v>0.79840719384203196</v>
      </c>
      <c r="F16" s="51"/>
    </row>
    <row r="17" spans="2:6" x14ac:dyDescent="0.2">
      <c r="B17" s="50"/>
      <c r="C17" s="2" t="s">
        <v>176</v>
      </c>
      <c r="D17" s="2" t="s">
        <v>171</v>
      </c>
      <c r="E17" s="53">
        <f>Result!H21</f>
        <v>0.35715770033129524</v>
      </c>
      <c r="F17" s="51"/>
    </row>
    <row r="18" spans="2:6" x14ac:dyDescent="0.2">
      <c r="B18" s="50"/>
      <c r="F18" s="51"/>
    </row>
    <row r="19" spans="2:6" x14ac:dyDescent="0.2">
      <c r="B19" s="50"/>
      <c r="C19" s="1" t="s">
        <v>122</v>
      </c>
      <c r="F19" s="51"/>
    </row>
    <row r="20" spans="2:6" x14ac:dyDescent="0.2">
      <c r="B20" s="50"/>
      <c r="C20" s="2" t="s">
        <v>194</v>
      </c>
      <c r="D20" s="2" t="s">
        <v>131</v>
      </c>
      <c r="E20" s="54">
        <f>'Fuel component correction'!H43</f>
        <v>-18750.413051874842</v>
      </c>
      <c r="F20" s="51"/>
    </row>
    <row r="21" spans="2:6" x14ac:dyDescent="0.2">
      <c r="B21" s="50"/>
      <c r="C21" s="2" t="s">
        <v>192</v>
      </c>
      <c r="D21" s="2" t="s">
        <v>182</v>
      </c>
      <c r="E21" s="54">
        <f>'Fuel component correction'!H44</f>
        <v>-58346.871445342869</v>
      </c>
      <c r="F21" s="51"/>
    </row>
    <row r="22" spans="2:6" x14ac:dyDescent="0.2">
      <c r="B22" s="50"/>
      <c r="C22" s="2" t="s">
        <v>118</v>
      </c>
      <c r="D22" s="2" t="s">
        <v>182</v>
      </c>
      <c r="E22" s="54">
        <f>'Fuel component correction'!H46</f>
        <v>-77659.796888773955</v>
      </c>
      <c r="F22" s="51"/>
    </row>
    <row r="23" spans="2:6" x14ac:dyDescent="0.2">
      <c r="B23" s="50"/>
      <c r="C23" s="2" t="s">
        <v>184</v>
      </c>
      <c r="D23" s="2" t="s">
        <v>63</v>
      </c>
      <c r="E23" s="54">
        <f>Result!H27</f>
        <v>8772416.9979999736</v>
      </c>
      <c r="F23" s="51"/>
    </row>
    <row r="24" spans="2:6" x14ac:dyDescent="0.2">
      <c r="B24" s="50"/>
      <c r="C24" s="2" t="s">
        <v>189</v>
      </c>
      <c r="D24" s="2" t="s">
        <v>171</v>
      </c>
      <c r="E24" s="53">
        <f>Result!H28</f>
        <v>-8.8527251846873718E-3</v>
      </c>
      <c r="F24" s="51"/>
    </row>
    <row r="25" spans="2:6" x14ac:dyDescent="0.2">
      <c r="B25" s="50"/>
      <c r="E25" s="53"/>
      <c r="F25" s="51"/>
    </row>
    <row r="26" spans="2:6" x14ac:dyDescent="0.2">
      <c r="B26" s="50"/>
      <c r="C26" s="1" t="s">
        <v>169</v>
      </c>
      <c r="E26" s="53"/>
      <c r="F26" s="51"/>
    </row>
    <row r="27" spans="2:6" x14ac:dyDescent="0.2">
      <c r="B27" s="50"/>
      <c r="C27" s="2" t="s">
        <v>170</v>
      </c>
      <c r="D27" s="2" t="s">
        <v>171</v>
      </c>
      <c r="E27" s="53">
        <f>Result!H31</f>
        <v>-7.153180733336699E-3</v>
      </c>
      <c r="F27" s="51"/>
    </row>
    <row r="28" spans="2:6" x14ac:dyDescent="0.2">
      <c r="B28" s="50"/>
      <c r="E28" s="53"/>
      <c r="F28" s="51"/>
    </row>
    <row r="29" spans="2:6" x14ac:dyDescent="0.2">
      <c r="B29" s="50"/>
      <c r="C29" s="1" t="s">
        <v>123</v>
      </c>
      <c r="F29" s="51"/>
    </row>
    <row r="30" spans="2:6" x14ac:dyDescent="0.2">
      <c r="B30" s="50"/>
      <c r="C30" s="2" t="s">
        <v>176</v>
      </c>
      <c r="D30" s="2" t="s">
        <v>171</v>
      </c>
      <c r="E30" s="53">
        <f>Result!H36</f>
        <v>0.35715770033129524</v>
      </c>
      <c r="F30" s="51"/>
    </row>
    <row r="31" spans="2:6" x14ac:dyDescent="0.2">
      <c r="B31" s="50"/>
      <c r="C31" s="2" t="s">
        <v>186</v>
      </c>
      <c r="D31" s="2" t="s">
        <v>171</v>
      </c>
      <c r="E31" s="53">
        <f>Result!H37</f>
        <v>-1.6005905918024071E-2</v>
      </c>
      <c r="F31" s="51"/>
    </row>
    <row r="32" spans="2:6" x14ac:dyDescent="0.2">
      <c r="B32" s="50"/>
      <c r="C32" s="2" t="s">
        <v>172</v>
      </c>
      <c r="D32" s="2" t="s">
        <v>61</v>
      </c>
      <c r="E32" s="52">
        <f>Result!H38</f>
        <v>0.12</v>
      </c>
      <c r="F32" s="51"/>
    </row>
    <row r="33" spans="2:6" x14ac:dyDescent="0.2">
      <c r="B33" s="50"/>
      <c r="E33" s="52"/>
      <c r="F33" s="51"/>
    </row>
    <row r="34" spans="2:6" x14ac:dyDescent="0.2">
      <c r="B34" s="50"/>
      <c r="C34" s="2" t="s">
        <v>193</v>
      </c>
      <c r="D34" s="2" t="s">
        <v>171</v>
      </c>
      <c r="E34" s="53">
        <f>Result!H40</f>
        <v>0.38767249365144446</v>
      </c>
      <c r="F34" s="51"/>
    </row>
    <row r="35" spans="2:6" x14ac:dyDescent="0.2">
      <c r="B35" s="50"/>
      <c r="F35" s="51"/>
    </row>
    <row r="36" spans="2:6" x14ac:dyDescent="0.2">
      <c r="B36" s="50"/>
      <c r="F36" s="51"/>
    </row>
    <row r="37" spans="2:6" x14ac:dyDescent="0.2">
      <c r="B37" s="50"/>
      <c r="C37" s="2" t="s">
        <v>124</v>
      </c>
      <c r="F37" s="51"/>
    </row>
    <row r="38" spans="2:6" x14ac:dyDescent="0.2">
      <c r="B38" s="55"/>
      <c r="C38" s="56"/>
      <c r="D38" s="56"/>
      <c r="E38" s="56"/>
      <c r="F38" s="5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F41"/>
  <sheetViews>
    <sheetView showGridLines="0" zoomScale="85" zoomScaleNormal="85" workbookViewId="0">
      <pane ySplit="3" topLeftCell="A4" activePane="bottomLeft" state="frozen"/>
      <selection activeCell="O39" sqref="O39"/>
      <selection pane="bottomLeft"/>
    </sheetView>
  </sheetViews>
  <sheetFormatPr defaultColWidth="9.140625" defaultRowHeight="12.75" x14ac:dyDescent="0.2"/>
  <cols>
    <col min="1" max="1" width="4.7109375" style="2" customWidth="1"/>
    <col min="2" max="2" width="27.85546875" style="2" customWidth="1"/>
    <col min="3" max="3" width="7.14062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6" s="7" customFormat="1" ht="18" x14ac:dyDescent="0.2">
      <c r="B2" s="7" t="s">
        <v>45</v>
      </c>
    </row>
    <row r="3" spans="2:6" x14ac:dyDescent="0.2">
      <c r="B3" s="31"/>
    </row>
    <row r="4" spans="2:6" x14ac:dyDescent="0.2">
      <c r="B4" s="31"/>
    </row>
    <row r="5" spans="2:6" s="8" customFormat="1" x14ac:dyDescent="0.2">
      <c r="B5" s="8" t="s">
        <v>46</v>
      </c>
    </row>
    <row r="7" spans="2:6" x14ac:dyDescent="0.2">
      <c r="B7" s="17" t="s">
        <v>198</v>
      </c>
    </row>
    <row r="8" spans="2:6" x14ac:dyDescent="0.2">
      <c r="B8" s="2" t="s">
        <v>127</v>
      </c>
    </row>
    <row r="9" spans="2:6" x14ac:dyDescent="0.2">
      <c r="B9" s="2" t="s">
        <v>199</v>
      </c>
    </row>
    <row r="10" spans="2:6" x14ac:dyDescent="0.2">
      <c r="B10" s="2" t="s">
        <v>201</v>
      </c>
    </row>
    <row r="11" spans="2:6" x14ac:dyDescent="0.2">
      <c r="B11" s="2" t="s">
        <v>200</v>
      </c>
    </row>
    <row r="13" spans="2:6" s="8" customFormat="1" x14ac:dyDescent="0.2">
      <c r="B13" s="8" t="s">
        <v>47</v>
      </c>
    </row>
    <row r="14" spans="2:6" x14ac:dyDescent="0.2">
      <c r="C14" s="9"/>
    </row>
    <row r="15" spans="2:6" x14ac:dyDescent="0.2">
      <c r="B15" s="22" t="s">
        <v>11</v>
      </c>
      <c r="C15" s="9"/>
      <c r="D15" s="22" t="s">
        <v>12</v>
      </c>
      <c r="F15" s="11"/>
    </row>
    <row r="16" spans="2:6" x14ac:dyDescent="0.2">
      <c r="C16" s="9"/>
    </row>
    <row r="17" spans="2:6" x14ac:dyDescent="0.2">
      <c r="B17" s="25">
        <v>123</v>
      </c>
      <c r="C17" s="9"/>
      <c r="D17" s="17" t="s">
        <v>13</v>
      </c>
    </row>
    <row r="18" spans="2:6" x14ac:dyDescent="0.2">
      <c r="B18" s="28">
        <f>B17</f>
        <v>123</v>
      </c>
      <c r="C18" s="9"/>
      <c r="D18" s="2" t="s">
        <v>48</v>
      </c>
    </row>
    <row r="19" spans="2:6" x14ac:dyDescent="0.2">
      <c r="B19" s="29">
        <f>B18+B17</f>
        <v>246</v>
      </c>
      <c r="C19" s="9"/>
      <c r="D19" s="2" t="s">
        <v>14</v>
      </c>
    </row>
    <row r="20" spans="2:6" x14ac:dyDescent="0.2">
      <c r="B20" s="24">
        <f>B18+B19</f>
        <v>369</v>
      </c>
      <c r="C20" s="9"/>
      <c r="D20" s="17" t="s">
        <v>49</v>
      </c>
      <c r="E20" s="11"/>
      <c r="F20" s="5"/>
    </row>
    <row r="21" spans="2:6" x14ac:dyDescent="0.2">
      <c r="B21" s="12"/>
      <c r="C21" s="9"/>
      <c r="D21" s="17" t="s">
        <v>15</v>
      </c>
      <c r="E21" s="11"/>
    </row>
    <row r="22" spans="2:6" x14ac:dyDescent="0.2">
      <c r="B22" s="9"/>
      <c r="C22" s="9"/>
    </row>
    <row r="24" spans="2:6" x14ac:dyDescent="0.2">
      <c r="B24" s="22" t="s">
        <v>16</v>
      </c>
    </row>
    <row r="25" spans="2:6" x14ac:dyDescent="0.2">
      <c r="B25" s="1"/>
    </row>
    <row r="26" spans="2:6" x14ac:dyDescent="0.2">
      <c r="B26" s="23" t="s">
        <v>20</v>
      </c>
    </row>
    <row r="27" spans="2:6" x14ac:dyDescent="0.2">
      <c r="B27" s="24" t="s">
        <v>21</v>
      </c>
      <c r="C27" s="9"/>
      <c r="D27" s="17" t="s">
        <v>17</v>
      </c>
    </row>
    <row r="28" spans="2:6" x14ac:dyDescent="0.2">
      <c r="B28" s="25" t="s">
        <v>1</v>
      </c>
      <c r="C28" s="9"/>
      <c r="D28" s="17" t="s">
        <v>18</v>
      </c>
    </row>
    <row r="29" spans="2:6" x14ac:dyDescent="0.2">
      <c r="B29" s="29" t="s">
        <v>22</v>
      </c>
      <c r="C29" s="9"/>
      <c r="D29" s="17" t="s">
        <v>19</v>
      </c>
    </row>
    <row r="30" spans="2:6" x14ac:dyDescent="0.2">
      <c r="C30" s="9"/>
      <c r="D30" s="3"/>
    </row>
    <row r="31" spans="2:6" x14ac:dyDescent="0.2">
      <c r="B31" s="23" t="s">
        <v>23</v>
      </c>
      <c r="C31" s="9"/>
      <c r="D31" s="3"/>
    </row>
    <row r="32" spans="2:6" x14ac:dyDescent="0.2">
      <c r="B32" s="16" t="s">
        <v>2</v>
      </c>
      <c r="C32" s="9"/>
      <c r="D32" s="17" t="s">
        <v>50</v>
      </c>
    </row>
    <row r="33" spans="2:4" x14ac:dyDescent="0.2">
      <c r="B33" s="32" t="s">
        <v>24</v>
      </c>
      <c r="D33" s="17" t="s">
        <v>139</v>
      </c>
    </row>
    <row r="41" spans="2:4" x14ac:dyDescent="0.2">
      <c r="B41" s="4" t="s">
        <v>58</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I28"/>
  <sheetViews>
    <sheetView showGridLines="0" zoomScale="85" zoomScaleNormal="85" workbookViewId="0">
      <pane ySplit="3" topLeftCell="A7" activePane="bottomLeft" state="frozen"/>
      <selection activeCell="O39" sqref="O39"/>
      <selection pane="bottomLeft" activeCell="E37" sqref="E37"/>
    </sheetView>
  </sheetViews>
  <sheetFormatPr defaultColWidth="9.140625" defaultRowHeight="12.75" x14ac:dyDescent="0.2"/>
  <cols>
    <col min="1" max="1" width="4.7109375" style="2" customWidth="1"/>
    <col min="2" max="2" width="7.5703125" style="2" customWidth="1"/>
    <col min="3" max="3" width="45.42578125" style="2" customWidth="1"/>
    <col min="4" max="4" width="61" style="2" bestFit="1" customWidth="1"/>
    <col min="5" max="5" width="36.28515625" style="2" customWidth="1"/>
    <col min="6" max="6" width="109.7109375" style="2" customWidth="1"/>
    <col min="7" max="7" width="34.140625" style="2" customWidth="1"/>
    <col min="8" max="8" width="11.85546875" style="2" customWidth="1"/>
    <col min="9" max="9" width="28.7109375" style="2" customWidth="1"/>
    <col min="10" max="10" width="18.42578125" style="2" customWidth="1"/>
    <col min="11" max="12" width="58.42578125" style="2" customWidth="1"/>
    <col min="13" max="16384" width="9.140625" style="2"/>
  </cols>
  <sheetData>
    <row r="2" spans="2:9" s="7" customFormat="1" ht="18" x14ac:dyDescent="0.2">
      <c r="B2" s="7" t="s">
        <v>25</v>
      </c>
    </row>
    <row r="5" spans="2:9" s="8" customFormat="1" x14ac:dyDescent="0.2">
      <c r="B5" s="8" t="s">
        <v>26</v>
      </c>
    </row>
    <row r="7" spans="2:9" x14ac:dyDescent="0.2">
      <c r="B7" s="4" t="s">
        <v>54</v>
      </c>
    </row>
    <row r="8" spans="2:9" x14ac:dyDescent="0.2">
      <c r="B8" s="4" t="s">
        <v>27</v>
      </c>
    </row>
    <row r="10" spans="2:9" x14ac:dyDescent="0.2">
      <c r="B10" s="33" t="s">
        <v>28</v>
      </c>
      <c r="C10" s="33" t="s">
        <v>29</v>
      </c>
      <c r="D10" s="33" t="s">
        <v>30</v>
      </c>
      <c r="E10" s="33" t="s">
        <v>59</v>
      </c>
      <c r="F10" s="33" t="s">
        <v>51</v>
      </c>
      <c r="G10" s="33" t="s">
        <v>7</v>
      </c>
      <c r="I10" s="21"/>
    </row>
    <row r="11" spans="2:9" x14ac:dyDescent="0.2">
      <c r="B11" s="13"/>
      <c r="C11" s="18" t="s">
        <v>31</v>
      </c>
      <c r="D11" s="18" t="s">
        <v>32</v>
      </c>
      <c r="E11" s="18" t="s">
        <v>42</v>
      </c>
      <c r="F11" s="18" t="s">
        <v>33</v>
      </c>
      <c r="G11" s="18"/>
    </row>
    <row r="12" spans="2:9" x14ac:dyDescent="0.2">
      <c r="B12" s="19">
        <v>1</v>
      </c>
      <c r="C12" s="6" t="s">
        <v>129</v>
      </c>
      <c r="D12" s="6" t="s">
        <v>130</v>
      </c>
      <c r="E12" s="6"/>
      <c r="F12" s="59" t="s">
        <v>134</v>
      </c>
      <c r="G12" s="6" t="s">
        <v>133</v>
      </c>
    </row>
    <row r="13" spans="2:9" x14ac:dyDescent="0.2">
      <c r="B13" s="6">
        <v>2</v>
      </c>
      <c r="C13" s="58" t="s">
        <v>154</v>
      </c>
      <c r="D13" s="6" t="s">
        <v>160</v>
      </c>
      <c r="E13" s="6"/>
      <c r="F13" s="26" t="s">
        <v>159</v>
      </c>
      <c r="G13" s="6" t="s">
        <v>133</v>
      </c>
    </row>
    <row r="14" spans="2:9" x14ac:dyDescent="0.2">
      <c r="B14" s="6">
        <v>3</v>
      </c>
      <c r="C14" s="6" t="s">
        <v>157</v>
      </c>
      <c r="D14" s="6" t="s">
        <v>161</v>
      </c>
      <c r="E14" s="6"/>
      <c r="F14" s="59" t="s">
        <v>163</v>
      </c>
      <c r="G14" s="6" t="s">
        <v>133</v>
      </c>
    </row>
    <row r="15" spans="2:9" x14ac:dyDescent="0.2">
      <c r="B15" s="6">
        <v>4</v>
      </c>
      <c r="C15" s="6" t="s">
        <v>158</v>
      </c>
      <c r="D15" s="6" t="s">
        <v>162</v>
      </c>
      <c r="E15" s="6"/>
      <c r="F15" s="59" t="s">
        <v>164</v>
      </c>
      <c r="G15" s="6" t="s">
        <v>133</v>
      </c>
    </row>
    <row r="16" spans="2:9" x14ac:dyDescent="0.2">
      <c r="B16" s="6">
        <v>5</v>
      </c>
      <c r="C16" s="6" t="s">
        <v>235</v>
      </c>
      <c r="D16" s="17" t="s">
        <v>236</v>
      </c>
      <c r="E16" s="6"/>
      <c r="F16" s="6" t="s">
        <v>238</v>
      </c>
      <c r="G16" s="6" t="s">
        <v>133</v>
      </c>
    </row>
    <row r="17" spans="2:7" x14ac:dyDescent="0.2">
      <c r="B17" s="6">
        <v>6</v>
      </c>
      <c r="C17" s="6" t="s">
        <v>237</v>
      </c>
      <c r="D17" s="19" t="s">
        <v>224</v>
      </c>
      <c r="E17" s="6"/>
      <c r="F17" s="6" t="s">
        <v>238</v>
      </c>
      <c r="G17" s="6"/>
    </row>
    <row r="18" spans="2:7" x14ac:dyDescent="0.2">
      <c r="B18" s="6">
        <v>7</v>
      </c>
      <c r="C18" s="6" t="s">
        <v>76</v>
      </c>
      <c r="D18" s="19" t="s">
        <v>242</v>
      </c>
      <c r="E18" s="6"/>
      <c r="F18" s="6" t="s">
        <v>238</v>
      </c>
      <c r="G18" s="6"/>
    </row>
    <row r="19" spans="2:7" x14ac:dyDescent="0.2">
      <c r="B19" s="6">
        <v>8</v>
      </c>
      <c r="C19" s="6" t="s">
        <v>128</v>
      </c>
      <c r="D19" s="6"/>
      <c r="E19" s="6"/>
      <c r="F19" s="59" t="s">
        <v>135</v>
      </c>
      <c r="G19" s="6" t="s">
        <v>133</v>
      </c>
    </row>
    <row r="22" spans="2:7" s="8" customFormat="1" x14ac:dyDescent="0.2">
      <c r="B22" s="8" t="s">
        <v>55</v>
      </c>
    </row>
    <row r="24" spans="2:7" x14ac:dyDescent="0.2">
      <c r="B24" s="23" t="s">
        <v>56</v>
      </c>
    </row>
    <row r="25" spans="2:7" x14ac:dyDescent="0.2">
      <c r="B25" s="23" t="s">
        <v>52</v>
      </c>
    </row>
    <row r="26" spans="2:7" x14ac:dyDescent="0.2">
      <c r="B26" s="23"/>
    </row>
    <row r="28" spans="2:7" x14ac:dyDescent="0.2">
      <c r="B28" s="4" t="s">
        <v>58</v>
      </c>
    </row>
  </sheetData>
  <phoneticPr fontId="30" type="noConversion"/>
  <hyperlinks>
    <hyperlink ref="F19" r:id="rId1" xr:uid="{F2908C96-1C3F-4FA1-83BE-7D83C572F66D}"/>
    <hyperlink ref="F15" r:id="rId2" xr:uid="{07AB9717-1073-409D-92CF-DE2B8B80ABAB}"/>
    <hyperlink ref="F12" r:id="rId3" xr:uid="{2CDC96C6-6DD0-4DCD-A16D-ED7BBC8C83A9}"/>
    <hyperlink ref="F13" r:id="rId4" xr:uid="{A9C40AC9-5BFA-40A8-9B6F-2674530AECA3}"/>
    <hyperlink ref="F14" r:id="rId5" xr:uid="{EFFE7DAE-4AB5-4F69-9300-94F3CECAD0E4}"/>
  </hyperlinks>
  <pageMargins left="0.75" right="0.75" top="1" bottom="1" header="0.5" footer="0.5"/>
  <pageSetup paperSize="9"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4ECCD-7C60-4158-BBAC-46A1C2D741F6}">
  <sheetPr>
    <tabColor rgb="FFCCFFFF"/>
  </sheetPr>
  <dimension ref="B2:J43"/>
  <sheetViews>
    <sheetView showGridLines="0" zoomScale="85" zoomScaleNormal="85" workbookViewId="0">
      <pane xSplit="6" ySplit="11" topLeftCell="G21" activePane="bottomRight" state="frozen"/>
      <selection activeCell="G12" sqref="G12"/>
      <selection pane="topRight" activeCell="G12" sqref="G12"/>
      <selection pane="bottomLeft" activeCell="G12" sqref="G12"/>
      <selection pane="bottomRight"/>
    </sheetView>
  </sheetViews>
  <sheetFormatPr defaultColWidth="9.140625" defaultRowHeight="12.75" x14ac:dyDescent="0.2"/>
  <cols>
    <col min="1" max="1" width="4.7109375" style="2" customWidth="1"/>
    <col min="2" max="2" width="49.140625" style="2" customWidth="1"/>
    <col min="3" max="5" width="4.7109375" style="2" customWidth="1"/>
    <col min="6" max="6" width="16.5703125" style="2" bestFit="1" customWidth="1"/>
    <col min="7" max="7" width="2.7109375" style="2" customWidth="1"/>
    <col min="8" max="8" width="16.85546875" style="2" bestFit="1" customWidth="1"/>
    <col min="9" max="9" width="6.28515625" style="2" customWidth="1"/>
    <col min="10" max="24" width="13.7109375" style="2" customWidth="1"/>
    <col min="25" max="16384" width="9.140625" style="2"/>
  </cols>
  <sheetData>
    <row r="2" spans="2:10" s="14" customFormat="1" ht="18" x14ac:dyDescent="0.2">
      <c r="B2" s="14" t="s">
        <v>21</v>
      </c>
    </row>
    <row r="4" spans="2:10" x14ac:dyDescent="0.2">
      <c r="B4" s="22" t="s">
        <v>12</v>
      </c>
      <c r="C4" s="1"/>
      <c r="D4" s="1"/>
    </row>
    <row r="5" spans="2:10" x14ac:dyDescent="0.2">
      <c r="B5" s="2" t="s">
        <v>173</v>
      </c>
      <c r="H5" s="15"/>
    </row>
    <row r="6" spans="2:10" x14ac:dyDescent="0.2">
      <c r="B6" s="2" t="s">
        <v>174</v>
      </c>
      <c r="H6" s="15"/>
    </row>
    <row r="7" spans="2:10" x14ac:dyDescent="0.2">
      <c r="B7" s="2" t="s">
        <v>187</v>
      </c>
      <c r="H7" s="15"/>
    </row>
    <row r="8" spans="2:10" x14ac:dyDescent="0.2">
      <c r="B8" s="4"/>
    </row>
    <row r="10" spans="2:10" s="8" customFormat="1" x14ac:dyDescent="0.2">
      <c r="B10" s="8" t="s">
        <v>12</v>
      </c>
      <c r="F10" s="8" t="s">
        <v>34</v>
      </c>
      <c r="H10" s="8" t="s">
        <v>35</v>
      </c>
      <c r="J10" s="8" t="s">
        <v>36</v>
      </c>
    </row>
    <row r="13" spans="2:10" s="8" customFormat="1" x14ac:dyDescent="0.2">
      <c r="B13" s="8" t="s">
        <v>175</v>
      </c>
    </row>
    <row r="15" spans="2:10" x14ac:dyDescent="0.2">
      <c r="B15" s="22" t="s">
        <v>176</v>
      </c>
    </row>
    <row r="16" spans="2:10" x14ac:dyDescent="0.2">
      <c r="B16" s="2" t="s">
        <v>165</v>
      </c>
      <c r="F16" s="2" t="s">
        <v>171</v>
      </c>
      <c r="H16" s="35">
        <f>'Parameters in tariff decisions'!O22</f>
        <v>0.24319538905379626</v>
      </c>
    </row>
    <row r="17" spans="2:10" x14ac:dyDescent="0.2">
      <c r="B17" s="2" t="s">
        <v>177</v>
      </c>
      <c r="F17" s="2" t="s">
        <v>60</v>
      </c>
      <c r="H17" s="35">
        <f>'Parameters in tariff decisions'!M17</f>
        <v>0.27626522408947457</v>
      </c>
    </row>
    <row r="18" spans="2:10" x14ac:dyDescent="0.2">
      <c r="B18" s="2" t="s">
        <v>178</v>
      </c>
      <c r="F18" s="2" t="s">
        <v>61</v>
      </c>
      <c r="H18" s="36">
        <f>'Parameters in tariff decisions'!M18</f>
        <v>0.51666683778875944</v>
      </c>
    </row>
    <row r="19" spans="2:10" x14ac:dyDescent="0.2">
      <c r="B19" s="17" t="s">
        <v>240</v>
      </c>
      <c r="F19" s="2" t="s">
        <v>179</v>
      </c>
      <c r="H19" s="35">
        <f>'Fuel prices'!Q43</f>
        <v>0.79840719384203196</v>
      </c>
      <c r="J19" s="15"/>
    </row>
    <row r="20" spans="2:10" x14ac:dyDescent="0.2">
      <c r="B20" s="2" t="s">
        <v>180</v>
      </c>
      <c r="F20" s="2" t="s">
        <v>171</v>
      </c>
      <c r="H20" s="37">
        <f>H17*H18*H19</f>
        <v>0.11396231127749898</v>
      </c>
    </row>
    <row r="21" spans="2:10" x14ac:dyDescent="0.2">
      <c r="B21" s="2" t="s">
        <v>181</v>
      </c>
      <c r="F21" s="2" t="s">
        <v>171</v>
      </c>
      <c r="H21" s="37">
        <f>H16+H20</f>
        <v>0.35715770033129524</v>
      </c>
    </row>
    <row r="22" spans="2:10" x14ac:dyDescent="0.2">
      <c r="B22" s="5"/>
    </row>
    <row r="23" spans="2:10" x14ac:dyDescent="0.2">
      <c r="B23" s="1" t="s">
        <v>62</v>
      </c>
    </row>
    <row r="24" spans="2:10" x14ac:dyDescent="0.2">
      <c r="B24" s="2" t="s">
        <v>239</v>
      </c>
      <c r="F24" s="2" t="s">
        <v>182</v>
      </c>
      <c r="H24" s="28">
        <f>'Fuel component correction'!H46</f>
        <v>-77659.796888773955</v>
      </c>
      <c r="J24" s="2" t="s">
        <v>188</v>
      </c>
    </row>
    <row r="25" spans="2:10" x14ac:dyDescent="0.2">
      <c r="B25" s="2" t="s">
        <v>183</v>
      </c>
      <c r="F25" s="2" t="s">
        <v>63</v>
      </c>
      <c r="H25" s="28">
        <f>'Parameters in tariff decisions'!O23</f>
        <v>16551729.997999959</v>
      </c>
    </row>
    <row r="26" spans="2:10" x14ac:dyDescent="0.2">
      <c r="B26" s="2" t="s">
        <v>168</v>
      </c>
      <c r="F26" s="2" t="s">
        <v>61</v>
      </c>
      <c r="H26" s="36">
        <f>'Parameters in tariff decisions'!O25</f>
        <v>0.46999999401512738</v>
      </c>
    </row>
    <row r="27" spans="2:10" x14ac:dyDescent="0.2">
      <c r="B27" s="2" t="s">
        <v>184</v>
      </c>
      <c r="F27" s="2" t="s">
        <v>63</v>
      </c>
      <c r="H27" s="29">
        <f>H25*(1-H26)</f>
        <v>8772416.9979999736</v>
      </c>
    </row>
    <row r="28" spans="2:10" x14ac:dyDescent="0.2">
      <c r="B28" s="2" t="s">
        <v>189</v>
      </c>
      <c r="F28" s="2" t="s">
        <v>171</v>
      </c>
      <c r="H28" s="37">
        <f>H24/H27</f>
        <v>-8.8527251846873718E-3</v>
      </c>
    </row>
    <row r="30" spans="2:10" x14ac:dyDescent="0.2">
      <c r="B30" s="1" t="s">
        <v>169</v>
      </c>
    </row>
    <row r="31" spans="2:10" x14ac:dyDescent="0.2">
      <c r="B31" s="2" t="s">
        <v>170</v>
      </c>
      <c r="F31" s="2" t="s">
        <v>171</v>
      </c>
      <c r="H31" s="35">
        <f>'Parameters in tariff decisions'!O28</f>
        <v>-7.153180733336699E-3</v>
      </c>
    </row>
    <row r="33" spans="2:8" s="8" customFormat="1" x14ac:dyDescent="0.2">
      <c r="B33" s="8" t="s">
        <v>185</v>
      </c>
    </row>
    <row r="35" spans="2:8" x14ac:dyDescent="0.2">
      <c r="B35" s="1" t="s">
        <v>64</v>
      </c>
    </row>
    <row r="36" spans="2:8" x14ac:dyDescent="0.2">
      <c r="B36" s="2" t="s">
        <v>176</v>
      </c>
      <c r="F36" s="2" t="s">
        <v>171</v>
      </c>
      <c r="H36" s="35">
        <f>H21</f>
        <v>0.35715770033129524</v>
      </c>
    </row>
    <row r="37" spans="2:8" x14ac:dyDescent="0.2">
      <c r="B37" s="2" t="s">
        <v>186</v>
      </c>
      <c r="F37" s="2" t="s">
        <v>171</v>
      </c>
      <c r="H37" s="37">
        <f>H28+H31</f>
        <v>-1.6005905918024071E-2</v>
      </c>
    </row>
    <row r="38" spans="2:8" x14ac:dyDescent="0.2">
      <c r="B38" s="2" t="s">
        <v>172</v>
      </c>
      <c r="F38" s="2" t="s">
        <v>61</v>
      </c>
      <c r="H38" s="36">
        <f>'Parameters in tariff decisions'!O31</f>
        <v>0.12</v>
      </c>
    </row>
    <row r="40" spans="2:8" x14ac:dyDescent="0.2">
      <c r="B40" s="2" t="s">
        <v>175</v>
      </c>
      <c r="F40" s="2" t="s">
        <v>171</v>
      </c>
      <c r="H40" s="38">
        <f>(H36+H37)/(1-H38)</f>
        <v>0.38767249365144446</v>
      </c>
    </row>
    <row r="43" spans="2:8" x14ac:dyDescent="0.2">
      <c r="B43" s="4" t="s">
        <v>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B2:B8"/>
  <sheetViews>
    <sheetView showGridLines="0" zoomScale="85" zoomScaleNormal="85" workbookViewId="0"/>
  </sheetViews>
  <sheetFormatPr defaultColWidth="9.140625" defaultRowHeight="12.75" x14ac:dyDescent="0.2"/>
  <cols>
    <col min="1" max="16384" width="9.140625" style="16"/>
  </cols>
  <sheetData>
    <row r="2" spans="2:2" x14ac:dyDescent="0.2">
      <c r="B2" s="34" t="s">
        <v>136</v>
      </c>
    </row>
    <row r="3" spans="2:2" x14ac:dyDescent="0.2">
      <c r="B3" s="34" t="s">
        <v>137</v>
      </c>
    </row>
    <row r="7" spans="2:2" x14ac:dyDescent="0.2">
      <c r="B7" s="34"/>
    </row>
    <row r="8" spans="2:2" x14ac:dyDescent="0.2">
      <c r="B8" s="3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2563-F83E-4C09-9FD9-5506A1ED5F4D}">
  <sheetPr>
    <tabColor rgb="FFE1FFE1"/>
  </sheetPr>
  <dimension ref="B2:Y46"/>
  <sheetViews>
    <sheetView showGridLines="0" zoomScale="85" zoomScaleNormal="85" workbookViewId="0">
      <pane xSplit="7" ySplit="12" topLeftCell="H22" activePane="bottomRight" state="frozen"/>
      <selection activeCell="G12" sqref="G12"/>
      <selection pane="topRight" activeCell="G12" sqref="G12"/>
      <selection pane="bottomLeft" activeCell="G12" sqref="G12"/>
      <selection pane="bottomRight"/>
    </sheetView>
  </sheetViews>
  <sheetFormatPr defaultColWidth="9.140625" defaultRowHeight="12.75" x14ac:dyDescent="0.2"/>
  <cols>
    <col min="1" max="1" width="4.7109375" style="2" customWidth="1"/>
    <col min="2" max="2" width="44.42578125" style="2" customWidth="1"/>
    <col min="3" max="3" width="4.7109375" style="2" customWidth="1"/>
    <col min="4" max="5" width="4.5703125" style="2" customWidth="1"/>
    <col min="6" max="6" width="14.7109375" style="2" bestFit="1" customWidth="1"/>
    <col min="7" max="7" width="2.5703125" style="2" customWidth="1"/>
    <col min="8" max="8" width="2.7109375" style="2" customWidth="1"/>
    <col min="9" max="9" width="13.7109375" style="2" customWidth="1"/>
    <col min="10" max="10" width="2.7109375" style="2" customWidth="1"/>
    <col min="11" max="11" width="13.7109375" style="2" customWidth="1"/>
    <col min="12" max="12" width="2.7109375" style="2" customWidth="1"/>
    <col min="13" max="13" width="13.7109375" style="2" customWidth="1"/>
    <col min="14" max="14" width="2.7109375" style="2" customWidth="1"/>
    <col min="15" max="15" width="13.7109375" style="2" customWidth="1"/>
    <col min="16" max="16" width="2.7109375" style="2" customWidth="1"/>
    <col min="17" max="17" width="13.7109375" style="2" customWidth="1"/>
    <col min="18" max="18" width="2.7109375" style="2" customWidth="1"/>
    <col min="19" max="19" width="12.85546875" style="2" customWidth="1"/>
    <col min="20" max="20" width="2.7109375" style="2" customWidth="1"/>
    <col min="21" max="21" width="13.7109375" style="2" customWidth="1"/>
    <col min="22" max="22" width="2.7109375" style="2" customWidth="1"/>
    <col min="23" max="23" width="25.710937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25" s="14" customFormat="1" ht="18" x14ac:dyDescent="0.2">
      <c r="B2" s="14" t="s">
        <v>65</v>
      </c>
    </row>
    <row r="4" spans="2:25" x14ac:dyDescent="0.2">
      <c r="B4" s="22" t="s">
        <v>12</v>
      </c>
      <c r="C4" s="1"/>
      <c r="D4" s="1"/>
    </row>
    <row r="5" spans="2:25" x14ac:dyDescent="0.2">
      <c r="B5" s="2" t="s">
        <v>66</v>
      </c>
      <c r="K5" s="15"/>
    </row>
    <row r="6" spans="2:25" x14ac:dyDescent="0.2">
      <c r="K6" s="15"/>
    </row>
    <row r="7" spans="2:25" x14ac:dyDescent="0.2">
      <c r="B7" s="23" t="s">
        <v>125</v>
      </c>
      <c r="K7" s="15"/>
    </row>
    <row r="8" spans="2:25" x14ac:dyDescent="0.2">
      <c r="B8" s="4" t="s">
        <v>67</v>
      </c>
    </row>
    <row r="9" spans="2:25" x14ac:dyDescent="0.2">
      <c r="B9" s="4"/>
    </row>
    <row r="11" spans="2:25" s="8" customFormat="1" ht="38.25" x14ac:dyDescent="0.2">
      <c r="B11" s="8" t="s">
        <v>12</v>
      </c>
      <c r="F11" s="8" t="s">
        <v>68</v>
      </c>
      <c r="I11" s="8" t="s">
        <v>35</v>
      </c>
      <c r="K11" s="39" t="s">
        <v>151</v>
      </c>
      <c r="M11" s="39" t="s">
        <v>69</v>
      </c>
      <c r="O11" s="39" t="s">
        <v>147</v>
      </c>
      <c r="Q11" s="39" t="s">
        <v>70</v>
      </c>
      <c r="S11" s="39" t="s">
        <v>71</v>
      </c>
      <c r="T11" s="39"/>
      <c r="U11" s="39" t="s">
        <v>150</v>
      </c>
      <c r="V11" s="39"/>
      <c r="W11" s="39" t="s">
        <v>221</v>
      </c>
      <c r="Y11" s="8" t="s">
        <v>36</v>
      </c>
    </row>
    <row r="14" spans="2:25" s="8" customFormat="1" x14ac:dyDescent="0.2">
      <c r="B14" s="8" t="s">
        <v>99</v>
      </c>
    </row>
    <row r="16" spans="2:25" x14ac:dyDescent="0.2">
      <c r="B16" s="1" t="s">
        <v>148</v>
      </c>
    </row>
    <row r="17" spans="2:25" x14ac:dyDescent="0.2">
      <c r="B17" s="2" t="s">
        <v>149</v>
      </c>
      <c r="I17" s="41">
        <v>3.7854117839999999</v>
      </c>
    </row>
    <row r="19" spans="2:25" s="8" customFormat="1" x14ac:dyDescent="0.2">
      <c r="B19" s="8" t="s">
        <v>74</v>
      </c>
    </row>
    <row r="21" spans="2:25" x14ac:dyDescent="0.2">
      <c r="B21" s="1" t="s">
        <v>73</v>
      </c>
      <c r="F21" s="1" t="s">
        <v>68</v>
      </c>
    </row>
    <row r="22" spans="2:25" x14ac:dyDescent="0.2">
      <c r="B22" s="25" t="s">
        <v>211</v>
      </c>
      <c r="F22" s="40">
        <v>45180</v>
      </c>
      <c r="K22" s="25">
        <v>12000</v>
      </c>
      <c r="M22" s="29">
        <f>K22*$I$17</f>
        <v>45424.941407999999</v>
      </c>
      <c r="O22" s="41">
        <v>3.7917000000000001</v>
      </c>
      <c r="Q22" s="37">
        <f>O22/$I$17</f>
        <v>1.0016611709263914</v>
      </c>
      <c r="S22" s="29">
        <f>M22*Q22</f>
        <v>45500.4</v>
      </c>
      <c r="U22" s="60">
        <v>45170</v>
      </c>
    </row>
    <row r="23" spans="2:25" x14ac:dyDescent="0.2">
      <c r="B23" s="25" t="s">
        <v>212</v>
      </c>
      <c r="F23" s="40">
        <v>45187</v>
      </c>
      <c r="K23" s="25">
        <v>12000</v>
      </c>
      <c r="M23" s="29">
        <f t="shared" ref="M23:M25" si="0">K23*$I$17</f>
        <v>45424.941407999999</v>
      </c>
      <c r="O23" s="41">
        <v>3.8872</v>
      </c>
      <c r="Q23" s="37">
        <f t="shared" ref="Q23:Q25" si="1">O23/$I$17</f>
        <v>1.0268896019265945</v>
      </c>
      <c r="S23" s="29">
        <f t="shared" ref="S23:S25" si="2">M23*Q23</f>
        <v>46646.400000000001</v>
      </c>
      <c r="U23" s="60">
        <v>45170</v>
      </c>
    </row>
    <row r="24" spans="2:25" x14ac:dyDescent="0.2">
      <c r="B24" s="25" t="s">
        <v>213</v>
      </c>
      <c r="F24" s="40">
        <v>45188</v>
      </c>
      <c r="K24" s="25">
        <v>6000</v>
      </c>
      <c r="M24" s="29">
        <f t="shared" si="0"/>
        <v>22712.470703999999</v>
      </c>
      <c r="O24" s="41">
        <v>3.8687999999999998</v>
      </c>
      <c r="Q24" s="37">
        <f t="shared" si="1"/>
        <v>1.0220288361632046</v>
      </c>
      <c r="S24" s="29">
        <f t="shared" si="2"/>
        <v>23212.799999999999</v>
      </c>
      <c r="U24" s="60">
        <v>45170</v>
      </c>
    </row>
    <row r="25" spans="2:25" x14ac:dyDescent="0.2">
      <c r="B25" s="25" t="s">
        <v>214</v>
      </c>
      <c r="F25" s="40">
        <v>45190</v>
      </c>
      <c r="K25" s="25">
        <v>36000</v>
      </c>
      <c r="M25" s="29">
        <f t="shared" si="0"/>
        <v>136274.82422399998</v>
      </c>
      <c r="O25" s="41">
        <v>3.8050999999999999</v>
      </c>
      <c r="Q25" s="37">
        <f t="shared" si="1"/>
        <v>1.0052010764279906</v>
      </c>
      <c r="S25" s="29">
        <f t="shared" si="2"/>
        <v>136983.6</v>
      </c>
      <c r="U25" s="60">
        <v>45170</v>
      </c>
    </row>
    <row r="26" spans="2:25" x14ac:dyDescent="0.2">
      <c r="W26" s="37">
        <f>SUM(S22:S25)/SUM(M22:M25)</f>
        <v>1.01003062185792</v>
      </c>
    </row>
    <row r="27" spans="2:25" x14ac:dyDescent="0.2">
      <c r="B27" s="25" t="s">
        <v>215</v>
      </c>
      <c r="F27" s="40">
        <v>45211</v>
      </c>
      <c r="K27" s="25">
        <v>39000</v>
      </c>
      <c r="M27" s="29">
        <f>K27*$I$17</f>
        <v>147631.059576</v>
      </c>
      <c r="O27" s="41">
        <v>3.7191999999999998</v>
      </c>
      <c r="Q27" s="37">
        <f>O27/$I$17</f>
        <v>0.98250869713042555</v>
      </c>
      <c r="S27" s="29">
        <f>M27*Q27</f>
        <v>145048.79999999999</v>
      </c>
      <c r="U27" s="60">
        <v>45200</v>
      </c>
    </row>
    <row r="28" spans="2:25" x14ac:dyDescent="0.2">
      <c r="B28" s="25" t="s">
        <v>216</v>
      </c>
      <c r="F28" s="40">
        <v>45224</v>
      </c>
      <c r="K28" s="25">
        <v>19500</v>
      </c>
      <c r="M28" s="29">
        <f t="shared" ref="M28:M37" si="3">K28*$I$17</f>
        <v>73815.529788</v>
      </c>
      <c r="O28" s="41">
        <v>3.4908000000000001</v>
      </c>
      <c r="Q28" s="37">
        <f t="shared" ref="Q28:Q38" si="4">O28/$I$17</f>
        <v>0.92217180037182456</v>
      </c>
      <c r="S28" s="29">
        <f t="shared" ref="S28:S38" si="5">M28*Q28</f>
        <v>68070.600000000006</v>
      </c>
      <c r="U28" s="60">
        <v>45200</v>
      </c>
    </row>
    <row r="29" spans="2:25" x14ac:dyDescent="0.2">
      <c r="W29" s="37">
        <f>SUM(S27:S28)/SUM(M27:M28)</f>
        <v>0.96239639821089185</v>
      </c>
    </row>
    <row r="30" spans="2:25" x14ac:dyDescent="0.2">
      <c r="B30" s="25"/>
      <c r="F30" s="25"/>
      <c r="K30" s="25"/>
      <c r="M30" s="29"/>
      <c r="O30" s="25"/>
      <c r="Q30" s="29"/>
      <c r="S30" s="29"/>
      <c r="U30" s="60">
        <v>45231</v>
      </c>
    </row>
    <row r="31" spans="2:25" x14ac:dyDescent="0.2">
      <c r="W31" s="35">
        <f>W29</f>
        <v>0.96239639821089185</v>
      </c>
      <c r="Y31" s="2" t="s">
        <v>222</v>
      </c>
    </row>
    <row r="32" spans="2:25" x14ac:dyDescent="0.2">
      <c r="B32" s="25"/>
      <c r="F32" s="25"/>
      <c r="K32" s="25"/>
      <c r="M32" s="29"/>
      <c r="O32" s="25"/>
      <c r="Q32" s="29"/>
      <c r="S32" s="29"/>
      <c r="U32" s="60">
        <v>45261</v>
      </c>
    </row>
    <row r="33" spans="2:25" x14ac:dyDescent="0.2">
      <c r="W33" s="35">
        <f>W29</f>
        <v>0.96239639821089185</v>
      </c>
      <c r="Y33" s="2" t="s">
        <v>223</v>
      </c>
    </row>
    <row r="34" spans="2:25" x14ac:dyDescent="0.2">
      <c r="B34" s="25" t="s">
        <v>217</v>
      </c>
      <c r="F34" s="40">
        <v>45303</v>
      </c>
      <c r="K34" s="25">
        <v>47229</v>
      </c>
      <c r="M34" s="29">
        <f t="shared" si="3"/>
        <v>178781.213146536</v>
      </c>
      <c r="O34" s="41">
        <v>3.0840999999999998</v>
      </c>
      <c r="Q34" s="37">
        <f t="shared" si="4"/>
        <v>0.81473302667776548</v>
      </c>
      <c r="S34" s="29">
        <f t="shared" si="5"/>
        <v>145658.9589</v>
      </c>
      <c r="U34" s="60">
        <v>45292</v>
      </c>
    </row>
    <row r="35" spans="2:25" x14ac:dyDescent="0.2">
      <c r="W35" s="37">
        <f>Q34</f>
        <v>0.81473302667776548</v>
      </c>
    </row>
    <row r="36" spans="2:25" x14ac:dyDescent="0.2">
      <c r="B36" s="25" t="s">
        <v>218</v>
      </c>
      <c r="F36" s="40">
        <v>45330</v>
      </c>
      <c r="K36" s="25">
        <v>6500</v>
      </c>
      <c r="M36" s="29">
        <f t="shared" si="3"/>
        <v>24605.176595999998</v>
      </c>
      <c r="O36" s="41">
        <v>3.3121999999999998</v>
      </c>
      <c r="Q36" s="37">
        <f t="shared" si="4"/>
        <v>0.87499067182065915</v>
      </c>
      <c r="S36" s="61">
        <f t="shared" si="5"/>
        <v>21529.299999999996</v>
      </c>
      <c r="U36" s="60">
        <v>45323</v>
      </c>
    </row>
    <row r="37" spans="2:25" x14ac:dyDescent="0.2">
      <c r="B37" s="25" t="s">
        <v>219</v>
      </c>
      <c r="F37" s="40">
        <v>45331</v>
      </c>
      <c r="K37" s="25">
        <v>45728</v>
      </c>
      <c r="M37" s="29">
        <f t="shared" si="3"/>
        <v>173099.31005875199</v>
      </c>
      <c r="O37" s="41">
        <v>3.3121999999999998</v>
      </c>
      <c r="Q37" s="37">
        <f t="shared" si="4"/>
        <v>0.87499067182065915</v>
      </c>
      <c r="S37" s="29">
        <f t="shared" si="5"/>
        <v>151460.28159999999</v>
      </c>
      <c r="U37" s="60">
        <v>45323</v>
      </c>
    </row>
    <row r="38" spans="2:25" x14ac:dyDescent="0.2">
      <c r="B38" s="25" t="s">
        <v>220</v>
      </c>
      <c r="F38" s="40">
        <v>45351</v>
      </c>
      <c r="K38" s="25">
        <v>46524</v>
      </c>
      <c r="M38" s="29">
        <f t="shared" ref="M38" si="6">K38*$I$17</f>
        <v>176112.49783881599</v>
      </c>
      <c r="O38" s="41">
        <v>3.2477999999999998</v>
      </c>
      <c r="Q38" s="37">
        <f t="shared" si="4"/>
        <v>0.8579779916487944</v>
      </c>
      <c r="S38" s="29">
        <f t="shared" si="5"/>
        <v>151100.64719999998</v>
      </c>
      <c r="U38" s="60">
        <v>45323</v>
      </c>
    </row>
    <row r="39" spans="2:25" x14ac:dyDescent="0.2">
      <c r="W39" s="37">
        <f>SUM(S36:S38)/SUM(M36:M38)</f>
        <v>0.86697566521506286</v>
      </c>
    </row>
    <row r="41" spans="2:25" s="8" customFormat="1" x14ac:dyDescent="0.2">
      <c r="B41" s="8" t="s">
        <v>72</v>
      </c>
    </row>
    <row r="43" spans="2:25" x14ac:dyDescent="0.2">
      <c r="B43" s="25" t="s">
        <v>224</v>
      </c>
      <c r="F43" s="40">
        <v>45420</v>
      </c>
      <c r="K43" s="25">
        <v>46849</v>
      </c>
      <c r="M43" s="29">
        <f t="shared" ref="M43" si="7">K43*$I$17</f>
        <v>177342.756668616</v>
      </c>
      <c r="O43" s="41">
        <v>3.0223</v>
      </c>
      <c r="Q43" s="37">
        <f t="shared" ref="Q43" si="8">O43/$I$17</f>
        <v>0.79840719384203196</v>
      </c>
      <c r="S43" s="29">
        <f t="shared" ref="S43" si="9">M43*Q43</f>
        <v>141591.73269999999</v>
      </c>
    </row>
    <row r="46" spans="2:25" x14ac:dyDescent="0.2">
      <c r="B46" s="4" t="s">
        <v>58</v>
      </c>
    </row>
  </sheetData>
  <phoneticPr fontId="3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4216-78D1-405A-9F5C-7B8A6DF25563}">
  <sheetPr>
    <tabColor rgb="FFE1FFE1"/>
  </sheetPr>
  <dimension ref="B2:Q18"/>
  <sheetViews>
    <sheetView showGridLines="0" zoomScale="85" zoomScaleNormal="85" workbookViewId="0">
      <pane xSplit="6" ySplit="9" topLeftCell="G10" activePane="bottomRight" state="frozen"/>
      <selection activeCell="G12" sqref="G12"/>
      <selection pane="topRight" activeCell="G12" sqref="G12"/>
      <selection pane="bottomLeft" activeCell="G12" sqref="G12"/>
      <selection pane="bottomRight"/>
    </sheetView>
  </sheetViews>
  <sheetFormatPr defaultColWidth="9.140625"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13" width="15.7109375" style="2" customWidth="1"/>
    <col min="14" max="14" width="2.7109375" style="2" customWidth="1"/>
    <col min="15" max="15" width="17.14062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2:17" s="14" customFormat="1" ht="18" x14ac:dyDescent="0.2">
      <c r="B2" s="14" t="s">
        <v>75</v>
      </c>
    </row>
    <row r="4" spans="2:17" x14ac:dyDescent="0.2">
      <c r="B4" s="22" t="s">
        <v>12</v>
      </c>
      <c r="C4" s="1"/>
      <c r="D4" s="1"/>
    </row>
    <row r="5" spans="2:17" x14ac:dyDescent="0.2">
      <c r="B5" s="2" t="s">
        <v>202</v>
      </c>
    </row>
    <row r="8" spans="2:17" s="8" customFormat="1" x14ac:dyDescent="0.2">
      <c r="B8" s="8" t="s">
        <v>12</v>
      </c>
      <c r="F8" s="8" t="s">
        <v>34</v>
      </c>
      <c r="H8" s="8" t="s">
        <v>143</v>
      </c>
      <c r="I8" s="8" t="s">
        <v>144</v>
      </c>
      <c r="J8" s="8" t="s">
        <v>145</v>
      </c>
      <c r="K8" s="8" t="s">
        <v>146</v>
      </c>
      <c r="L8" s="8" t="s">
        <v>152</v>
      </c>
      <c r="M8" s="8" t="s">
        <v>153</v>
      </c>
      <c r="O8" s="8" t="s">
        <v>37</v>
      </c>
      <c r="Q8" s="8" t="s">
        <v>36</v>
      </c>
    </row>
    <row r="11" spans="2:17" s="8" customFormat="1" x14ac:dyDescent="0.2">
      <c r="B11" s="8" t="s">
        <v>76</v>
      </c>
    </row>
    <row r="13" spans="2:17" x14ac:dyDescent="0.2">
      <c r="B13" s="22" t="s">
        <v>77</v>
      </c>
    </row>
    <row r="14" spans="2:17" x14ac:dyDescent="0.2">
      <c r="B14" s="2" t="s">
        <v>78</v>
      </c>
      <c r="F14" s="2" t="s">
        <v>63</v>
      </c>
      <c r="H14" s="25">
        <v>1130669</v>
      </c>
      <c r="I14" s="25">
        <v>1158503</v>
      </c>
      <c r="J14" s="25">
        <v>1257063</v>
      </c>
      <c r="K14" s="25">
        <v>1245084</v>
      </c>
      <c r="L14" s="25">
        <v>1189623</v>
      </c>
      <c r="M14" s="25">
        <v>1375000</v>
      </c>
      <c r="O14" s="2" t="s">
        <v>79</v>
      </c>
      <c r="Q14" s="15"/>
    </row>
    <row r="18" spans="2:2" x14ac:dyDescent="0.2">
      <c r="B18" s="4" t="s">
        <v>58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78C8E-2BAE-44E4-8C9E-CE16D248F930}">
  <sheetPr>
    <tabColor rgb="FFE1FFE1"/>
  </sheetPr>
  <dimension ref="B2:S36"/>
  <sheetViews>
    <sheetView showGridLines="0" zoomScale="85" zoomScaleNormal="85" workbookViewId="0">
      <pane xSplit="6" ySplit="12" topLeftCell="G13" activePane="bottomRight" state="frozen"/>
      <selection activeCell="G12" sqref="G12"/>
      <selection pane="topRight" activeCell="G12" sqref="G12"/>
      <selection pane="bottomLeft" activeCell="G12" sqref="G12"/>
      <selection pane="bottomRight"/>
    </sheetView>
  </sheetViews>
  <sheetFormatPr defaultColWidth="9.140625" defaultRowHeight="12.75" x14ac:dyDescent="0.2"/>
  <cols>
    <col min="1" max="1" width="4.7109375" style="2" customWidth="1"/>
    <col min="2" max="2" width="41.42578125" style="2" customWidth="1"/>
    <col min="3" max="3" width="4.7109375" style="2" customWidth="1"/>
    <col min="4" max="5" width="4.5703125" style="2" customWidth="1"/>
    <col min="6" max="6" width="16.570312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22.7109375" style="2" customWidth="1"/>
    <col min="13" max="13" width="22.5703125" style="2" customWidth="1"/>
    <col min="14" max="15" width="22.7109375" style="2" customWidth="1"/>
    <col min="16" max="16" width="2.7109375" style="2" customWidth="1"/>
    <col min="17" max="17" width="29.140625" style="2" customWidth="1"/>
    <col min="18" max="18" width="2.7109375" style="2" customWidth="1"/>
    <col min="19" max="33" width="13.7109375" style="2" customWidth="1"/>
    <col min="34" max="16384" width="9.140625" style="2"/>
  </cols>
  <sheetData>
    <row r="2" spans="2:19" s="14" customFormat="1" ht="18" x14ac:dyDescent="0.2">
      <c r="B2" s="14" t="s">
        <v>80</v>
      </c>
    </row>
    <row r="4" spans="2:19" x14ac:dyDescent="0.2">
      <c r="B4" s="22" t="s">
        <v>12</v>
      </c>
      <c r="C4" s="1"/>
      <c r="D4" s="1"/>
    </row>
    <row r="5" spans="2:19" x14ac:dyDescent="0.2">
      <c r="B5" s="2" t="s">
        <v>203</v>
      </c>
      <c r="H5" s="15"/>
    </row>
    <row r="6" spans="2:19" x14ac:dyDescent="0.2">
      <c r="H6" s="15"/>
    </row>
    <row r="7" spans="2:19" x14ac:dyDescent="0.2">
      <c r="B7" s="23" t="s">
        <v>125</v>
      </c>
      <c r="H7" s="15"/>
    </row>
    <row r="8" spans="2:19" x14ac:dyDescent="0.2">
      <c r="B8" s="4" t="s">
        <v>204</v>
      </c>
    </row>
    <row r="9" spans="2:19" x14ac:dyDescent="0.2">
      <c r="B9" s="4"/>
    </row>
    <row r="11" spans="2:19" s="8" customFormat="1" ht="25.5" x14ac:dyDescent="0.2">
      <c r="B11" s="8" t="s">
        <v>12</v>
      </c>
      <c r="F11" s="8" t="s">
        <v>34</v>
      </c>
      <c r="H11" s="8" t="s">
        <v>35</v>
      </c>
      <c r="J11" s="39" t="s">
        <v>81</v>
      </c>
      <c r="L11" s="39" t="s">
        <v>129</v>
      </c>
      <c r="M11" s="39" t="s">
        <v>154</v>
      </c>
      <c r="N11" s="39" t="s">
        <v>155</v>
      </c>
      <c r="O11" s="39" t="s">
        <v>156</v>
      </c>
      <c r="Q11" s="8" t="s">
        <v>37</v>
      </c>
      <c r="S11" s="8" t="s">
        <v>36</v>
      </c>
    </row>
    <row r="14" spans="2:19" s="8" customFormat="1" x14ac:dyDescent="0.2">
      <c r="B14" s="8" t="s">
        <v>82</v>
      </c>
    </row>
    <row r="16" spans="2:19" x14ac:dyDescent="0.2">
      <c r="B16" s="22" t="s">
        <v>83</v>
      </c>
    </row>
    <row r="17" spans="2:19" x14ac:dyDescent="0.2">
      <c r="B17" s="2" t="s">
        <v>84</v>
      </c>
      <c r="F17" s="2" t="s">
        <v>60</v>
      </c>
      <c r="L17" s="41">
        <v>0.27503446875338899</v>
      </c>
      <c r="M17" s="41">
        <v>0.27626522408947457</v>
      </c>
      <c r="Q17" s="2" t="s">
        <v>225</v>
      </c>
    </row>
    <row r="18" spans="2:19" x14ac:dyDescent="0.2">
      <c r="B18" s="2" t="s">
        <v>85</v>
      </c>
      <c r="F18" s="2" t="s">
        <v>61</v>
      </c>
      <c r="L18" s="42">
        <v>0.70445062586926299</v>
      </c>
      <c r="M18" s="42">
        <v>0.51666683778875944</v>
      </c>
      <c r="Q18" s="2" t="s">
        <v>226</v>
      </c>
      <c r="S18" s="2" t="s">
        <v>86</v>
      </c>
    </row>
    <row r="20" spans="2:19" x14ac:dyDescent="0.2">
      <c r="B20" s="1" t="s">
        <v>87</v>
      </c>
    </row>
    <row r="21" spans="2:19" x14ac:dyDescent="0.2">
      <c r="B21" s="2" t="s">
        <v>88</v>
      </c>
      <c r="F21" s="2" t="s">
        <v>89</v>
      </c>
      <c r="N21" s="41">
        <v>0.19921190299184563</v>
      </c>
      <c r="O21" s="41">
        <v>0.14024042237737816</v>
      </c>
      <c r="Q21" s="2" t="s">
        <v>227</v>
      </c>
    </row>
    <row r="22" spans="2:19" x14ac:dyDescent="0.2">
      <c r="B22" s="2" t="s">
        <v>165</v>
      </c>
      <c r="F22" s="2" t="s">
        <v>171</v>
      </c>
      <c r="O22" s="41">
        <v>0.24319538905379626</v>
      </c>
      <c r="Q22" s="2" t="s">
        <v>228</v>
      </c>
    </row>
    <row r="23" spans="2:19" x14ac:dyDescent="0.2">
      <c r="B23" s="2" t="s">
        <v>166</v>
      </c>
      <c r="F23" s="2" t="s">
        <v>63</v>
      </c>
      <c r="O23" s="25">
        <v>16551729.997999959</v>
      </c>
      <c r="Q23" s="2" t="s">
        <v>229</v>
      </c>
    </row>
    <row r="24" spans="2:19" x14ac:dyDescent="0.2">
      <c r="B24" s="2" t="s">
        <v>167</v>
      </c>
      <c r="F24" s="2" t="s">
        <v>63</v>
      </c>
      <c r="O24" s="25">
        <v>7779312.9999999851</v>
      </c>
      <c r="Q24" s="2" t="s">
        <v>230</v>
      </c>
    </row>
    <row r="25" spans="2:19" x14ac:dyDescent="0.2">
      <c r="B25" s="2" t="s">
        <v>168</v>
      </c>
      <c r="F25" s="2" t="s">
        <v>61</v>
      </c>
      <c r="O25" s="43">
        <f>O24/O23</f>
        <v>0.46999999401512738</v>
      </c>
    </row>
    <row r="27" spans="2:19" x14ac:dyDescent="0.2">
      <c r="B27" s="1" t="s">
        <v>169</v>
      </c>
    </row>
    <row r="28" spans="2:19" x14ac:dyDescent="0.2">
      <c r="B28" s="2" t="s">
        <v>170</v>
      </c>
      <c r="F28" s="2" t="s">
        <v>171</v>
      </c>
      <c r="O28" s="41">
        <v>-7.153180733336699E-3</v>
      </c>
      <c r="Q28" s="2" t="s">
        <v>231</v>
      </c>
      <c r="S28" s="2" t="s">
        <v>233</v>
      </c>
    </row>
    <row r="30" spans="2:19" x14ac:dyDescent="0.2">
      <c r="B30" s="1" t="s">
        <v>90</v>
      </c>
    </row>
    <row r="31" spans="2:19" x14ac:dyDescent="0.2">
      <c r="B31" s="2" t="s">
        <v>172</v>
      </c>
      <c r="F31" s="2" t="s">
        <v>61</v>
      </c>
      <c r="O31" s="42">
        <v>0.12</v>
      </c>
      <c r="Q31" s="2" t="s">
        <v>232</v>
      </c>
    </row>
    <row r="32" spans="2:19" x14ac:dyDescent="0.2">
      <c r="B32" s="2" t="s">
        <v>91</v>
      </c>
      <c r="F32" s="2" t="s">
        <v>61</v>
      </c>
      <c r="O32" s="44">
        <v>0.03</v>
      </c>
      <c r="Q32" s="2" t="s">
        <v>234</v>
      </c>
    </row>
    <row r="36" spans="2:2" x14ac:dyDescent="0.2">
      <c r="B36" s="4" t="s">
        <v>58</v>
      </c>
    </row>
  </sheetData>
  <phoneticPr fontId="3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2:B3"/>
  <sheetViews>
    <sheetView showGridLines="0" zoomScale="85" zoomScaleNormal="85" workbookViewId="0"/>
  </sheetViews>
  <sheetFormatPr defaultColWidth="9.140625" defaultRowHeight="12.75" x14ac:dyDescent="0.2"/>
  <cols>
    <col min="1" max="16384" width="9.140625" style="16"/>
  </cols>
  <sheetData>
    <row r="2" spans="2:2" x14ac:dyDescent="0.2">
      <c r="B2" s="34" t="s">
        <v>136</v>
      </c>
    </row>
    <row r="3" spans="2:2" x14ac:dyDescent="0.2">
      <c r="B3" s="34" t="s">
        <v>137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_dlc_DocId>
    <_dlc_DocIdUrl xmlns="5e7bef76-b888-41a2-a261-5f525b37d47e">
      <Url>https://intranet.acm.local/project/excellent-in-excel/_layouts/15/DocIdRedir.aspx?ID=ECT67VDXDTCW-640230012-2</Url>
      <Description>ECT67VDXDTCW-640230012-2</Description>
    </_dlc_DocIdUrl>
    <Status xmlns="94b38974-1436-4631-a0be-797faa579778">Actueel</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DAB9D1-B815-4B0E-93E7-4496A7FE99F6}">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2.xml><?xml version="1.0" encoding="utf-8"?>
<ds:datastoreItem xmlns:ds="http://schemas.openxmlformats.org/officeDocument/2006/customXml" ds:itemID="{BDF34196-3C60-4FBD-A6D7-F3FCE358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835401-F49D-4D00-8F07-BF5788AC8903}">
  <ds:schemaRefs>
    <ds:schemaRef ds:uri="http://schemas.microsoft.com/sharepoint/v3/contenttype/forms"/>
  </ds:schemaRefs>
</ds:datastoreItem>
</file>

<file path=customXml/itemProps4.xml><?xml version="1.0" encoding="utf-8"?>
<ds:datastoreItem xmlns:ds="http://schemas.openxmlformats.org/officeDocument/2006/customXml" ds:itemID="{29821432-9D6D-4FB8-B669-75517133F53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Cover sheet</vt:lpstr>
      <vt:lpstr>Explanation</vt:lpstr>
      <vt:lpstr>Sources and specifics</vt:lpstr>
      <vt:lpstr>Result</vt:lpstr>
      <vt:lpstr>Input --&gt;</vt:lpstr>
      <vt:lpstr>Fuel prices</vt:lpstr>
      <vt:lpstr>Production data</vt:lpstr>
      <vt:lpstr>Parameters in tariff decisions</vt:lpstr>
      <vt:lpstr>Calculations --&gt;</vt:lpstr>
      <vt:lpstr>Fuel component correction</vt:lpstr>
      <vt:lpstr>Dictum &amp; Annex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2024-06-24T10:51:15Z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e0efd16f-45ee-4b9d-aa02-521177c04c12</vt:lpwstr>
  </property>
</Properties>
</file>