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1B697E7C-958C-451F-950B-D6011EC53075}" xr6:coauthVersionLast="47" xr6:coauthVersionMax="47" xr10:uidLastSave="{00000000-0000-0000-0000-000000000000}"/>
  <bookViews>
    <workbookView xWindow="380" yWindow="380" windowWidth="14400" windowHeight="7440" tabRatio="864" firstSheet="3" activeTab="8" xr2:uid="{00000000-000D-0000-FFFF-FFFF00000000}"/>
  </bookViews>
  <sheets>
    <sheet name="Titelblad" sheetId="9" r:id="rId1"/>
    <sheet name="Toelichting" sheetId="10" r:id="rId2"/>
    <sheet name="Bronnen en toepassingen" sheetId="11" r:id="rId3"/>
    <sheet name="Huur --&gt;" sheetId="52" r:id="rId4"/>
    <sheet name="Resultaat huurtarieven" sheetId="54" r:id="rId5"/>
    <sheet name="Gegevens t.b.v. huurtarieven" sheetId="50" r:id="rId6"/>
    <sheet name="Berekening huurtarieven" sheetId="53" r:id="rId7"/>
    <sheet name="Levering --&gt;" sheetId="51" r:id="rId8"/>
    <sheet name="Resultaat levering" sheetId="21" r:id="rId9"/>
    <sheet name="Input --&gt;" sheetId="13" r:id="rId10"/>
    <sheet name="Gegevens warmteregeling &amp; ACM" sheetId="49" r:id="rId11"/>
    <sheet name="Gasleveranciers" sheetId="65" r:id="rId12"/>
    <sheet name="Netbeheer" sheetId="31" r:id="rId13"/>
    <sheet name="Berekeningen --&gt;" sheetId="15" r:id="rId14"/>
    <sheet name="Vaste kosten verbruik" sheetId="27" r:id="rId15"/>
    <sheet name="Variabele kosten verbruik" sheetId="29" r:id="rId16"/>
  </sheets>
  <definedNames>
    <definedName name="_xlnm._FilterDatabase" localSheetId="8" hidden="1">'Resultaat levering'!#REF!</definedName>
    <definedName name="_xlnm.Print_Area" localSheetId="6">'Berekening huurtarieven'!$A$1:$V$57</definedName>
    <definedName name="_xlnm.Print_Area" localSheetId="2">'Bronnen en toepassingen'!$A$1:$G$35</definedName>
    <definedName name="_xlnm.Print_Area" localSheetId="11">Gasleveranciers!$A$1:$P$30</definedName>
    <definedName name="_xlnm.Print_Area" localSheetId="5">'Gegevens t.b.v. huurtarieven'!$A$1:$X$41</definedName>
    <definedName name="_xlnm.Print_Area" localSheetId="10">'Gegevens warmteregeling &amp; ACM'!$A$1:$Q$84</definedName>
    <definedName name="_xlnm.Print_Area" localSheetId="12">Netbeheer!$A$1:$X$35</definedName>
    <definedName name="_xlnm.Print_Area" localSheetId="4">'Resultaat huurtarieven'!$A$1:$U$45</definedName>
    <definedName name="_xlnm.Print_Area" localSheetId="8">'Resultaat levering'!$A$1:$T$52</definedName>
    <definedName name="_xlnm.Print_Area" localSheetId="0">Titelblad!$A$1:$G$43</definedName>
    <definedName name="_xlnm.Print_Area" localSheetId="1">Toelichting!$A$1:$I$57</definedName>
    <definedName name="_xlnm.Print_Area" localSheetId="15">'Variabele kosten verbruik'!$A$1:$N$48</definedName>
    <definedName name="_xlnm.Print_Area" localSheetId="14">'Vaste kosten verbruik'!$A$1:$X$119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27" l="1"/>
  <c r="N98" i="27" l="1"/>
  <c r="N85" i="27"/>
  <c r="N80" i="27"/>
  <c r="I58" i="49"/>
  <c r="J22" i="31" l="1"/>
  <c r="L29" i="27" l="1"/>
  <c r="J15" i="29"/>
  <c r="I28" i="49" l="1"/>
  <c r="N40" i="27" l="1"/>
  <c r="L52" i="27"/>
  <c r="L46" i="27"/>
  <c r="H24" i="27"/>
  <c r="H23" i="27"/>
  <c r="H22" i="27"/>
  <c r="J18" i="31" l="1"/>
  <c r="I32" i="53"/>
  <c r="P43" i="53" s="1"/>
  <c r="H21" i="27"/>
  <c r="H26" i="27" l="1"/>
  <c r="H17" i="27" l="1"/>
  <c r="H18" i="27"/>
  <c r="H19" i="27"/>
  <c r="H20" i="27" l="1"/>
  <c r="L38" i="27" l="1"/>
  <c r="L85" i="27" s="1"/>
  <c r="L37" i="27"/>
  <c r="L80" i="27" s="1"/>
  <c r="L82" i="27" s="1"/>
  <c r="J25" i="31"/>
  <c r="L34" i="27" s="1"/>
  <c r="N48" i="27" l="1"/>
  <c r="I28" i="53" l="1"/>
  <c r="I31" i="53"/>
  <c r="O43" i="53" s="1"/>
  <c r="I30" i="53"/>
  <c r="I38" i="53" l="1"/>
  <c r="I24" i="53"/>
  <c r="T36" i="53" s="1"/>
  <c r="T37" i="53" l="1"/>
  <c r="T50" i="53"/>
  <c r="I30" i="54"/>
  <c r="I23" i="53"/>
  <c r="S36" i="53" s="1"/>
  <c r="I22" i="53"/>
  <c r="R36" i="53" s="1"/>
  <c r="R50" i="53" s="1"/>
  <c r="I29" i="53"/>
  <c r="T39" i="53" l="1"/>
  <c r="T40" i="53" s="1"/>
  <c r="T41" i="53" s="1"/>
  <c r="S37" i="53"/>
  <c r="S50" i="53"/>
  <c r="I36" i="54" s="1"/>
  <c r="R37" i="53"/>
  <c r="I34" i="54"/>
  <c r="S39" i="53" l="1"/>
  <c r="S40" i="53" s="1"/>
  <c r="S41" i="53" s="1"/>
  <c r="T51" i="53"/>
  <c r="I31" i="54" s="1"/>
  <c r="R39" i="53"/>
  <c r="R40" i="53" s="1"/>
  <c r="R41" i="53" s="1"/>
  <c r="R51" i="53" s="1"/>
  <c r="I35" i="54" s="1"/>
  <c r="S51" i="53" l="1"/>
  <c r="I37" i="54" s="1"/>
  <c r="I18" i="53"/>
  <c r="O36" i="53" s="1"/>
  <c r="O37" i="53" s="1"/>
  <c r="O39" i="53" l="1"/>
  <c r="O40" i="53" s="1"/>
  <c r="O41" i="53" s="1"/>
  <c r="O45" i="53" s="1"/>
  <c r="I16" i="54" s="1"/>
  <c r="I19" i="53"/>
  <c r="M17" i="53"/>
  <c r="M36" i="53" s="1"/>
  <c r="L17" i="53"/>
  <c r="L36" i="53" s="1"/>
  <c r="J17" i="53"/>
  <c r="J36" i="53" s="1"/>
  <c r="J37" i="53" s="1"/>
  <c r="J39" i="53" l="1"/>
  <c r="J40" i="53" s="1"/>
  <c r="J41" i="53" s="1"/>
  <c r="P36" i="53"/>
  <c r="P37" i="53" s="1"/>
  <c r="L37" i="53"/>
  <c r="L39" i="53" s="1"/>
  <c r="M37" i="53"/>
  <c r="M39" i="53" s="1"/>
  <c r="K17" i="53"/>
  <c r="K36" i="53" s="1"/>
  <c r="J50" i="53" s="1"/>
  <c r="L50" i="53" l="1"/>
  <c r="I24" i="54" s="1"/>
  <c r="P39" i="53"/>
  <c r="P40" i="53" s="1"/>
  <c r="P41" i="53" s="1"/>
  <c r="P45" i="53" s="1"/>
  <c r="I17" i="54" s="1"/>
  <c r="M50" i="53"/>
  <c r="I26" i="54" s="1"/>
  <c r="K37" i="53"/>
  <c r="I22" i="54"/>
  <c r="M40" i="53"/>
  <c r="M41" i="53" s="1"/>
  <c r="L40" i="53"/>
  <c r="L41" i="53" s="1"/>
  <c r="N52" i="27"/>
  <c r="K39" i="53" l="1"/>
  <c r="K40" i="53"/>
  <c r="L61" i="27"/>
  <c r="L60" i="27"/>
  <c r="L57" i="27"/>
  <c r="L56" i="27"/>
  <c r="K41" i="53" l="1"/>
  <c r="K45" i="53" s="1"/>
  <c r="J51" i="53"/>
  <c r="M51" i="53"/>
  <c r="I27" i="54" s="1"/>
  <c r="N53" i="27"/>
  <c r="L51" i="53" l="1"/>
  <c r="I25" i="54" s="1"/>
  <c r="N88" i="27"/>
  <c r="P41" i="21"/>
  <c r="N41" i="21"/>
  <c r="J13" i="29"/>
  <c r="J27" i="29" s="1"/>
  <c r="J22" i="29"/>
  <c r="J19" i="29"/>
  <c r="J20" i="29"/>
  <c r="J18" i="29"/>
  <c r="J17" i="29"/>
  <c r="H25" i="27"/>
  <c r="H16" i="27"/>
  <c r="I29" i="21" l="1"/>
  <c r="L111" i="27"/>
  <c r="O20" i="21" s="1"/>
  <c r="J29" i="29"/>
  <c r="J30" i="29" s="1"/>
  <c r="L83" i="27"/>
  <c r="L112" i="27"/>
  <c r="O21" i="21" s="1"/>
  <c r="L118" i="27"/>
  <c r="I35" i="21"/>
  <c r="I30" i="21" l="1"/>
  <c r="N39" i="27" l="1"/>
  <c r="N47" i="27"/>
  <c r="J33" i="29"/>
  <c r="N82" i="27" l="1"/>
  <c r="N83" i="27" s="1"/>
  <c r="N93" i="27"/>
  <c r="N95" i="27" l="1"/>
  <c r="N96" i="27" s="1"/>
  <c r="L33" i="27"/>
  <c r="L70" i="27" s="1"/>
  <c r="L71" i="27"/>
  <c r="L32" i="27"/>
  <c r="L69" i="27" s="1"/>
  <c r="L66" i="27"/>
  <c r="L72" i="27" l="1"/>
  <c r="L75" i="27" s="1"/>
  <c r="H49" i="27"/>
  <c r="N94" i="27" s="1"/>
  <c r="N97" i="27" s="1"/>
  <c r="N104" i="27" s="1"/>
  <c r="H41" i="27"/>
  <c r="L45" i="27"/>
  <c r="L81" i="27" l="1"/>
  <c r="N81" i="27"/>
  <c r="N84" i="27" s="1"/>
  <c r="N103" i="27" s="1"/>
  <c r="N105" i="27" s="1"/>
  <c r="L93" i="27"/>
  <c r="M15" i="21"/>
  <c r="B31" i="10"/>
  <c r="L84" i="27" l="1"/>
  <c r="L103" i="27" s="1"/>
  <c r="L95" i="27"/>
  <c r="L96" i="27" s="1"/>
  <c r="L94" i="27"/>
  <c r="P25" i="21"/>
  <c r="N25" i="21"/>
  <c r="M25" i="21"/>
  <c r="P15" i="21"/>
  <c r="N15" i="21"/>
  <c r="B38" i="10"/>
  <c r="B32" i="10"/>
  <c r="L97" i="27" l="1"/>
  <c r="N106" i="27"/>
  <c r="B33" i="10"/>
  <c r="B37" i="10" s="1"/>
  <c r="I38" i="21" l="1"/>
  <c r="M42" i="21" s="1"/>
  <c r="B43" i="10"/>
  <c r="P42" i="21" l="1"/>
  <c r="N42" i="21"/>
  <c r="L98" i="27"/>
  <c r="L104" i="27" s="1"/>
  <c r="L105" i="27" s="1"/>
  <c r="L106" i="27" s="1"/>
  <c r="L43" i="53"/>
  <c r="L45" i="53" s="1"/>
  <c r="J43" i="53"/>
  <c r="J45" i="53" s="1"/>
  <c r="M43" i="53"/>
  <c r="M45" i="53" s="1"/>
  <c r="K43" i="53"/>
  <c r="I15" i="54" s="1"/>
  <c r="I23" i="54" l="1"/>
  <c r="M18" i="21" l="1"/>
  <c r="M20" i="21" s="1"/>
  <c r="M46" i="21" s="1"/>
  <c r="M48" i="21" s="1"/>
  <c r="P18" i="21" l="1"/>
  <c r="P20" i="21" s="1"/>
  <c r="P46" i="21" s="1"/>
  <c r="P48" i="21" s="1"/>
  <c r="N18" i="21"/>
  <c r="N20" i="21" s="1"/>
  <c r="N46" i="21" s="1"/>
  <c r="N4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<sst xmlns="http://schemas.openxmlformats.org/spreadsheetml/2006/main" count="807" uniqueCount="387">
  <si>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</si>
  <si>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</si>
  <si>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</si>
  <si>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</si>
  <si>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</si>
  <si>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</si>
  <si>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</si>
  <si>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</si>
  <si>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</si>
  <si>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</si>
  <si>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</si>
  <si>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</si>
  <si>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</si>
  <si>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</si>
  <si>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</si>
  <si>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</si>
  <si>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</si>
  <si>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</si>
  <si>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</si>
  <si>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</si>
  <si>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</si>
  <si>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</si>
  <si>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</si>
  <si>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</si>
  <si>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</si>
  <si>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</si>
  <si>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</si>
  <si>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</si>
  <si>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</si>
  <si>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</si>
  <si>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</si>
  <si>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</si>
  <si>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</si>
  <si>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</si>
  <si>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</si>
  <si>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</si>
  <si>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</si>
  <si>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</si>
  <si>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</si>
  <si>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</si>
  <si>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</si>
  <si>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</si>
  <si>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</si>
  <si>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</si>
  <si>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</si>
  <si>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</si>
  <si>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</si>
  <si>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</si>
  <si>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</si>
  <si>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</si>
  <si>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</si>
  <si>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</si>
  <si>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</si>
  <si>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</si>
  <si>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</si>
  <si>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</si>
  <si>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</si>
  <si>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</si>
  <si>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</si>
  <si>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</si>
  <si>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</si>
  <si>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</si>
  <si>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</si>
  <si>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</si>
  <si>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</si>
  <si>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</si>
  <si>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</si>
  <si>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</si>
  <si>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</si>
  <si>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Algemene parameters en parameters uit Warmteregeling (artikel 2 en 3)</t>
  </si>
  <si>
    <t>Algemene parameters</t>
  </si>
  <si>
    <t>BTW</t>
  </si>
  <si>
    <t>Gemiddelde levensduur cv-ketel (in jaren)</t>
  </si>
  <si>
    <t>Gemiddelde levensduur afleverset (in jaren)</t>
  </si>
  <si>
    <t>Parameters voor de berekening van de energetische waarde van aardgasgebruik in de gaswoning uit Warmteregeling (artikel 3)</t>
  </si>
  <si>
    <t>VR</t>
  </si>
  <si>
    <t>VT</t>
  </si>
  <si>
    <t>η ruimte</t>
  </si>
  <si>
    <t>η tap</t>
  </si>
  <si>
    <t>jaren</t>
  </si>
  <si>
    <t>%</t>
  </si>
  <si>
    <t>VKg = de gemiddelde jaarlijkse vaste kosten van het transport</t>
  </si>
  <si>
    <t>CVg: de bovenwaarde van de verbrandingswaarde van aardgas</t>
  </si>
  <si>
    <t>Berekening van de jaarlijkse vaste kosten van transport</t>
  </si>
  <si>
    <t>Gebruikskosten Gas</t>
  </si>
  <si>
    <t>Gebruikskosten Warmte</t>
  </si>
  <si>
    <t>EUR</t>
  </si>
  <si>
    <t>jaar</t>
  </si>
  <si>
    <t>Gemiddelde levensduur cv-ketel</t>
  </si>
  <si>
    <t>Gemiddelde levensduur afleverset</t>
  </si>
  <si>
    <t>Consumentenprijsindex (CPI)</t>
  </si>
  <si>
    <t>CPI 2018</t>
  </si>
  <si>
    <t>CPI 2019</t>
  </si>
  <si>
    <t>CPI 2020</t>
  </si>
  <si>
    <t>Verbruikskosten gas</t>
  </si>
  <si>
    <t>Verbruikskosten warmte</t>
  </si>
  <si>
    <t>Verschil in verbruikskosten</t>
  </si>
  <si>
    <t>Verschil verbruikskosten</t>
  </si>
  <si>
    <t xml:space="preserve">VR </t>
  </si>
  <si>
    <t>Categorie A</t>
  </si>
  <si>
    <t>Categorie B</t>
  </si>
  <si>
    <t>Categorie C</t>
  </si>
  <si>
    <t>Categorie D</t>
  </si>
  <si>
    <t>Verschil gebruikskosten</t>
  </si>
  <si>
    <t>#</t>
  </si>
  <si>
    <t>Meetkosten op basis van meettarieven</t>
  </si>
  <si>
    <t>Aanschafwaarde bij vervanging meest voorkomende afleverset</t>
  </si>
  <si>
    <t>Specifieke input vaste kosten categorie C</t>
  </si>
  <si>
    <t>Tot en met een vermogen van 3 kilowatt</t>
  </si>
  <si>
    <t>Verbruikskosten</t>
  </si>
  <si>
    <t>Particulier</t>
  </si>
  <si>
    <t>Coteq</t>
  </si>
  <si>
    <t>Enexis</t>
  </si>
  <si>
    <t>Stedin</t>
  </si>
  <si>
    <t>Westland</t>
  </si>
  <si>
    <t>Jaarlijkse afschrijving</t>
  </si>
  <si>
    <t>Restwaarde cv-ketel gemiddelde levensduur</t>
  </si>
  <si>
    <t>Gas cv-ketel</t>
  </si>
  <si>
    <t>Warmte afleverset</t>
  </si>
  <si>
    <t>Restwaarde afleverset gemiddelde levensduur</t>
  </si>
  <si>
    <t>Kapitaalslasten afleverset</t>
  </si>
  <si>
    <t>Kapitaalslasten cv-ketel</t>
  </si>
  <si>
    <t>Gebruikskosten cv-ketel Gas</t>
  </si>
  <si>
    <t>Gebruikskosten afleverset warmte</t>
  </si>
  <si>
    <t>Vaste kosten</t>
  </si>
  <si>
    <t>Warmteregeling (paragraaf 2.3; artikel 3a)</t>
  </si>
  <si>
    <t>Opslag per kilowatt &gt;3 kilowatt</t>
  </si>
  <si>
    <t>In dit tabblad wordt alle input ingevoerd die afkomstig zijn van de netbeheerders.</t>
  </si>
  <si>
    <t>CBS</t>
  </si>
  <si>
    <t>www.belastingdienst.nl.</t>
  </si>
  <si>
    <t>Warmtebesluit</t>
  </si>
  <si>
    <t>Warmteregeling</t>
  </si>
  <si>
    <t>Opslag extra vermogen &gt;3 kW</t>
  </si>
  <si>
    <t>Gemiddelde</t>
  </si>
  <si>
    <t>Factor particulier indien enkel WTW of RV</t>
  </si>
  <si>
    <t>Aanschafwaarde cv-ketel</t>
  </si>
  <si>
    <t>Aanschafwaarde afleverset</t>
  </si>
  <si>
    <t>Gemiddelde meettarieven voor G6 aansluiting</t>
  </si>
  <si>
    <t>Energetische waarde van aardgasgebruik in de gaswoning (energie g)</t>
  </si>
  <si>
    <t>Brandstofrendement van het warmteproces (η)</t>
  </si>
  <si>
    <t>Aanschafwaarde meest voorkomende cv-ketel</t>
  </si>
  <si>
    <t>Totaal</t>
  </si>
  <si>
    <t>De gemiddelde jaarlijkse vaste kosten van het transport</t>
  </si>
  <si>
    <t>Warmte</t>
  </si>
  <si>
    <t>Koude</t>
  </si>
  <si>
    <t>Jaarlijkse vaste kosten transport, levering en aansluiting</t>
  </si>
  <si>
    <t>Verschil verbruikskosten categorie B en D</t>
  </si>
  <si>
    <t>=&lt; 100 kW</t>
  </si>
  <si>
    <t>Warmteregeling artikel 3, lid 2.</t>
  </si>
  <si>
    <t>Warmteregeling artikel 3, lid 1.</t>
  </si>
  <si>
    <t>Gemiddelde jaarlijkse vaste kosten 1000kW aansluiting</t>
  </si>
  <si>
    <t>Opslag per kilowatt voor aansluiting boven 2 kilowatt</t>
  </si>
  <si>
    <t>Basistarief voor aansluitingen voor de levering van koude</t>
  </si>
  <si>
    <t>ΔGK: verschil in gebruikskosten</t>
  </si>
  <si>
    <t>Aandeel vaste kosten categorie B en D</t>
  </si>
  <si>
    <t>Jaarlijkse vaste kosten van transport, de levering en de aansluiting</t>
  </si>
  <si>
    <t>Vaste kosten verbruik</t>
  </si>
  <si>
    <t>Variabele kosten verbruik</t>
  </si>
  <si>
    <t>Gewogen gemiddelde vaste G1-tarieven gaslevering</t>
  </si>
  <si>
    <t xml:space="preserve">Gewogen gemiddelde TOVT G6 aansluiting </t>
  </si>
  <si>
    <t>Gewogen gemiddelde PA G6 aansluiting</t>
  </si>
  <si>
    <t>Gewogen gemiddelde TAVT G6 aansluiting</t>
  </si>
  <si>
    <t>Gewogen gemiddelde TOVT G6 aansluiting</t>
  </si>
  <si>
    <t>Transportonafhankelijke verbruikerstarieven (TOVT) voor G6 aansluitingen</t>
  </si>
  <si>
    <t>Rekenvolumes TOTV voor G6 aansluitingen</t>
  </si>
  <si>
    <t>Transportafhankelijke verbruikerstarieven (TAVT)</t>
  </si>
  <si>
    <t>Rekencapaciteit voor G6 aansluitingen</t>
  </si>
  <si>
    <t>Rekenvolumes (RV) voor transportafhankelijke verbruikerstarieven G6 aansluitingen</t>
  </si>
  <si>
    <t>Periodieke aansluittarieven (PA) voor G6 aansluitingen</t>
  </si>
  <si>
    <t>Rekenvolumes (RV) voor periodieke aansluittarieven G6 aansluitingen</t>
  </si>
  <si>
    <t>Pg: gemiddelde gebruiksafhankelijke G1-tarief</t>
  </si>
  <si>
    <t>Jaarlijkse vermogenskosten</t>
  </si>
  <si>
    <t>Jaarlijkse operationele kosten afleverset</t>
  </si>
  <si>
    <t>Jaarlijkse operationele kosten cv-ketel</t>
  </si>
  <si>
    <t>Verschil vaste kosten van een aansluiting levering van warmte particulier en collectief</t>
  </si>
  <si>
    <t>De maximumprijs wordt opgebouwd uit het basistarief en opslagen</t>
  </si>
  <si>
    <t>Specifieke input levering koude</t>
  </si>
  <si>
    <t>100 kW=&lt;1000 kW</t>
  </si>
  <si>
    <t>CW3</t>
  </si>
  <si>
    <t>CW4</t>
  </si>
  <si>
    <t>CW5</t>
  </si>
  <si>
    <t>CW6</t>
  </si>
  <si>
    <t>EUR, excl BTW</t>
  </si>
  <si>
    <t>Kosten per component</t>
  </si>
  <si>
    <t>Elektronische regeling</t>
  </si>
  <si>
    <t>Warmtewisselaar</t>
  </si>
  <si>
    <t xml:space="preserve">Nominale vermogenskostenvoet </t>
  </si>
  <si>
    <t>Jaarlijkse operationele kosten</t>
  </si>
  <si>
    <t>Aanschaf- en installatiekosten</t>
  </si>
  <si>
    <t>Huurtarieven</t>
  </si>
  <si>
    <t>Jaarlijkse afschrijvingslasten</t>
  </si>
  <si>
    <t>Gemiddelde resterende levensduur afleverset (in jaren)</t>
  </si>
  <si>
    <t>Gemiddelde restwaarde afleverset</t>
  </si>
  <si>
    <t>Vermogenskostenvergoeding</t>
  </si>
  <si>
    <t>GKw onderdeel a: kapitaalslasten afleverset</t>
  </si>
  <si>
    <t>EUR, incl BTW</t>
  </si>
  <si>
    <t>Nominale vermogenskostenvoet (WACC)</t>
  </si>
  <si>
    <t>Overige parameters benodigd voor berekening huurtarieven</t>
  </si>
  <si>
    <t>Jaarlijkse operationele kosten gecombineerde afleverset</t>
  </si>
  <si>
    <t>Elektronische regeling (ER)</t>
  </si>
  <si>
    <t>Warmtewisselaar (WW)</t>
  </si>
  <si>
    <t>Dit tabblad geeft de tariefopbouw weer voor de gecombineerde afleverset, de afleverset voor enkel ruimteverwarming (I, RV) en de afleverset voor enkel warm tapwater (I, WTW).</t>
  </si>
  <si>
    <t>Gecombineerde afleverset</t>
  </si>
  <si>
    <t>Dit tabblad geeft de basis huurtarieven weer voor een gecombineerde afleverset en een afleverset voor enkel ruimteverwarming of warm tapwater.</t>
  </si>
  <si>
    <t>De op- of afslag voor de aanvullende functionaliteiten zijn significant wanneer deze meer dan één euro per maand bedragen.</t>
  </si>
  <si>
    <t>Op basis van bovenstaand criterium wordt de elektronische regeling niet als een aanvullende functionaliteit vastgesteld.</t>
  </si>
  <si>
    <t>Enkel ruimteverwarming (25kW)</t>
  </si>
  <si>
    <t>Enkel warm tapwater (CW4)</t>
  </si>
  <si>
    <t>Gecombineerd en enkel warm tapwater</t>
  </si>
  <si>
    <t>Maximum huurtarieven</t>
  </si>
  <si>
    <t>Inputgegevens ten behoeve van huurtarieven afleversets</t>
  </si>
  <si>
    <t>Berekening huurtarieven afleversets en op- of afslagen</t>
  </si>
  <si>
    <t>I, RV (25kW)</t>
  </si>
  <si>
    <t>I, WTW (CW4)</t>
  </si>
  <si>
    <t>Op dit tabblad zijn ook de kosten voor een elektronische regeling (ER) en een warmtewisselaar (WW) opgenomen, van deze functionaliteiten worden vervolgens een huurtarief bepaald.</t>
  </si>
  <si>
    <t>Op- of afslagen functionaliteiten</t>
  </si>
  <si>
    <t>Opslag ER</t>
  </si>
  <si>
    <t>Opslag WW</t>
  </si>
  <si>
    <t>Opslag per kW &gt; 25kW</t>
  </si>
  <si>
    <t>Afleverset gecombineerd en enkel warm tapwater</t>
  </si>
  <si>
    <t>Afleverset enkel ruimteverwarming</t>
  </si>
  <si>
    <t>Overige functionaliteiten</t>
  </si>
  <si>
    <t>Dit tabblad geeft de aanschaf- en installatiekosten van een afleverset weer die voortkomen uit de aangeleverde informatie van warmteleveranciers. Daarnaast worden de kosten voor de warmtewisselaar en elektronische regeling weergegeven.</t>
  </si>
  <si>
    <t>Dit tabblad geeft de tariefopbouw weer voor de verschillende categorieen.</t>
  </si>
  <si>
    <t>De maximumprijs wordt opgebouwd uit het basistarief en opslagen.</t>
  </si>
  <si>
    <t>Voor 100 kW=&lt;1000 kW is er voor gas geen meettarief meegenomen, omdat dit al in de vaste kosten voor gas zit.</t>
  </si>
  <si>
    <t>Gemiddelde resterende levensduur waarde</t>
  </si>
  <si>
    <t>Vaste kosten categorie B en D</t>
  </si>
  <si>
    <t>Aanschaf- en installatiekosten I, RV en I,WTW</t>
  </si>
  <si>
    <t>Aanschaf- en installatiekosten gecombineerde afleverset</t>
  </si>
  <si>
    <t>Onderhoudskosten</t>
  </si>
  <si>
    <t>Intern rekenbestand ACM</t>
  </si>
  <si>
    <t xml:space="preserve">De input van de gewogen gemiddelde aanschaf- en installatiekosten komen uit een intern rekenbestand. </t>
  </si>
  <si>
    <t>In dit rekenbestand is de aangeleverde kosteninformatie per warmteleveranciers verwerkt.</t>
  </si>
  <si>
    <t>Opslag per kW</t>
  </si>
  <si>
    <t>EUR, excl BTW per jaar</t>
  </si>
  <si>
    <t>EUR, excl BTW per GJ</t>
  </si>
  <si>
    <t>Rapport Panteia</t>
  </si>
  <si>
    <t>Variabele kosten</t>
  </si>
  <si>
    <t>EUR, excl BTW per m3</t>
  </si>
  <si>
    <t>De elektronische regeling is niet significant op basis van 1 EUR per maand, deze wordt daarom niet aangemerkt als aanvullende functionaliteit.</t>
  </si>
  <si>
    <t>Factor ten behoeve van opslag categorie B en D</t>
  </si>
  <si>
    <t>Jaarlijkse operationele kosten cv ketel</t>
  </si>
  <si>
    <t>pp 2017</t>
  </si>
  <si>
    <t>Gewogen gemiddelde gebruiksafhankelijke G1-tarieven</t>
  </si>
  <si>
    <t>EUR, excl BTW per kW</t>
  </si>
  <si>
    <t>EUR, excl BTW per Gj</t>
  </si>
  <si>
    <t>Kosten overige aanvullende functionaliteiten</t>
  </si>
  <si>
    <t>Af- of opslag aanvullende functionaliteit</t>
  </si>
  <si>
    <t>Teruggave of bijdrage voor een aanvullende functionaliteit</t>
  </si>
  <si>
    <t>Huurtarief afleverset</t>
  </si>
  <si>
    <t>Teruggave of bijdrage/ op- of afslag</t>
  </si>
  <si>
    <t>Teruggave CW3</t>
  </si>
  <si>
    <t>Afslag CW3</t>
  </si>
  <si>
    <t>Bijdrage CW5</t>
  </si>
  <si>
    <t>Opslag elektronische regeling</t>
  </si>
  <si>
    <t>Bijdrage elektronische regeling</t>
  </si>
  <si>
    <t>Bijdrage warmtewisselaar</t>
  </si>
  <si>
    <t>Opslag warmtewisselaar</t>
  </si>
  <si>
    <t>Opslag kW</t>
  </si>
  <si>
    <t>Bijdrage per kW &gt; 25kW</t>
  </si>
  <si>
    <t>Opslag CW5</t>
  </si>
  <si>
    <t>Opslag CW6</t>
  </si>
  <si>
    <t>Warmteregeling ACM, memorie van toelichting paragraaf 2.1.1</t>
  </si>
  <si>
    <t>Kosten per aanvullende functionaliteit</t>
  </si>
  <si>
    <t>Regeling van de Minister van Economische Zaken en Klimaat van 2 april 2019, nr. WJZ / 19065655, tot wijziging van de Warmteregeling (wegnemen knelpunten n.a.v. evaluatie Warmtewet)</t>
  </si>
  <si>
    <t>Besluit van 26 maart 2019 tot wijziging van het Warmtebesluit (wijzigingen ter uitvoering van de wet tot wijziging van de Warmtewet naar aanleiding van de evaluatie van de Warmtewet)</t>
  </si>
  <si>
    <t>www.belastingdienst.nl</t>
  </si>
  <si>
    <t>EUR, incl BTW/jaar</t>
  </si>
  <si>
    <t>EUR, incl BTW/kW/jaar</t>
  </si>
  <si>
    <t>Resultaat huurtarieven</t>
  </si>
  <si>
    <t>Resultaat leveringstarieven</t>
  </si>
  <si>
    <t>n.v.t.</t>
  </si>
  <si>
    <t xml:space="preserve">Kosten per Gigajoule </t>
  </si>
  <si>
    <t xml:space="preserve">Inputgegevens warmteregeling &amp; ACM voor kosten cv-ketel en afleverset </t>
  </si>
  <si>
    <t>CPI 2021</t>
  </si>
  <si>
    <t>Prijspeil</t>
  </si>
  <si>
    <t>De opslagen voor afwijkende CW-waarden zijn niet significant op basis van 1 EUR per maand, deze worden daarom niet aangemerkt als aanvullende functionaliteit.</t>
  </si>
  <si>
    <t>Basistarief gecombineerde afleverset</t>
  </si>
  <si>
    <t>Basistarief enkel ruimteverwarming</t>
  </si>
  <si>
    <t>Basistarief enkel warm tapwater</t>
  </si>
  <si>
    <t>Voor zowel de gecombineerde afleverset als de afleverset voor enkel warm tapwater worden kosten per CW waarde opgenomen, voor een afleverset enkel ruimteverwarming geldt een opslag per kW.</t>
  </si>
  <si>
    <t>Opslag kosten &gt;2kW: verschil in gebruikskosten</t>
  </si>
  <si>
    <t>Warmtebesluit artikel 3, lid 5</t>
  </si>
  <si>
    <t>Warmtebesluit artikel 3, lid 2.</t>
  </si>
  <si>
    <t>Inputgegevens vaste deel van de particuliere maximumprijs (VKw) zoals bedoeld in het Warmtebesluit (artikel 3, lid 1)</t>
  </si>
  <si>
    <t>De gegevens dienen als input voor de berekening van de gemiddelde jaarlijkse vaste kosten van het transport, de levering en de aansluiting van gas.</t>
  </si>
  <si>
    <r>
      <t>Rekencapaciteit</t>
    </r>
    <r>
      <rPr>
        <sz val="10"/>
        <rFont val="Calibri"/>
        <family val="2"/>
      </rPr>
      <t>:</t>
    </r>
    <r>
      <rPr>
        <sz val="10"/>
        <rFont val="Arial"/>
        <family val="2"/>
      </rPr>
      <t xml:space="preserve"> Tarievencode Gas</t>
    </r>
  </si>
  <si>
    <t>De gegevens dienen als input voor de berekening van de opslag voor collectieve systemen met een vermogen tussen de 100kW en 1000kW.</t>
  </si>
  <si>
    <t>CPI 2022</t>
  </si>
  <si>
    <t>Inputgegevens particuliere verbruikskosten cv-ketel en afleverset tot en met 100kW</t>
  </si>
  <si>
    <t>Inputgegevens collectieve verbruikskosten cv-ketel en afleverset 100kW en 1000kW</t>
  </si>
  <si>
    <t>Aanschafwaarde meest voorkomende cv-ketel van 1.000kW</t>
  </si>
  <si>
    <t>Aanschafwaarde meest voorkomende afleverset van 1.000kW</t>
  </si>
  <si>
    <t>Gemiddelde levensduur cv-ketel van 1000kW (in jaren)</t>
  </si>
  <si>
    <t>Jaarlijkse operationele kosten afleverset van 1.000kW</t>
  </si>
  <si>
    <t>Jaarlijkse operationele kosten cv-ketel van 1.000kW</t>
  </si>
  <si>
    <t>Warmteregeling artikel 2, lid 3b</t>
  </si>
  <si>
    <t>Warmteregeling artikel 2, lid 3d</t>
  </si>
  <si>
    <t>Warmteregeling artikel 2, lid 2a</t>
  </si>
  <si>
    <t>Warmteregeling artikel 2, lid 2b</t>
  </si>
  <si>
    <t>Warmteregeling artikel 2, lid 3a</t>
  </si>
  <si>
    <t>Op dit tabblad worden de gebruiksonafhankelijke collectieve maximumprijzen berekend voor zowel de cv-ketel en de afleverset bij een vermogen van 1000kW.</t>
  </si>
  <si>
    <t>Jaarlijkse operationele kosten I, WTW</t>
  </si>
  <si>
    <t>Jaarlijkse operationele kosten I, RV</t>
  </si>
  <si>
    <t>Opslag vaste kosten aansluiting levering van warmte met een vermogen tot 1000kW</t>
  </si>
  <si>
    <t>Vaste kosten van een aansluiting levering van warmte met een vermogen tot 1000kW</t>
  </si>
  <si>
    <t>Verschil gebruikskosten 1000kW</t>
  </si>
  <si>
    <t>Bedragen zijn exclusief BTW.</t>
  </si>
  <si>
    <t>EUR, excl BTW/jaar</t>
  </si>
  <si>
    <t>EUR, excl BTW/kW/jaar</t>
  </si>
  <si>
    <t>Rendo</t>
  </si>
  <si>
    <t>Liander</t>
  </si>
  <si>
    <t>CPI 2023</t>
  </si>
  <si>
    <t xml:space="preserve">Rapport Brattle </t>
  </si>
  <si>
    <t>Rapport Brattle</t>
  </si>
  <si>
    <t>Vaste kosten van transport, de levering en de aansluiting 2023</t>
  </si>
  <si>
    <t>ΔGK = het verschil in gebruikskosten, bestaande uit het verschil tussen de gebruikskosten bij het gebruik van gas als energiebron en de gebruikskosten bij het gebruik van warmte als energiebron.</t>
  </si>
  <si>
    <t>Ook worden op dit tabblad de waarden uit de Warmteregeling omgezet naar het juiste prijspeil.</t>
  </si>
  <si>
    <t>De gegevens dienen als input voor de berekening van het gebruiksafhankelijk deel van het maximumtarief.</t>
  </si>
  <si>
    <t>Op dit tabblad worden de jaarlijkse vaste kosten van gas en het verschil in gebruikskosten berekend.</t>
  </si>
  <si>
    <t>In dit tabblad worden de onderdelen van het regulier gebruiksafhankelijke deel van het maximumtarief voor afnemers berekend.</t>
  </si>
  <si>
    <t>In dit tabblad wordt alle input ingevoerd ten behoeve van de berekening van de gebruikskosten cv-ketel en afleverset voor een particulier tot en met een vermogen van 100kW.</t>
  </si>
  <si>
    <t>In dit tabblad wordt alle input ingevoerd ten behoeve van de berekening van de gebruikskosten cv-ketel en afleverset voor een particulier tot en met een vermogen van 1000kW.</t>
  </si>
  <si>
    <t>Gezien voor enkel warm tapwater geen waarnemingen zijn ten behoeve van een op- of afslag per CW waarde, worden deze op- of afslagen gelijk gesteld aan die van een gecombineerde afleverset.</t>
  </si>
  <si>
    <t>pp 2024</t>
  </si>
  <si>
    <t>pp 2016 - 2022</t>
  </si>
  <si>
    <t>pp 2016-2022</t>
  </si>
  <si>
    <t>Tarievenbesluiten gas 2024, www.acm.nl.</t>
  </si>
  <si>
    <t>Besluit meettarieven gas 2024: www.acm.nl.</t>
  </si>
  <si>
    <t>CPI 2024</t>
  </si>
  <si>
    <t>EUR, pp 2024</t>
  </si>
  <si>
    <t>Gemiddeld gebruiksafhankelijk G1-tarief 2024</t>
  </si>
  <si>
    <t>Berekening gemiddelde gebruiksafhankelijke G1-tarief (Pg) 2024</t>
  </si>
  <si>
    <t>Variabele kosten van de maximumprijs 2024</t>
  </si>
  <si>
    <t>Factor prijspeil 2017 - 2024</t>
  </si>
  <si>
    <t>Vaste kosten van transport, levering en de aansluiting 2024</t>
  </si>
  <si>
    <t>Kosten koudeprijs 2024</t>
  </si>
  <si>
    <t>Vaste kosten van de maximumprijs Vk 2024</t>
  </si>
  <si>
    <t>Variabele kosten van de maximumprijs Pw 2024</t>
  </si>
  <si>
    <t>Vermogenskostenvoet 2024</t>
  </si>
  <si>
    <t>VKg = de gemiddelde jaarlijkse vaste kosten van het transport 2024</t>
  </si>
  <si>
    <t>Berekening leverings- en huurtarieven warmte 2024</t>
  </si>
  <si>
    <t>Tarievenbesluit warmte 2024</t>
  </si>
  <si>
    <t>Dit bestand betreft bijlage 1 van het tarievenbesluit warmte 2024</t>
  </si>
  <si>
    <t>ACM/23/183224</t>
  </si>
  <si>
    <t>In dit tabblad wordt alle input ingevoerd die afkomstig zijn van de tien grootste gasleveranciers.</t>
  </si>
  <si>
    <t xml:space="preserve">Bij het berekenen van het gewogen gemiddelde van de tarieven van de 10 grootste Nederlandse gasleveranciers vindt de weging van de standaardproducten van de verschillende leveranciers plaats op basis van het aandeel van de betreffende leverancier in het totaal aantal klanten. </t>
  </si>
  <si>
    <t xml:space="preserve">In het geval er een tarief niet bekend is, wordt het gemiddelde over de wel bekende leveranciers genomen zoals beschreven in de Nota van Toelichting bij het Warmtebesluit. </t>
  </si>
  <si>
    <t>De tarieven van de gasleveranciers worden niet openbaar gemaakt.</t>
  </si>
  <si>
    <t>Alle tarieven zijn excl. BTW.</t>
  </si>
  <si>
    <t>Delta</t>
  </si>
  <si>
    <t>Eneco</t>
  </si>
  <si>
    <t>Energiedirect</t>
  </si>
  <si>
    <t>ENGIE</t>
  </si>
  <si>
    <t>Essent</t>
  </si>
  <si>
    <t>Greenchoice</t>
  </si>
  <si>
    <t>Oxxio</t>
  </si>
  <si>
    <t>VandeBron</t>
  </si>
  <si>
    <t>Vattenfall</t>
  </si>
  <si>
    <t>Vaste G1-tarieven gaslevering éénjaarscontracten</t>
  </si>
  <si>
    <t>EUR per jaar</t>
  </si>
  <si>
    <t>Totale aansluitingen vaste G1-tarieven gaslevering éénjaarscontracten</t>
  </si>
  <si>
    <t>Aansluitingen</t>
  </si>
  <si>
    <t>Input voor het variabele deel van de maximumprijs (Pw) zoals bedoeld in het Warmtebesluit (artikel 4)</t>
  </si>
  <si>
    <t>Gemiddelde per gasleverancier</t>
  </si>
  <si>
    <t>EUR per jaar per m3</t>
  </si>
  <si>
    <t>De gegevens dienen als input voor de berekening van het gemiddelde van de vaste G1-tarieven voor gaslevering 2024 en als input voor de berekening van het gebruiksafhankelijk deel van de maximumprijs.</t>
  </si>
  <si>
    <t>Gebruiksafhankelijke G1-tarieven met vaste prijs gaslevering 2024 éénjaarscontracten van 10 grootste Nederlandse gasleveranciers</t>
  </si>
  <si>
    <t>Nota naar aanleiding van het verslag - Belastingplan 2024</t>
  </si>
  <si>
    <t>Rapport Panteia; data 2016 - 2022</t>
  </si>
  <si>
    <t>pp 2022</t>
  </si>
  <si>
    <t>Rapport Panteia; data 2019 - 2022</t>
  </si>
  <si>
    <t>Rapport DNV</t>
  </si>
  <si>
    <r>
      <t>Besluit meettarieven gas 2024</t>
    </r>
    <r>
      <rPr>
        <b/>
        <sz val="10"/>
        <rFont val="Arial"/>
        <family val="2"/>
      </rPr>
      <t>:</t>
    </r>
    <r>
      <rPr>
        <sz val="10"/>
        <rFont val="Arial"/>
        <family val="2"/>
      </rPr>
      <t xml:space="preserve"> www.acm.nl.</t>
    </r>
  </si>
  <si>
    <t xml:space="preserve">Panteia, “Inzicht in de kosten voor aanschaf en installatie nieuwe cv-combiketel: Een onderzoek onder Nederlandse consumenten.” Zoetermeer, 18 september 2023. </t>
  </si>
  <si>
    <t>Brattle, “The WACC for Heat Exchangers in the Netherlands” 7 december 2022</t>
  </si>
  <si>
    <t xml:space="preserve">Energiebelasting per m3 </t>
  </si>
  <si>
    <t>pp 2023</t>
  </si>
  <si>
    <t>Energiebelasting per m3</t>
  </si>
  <si>
    <t>DNV, "Onderzoek naar de aanschaf- en installatieprijs van een 1000 kW cv-ketel." Groningen, 8 november 2023</t>
  </si>
  <si>
    <t>Budget Thuis</t>
  </si>
  <si>
    <t>Ja</t>
  </si>
  <si>
    <t xml:space="preserve">Gegevens die door ACM zijn ontvangen van gasleveranciers in het kader van artikel 44, tweede lid van de Gaswet. </t>
  </si>
  <si>
    <t>Besluit tot vaststelling van de meettarieven voor kleinverbruikers van gas 2024</t>
  </si>
  <si>
    <t>Tarievenbesluit "netbeheerder" gas 2024</t>
  </si>
  <si>
    <t>Maximumtarieven Warmte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</si>
</sst>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 #,##0_ ;_ * \-#,##0_ ;_ * &quot;-&quot;??_ ;_ @_ "/>
    <numFmt numFmtId="166" formatCode="_ * #,##0.00000_ ;_ * \-#,##0.00000_ ;_ * &quot;-&quot;??_ ;_ @_ "/>
    <numFmt numFmtId="167" formatCode="_ * #,##0.000_ ;_ * \-#,##0.000_ ;_ * &quot;-&quot;??_ ;_ @_ "/>
    <numFmt numFmtId="168" formatCode="_ * #,##0.0000_ ;_ * \-#,##0.0000_ ;_ * &quot;-&quot;??_ ;_ @_ "/>
    <numFmt numFmtId="169" formatCode="0.000"/>
    <numFmt numFmtId="170" formatCode="_ * #,##0.00_ ;_ * \-#,##0.00_ ;_ * &quot;-&quot;_ ;_ @_ "/>
    <numFmt numFmtId="171" formatCode="_ * #,##0.0_ ;_ * \-#,##0.0_ ;_ * &quot;-&quot;_ ;_ @_ "/>
    <numFmt numFmtId="172" formatCode="_ * #,##0.00000_ ;_ * \-#,##0.00000_ ;_ * &quot;-&quot;_ ;_ @_ "/>
    <numFmt numFmtId="173" formatCode="0.0%"/>
    <numFmt numFmtId="174" formatCode="_ * #,##0.0000_ ;_ * \-#,##0.0000_ ;_ * &quot;-&quot;_ ;_ @_ "/>
    <numFmt numFmtId="175" formatCode="_ * #,##0.0000_ ;_ * \-#,##0.0000_ ;_ * &quot;-&quot;????_ ;_ @_ "/>
    <numFmt numFmtId="176" formatCode="0.00000"/>
    <numFmt numFmtId="177" formatCode="_ * #,##0.00000000_ ;_ * \-#,##0.00000000_ ;_ * &quot;-&quot;_ ;_ @_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name val="Arial"/>
      <family val="2"/>
    </font>
    <font>
      <sz val="10"/>
      <color indexed="8"/>
      <name val="MS Sans Serif"/>
      <family val="2"/>
    </font>
    <font>
      <sz val="10"/>
      <color theme="1"/>
      <name val="Calibri"/>
      <family val="2"/>
    </font>
    <font>
      <b/>
      <sz val="10"/>
      <color theme="1"/>
      <name val="Calibri"/>
      <family val="2"/>
    </font>
    <font>
      <i/>
      <sz val="10"/>
      <color theme="1"/>
      <name val="Arial"/>
      <family val="2"/>
    </font>
    <font>
      <sz val="10"/>
      <color indexed="8"/>
      <name val="Arial"/>
      <family val="2"/>
    </font>
    <font>
      <b/>
      <sz val="11"/>
      <color theme="1"/>
      <name val="Calibri"/>
      <family val="2"/>
      <scheme val="minor"/>
    </font>
    <font>
      <sz val="10"/>
      <name val="Calibri"/>
      <family val="2"/>
    </font>
    <font>
      <b/>
      <sz val="11"/>
      <color theme="0"/>
      <name val="Arial"/>
      <family val="2"/>
    </font>
    <font>
      <sz val="8"/>
      <name val="Calibri"/>
      <family val="2"/>
      <scheme val="minor"/>
    </font>
    <font>
      <sz val="11"/>
      <color rgb="FFFF0000"/>
      <name val="Calibri"/>
      <family val="2"/>
      <scheme val="minor"/>
    </font>
    <font>
      <sz val="9.5"/>
      <name val="Arial"/>
      <family val="2"/>
    </font>
    <font>
      <sz val="11"/>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rgb="FFE1FFE1"/>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thin">
        <color indexed="64"/>
      </bottom>
      <diagonal/>
    </border>
  </borders>
  <cellStyleXfs count="78">
    <xf numFmtId="0" fontId="0" fillId="0" borderId="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0" borderId="0">
      <alignment vertical="top"/>
    </xf>
    <xf numFmtId="49" fontId="12" fillId="5" borderId="1">
      <alignment vertical="top"/>
    </xf>
    <xf numFmtId="49" fontId="9" fillId="23" borderId="1">
      <alignment vertical="top"/>
    </xf>
    <xf numFmtId="49" fontId="9" fillId="0" borderId="0">
      <alignment vertical="top"/>
    </xf>
    <xf numFmtId="43" fontId="8" fillId="16" borderId="0">
      <alignment vertical="top"/>
    </xf>
    <xf numFmtId="43" fontId="8" fillId="15" borderId="0">
      <alignment vertical="top"/>
    </xf>
    <xf numFmtId="43" fontId="8" fillId="13" borderId="0">
      <alignment vertical="top"/>
    </xf>
    <xf numFmtId="43" fontId="8" fillId="6" borderId="0">
      <alignment vertical="top"/>
    </xf>
    <xf numFmtId="43" fontId="8" fillId="8" borderId="0">
      <alignment vertical="top"/>
    </xf>
    <xf numFmtId="43" fontId="8" fillId="17" borderId="0">
      <alignment vertical="top"/>
    </xf>
    <xf numFmtId="49" fontId="14" fillId="0" borderId="0">
      <alignment vertical="top"/>
    </xf>
    <xf numFmtId="49" fontId="13" fillId="0" borderId="0">
      <alignment vertical="top"/>
    </xf>
    <xf numFmtId="0" fontId="20" fillId="19" borderId="4" applyNumberFormat="0" applyAlignment="0" applyProtection="0"/>
    <xf numFmtId="0" fontId="21" fillId="20" borderId="5" applyNumberFormat="0" applyAlignment="0" applyProtection="0"/>
    <xf numFmtId="0" fontId="22" fillId="20" borderId="4" applyNumberFormat="0" applyAlignment="0" applyProtection="0"/>
    <xf numFmtId="0" fontId="23" fillId="0" borderId="6" applyNumberFormat="0" applyFill="0" applyAlignment="0" applyProtection="0"/>
    <xf numFmtId="0" fontId="17" fillId="21" borderId="7" applyNumberFormat="0" applyAlignment="0" applyProtection="0"/>
    <xf numFmtId="0" fontId="19" fillId="22" borderId="8" applyNumberFormat="0" applyFont="0" applyAlignment="0" applyProtection="0"/>
    <xf numFmtId="0" fontId="24"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30" fillId="0" borderId="12" applyNumberFormat="0" applyFill="0" applyAlignment="0" applyProtection="0"/>
    <xf numFmtId="0" fontId="3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31" fillId="47" borderId="0" applyNumberFormat="0" applyBorder="0" applyAlignment="0" applyProtection="0"/>
    <xf numFmtId="0" fontId="32" fillId="0" borderId="0" applyNumberFormat="0" applyFill="0" applyBorder="0" applyAlignment="0" applyProtection="0"/>
    <xf numFmtId="0" fontId="33" fillId="0" borderId="0"/>
    <xf numFmtId="0" fontId="8" fillId="0" borderId="0"/>
    <xf numFmtId="164" fontId="34" fillId="0" borderId="0" applyFont="0" applyFill="0" applyBorder="0" applyAlignment="0" applyProtection="0"/>
    <xf numFmtId="0" fontId="8" fillId="0" borderId="0"/>
    <xf numFmtId="0" fontId="19" fillId="0" borderId="0"/>
    <xf numFmtId="9" fontId="8" fillId="0" borderId="0" applyFont="0" applyFill="0" applyBorder="0" applyAlignment="0" applyProtection="0"/>
    <xf numFmtId="0" fontId="8" fillId="0" borderId="0"/>
    <xf numFmtId="0" fontId="4" fillId="0" borderId="0">
      <alignment vertical="top"/>
    </xf>
    <xf numFmtId="43" fontId="8" fillId="48" borderId="0" applyNumberFormat="0">
      <alignment vertical="top"/>
    </xf>
    <xf numFmtId="0" fontId="24" fillId="0" borderId="0" applyNumberFormat="0" applyFill="0" applyBorder="0" applyAlignment="0" applyProtection="0"/>
    <xf numFmtId="49" fontId="9" fillId="23" borderId="1">
      <alignment vertical="top"/>
    </xf>
    <xf numFmtId="43" fontId="35" fillId="0" borderId="0" applyFont="0" applyFill="0" applyBorder="0" applyAlignment="0" applyProtection="0"/>
    <xf numFmtId="41" fontId="8" fillId="50" borderId="0">
      <alignment vertical="top"/>
    </xf>
    <xf numFmtId="43" fontId="8" fillId="17" borderId="0">
      <alignment vertical="top"/>
    </xf>
    <xf numFmtId="41" fontId="8" fillId="17" borderId="0">
      <alignment vertical="top"/>
    </xf>
    <xf numFmtId="41" fontId="8" fillId="15" borderId="0">
      <alignment vertical="top"/>
    </xf>
    <xf numFmtId="0" fontId="8" fillId="0" borderId="0"/>
  </cellStyleXfs>
  <cellXfs count="171">
    <xf numFmtId="0" fontId="0" fillId="0" borderId="0" xfId="0"/>
    <xf numFmtId="0" fontId="9" fillId="0" borderId="0" xfId="4" applyFont="1">
      <alignment vertical="top"/>
    </xf>
    <xf numFmtId="0" fontId="8" fillId="0" borderId="0" xfId="4">
      <alignment vertical="top"/>
    </xf>
    <xf numFmtId="0" fontId="10" fillId="0" borderId="0" xfId="4" applyFont="1">
      <alignment vertical="top"/>
    </xf>
    <xf numFmtId="0" fontId="13" fillId="0" borderId="0" xfId="4" applyFont="1">
      <alignment vertical="top"/>
    </xf>
    <xf numFmtId="0" fontId="14" fillId="0" borderId="0" xfId="4" applyFont="1">
      <alignment vertical="top"/>
    </xf>
    <xf numFmtId="0" fontId="8" fillId="0" borderId="2" xfId="4" applyBorder="1">
      <alignment vertical="top"/>
    </xf>
    <xf numFmtId="49" fontId="12" fillId="5" borderId="1" xfId="5">
      <alignment vertical="top"/>
    </xf>
    <xf numFmtId="49" fontId="9" fillId="23" borderId="1" xfId="6">
      <alignment vertical="top"/>
    </xf>
    <xf numFmtId="0" fontId="10" fillId="0" borderId="2" xfId="4" applyFont="1" applyBorder="1" applyAlignment="1">
      <alignment horizontal="left" vertical="top" wrapText="1"/>
    </xf>
    <xf numFmtId="0" fontId="8" fillId="0" borderId="2" xfId="4" applyBorder="1" applyAlignment="1">
      <alignment horizontal="left" vertical="top" wrapText="1"/>
    </xf>
    <xf numFmtId="0" fontId="12" fillId="5" borderId="1" xfId="4" applyFont="1" applyFill="1" applyBorder="1">
      <alignment vertical="top"/>
    </xf>
    <xf numFmtId="0" fontId="11" fillId="5" borderId="1" xfId="4" applyFont="1" applyFill="1" applyBorder="1">
      <alignment vertical="top"/>
    </xf>
    <xf numFmtId="0" fontId="8" fillId="9" borderId="0" xfId="4" applyFill="1">
      <alignment vertical="top"/>
    </xf>
    <xf numFmtId="0" fontId="8" fillId="10" borderId="0" xfId="4" applyFill="1">
      <alignment vertical="top"/>
    </xf>
    <xf numFmtId="0" fontId="8" fillId="11" borderId="0" xfId="4" applyFill="1">
      <alignment vertical="top"/>
    </xf>
    <xf numFmtId="0" fontId="8" fillId="12" borderId="0" xfId="4" applyFill="1">
      <alignment vertical="top"/>
    </xf>
    <xf numFmtId="0" fontId="8" fillId="7" borderId="0" xfId="4" applyFill="1">
      <alignment vertical="top"/>
    </xf>
    <xf numFmtId="1" fontId="8" fillId="13" borderId="0" xfId="4" applyNumberFormat="1" applyFill="1">
      <alignment vertical="top"/>
    </xf>
    <xf numFmtId="2" fontId="8" fillId="14" borderId="0" xfId="4" applyNumberFormat="1" applyFill="1">
      <alignment vertical="top"/>
    </xf>
    <xf numFmtId="1" fontId="8" fillId="0" borderId="0" xfId="4" applyNumberFormat="1">
      <alignment vertical="top"/>
    </xf>
    <xf numFmtId="1" fontId="13" fillId="0" borderId="0" xfId="4" applyNumberFormat="1" applyFont="1">
      <alignment vertical="top"/>
    </xf>
    <xf numFmtId="1" fontId="10" fillId="0" borderId="0" xfId="4" applyNumberFormat="1" applyFont="1">
      <alignment vertical="top"/>
    </xf>
    <xf numFmtId="0" fontId="10" fillId="9" borderId="2" xfId="4" applyFont="1" applyFill="1" applyBorder="1">
      <alignment vertical="top"/>
    </xf>
    <xf numFmtId="0" fontId="16" fillId="0" borderId="0" xfId="4" applyFont="1">
      <alignment vertical="top"/>
    </xf>
    <xf numFmtId="49" fontId="10" fillId="23" borderId="2" xfId="6" applyFont="1" applyBorder="1">
      <alignment vertical="top"/>
    </xf>
    <xf numFmtId="0" fontId="12" fillId="5" borderId="1" xfId="5" applyNumberFormat="1">
      <alignment vertical="top"/>
    </xf>
    <xf numFmtId="0" fontId="18" fillId="0" borderId="0" xfId="4" applyFont="1">
      <alignment vertical="top"/>
    </xf>
    <xf numFmtId="0" fontId="10" fillId="9" borderId="0" xfId="4" applyFont="1" applyFill="1">
      <alignment vertical="top"/>
    </xf>
    <xf numFmtId="0" fontId="10" fillId="11" borderId="0" xfId="4" applyFont="1" applyFill="1">
      <alignment vertical="top"/>
    </xf>
    <xf numFmtId="0" fontId="10" fillId="12" borderId="0" xfId="4" applyFont="1" applyFill="1">
      <alignment vertical="top"/>
    </xf>
    <xf numFmtId="0" fontId="8" fillId="18" borderId="0" xfId="4" applyFill="1">
      <alignment vertical="top"/>
    </xf>
    <xf numFmtId="49" fontId="10" fillId="23" borderId="0" xfId="6" applyFont="1" applyBorder="1">
      <alignment vertical="top"/>
    </xf>
    <xf numFmtId="49" fontId="8" fillId="23" borderId="2" xfId="6" applyFont="1" applyBorder="1">
      <alignment vertical="top"/>
    </xf>
    <xf numFmtId="0" fontId="10" fillId="0" borderId="0" xfId="4" applyFont="1" applyAlignment="1">
      <alignment horizontal="left" vertical="top" wrapText="1"/>
    </xf>
    <xf numFmtId="49" fontId="9" fillId="0" borderId="0" xfId="7">
      <alignment vertical="top"/>
    </xf>
    <xf numFmtId="49" fontId="13" fillId="0" borderId="0" xfId="15">
      <alignment vertical="top"/>
    </xf>
    <xf numFmtId="43" fontId="8" fillId="0" borderId="0" xfId="4" applyNumberFormat="1">
      <alignment vertical="top"/>
    </xf>
    <xf numFmtId="43" fontId="8" fillId="16" borderId="0" xfId="8">
      <alignment vertical="top"/>
    </xf>
    <xf numFmtId="43" fontId="8" fillId="15" borderId="0" xfId="9">
      <alignment vertical="top"/>
    </xf>
    <xf numFmtId="43" fontId="8" fillId="17" borderId="0" xfId="13">
      <alignment vertical="top"/>
    </xf>
    <xf numFmtId="0" fontId="8" fillId="0" borderId="0" xfId="62"/>
    <xf numFmtId="9" fontId="8" fillId="17" borderId="0" xfId="66" applyFill="1" applyAlignment="1">
      <alignment vertical="top"/>
    </xf>
    <xf numFmtId="168" fontId="8" fillId="17" borderId="0" xfId="13" applyNumberFormat="1">
      <alignment vertical="top"/>
    </xf>
    <xf numFmtId="167" fontId="8" fillId="15" borderId="0" xfId="9" applyNumberFormat="1">
      <alignment vertical="top"/>
    </xf>
    <xf numFmtId="169" fontId="8" fillId="0" borderId="0" xfId="62" applyNumberFormat="1" applyAlignment="1">
      <alignment vertical="center"/>
    </xf>
    <xf numFmtId="0" fontId="4" fillId="0" borderId="0" xfId="68">
      <alignment vertical="top"/>
    </xf>
    <xf numFmtId="43" fontId="8" fillId="48" borderId="0" xfId="69">
      <alignment vertical="top"/>
    </xf>
    <xf numFmtId="43" fontId="8" fillId="48" borderId="0" xfId="69" applyNumberFormat="1">
      <alignment vertical="top"/>
    </xf>
    <xf numFmtId="165" fontId="8" fillId="17" borderId="0" xfId="13" applyNumberFormat="1">
      <alignment vertical="top"/>
    </xf>
    <xf numFmtId="165" fontId="8" fillId="0" borderId="0" xfId="4" applyNumberFormat="1">
      <alignment vertical="top"/>
    </xf>
    <xf numFmtId="43" fontId="8" fillId="0" borderId="0" xfId="10" applyFill="1">
      <alignment vertical="top"/>
    </xf>
    <xf numFmtId="43" fontId="8" fillId="0" borderId="0" xfId="11" applyFill="1">
      <alignment vertical="top"/>
    </xf>
    <xf numFmtId="49" fontId="9" fillId="0" borderId="0" xfId="6" applyFill="1" applyBorder="1">
      <alignment vertical="top"/>
    </xf>
    <xf numFmtId="0" fontId="8" fillId="49" borderId="0" xfId="4" applyFill="1">
      <alignment vertical="top"/>
    </xf>
    <xf numFmtId="43" fontId="8" fillId="49" borderId="0" xfId="13" applyFill="1">
      <alignment vertical="top"/>
    </xf>
    <xf numFmtId="49" fontId="9" fillId="23" borderId="1" xfId="71">
      <alignment vertical="top"/>
    </xf>
    <xf numFmtId="0" fontId="0" fillId="49" borderId="0" xfId="0" applyFill="1"/>
    <xf numFmtId="0" fontId="4" fillId="49" borderId="0" xfId="0" applyFont="1" applyFill="1"/>
    <xf numFmtId="0" fontId="4" fillId="49" borderId="13" xfId="0" applyFont="1" applyFill="1" applyBorder="1" applyAlignment="1">
      <alignment vertical="center"/>
    </xf>
    <xf numFmtId="0" fontId="36" fillId="49" borderId="13" xfId="0" applyFont="1" applyFill="1" applyBorder="1" applyAlignment="1">
      <alignment vertical="center"/>
    </xf>
    <xf numFmtId="0" fontId="4" fillId="49" borderId="0" xfId="0" applyFont="1" applyFill="1" applyAlignment="1">
      <alignment vertical="top"/>
    </xf>
    <xf numFmtId="0" fontId="4" fillId="49" borderId="0" xfId="0" applyFont="1" applyFill="1" applyAlignment="1">
      <alignment vertical="center"/>
    </xf>
    <xf numFmtId="0" fontId="30" fillId="49" borderId="0" xfId="0" applyFont="1" applyFill="1" applyAlignment="1">
      <alignment vertical="center"/>
    </xf>
    <xf numFmtId="165" fontId="8" fillId="49" borderId="0" xfId="72" applyNumberFormat="1" applyFont="1" applyFill="1" applyBorder="1" applyAlignment="1">
      <alignment vertical="top"/>
    </xf>
    <xf numFmtId="0" fontId="24" fillId="49" borderId="0" xfId="70" applyFill="1" applyBorder="1" applyAlignment="1">
      <alignment vertical="center"/>
    </xf>
    <xf numFmtId="0" fontId="17" fillId="49" borderId="0" xfId="0" applyFont="1" applyFill="1" applyAlignment="1">
      <alignment vertical="center"/>
    </xf>
    <xf numFmtId="1" fontId="4" fillId="49" borderId="0" xfId="0" applyNumberFormat="1" applyFont="1" applyFill="1"/>
    <xf numFmtId="170" fontId="8" fillId="15" borderId="0" xfId="76" applyNumberFormat="1">
      <alignment vertical="top"/>
    </xf>
    <xf numFmtId="49" fontId="9" fillId="49" borderId="0" xfId="71" applyFill="1" applyBorder="1">
      <alignment vertical="top"/>
    </xf>
    <xf numFmtId="49" fontId="8" fillId="49" borderId="0" xfId="71" applyFont="1" applyFill="1" applyBorder="1">
      <alignment vertical="top"/>
    </xf>
    <xf numFmtId="0" fontId="37" fillId="49" borderId="0" xfId="0" applyFont="1" applyFill="1" applyAlignment="1">
      <alignment horizontal="left" vertical="center"/>
    </xf>
    <xf numFmtId="0" fontId="31" fillId="49" borderId="0" xfId="0" applyFont="1" applyFill="1" applyAlignment="1">
      <alignment vertical="center"/>
    </xf>
    <xf numFmtId="165" fontId="0" fillId="49" borderId="0" xfId="0" applyNumberFormat="1" applyFill="1"/>
    <xf numFmtId="0" fontId="39" fillId="49" borderId="0" xfId="0" applyFont="1" applyFill="1"/>
    <xf numFmtId="43" fontId="8" fillId="13" borderId="0" xfId="10">
      <alignment vertical="top"/>
    </xf>
    <xf numFmtId="0" fontId="8" fillId="48" borderId="0" xfId="69" applyNumberFormat="1">
      <alignment vertical="top"/>
    </xf>
    <xf numFmtId="49" fontId="9" fillId="23" borderId="14" xfId="71" applyBorder="1">
      <alignment vertical="top"/>
    </xf>
    <xf numFmtId="41" fontId="8" fillId="49" borderId="0" xfId="73" applyFill="1">
      <alignment vertical="top"/>
    </xf>
    <xf numFmtId="0" fontId="0" fillId="49" borderId="14" xfId="0" applyFill="1" applyBorder="1"/>
    <xf numFmtId="165" fontId="8" fillId="49" borderId="14" xfId="9" applyNumberFormat="1" applyFill="1" applyBorder="1">
      <alignment vertical="top"/>
    </xf>
    <xf numFmtId="43" fontId="8" fillId="17" borderId="0" xfId="66" applyNumberFormat="1" applyFill="1" applyAlignment="1">
      <alignment vertical="top"/>
    </xf>
    <xf numFmtId="43" fontId="8" fillId="17" borderId="0" xfId="72" applyFont="1" applyFill="1" applyAlignment="1">
      <alignment vertical="top"/>
    </xf>
    <xf numFmtId="0" fontId="30" fillId="49" borderId="0" xfId="0" applyFont="1" applyFill="1"/>
    <xf numFmtId="0" fontId="30" fillId="49" borderId="0" xfId="0" applyFont="1" applyFill="1" applyAlignment="1">
      <alignment vertical="top"/>
    </xf>
    <xf numFmtId="43" fontId="8" fillId="49" borderId="0" xfId="66" applyNumberFormat="1" applyFill="1" applyAlignment="1">
      <alignment vertical="top"/>
    </xf>
    <xf numFmtId="0" fontId="4" fillId="49" borderId="14" xfId="0" applyFont="1" applyFill="1" applyBorder="1"/>
    <xf numFmtId="2" fontId="8" fillId="49" borderId="0" xfId="72" applyNumberFormat="1" applyFont="1" applyFill="1" applyAlignment="1">
      <alignment vertical="top"/>
    </xf>
    <xf numFmtId="165" fontId="8" fillId="49" borderId="0" xfId="9" applyNumberFormat="1" applyFill="1">
      <alignment vertical="top"/>
    </xf>
    <xf numFmtId="166" fontId="8" fillId="17" borderId="0" xfId="13" applyNumberFormat="1">
      <alignment vertical="top"/>
    </xf>
    <xf numFmtId="43" fontId="8" fillId="0" borderId="0" xfId="13" applyFill="1">
      <alignment vertical="top"/>
    </xf>
    <xf numFmtId="43" fontId="8" fillId="0" borderId="0" xfId="69" applyFill="1">
      <alignment vertical="top"/>
    </xf>
    <xf numFmtId="10" fontId="8" fillId="17" borderId="0" xfId="66" applyNumberFormat="1" applyFill="1" applyAlignment="1">
      <alignment vertical="top"/>
    </xf>
    <xf numFmtId="165" fontId="8" fillId="0" borderId="0" xfId="13" applyNumberFormat="1" applyFill="1">
      <alignment vertical="top"/>
    </xf>
    <xf numFmtId="171" fontId="8" fillId="15" borderId="0" xfId="76" applyNumberFormat="1">
      <alignment vertical="top"/>
    </xf>
    <xf numFmtId="169" fontId="9" fillId="0" borderId="0" xfId="62" applyNumberFormat="1" applyFont="1" applyAlignment="1">
      <alignment vertical="center"/>
    </xf>
    <xf numFmtId="43" fontId="8" fillId="0" borderId="0" xfId="8" applyFill="1">
      <alignment vertical="top"/>
    </xf>
    <xf numFmtId="165" fontId="8" fillId="0" borderId="0" xfId="9" applyNumberFormat="1" applyFill="1">
      <alignment vertical="top"/>
    </xf>
    <xf numFmtId="165" fontId="8" fillId="0" borderId="0" xfId="69" applyNumberFormat="1" applyFill="1">
      <alignment vertical="top"/>
    </xf>
    <xf numFmtId="170" fontId="8" fillId="0" borderId="0" xfId="4" applyNumberFormat="1">
      <alignment vertical="top"/>
    </xf>
    <xf numFmtId="0" fontId="4" fillId="0" borderId="0" xfId="0" applyFont="1"/>
    <xf numFmtId="49" fontId="9" fillId="0" borderId="0" xfId="71" applyFill="1" applyBorder="1">
      <alignment vertical="top"/>
    </xf>
    <xf numFmtId="43" fontId="8" fillId="0" borderId="0" xfId="9" applyFill="1">
      <alignment vertical="top"/>
    </xf>
    <xf numFmtId="9" fontId="8" fillId="0" borderId="0" xfId="11" applyNumberFormat="1" applyFill="1">
      <alignment vertical="top"/>
    </xf>
    <xf numFmtId="0" fontId="4" fillId="0" borderId="0" xfId="4" applyFont="1">
      <alignment vertical="top"/>
    </xf>
    <xf numFmtId="43" fontId="8" fillId="0" borderId="0" xfId="72" applyFont="1" applyAlignment="1">
      <alignment vertical="top"/>
    </xf>
    <xf numFmtId="10" fontId="8" fillId="0" borderId="0" xfId="66" applyNumberFormat="1" applyFill="1" applyAlignment="1">
      <alignment vertical="top"/>
    </xf>
    <xf numFmtId="0" fontId="17" fillId="5" borderId="1" xfId="5" applyNumberFormat="1" applyFont="1">
      <alignment vertical="top"/>
    </xf>
    <xf numFmtId="165" fontId="8" fillId="49" borderId="0" xfId="72" applyNumberFormat="1" applyFont="1" applyFill="1" applyBorder="1" applyAlignment="1">
      <alignment horizontal="left" vertical="top" indent="1"/>
    </xf>
    <xf numFmtId="0" fontId="4" fillId="49" borderId="0" xfId="0" applyFont="1" applyFill="1" applyAlignment="1">
      <alignment horizontal="left" vertical="top" indent="1"/>
    </xf>
    <xf numFmtId="41" fontId="8" fillId="50" borderId="0" xfId="73">
      <alignment vertical="top"/>
    </xf>
    <xf numFmtId="9" fontId="8" fillId="50" borderId="0" xfId="66" applyFill="1" applyAlignment="1">
      <alignment vertical="top"/>
    </xf>
    <xf numFmtId="170" fontId="8" fillId="50" borderId="0" xfId="73" applyNumberFormat="1">
      <alignment vertical="top"/>
    </xf>
    <xf numFmtId="172" fontId="8" fillId="50" borderId="0" xfId="73" applyNumberFormat="1">
      <alignment vertical="top"/>
    </xf>
    <xf numFmtId="173" fontId="8" fillId="50" borderId="0" xfId="66" applyNumberFormat="1" applyFill="1" applyAlignment="1">
      <alignment vertical="top"/>
    </xf>
    <xf numFmtId="43" fontId="9" fillId="23" borderId="1" xfId="6" applyNumberFormat="1">
      <alignment vertical="top"/>
    </xf>
    <xf numFmtId="43" fontId="9" fillId="0" borderId="0" xfId="6" applyNumberFormat="1" applyFill="1" applyBorder="1">
      <alignment vertical="top"/>
    </xf>
    <xf numFmtId="49" fontId="41" fillId="5" borderId="1" xfId="5" applyFont="1">
      <alignment vertical="top"/>
    </xf>
    <xf numFmtId="0" fontId="18" fillId="0" borderId="2" xfId="4" applyFont="1" applyBorder="1" applyAlignment="1">
      <alignment horizontal="left" vertical="top" wrapText="1"/>
    </xf>
    <xf numFmtId="0" fontId="3" fillId="0" borderId="0" xfId="0" applyFont="1"/>
    <xf numFmtId="0" fontId="3" fillId="49" borderId="0" xfId="0" applyFont="1" applyFill="1"/>
    <xf numFmtId="168" fontId="18" fillId="0" borderId="0" xfId="4" applyNumberFormat="1" applyFont="1">
      <alignment vertical="top"/>
    </xf>
    <xf numFmtId="0" fontId="8" fillId="0" borderId="0" xfId="0" applyFont="1"/>
    <xf numFmtId="175" fontId="8" fillId="0" borderId="0" xfId="4" applyNumberFormat="1">
      <alignment vertical="top"/>
    </xf>
    <xf numFmtId="41" fontId="18" fillId="0" borderId="0" xfId="73" applyFont="1" applyFill="1">
      <alignment vertical="top"/>
    </xf>
    <xf numFmtId="41" fontId="18" fillId="49" borderId="0" xfId="73" applyFont="1" applyFill="1">
      <alignment vertical="top"/>
    </xf>
    <xf numFmtId="0" fontId="43" fillId="49" borderId="0" xfId="0" applyFont="1" applyFill="1"/>
    <xf numFmtId="0" fontId="2" fillId="49" borderId="0" xfId="0" applyFont="1" applyFill="1"/>
    <xf numFmtId="0" fontId="18" fillId="0" borderId="0" xfId="0" applyFont="1"/>
    <xf numFmtId="43" fontId="18" fillId="0" borderId="0" xfId="72" applyFont="1" applyAlignment="1">
      <alignment vertical="top"/>
    </xf>
    <xf numFmtId="0" fontId="2" fillId="0" borderId="0" xfId="0" applyFont="1"/>
    <xf numFmtId="0" fontId="18" fillId="0" borderId="2" xfId="4" applyFont="1" applyBorder="1" applyAlignment="1">
      <alignment vertical="top" wrapText="1"/>
    </xf>
    <xf numFmtId="10" fontId="8" fillId="50" borderId="0" xfId="66" applyNumberFormat="1" applyFont="1" applyFill="1" applyAlignment="1">
      <alignment vertical="top"/>
    </xf>
    <xf numFmtId="0" fontId="8" fillId="0" borderId="0" xfId="77"/>
    <xf numFmtId="176" fontId="8" fillId="15" borderId="0" xfId="9" applyNumberFormat="1">
      <alignment vertical="top"/>
    </xf>
    <xf numFmtId="43" fontId="8" fillId="0" borderId="0" xfId="12" applyFill="1">
      <alignment vertical="top"/>
    </xf>
    <xf numFmtId="177" fontId="8" fillId="0" borderId="0" xfId="4" applyNumberFormat="1">
      <alignment vertical="top"/>
    </xf>
    <xf numFmtId="174" fontId="8" fillId="50" borderId="0" xfId="73" applyNumberFormat="1">
      <alignment vertical="top"/>
    </xf>
    <xf numFmtId="0" fontId="44" fillId="0" borderId="0" xfId="0" applyFont="1"/>
    <xf numFmtId="0" fontId="8" fillId="0" borderId="2" xfId="4" applyBorder="1" applyAlignment="1">
      <alignment vertical="top" wrapText="1"/>
    </xf>
    <xf numFmtId="0" fontId="8" fillId="0" borderId="0" xfId="61" applyFont="1"/>
    <xf numFmtId="0" fontId="8" fillId="0" borderId="2" xfId="0" applyFont="1" applyBorder="1" applyAlignment="1">
      <alignment wrapText="1"/>
    </xf>
    <xf numFmtId="0" fontId="1" fillId="0" borderId="0" xfId="0" applyFont="1"/>
    <xf numFmtId="49" fontId="9" fillId="23" borderId="1" xfId="6" applyFont="1" applyAlignment="1">
      <alignment horizontal="center" vertical="top"/>
    </xf>
    <xf numFmtId="49" fontId="9" fillId="23" borderId="1" xfId="6" applyFont="1">
      <alignment vertical="top"/>
    </xf>
    <xf numFmtId="0" fontId="8" fillId="0" borderId="0" xfId="4" applyFont="1">
      <alignment vertical="top"/>
    </xf>
    <xf numFmtId="0" fontId="45" fillId="0" borderId="0" xfId="0" applyFont="1"/>
    <xf numFmtId="43" fontId="8" fillId="15" borderId="0" xfId="9" applyNumberFormat="1">
      <alignment vertical="top"/>
    </xf>
    <xf numFmtId="170" fontId="8" fillId="51" borderId="0" xfId="73" applyNumberFormat="1" applyFont="1" applyFill="1">
      <alignment vertical="top"/>
    </xf>
    <xf numFmtId="41" fontId="8" fillId="51" borderId="0" xfId="73" applyFont="1" applyFill="1">
      <alignment vertical="top"/>
    </xf>
    <xf numFmtId="172" fontId="8" fillId="51" borderId="0" xfId="73" applyNumberFormat="1" applyFont="1" applyFill="1">
      <alignment vertical="top"/>
    </xf>
    <xf numFmtId="43" fontId="4" fillId="49" borderId="0" xfId="72" applyFont="1" applyFill="1"/>
    <xf numFmtId="43" fontId="8" fillId="50" borderId="0" xfId="72" applyFont="1" applyFill="1" applyAlignment="1">
      <alignment vertical="top"/>
    </xf>
    <xf numFmtId="43" fontId="8" fillId="0" borderId="0" xfId="72" applyFont="1" applyFill="1" applyAlignment="1">
      <alignment vertical="top"/>
    </xf>
    <xf numFmtId="43" fontId="9" fillId="23" borderId="1" xfId="72" applyFont="1" applyFill="1" applyBorder="1" applyAlignment="1">
      <alignment vertical="top"/>
    </xf>
    <xf numFmtId="43" fontId="43" fillId="49" borderId="0" xfId="72" applyFont="1" applyFill="1"/>
    <xf numFmtId="43" fontId="0" fillId="49" borderId="0" xfId="72" applyFont="1" applyFill="1"/>
    <xf numFmtId="43" fontId="8" fillId="49" borderId="0" xfId="72" applyFont="1" applyFill="1" applyAlignment="1">
      <alignment vertical="top"/>
    </xf>
    <xf numFmtId="43" fontId="8" fillId="49" borderId="0" xfId="72" applyFont="1" applyFill="1" applyBorder="1" applyAlignment="1">
      <alignment vertical="top"/>
    </xf>
    <xf numFmtId="43" fontId="4" fillId="49" borderId="0" xfId="72" applyFont="1" applyFill="1" applyAlignment="1">
      <alignment vertical="center"/>
    </xf>
    <xf numFmtId="43" fontId="8" fillId="15" borderId="0" xfId="72" applyFont="1" applyFill="1" applyAlignment="1">
      <alignment vertical="top"/>
    </xf>
    <xf numFmtId="43" fontId="9" fillId="49" borderId="0" xfId="72" applyFont="1" applyFill="1" applyBorder="1" applyAlignment="1">
      <alignment vertical="top"/>
    </xf>
    <xf numFmtId="43" fontId="9" fillId="0" borderId="0" xfId="72" applyFont="1" applyFill="1" applyBorder="1" applyAlignment="1">
      <alignment vertical="top"/>
    </xf>
    <xf numFmtId="43" fontId="8" fillId="15" borderId="3" xfId="72" applyFont="1" applyFill="1" applyBorder="1" applyAlignment="1">
      <alignment vertical="top"/>
    </xf>
    <xf numFmtId="43" fontId="38" fillId="49" borderId="0" xfId="72" applyFont="1" applyFill="1"/>
    <xf numFmtId="43" fontId="8" fillId="48" borderId="0" xfId="72" applyFont="1" applyFill="1" applyAlignment="1">
      <alignment vertical="top"/>
    </xf>
    <xf numFmtId="43" fontId="8" fillId="16" borderId="0" xfId="72" applyFont="1" applyFill="1" applyAlignment="1">
      <alignment vertical="top"/>
    </xf>
    <xf numFmtId="43" fontId="30" fillId="49" borderId="0" xfId="72" applyFont="1" applyFill="1"/>
    <xf numFmtId="0" fontId="8" fillId="0" borderId="0" xfId="4" applyFont="1" applyAlignment="1">
      <alignment vertical="top" wrapText="1"/>
    </xf>
    <xf numFmtId="0" fontId="8" fillId="0" borderId="2" xfId="4" applyFont="1" applyBorder="1" applyAlignment="1">
      <alignment vertical="top" wrapText="1"/>
    </xf>
    <xf numFmtId="41" fontId="8" fillId="50" borderId="0" xfId="73" applyNumberFormat="1">
      <alignment vertical="top"/>
    </xf>
  </cellXfs>
  <cellStyles count="78">
    <cellStyle name="_x000d__x000a_JournalTemplate=C:\COMFO\CTALK\JOURSTD.TPL_x000d__x000a_LbStateAddress=3 3 0 251 1 89 2 311_x000d__x000a_LbStateJou" xfId="62" xr:uid="{00000000-0005-0000-0000-000000000000}"/>
    <cellStyle name="_x000d__x000a_JournalTemplate=C:\COMFO\CTALK\JOURSTD.TPL_x000d__x000a_LbStateAddress=3 3 0 251 1 89 2 311_x000d__x000a_LbStateJou 3" xfId="64" xr:uid="{00000000-0005-0000-0000-000001000000}"/>
    <cellStyle name="_kop1 Bladtitel" xfId="5" xr:uid="{00000000-0005-0000-0000-000002000000}"/>
    <cellStyle name="_kop2 Bloktitel" xfId="6" xr:uid="{00000000-0005-0000-0000-000003000000}"/>
    <cellStyle name="_kop2 Bloktitel 2" xfId="71" xr:uid="{00000000-0005-0000-0000-000004000000}"/>
    <cellStyle name="_kop3 Subkop" xfId="7" xr:uid="{00000000-0005-0000-0000-000005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F000000}"/>
    <cellStyle name="Cel Berekening" xfId="9" xr:uid="{00000000-0005-0000-0000-000020000000}"/>
    <cellStyle name="Cel Berekening 2 3" xfId="76" xr:uid="{00000000-0005-0000-0000-000021000000}"/>
    <cellStyle name="Cel Bijzonderheid" xfId="10" xr:uid="{00000000-0005-0000-0000-000022000000}"/>
    <cellStyle name="Cel Input" xfId="11" xr:uid="{00000000-0005-0000-0000-000023000000}"/>
    <cellStyle name="Cel Input 2 3" xfId="73" xr:uid="{00000000-0005-0000-0000-000024000000}"/>
    <cellStyle name="Cel n.v.t. (leeg)" xfId="69" xr:uid="{00000000-0005-0000-0000-000025000000}"/>
    <cellStyle name="Cel PM extern" xfId="12" xr:uid="{00000000-0005-0000-0000-000026000000}"/>
    <cellStyle name="Cel Verwijzing" xfId="13" xr:uid="{00000000-0005-0000-0000-000027000000}"/>
    <cellStyle name="Cel Verwijzing 2 2" xfId="74" xr:uid="{00000000-0005-0000-0000-000028000000}"/>
    <cellStyle name="Cel Verwijzing 2 3" xfId="75" xr:uid="{00000000-0005-0000-0000-000029000000}"/>
    <cellStyle name="Controlecel" xfId="20" builtinId="23" hidden="1"/>
    <cellStyle name="Euro" xfId="63" xr:uid="{00000000-0005-0000-0000-00002B000000}"/>
    <cellStyle name="Gekoppelde cel" xfId="19" builtinId="24" hidden="1"/>
    <cellStyle name="Gevolgde hyperlink" xfId="60" builtinId="9" hidden="1"/>
    <cellStyle name="Goed" xfId="1" builtinId="26" hidden="1"/>
    <cellStyle name="Hyperlink" xfId="22" builtinId="8" hidden="1"/>
    <cellStyle name="Hyperlink" xfId="70" builtinId="8"/>
    <cellStyle name="Invoer" xfId="16" builtinId="20" hidden="1"/>
    <cellStyle name="Komma" xfId="23" builtinId="3" hidden="1"/>
    <cellStyle name="Komma" xfId="72"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6" builtinId="5"/>
    <cellStyle name="Standaard" xfId="0" builtinId="0"/>
    <cellStyle name="Standaard 2" xfId="65" xr:uid="{00000000-0005-0000-0000-000040000000}"/>
    <cellStyle name="Standaard 3" xfId="61" xr:uid="{00000000-0005-0000-0000-000041000000}"/>
    <cellStyle name="Standaard 3 2" xfId="77" xr:uid="{241A5398-4D94-44C3-8584-80F7C0B4C39A}"/>
    <cellStyle name="Standaard 4" xfId="67" xr:uid="{00000000-0005-0000-0000-000042000000}"/>
    <cellStyle name="Standaard 5" xfId="68" xr:uid="{00000000-0005-0000-0000-000043000000}"/>
    <cellStyle name="Standaard ACM-DE" xfId="4" xr:uid="{00000000-0005-0000-0000-000044000000}"/>
    <cellStyle name="Titel" xfId="28" builtinId="15" hidden="1"/>
    <cellStyle name="Toelichting" xfId="15" xr:uid="{00000000-0005-0000-0000-000046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CC99"/>
      <color rgb="FFFFFFCC"/>
      <color rgb="FFCC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6349</xdr:rowOff>
    </xdr:from>
    <xdr:to>
      <xdr:col>3</xdr:col>
      <xdr:colOff>1799585</xdr:colOff>
      <xdr:row>23</xdr:row>
      <xdr:rowOff>136174</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2857500" y="3096682"/>
          <a:ext cx="1799585"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Maximum tarieven warmteleveranciers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1</xdr:col>
      <xdr:colOff>998192</xdr:colOff>
      <xdr:row>10</xdr:row>
      <xdr:rowOff>63500</xdr:rowOff>
    </xdr:from>
    <xdr:to>
      <xdr:col>3</xdr:col>
      <xdr:colOff>125735</xdr:colOff>
      <xdr:row>15</xdr:row>
      <xdr:rowOff>34574</xdr:rowOff>
    </xdr:to>
    <xdr:sp macro="" textlink="">
      <xdr:nvSpPr>
        <xdr:cNvPr id="3" name="Stroomdiagram: Proces 2">
          <a:extLst>
            <a:ext uri="{FF2B5EF4-FFF2-40B4-BE49-F238E27FC236}">
              <a16:creationId xmlns:a16="http://schemas.microsoft.com/office/drawing/2014/main" id="{00000000-0008-0000-0100-000003000000}"/>
            </a:ext>
          </a:extLst>
        </xdr:cNvPr>
        <xdr:cNvSpPr/>
      </xdr:nvSpPr>
      <xdr:spPr>
        <a:xfrm>
          <a:off x="1188692" y="1725083"/>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Intern rekenbestand ACM (kostengegevens 2016-2021)</a:t>
          </a:r>
        </a:p>
      </xdr:txBody>
    </xdr:sp>
    <xdr:clientData/>
  </xdr:twoCellAnchor>
  <xdr:twoCellAnchor>
    <xdr:from>
      <xdr:col>2</xdr:col>
      <xdr:colOff>614881</xdr:colOff>
      <xdr:row>15</xdr:row>
      <xdr:rowOff>34574</xdr:rowOff>
    </xdr:from>
    <xdr:to>
      <xdr:col>3</xdr:col>
      <xdr:colOff>899793</xdr:colOff>
      <xdr:row>19</xdr:row>
      <xdr:rowOff>6349</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3" idx="2"/>
          <a:endCxn id="2" idx="0"/>
        </xdr:cNvCxnSpPr>
      </xdr:nvCxnSpPr>
      <xdr:spPr>
        <a:xfrm>
          <a:off x="2085964" y="2489907"/>
          <a:ext cx="1671329" cy="606775"/>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2621676</xdr:colOff>
      <xdr:row>19</xdr:row>
      <xdr:rowOff>6349</xdr:rowOff>
    </xdr:from>
    <xdr:to>
      <xdr:col>4</xdr:col>
      <xdr:colOff>627386</xdr:colOff>
      <xdr:row>23</xdr:row>
      <xdr:rowOff>136173</xdr:rowOff>
    </xdr:to>
    <xdr:sp macro="" textlink="">
      <xdr:nvSpPr>
        <xdr:cNvPr id="5" name="Stroomdiagram: Proces 4">
          <a:extLst>
            <a:ext uri="{FF2B5EF4-FFF2-40B4-BE49-F238E27FC236}">
              <a16:creationId xmlns:a16="http://schemas.microsoft.com/office/drawing/2014/main" id="{00000000-0008-0000-0100-000005000000}"/>
            </a:ext>
          </a:extLst>
        </xdr:cNvPr>
        <xdr:cNvSpPr/>
      </xdr:nvSpPr>
      <xdr:spPr>
        <a:xfrm>
          <a:off x="5479176"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Panteia (particuliere cv-ketel)</a:t>
          </a:r>
        </a:p>
      </xdr:txBody>
    </xdr:sp>
    <xdr:clientData/>
  </xdr:twoCellAnchor>
  <xdr:twoCellAnchor>
    <xdr:from>
      <xdr:col>1</xdr:col>
      <xdr:colOff>181160</xdr:colOff>
      <xdr:row>19</xdr:row>
      <xdr:rowOff>6349</xdr:rowOff>
    </xdr:from>
    <xdr:to>
      <xdr:col>2</xdr:col>
      <xdr:colOff>695120</xdr:colOff>
      <xdr:row>23</xdr:row>
      <xdr:rowOff>136173</xdr:rowOff>
    </xdr:to>
    <xdr:sp macro="" textlink="">
      <xdr:nvSpPr>
        <xdr:cNvPr id="6" name="Stroomdiagram: Proces 5">
          <a:extLst>
            <a:ext uri="{FF2B5EF4-FFF2-40B4-BE49-F238E27FC236}">
              <a16:creationId xmlns:a16="http://schemas.microsoft.com/office/drawing/2014/main" id="{00000000-0008-0000-0100-000006000000}"/>
            </a:ext>
          </a:extLst>
        </xdr:cNvPr>
        <xdr:cNvSpPr/>
      </xdr:nvSpPr>
      <xdr:spPr>
        <a:xfrm>
          <a:off x="371660"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Brattle</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(WACC afleversets)</a:t>
          </a:r>
        </a:p>
      </xdr:txBody>
    </xdr:sp>
    <xdr:clientData/>
  </xdr:twoCellAnchor>
  <xdr:twoCellAnchor>
    <xdr:from>
      <xdr:col>2</xdr:col>
      <xdr:colOff>695120</xdr:colOff>
      <xdr:row>21</xdr:row>
      <xdr:rowOff>71261</xdr:rowOff>
    </xdr:from>
    <xdr:to>
      <xdr:col>3</xdr:col>
      <xdr:colOff>0</xdr:colOff>
      <xdr:row>21</xdr:row>
      <xdr:rowOff>71262</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a:stCxn id="6" idx="3"/>
          <a:endCxn id="2" idx="1"/>
        </xdr:cNvCxnSpPr>
      </xdr:nvCxnSpPr>
      <xdr:spPr>
        <a:xfrm>
          <a:off x="2166203" y="3479094"/>
          <a:ext cx="691297"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1799585</xdr:colOff>
      <xdr:row>21</xdr:row>
      <xdr:rowOff>71261</xdr:rowOff>
    </xdr:from>
    <xdr:to>
      <xdr:col>3</xdr:col>
      <xdr:colOff>2621676</xdr:colOff>
      <xdr:row>21</xdr:row>
      <xdr:rowOff>71262</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a:stCxn id="5" idx="1"/>
          <a:endCxn id="2" idx="3"/>
        </xdr:cNvCxnSpPr>
      </xdr:nvCxnSpPr>
      <xdr:spPr>
        <a:xfrm flipH="1">
          <a:off x="4657085" y="3479094"/>
          <a:ext cx="822091"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647884</xdr:colOff>
      <xdr:row>9</xdr:row>
      <xdr:rowOff>114300</xdr:rowOff>
    </xdr:from>
    <xdr:to>
      <xdr:col>3</xdr:col>
      <xdr:colOff>2442427</xdr:colOff>
      <xdr:row>15</xdr:row>
      <xdr:rowOff>17641</xdr:rowOff>
    </xdr:to>
    <xdr:sp macro="" textlink="">
      <xdr:nvSpPr>
        <xdr:cNvPr id="17" name="Stroomdiagram: Proces 16">
          <a:extLst>
            <a:ext uri="{FF2B5EF4-FFF2-40B4-BE49-F238E27FC236}">
              <a16:creationId xmlns:a16="http://schemas.microsoft.com/office/drawing/2014/main" id="{00000000-0008-0000-0100-000011000000}"/>
            </a:ext>
          </a:extLst>
        </xdr:cNvPr>
        <xdr:cNvSpPr/>
      </xdr:nvSpPr>
      <xdr:spPr>
        <a:xfrm>
          <a:off x="3495859" y="1638300"/>
          <a:ext cx="1794543" cy="874891"/>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Benodigde externe gegevens (i.e. warmteregeling en -besluit)</a:t>
          </a:r>
        </a:p>
      </xdr:txBody>
    </xdr:sp>
    <xdr:clientData/>
  </xdr:twoCellAnchor>
  <xdr:twoCellAnchor>
    <xdr:from>
      <xdr:col>3</xdr:col>
      <xdr:colOff>899793</xdr:colOff>
      <xdr:row>15</xdr:row>
      <xdr:rowOff>17641</xdr:rowOff>
    </xdr:from>
    <xdr:to>
      <xdr:col>3</xdr:col>
      <xdr:colOff>1545156</xdr:colOff>
      <xdr:row>19</xdr:row>
      <xdr:rowOff>6349</xdr:rowOff>
    </xdr:to>
    <xdr:cxnSp macro="">
      <xdr:nvCxnSpPr>
        <xdr:cNvPr id="18" name="Rechte verbindingslijn met pijl 17">
          <a:extLst>
            <a:ext uri="{FF2B5EF4-FFF2-40B4-BE49-F238E27FC236}">
              <a16:creationId xmlns:a16="http://schemas.microsoft.com/office/drawing/2014/main" id="{00000000-0008-0000-0100-000012000000}"/>
            </a:ext>
          </a:extLst>
        </xdr:cNvPr>
        <xdr:cNvCxnSpPr>
          <a:stCxn id="17" idx="2"/>
          <a:endCxn id="2" idx="0"/>
        </xdr:cNvCxnSpPr>
      </xdr:nvCxnSpPr>
      <xdr:spPr>
        <a:xfrm flipH="1">
          <a:off x="3747768" y="2513191"/>
          <a:ext cx="645363" cy="636408"/>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2678826</xdr:colOff>
      <xdr:row>12</xdr:row>
      <xdr:rowOff>67732</xdr:rowOff>
    </xdr:from>
    <xdr:to>
      <xdr:col>4</xdr:col>
      <xdr:colOff>684536</xdr:colOff>
      <xdr:row>17</xdr:row>
      <xdr:rowOff>35631</xdr:rowOff>
    </xdr:to>
    <xdr:sp macro="" textlink="">
      <xdr:nvSpPr>
        <xdr:cNvPr id="11" name="Stroomdiagram: Proces 10">
          <a:extLst>
            <a:ext uri="{FF2B5EF4-FFF2-40B4-BE49-F238E27FC236}">
              <a16:creationId xmlns:a16="http://schemas.microsoft.com/office/drawing/2014/main" id="{00000000-0008-0000-0100-00000B000000}"/>
            </a:ext>
          </a:extLst>
        </xdr:cNvPr>
        <xdr:cNvSpPr/>
      </xdr:nvSpPr>
      <xdr:spPr>
        <a:xfrm>
          <a:off x="5526801" y="2077507"/>
          <a:ext cx="1796660" cy="7775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DNV-GL </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(cv-ketel 1000kW)</a:t>
          </a:r>
        </a:p>
      </xdr:txBody>
    </xdr:sp>
    <xdr:clientData/>
  </xdr:twoCellAnchor>
  <xdr:twoCellAnchor>
    <xdr:from>
      <xdr:col>3</xdr:col>
      <xdr:colOff>1781175</xdr:colOff>
      <xdr:row>14</xdr:row>
      <xdr:rowOff>132644</xdr:rowOff>
    </xdr:from>
    <xdr:to>
      <xdr:col>3</xdr:col>
      <xdr:colOff>2678826</xdr:colOff>
      <xdr:row>19</xdr:row>
      <xdr:rowOff>19050</xdr:rowOff>
    </xdr:to>
    <xdr:cxnSp macro="">
      <xdr:nvCxnSpPr>
        <xdr:cNvPr id="13" name="Rechte verbindingslijn met pijl 12">
          <a:extLst>
            <a:ext uri="{FF2B5EF4-FFF2-40B4-BE49-F238E27FC236}">
              <a16:creationId xmlns:a16="http://schemas.microsoft.com/office/drawing/2014/main" id="{00000000-0008-0000-0100-00000D000000}"/>
            </a:ext>
          </a:extLst>
        </xdr:cNvPr>
        <xdr:cNvCxnSpPr>
          <a:stCxn id="11" idx="1"/>
        </xdr:cNvCxnSpPr>
      </xdr:nvCxnSpPr>
      <xdr:spPr>
        <a:xfrm flipH="1">
          <a:off x="4629150" y="2466269"/>
          <a:ext cx="897651" cy="696031"/>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pageSetUpPr fitToPage="1"/>
  </sheetPr>
  <dimension ref="B2:D33"/>
  <sheetViews>
    <sheetView showGridLines="0" zoomScale="85" zoomScaleNormal="85" workbookViewId="0">
      <pane ySplit="3" topLeftCell="A13" activePane="bottomLeft" state="frozen"/>
      <selection pane="bottomLeft" activeCell="C53" sqref="C53"/>
    </sheetView>
  </sheetViews>
  <sheetFormatPr defaultColWidth="9.1796875" defaultRowHeight="12.5" x14ac:dyDescent="0.35"/>
  <cols>
    <col min="1" max="1" width="2.81640625" style="2" customWidth="1"/>
    <col min="2" max="2" width="39.81640625" style="2" customWidth="1"/>
    <col min="3" max="3" width="91.81640625" style="2" customWidth="1"/>
    <col min="4" max="16384" width="9.1796875" style="2"/>
  </cols>
  <sheetData>
    <row r="2" spans="2:3" s="12" customFormat="1" ht="18" x14ac:dyDescent="0.35">
      <c r="B2" s="11" t="s">
        <v>386</v>
      </c>
    </row>
    <row r="6" spans="2:3" x14ac:dyDescent="0.35">
      <c r="B6" s="3"/>
    </row>
    <row r="13" spans="2:3" s="8" customFormat="1" ht="13" x14ac:dyDescent="0.35">
      <c r="B13" s="8" t="s">
        <v>0</v>
      </c>
    </row>
    <row r="15" spans="2:3" x14ac:dyDescent="0.35">
      <c r="B15" s="9" t="s">
        <v>1</v>
      </c>
      <c r="C15" s="10" t="s">
        <v>345</v>
      </c>
    </row>
    <row r="16" spans="2:3" x14ac:dyDescent="0.35">
      <c r="B16" s="9" t="s">
        <v>2</v>
      </c>
      <c r="C16" s="10" t="s">
        <v>342</v>
      </c>
    </row>
    <row r="17" spans="2:3" x14ac:dyDescent="0.35">
      <c r="B17" s="9" t="s">
        <v>3</v>
      </c>
      <c r="C17" s="10"/>
    </row>
    <row r="18" spans="2:3" x14ac:dyDescent="0.35">
      <c r="B18" s="9" t="s">
        <v>4</v>
      </c>
      <c r="C18" s="10" t="s">
        <v>343</v>
      </c>
    </row>
    <row r="19" spans="2:3" x14ac:dyDescent="0.35">
      <c r="B19" s="9" t="s">
        <v>5</v>
      </c>
      <c r="C19" s="10"/>
    </row>
    <row r="20" spans="2:3" x14ac:dyDescent="0.35">
      <c r="B20" s="9" t="s">
        <v>6</v>
      </c>
      <c r="C20" s="118"/>
    </row>
    <row r="21" spans="2:3" x14ac:dyDescent="0.35">
      <c r="B21" s="9" t="s">
        <v>7</v>
      </c>
      <c r="C21" s="10" t="s">
        <v>231</v>
      </c>
    </row>
    <row r="22" spans="2:3" x14ac:dyDescent="0.35">
      <c r="B22" s="9" t="s">
        <v>8</v>
      </c>
      <c r="C22" s="10" t="s">
        <v>344</v>
      </c>
    </row>
    <row r="25" spans="2:3" s="8" customFormat="1" ht="13" x14ac:dyDescent="0.35">
      <c r="B25" s="8" t="s">
        <v>9</v>
      </c>
    </row>
    <row r="27" spans="2:3" x14ac:dyDescent="0.35">
      <c r="B27" s="9" t="s">
        <v>10</v>
      </c>
      <c r="C27" s="10" t="s">
        <v>382</v>
      </c>
    </row>
    <row r="28" spans="2:3" x14ac:dyDescent="0.35">
      <c r="B28" s="9" t="s">
        <v>11</v>
      </c>
      <c r="C28" s="10" t="s">
        <v>382</v>
      </c>
    </row>
    <row r="29" spans="2:3" ht="25" x14ac:dyDescent="0.35">
      <c r="B29" s="9" t="s">
        <v>12</v>
      </c>
      <c r="C29" s="10" t="s">
        <v>382</v>
      </c>
    </row>
    <row r="30" spans="2:3" x14ac:dyDescent="0.35">
      <c r="B30" s="9" t="s">
        <v>13</v>
      </c>
      <c r="C30" s="10"/>
    </row>
    <row r="31" spans="2:3" x14ac:dyDescent="0.35">
      <c r="B31" s="9" t="s">
        <v>8</v>
      </c>
      <c r="C31" s="10"/>
    </row>
    <row r="33" spans="2:4" ht="13" x14ac:dyDescent="0.35">
      <c r="B33" s="34"/>
      <c r="C33" s="34"/>
      <c r="D33" s="5"/>
    </row>
  </sheetData>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
  <sheetViews>
    <sheetView showGridLines="0" zoomScale="85" zoomScaleNormal="85" workbookViewId="0">
      <selection activeCell="L54" sqref="L54"/>
    </sheetView>
  </sheetViews>
  <sheetFormatPr defaultColWidth="9.1796875" defaultRowHeight="12.5" x14ac:dyDescent="0.35"/>
  <cols>
    <col min="1" max="16384" width="9.1796875" style="31"/>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2:Q79"/>
  <sheetViews>
    <sheetView showGridLines="0" zoomScale="85" zoomScaleNormal="85" workbookViewId="0">
      <pane xSplit="6" ySplit="12" topLeftCell="G30" activePane="bottomRight" state="frozen"/>
      <selection pane="topRight"/>
      <selection pane="bottomLeft"/>
      <selection pane="bottomRight" activeCell="M24" sqref="M24"/>
    </sheetView>
  </sheetViews>
  <sheetFormatPr defaultColWidth="9.1796875" defaultRowHeight="12.5" x14ac:dyDescent="0.25"/>
  <cols>
    <col min="1" max="1" width="4" style="2" customWidth="1"/>
    <col min="2" max="2" width="52.453125" style="2" customWidth="1"/>
    <col min="3" max="4" width="4.54296875" style="2" customWidth="1"/>
    <col min="5" max="5" width="21.7265625" style="2" bestFit="1" customWidth="1"/>
    <col min="6" max="6" width="13.453125" style="100" customWidth="1"/>
    <col min="7" max="8" width="2.7265625" style="2" customWidth="1"/>
    <col min="9" max="9" width="13.453125" style="2" bestFit="1" customWidth="1"/>
    <col min="10" max="10" width="14.453125" style="2" customWidth="1"/>
    <col min="11" max="11" width="40.54296875" style="2" bestFit="1" customWidth="1"/>
    <col min="12" max="12" width="2.7265625" style="2" customWidth="1"/>
    <col min="13" max="13" width="13.7265625" style="2" customWidth="1"/>
    <col min="14" max="14" width="2.7265625" style="2" customWidth="1"/>
    <col min="15" max="29" width="13.7265625" style="2" customWidth="1"/>
    <col min="30" max="16384" width="9.1796875" style="2"/>
  </cols>
  <sheetData>
    <row r="2" spans="1:17" s="26" customFormat="1" ht="18" x14ac:dyDescent="0.35">
      <c r="B2" s="26" t="s">
        <v>274</v>
      </c>
      <c r="F2" s="107"/>
    </row>
    <row r="3" spans="1:17" ht="13" x14ac:dyDescent="0.25">
      <c r="Q3" s="35"/>
    </row>
    <row r="4" spans="1:17" ht="13" x14ac:dyDescent="0.25">
      <c r="B4" s="35" t="s">
        <v>31</v>
      </c>
      <c r="C4" s="1"/>
      <c r="D4" s="1"/>
      <c r="I4" s="46"/>
    </row>
    <row r="5" spans="1:17" x14ac:dyDescent="0.25">
      <c r="B5" s="2" t="s">
        <v>322</v>
      </c>
    </row>
    <row r="6" spans="1:17" ht="13" x14ac:dyDescent="0.25">
      <c r="B6" s="2" t="s">
        <v>319</v>
      </c>
      <c r="Q6" s="36"/>
    </row>
    <row r="7" spans="1:17" ht="13" x14ac:dyDescent="0.25">
      <c r="Q7" s="4"/>
    </row>
    <row r="8" spans="1:17" ht="13" x14ac:dyDescent="0.25">
      <c r="B8" s="2" t="s">
        <v>323</v>
      </c>
      <c r="Q8" s="4"/>
    </row>
    <row r="9" spans="1:17" ht="13" x14ac:dyDescent="0.25">
      <c r="B9" s="2" t="s">
        <v>288</v>
      </c>
      <c r="Q9" s="1"/>
    </row>
    <row r="10" spans="1:17" x14ac:dyDescent="0.25">
      <c r="B10" s="27"/>
    </row>
    <row r="11" spans="1:17" s="8" customFormat="1" ht="13" x14ac:dyDescent="0.35">
      <c r="B11" s="8" t="s">
        <v>48</v>
      </c>
      <c r="E11" s="8" t="s">
        <v>29</v>
      </c>
      <c r="F11" s="8" t="s">
        <v>276</v>
      </c>
      <c r="K11" s="8" t="s">
        <v>49</v>
      </c>
      <c r="M11" s="8" t="s">
        <v>50</v>
      </c>
    </row>
    <row r="14" spans="1:17" s="8" customFormat="1" ht="13" x14ac:dyDescent="0.35">
      <c r="B14" s="8" t="s">
        <v>69</v>
      </c>
      <c r="I14" s="8" t="s">
        <v>30</v>
      </c>
    </row>
    <row r="16" spans="1:17" ht="13" x14ac:dyDescent="0.25">
      <c r="A16" s="1"/>
      <c r="B16" s="1" t="s">
        <v>70</v>
      </c>
    </row>
    <row r="17" spans="1:13" ht="13" x14ac:dyDescent="0.25">
      <c r="A17" s="1"/>
      <c r="B17" s="2" t="s">
        <v>71</v>
      </c>
      <c r="E17" s="2" t="s">
        <v>80</v>
      </c>
      <c r="I17" s="111">
        <v>0.21</v>
      </c>
      <c r="K17" s="2" t="s">
        <v>129</v>
      </c>
    </row>
    <row r="18" spans="1:13" ht="13" x14ac:dyDescent="0.25">
      <c r="A18" s="1"/>
      <c r="B18" s="2" t="s">
        <v>377</v>
      </c>
      <c r="E18" s="2" t="s">
        <v>182</v>
      </c>
      <c r="F18" s="51" t="s">
        <v>325</v>
      </c>
      <c r="I18" s="137">
        <v>0.58301000000000003</v>
      </c>
      <c r="J18" s="27"/>
      <c r="K18" s="138" t="s">
        <v>369</v>
      </c>
      <c r="M18" s="27"/>
    </row>
    <row r="20" spans="1:13" ht="13" x14ac:dyDescent="0.25">
      <c r="A20" s="1"/>
      <c r="B20" s="1" t="s">
        <v>90</v>
      </c>
    </row>
    <row r="21" spans="1:13" x14ac:dyDescent="0.25">
      <c r="B21" s="2" t="s">
        <v>91</v>
      </c>
      <c r="C21" s="27"/>
      <c r="E21" s="2" t="s">
        <v>80</v>
      </c>
      <c r="I21" s="114">
        <v>1.4E-2</v>
      </c>
      <c r="K21" s="51" t="s">
        <v>128</v>
      </c>
    </row>
    <row r="22" spans="1:13" x14ac:dyDescent="0.25">
      <c r="B22" s="2" t="s">
        <v>92</v>
      </c>
      <c r="C22" s="27"/>
      <c r="E22" s="2" t="s">
        <v>80</v>
      </c>
      <c r="I22" s="114">
        <v>2.1000000000000001E-2</v>
      </c>
      <c r="K22" s="51" t="s">
        <v>128</v>
      </c>
    </row>
    <row r="23" spans="1:13" x14ac:dyDescent="0.25">
      <c r="B23" s="2" t="s">
        <v>93</v>
      </c>
      <c r="C23" s="27"/>
      <c r="E23" s="2" t="s">
        <v>80</v>
      </c>
      <c r="I23" s="114">
        <v>2.8000000000000001E-2</v>
      </c>
      <c r="K23" s="51" t="s">
        <v>128</v>
      </c>
    </row>
    <row r="24" spans="1:13" x14ac:dyDescent="0.25">
      <c r="B24" s="2" t="s">
        <v>275</v>
      </c>
      <c r="C24" s="27"/>
      <c r="E24" s="2" t="s">
        <v>80</v>
      </c>
      <c r="I24" s="114">
        <v>7.0000000000000001E-3</v>
      </c>
      <c r="K24" s="51" t="s">
        <v>128</v>
      </c>
    </row>
    <row r="25" spans="1:13" x14ac:dyDescent="0.25">
      <c r="B25" s="2" t="s">
        <v>289</v>
      </c>
      <c r="C25" s="27"/>
      <c r="E25" s="2" t="s">
        <v>80</v>
      </c>
      <c r="I25" s="114">
        <v>2.4E-2</v>
      </c>
      <c r="K25" s="51" t="s">
        <v>128</v>
      </c>
    </row>
    <row r="26" spans="1:13" x14ac:dyDescent="0.25">
      <c r="B26" s="2" t="s">
        <v>313</v>
      </c>
      <c r="C26" s="27"/>
      <c r="E26" s="2" t="s">
        <v>80</v>
      </c>
      <c r="I26" s="114">
        <v>0.12</v>
      </c>
      <c r="K26" s="51" t="s">
        <v>128</v>
      </c>
    </row>
    <row r="27" spans="1:13" x14ac:dyDescent="0.25">
      <c r="B27" s="2" t="s">
        <v>330</v>
      </c>
      <c r="C27" s="27"/>
      <c r="E27" s="2" t="s">
        <v>80</v>
      </c>
      <c r="I27" s="114">
        <v>0.03</v>
      </c>
      <c r="K27" s="51" t="s">
        <v>128</v>
      </c>
    </row>
    <row r="28" spans="1:13" x14ac:dyDescent="0.25">
      <c r="B28" s="2" t="s">
        <v>335</v>
      </c>
      <c r="C28" s="27"/>
      <c r="D28" s="27"/>
      <c r="E28" s="2" t="s">
        <v>104</v>
      </c>
      <c r="I28" s="39">
        <f>(1+I21)*(1+I22)*(1+I23)*(1+I24)*(1+I25)*(1+I26)*(1+I27)</f>
        <v>1.2660226813082076</v>
      </c>
      <c r="K28" s="51"/>
    </row>
    <row r="30" spans="1:13" x14ac:dyDescent="0.25">
      <c r="B30" s="2" t="s">
        <v>340</v>
      </c>
      <c r="E30" s="2" t="s">
        <v>80</v>
      </c>
      <c r="I30" s="132">
        <v>3.5799999999999998E-2</v>
      </c>
      <c r="K30" s="2" t="s">
        <v>315</v>
      </c>
    </row>
    <row r="32" spans="1:13" x14ac:dyDescent="0.25">
      <c r="B32" s="2" t="s">
        <v>82</v>
      </c>
      <c r="I32" s="113">
        <v>3.517E-2</v>
      </c>
      <c r="K32" s="51" t="s">
        <v>148</v>
      </c>
    </row>
    <row r="34" spans="2:13" s="8" customFormat="1" ht="13" x14ac:dyDescent="0.35">
      <c r="B34" s="8" t="s">
        <v>74</v>
      </c>
    </row>
    <row r="36" spans="2:13" x14ac:dyDescent="0.25">
      <c r="B36" s="2" t="s">
        <v>75</v>
      </c>
      <c r="E36" s="2" t="s">
        <v>104</v>
      </c>
      <c r="I36" s="112">
        <v>0.79</v>
      </c>
      <c r="K36" s="51" t="s">
        <v>149</v>
      </c>
    </row>
    <row r="37" spans="2:13" x14ac:dyDescent="0.25">
      <c r="B37" s="2" t="s">
        <v>76</v>
      </c>
      <c r="E37" s="2" t="s">
        <v>104</v>
      </c>
      <c r="I37" s="112">
        <v>0.21</v>
      </c>
      <c r="K37" s="51" t="s">
        <v>149</v>
      </c>
    </row>
    <row r="38" spans="2:13" x14ac:dyDescent="0.25">
      <c r="B38" s="2" t="s">
        <v>77</v>
      </c>
      <c r="E38" s="2" t="s">
        <v>104</v>
      </c>
      <c r="I38" s="112">
        <v>0.94</v>
      </c>
      <c r="K38" s="51" t="s">
        <v>149</v>
      </c>
    </row>
    <row r="39" spans="2:13" x14ac:dyDescent="0.25">
      <c r="B39" s="2" t="s">
        <v>78</v>
      </c>
      <c r="E39" s="2" t="s">
        <v>104</v>
      </c>
      <c r="I39" s="112">
        <v>0.68</v>
      </c>
      <c r="K39" s="51" t="s">
        <v>149</v>
      </c>
    </row>
    <row r="41" spans="2:13" x14ac:dyDescent="0.25">
      <c r="B41" s="2" t="s">
        <v>241</v>
      </c>
      <c r="E41" s="2" t="s">
        <v>104</v>
      </c>
      <c r="I41" s="112">
        <v>0.5</v>
      </c>
      <c r="K41" s="2" t="s">
        <v>284</v>
      </c>
    </row>
    <row r="43" spans="2:13" s="8" customFormat="1" ht="13" x14ac:dyDescent="0.35">
      <c r="B43" s="8" t="s">
        <v>290</v>
      </c>
    </row>
    <row r="45" spans="2:13" x14ac:dyDescent="0.25">
      <c r="B45" s="2" t="s">
        <v>140</v>
      </c>
      <c r="E45" s="2" t="s">
        <v>182</v>
      </c>
      <c r="F45" s="122" t="s">
        <v>327</v>
      </c>
      <c r="I45" s="152">
        <v>1486.53</v>
      </c>
      <c r="J45" s="27"/>
      <c r="K45" s="122" t="s">
        <v>370</v>
      </c>
      <c r="M45" s="27"/>
    </row>
    <row r="46" spans="2:13" x14ac:dyDescent="0.25">
      <c r="B46" s="2" t="s">
        <v>242</v>
      </c>
      <c r="E46" s="2" t="s">
        <v>182</v>
      </c>
      <c r="F46" s="122" t="s">
        <v>371</v>
      </c>
      <c r="I46" s="152">
        <v>204.28</v>
      </c>
      <c r="J46" s="27"/>
      <c r="K46" s="122" t="s">
        <v>372</v>
      </c>
      <c r="M46" s="27"/>
    </row>
    <row r="47" spans="2:13" x14ac:dyDescent="0.25">
      <c r="B47" s="2" t="s">
        <v>106</v>
      </c>
      <c r="E47" s="2" t="s">
        <v>182</v>
      </c>
      <c r="F47" s="119" t="s">
        <v>327</v>
      </c>
      <c r="I47" s="152">
        <v>1044</v>
      </c>
      <c r="J47" s="27"/>
      <c r="K47" s="2" t="s">
        <v>231</v>
      </c>
    </row>
    <row r="48" spans="2:13" x14ac:dyDescent="0.25">
      <c r="B48" s="2" t="s">
        <v>172</v>
      </c>
      <c r="E48" s="2" t="s">
        <v>182</v>
      </c>
      <c r="F48" s="119" t="s">
        <v>325</v>
      </c>
      <c r="I48" s="152">
        <v>31.86</v>
      </c>
      <c r="J48" s="27"/>
      <c r="K48" s="2" t="s">
        <v>231</v>
      </c>
    </row>
    <row r="50" spans="2:13" x14ac:dyDescent="0.25">
      <c r="B50" s="2" t="s">
        <v>72</v>
      </c>
      <c r="E50" s="2" t="s">
        <v>79</v>
      </c>
      <c r="I50" s="110">
        <v>15</v>
      </c>
      <c r="K50" s="2" t="s">
        <v>263</v>
      </c>
    </row>
    <row r="51" spans="2:13" x14ac:dyDescent="0.25">
      <c r="B51" s="2" t="s">
        <v>73</v>
      </c>
      <c r="E51" s="2" t="s">
        <v>79</v>
      </c>
      <c r="I51" s="110">
        <v>15</v>
      </c>
      <c r="K51" s="2" t="s">
        <v>263</v>
      </c>
    </row>
    <row r="53" spans="2:13" ht="13" x14ac:dyDescent="0.25">
      <c r="B53" s="1" t="s">
        <v>105</v>
      </c>
      <c r="I53" s="27"/>
      <c r="J53" s="27"/>
    </row>
    <row r="54" spans="2:13" ht="13" x14ac:dyDescent="0.25">
      <c r="B54" s="41" t="s">
        <v>137</v>
      </c>
      <c r="E54" s="2" t="s">
        <v>182</v>
      </c>
      <c r="F54" s="51" t="s">
        <v>325</v>
      </c>
      <c r="I54" s="112">
        <v>26.18</v>
      </c>
      <c r="J54" s="27"/>
      <c r="K54" s="2" t="s">
        <v>374</v>
      </c>
      <c r="M54" s="27"/>
    </row>
    <row r="56" spans="2:13" s="8" customFormat="1" ht="13" x14ac:dyDescent="0.35">
      <c r="B56" s="8" t="s">
        <v>291</v>
      </c>
    </row>
    <row r="58" spans="2:13" x14ac:dyDescent="0.25">
      <c r="B58" s="2" t="s">
        <v>292</v>
      </c>
      <c r="E58" s="2" t="s">
        <v>86</v>
      </c>
      <c r="F58" s="41" t="s">
        <v>378</v>
      </c>
      <c r="I58" s="152">
        <f>112872</f>
        <v>112872</v>
      </c>
      <c r="K58" s="2" t="s">
        <v>373</v>
      </c>
    </row>
    <row r="59" spans="2:13" x14ac:dyDescent="0.25">
      <c r="B59" s="2" t="s">
        <v>296</v>
      </c>
      <c r="E59" s="2" t="s">
        <v>80</v>
      </c>
      <c r="F59" s="41"/>
      <c r="I59" s="111">
        <v>0.03</v>
      </c>
      <c r="K59" s="2" t="s">
        <v>297</v>
      </c>
    </row>
    <row r="60" spans="2:13" x14ac:dyDescent="0.25">
      <c r="B60" s="2" t="s">
        <v>293</v>
      </c>
      <c r="E60" s="2" t="s">
        <v>86</v>
      </c>
      <c r="F60" s="41" t="s">
        <v>327</v>
      </c>
      <c r="I60" s="152">
        <v>48024.26</v>
      </c>
      <c r="K60" s="2" t="s">
        <v>231</v>
      </c>
    </row>
    <row r="61" spans="2:13" x14ac:dyDescent="0.35">
      <c r="B61" s="2" t="s">
        <v>295</v>
      </c>
      <c r="E61" s="2" t="s">
        <v>80</v>
      </c>
      <c r="F61" s="51"/>
      <c r="I61" s="111">
        <v>0.02</v>
      </c>
      <c r="K61" s="2" t="s">
        <v>298</v>
      </c>
    </row>
    <row r="62" spans="2:13" x14ac:dyDescent="0.25">
      <c r="I62" s="103"/>
    </row>
    <row r="63" spans="2:13" x14ac:dyDescent="0.25">
      <c r="B63" s="2" t="s">
        <v>294</v>
      </c>
      <c r="E63" s="2" t="s">
        <v>79</v>
      </c>
      <c r="I63" s="110">
        <v>15</v>
      </c>
      <c r="K63" s="2" t="s">
        <v>263</v>
      </c>
    </row>
    <row r="64" spans="2:13" x14ac:dyDescent="0.25">
      <c r="B64" s="2" t="s">
        <v>73</v>
      </c>
      <c r="E64" s="2" t="s">
        <v>79</v>
      </c>
      <c r="I64" s="110">
        <v>15</v>
      </c>
      <c r="K64" s="2" t="s">
        <v>263</v>
      </c>
    </row>
    <row r="66" spans="2:11" x14ac:dyDescent="0.25">
      <c r="B66" s="51" t="s">
        <v>150</v>
      </c>
      <c r="E66" s="2" t="s">
        <v>182</v>
      </c>
      <c r="F66" s="100" t="s">
        <v>243</v>
      </c>
      <c r="I66" s="152">
        <v>3874</v>
      </c>
      <c r="K66" s="2" t="s">
        <v>301</v>
      </c>
    </row>
    <row r="67" spans="2:11" ht="12" customHeight="1" x14ac:dyDescent="0.25"/>
    <row r="68" spans="2:11" s="8" customFormat="1" ht="13" x14ac:dyDescent="0.35">
      <c r="B68" s="8" t="s">
        <v>107</v>
      </c>
    </row>
    <row r="70" spans="2:11" ht="13" x14ac:dyDescent="0.25">
      <c r="B70" s="35" t="s">
        <v>143</v>
      </c>
      <c r="I70" s="105"/>
    </row>
    <row r="71" spans="2:11" x14ac:dyDescent="0.25">
      <c r="B71" s="2" t="s">
        <v>108</v>
      </c>
      <c r="E71" s="2" t="s">
        <v>268</v>
      </c>
      <c r="F71" s="100" t="s">
        <v>243</v>
      </c>
      <c r="I71" s="152">
        <v>245.27</v>
      </c>
      <c r="K71" s="2" t="s">
        <v>299</v>
      </c>
    </row>
    <row r="72" spans="2:11" x14ac:dyDescent="0.25">
      <c r="B72" s="2" t="s">
        <v>126</v>
      </c>
      <c r="E72" s="2" t="s">
        <v>269</v>
      </c>
      <c r="F72" s="100" t="s">
        <v>243</v>
      </c>
      <c r="I72" s="152">
        <v>62.06</v>
      </c>
      <c r="K72" s="2" t="s">
        <v>300</v>
      </c>
    </row>
    <row r="73" spans="2:11" x14ac:dyDescent="0.25">
      <c r="I73" s="105"/>
    </row>
    <row r="74" spans="2:11" s="8" customFormat="1" ht="13" x14ac:dyDescent="0.35">
      <c r="B74" s="8" t="s">
        <v>176</v>
      </c>
      <c r="I74" s="154"/>
    </row>
    <row r="75" spans="2:11" s="53" customFormat="1" ht="13" x14ac:dyDescent="0.35">
      <c r="I75" s="162"/>
    </row>
    <row r="76" spans="2:11" ht="13" x14ac:dyDescent="0.25">
      <c r="B76" s="35" t="s">
        <v>144</v>
      </c>
      <c r="I76" s="105"/>
    </row>
    <row r="77" spans="2:11" x14ac:dyDescent="0.25">
      <c r="B77" s="2" t="s">
        <v>152</v>
      </c>
      <c r="E77" s="2" t="s">
        <v>268</v>
      </c>
      <c r="F77" s="100" t="s">
        <v>243</v>
      </c>
      <c r="I77" s="152">
        <v>222.5</v>
      </c>
      <c r="K77" s="2" t="s">
        <v>125</v>
      </c>
    </row>
    <row r="78" spans="2:11" x14ac:dyDescent="0.25">
      <c r="B78" s="2" t="s">
        <v>151</v>
      </c>
      <c r="E78" s="2" t="s">
        <v>269</v>
      </c>
      <c r="F78" s="100" t="s">
        <v>243</v>
      </c>
      <c r="I78" s="152">
        <v>54.11</v>
      </c>
      <c r="J78" s="27"/>
      <c r="K78" s="2" t="s">
        <v>125</v>
      </c>
    </row>
    <row r="79" spans="2:11" x14ac:dyDescent="0.25">
      <c r="I79" s="105"/>
    </row>
  </sheetData>
  <phoneticPr fontId="42" type="noConversion"/>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C326-A2CD-4167-BCEE-B4E78CC2D2E1}">
  <sheetPr>
    <tabColor rgb="FFCCFFCC"/>
    <pageSetUpPr fitToPage="1"/>
  </sheetPr>
  <dimension ref="A2:Y29"/>
  <sheetViews>
    <sheetView showGridLines="0" zoomScale="85" zoomScaleNormal="85" workbookViewId="0">
      <pane xSplit="6" ySplit="15" topLeftCell="G16" activePane="bottomRight" state="frozen"/>
      <selection pane="topRight"/>
      <selection pane="bottomLeft"/>
      <selection pane="bottomRight" activeCell="O46" sqref="O46"/>
    </sheetView>
  </sheetViews>
  <sheetFormatPr defaultColWidth="9.1796875" defaultRowHeight="12.5" x14ac:dyDescent="0.35"/>
  <cols>
    <col min="1" max="1" width="4" style="2" customWidth="1"/>
    <col min="2" max="2" width="54.453125" style="2" customWidth="1"/>
    <col min="3" max="5" width="4.54296875" style="2" customWidth="1"/>
    <col min="6" max="6" width="17.7265625" style="2" bestFit="1" customWidth="1"/>
    <col min="7" max="7" width="2.7265625" style="2" customWidth="1"/>
    <col min="8" max="8" width="13.7265625" style="2" customWidth="1"/>
    <col min="9" max="9" width="2.7265625" style="2" customWidth="1"/>
    <col min="10" max="10" width="13.7265625" style="2" customWidth="1"/>
    <col min="11" max="11" width="2.7265625" style="2" customWidth="1"/>
    <col min="12" max="16" width="13.453125" style="2" customWidth="1"/>
    <col min="17" max="17" width="13.453125" style="2" bestFit="1" customWidth="1"/>
    <col min="18" max="21" width="13.453125" style="2" customWidth="1"/>
    <col min="22" max="22" width="2.7265625" style="2" customWidth="1"/>
    <col min="23" max="23" width="14" style="2" customWidth="1"/>
    <col min="24" max="24" width="2.7265625" style="2" customWidth="1"/>
    <col min="25" max="25" width="13.7265625" style="2" customWidth="1"/>
    <col min="26" max="26" width="2.7265625" style="2" customWidth="1"/>
    <col min="27" max="41" width="13.7265625" style="2" customWidth="1"/>
    <col min="42" max="16384" width="9.1796875" style="2"/>
  </cols>
  <sheetData>
    <row r="2" spans="1:25" s="26" customFormat="1" ht="18" x14ac:dyDescent="0.35">
      <c r="A2" s="7"/>
      <c r="B2" s="26" t="s">
        <v>285</v>
      </c>
    </row>
    <row r="4" spans="1:25" ht="13" x14ac:dyDescent="0.35">
      <c r="B4" s="1" t="s">
        <v>31</v>
      </c>
      <c r="C4" s="1"/>
      <c r="D4" s="1"/>
    </row>
    <row r="5" spans="1:25" ht="13" x14ac:dyDescent="0.35">
      <c r="B5" s="2" t="s">
        <v>346</v>
      </c>
      <c r="C5" s="1"/>
      <c r="D5" s="1"/>
    </row>
    <row r="6" spans="1:25" ht="13" x14ac:dyDescent="0.35">
      <c r="B6" s="2" t="s">
        <v>367</v>
      </c>
      <c r="C6" s="1"/>
      <c r="D6" s="1"/>
    </row>
    <row r="7" spans="1:25" ht="13" x14ac:dyDescent="0.35">
      <c r="C7" s="1"/>
      <c r="D7" s="1"/>
    </row>
    <row r="8" spans="1:25" ht="13" x14ac:dyDescent="0.35">
      <c r="B8" s="4" t="s">
        <v>32</v>
      </c>
      <c r="H8" s="27"/>
    </row>
    <row r="9" spans="1:25" x14ac:dyDescent="0.35">
      <c r="B9" s="2" t="s">
        <v>347</v>
      </c>
      <c r="H9" s="27"/>
    </row>
    <row r="10" spans="1:25" x14ac:dyDescent="0.35">
      <c r="B10" s="2" t="s">
        <v>348</v>
      </c>
      <c r="H10" s="27"/>
    </row>
    <row r="11" spans="1:25" x14ac:dyDescent="0.35">
      <c r="B11" s="2" t="s">
        <v>349</v>
      </c>
    </row>
    <row r="12" spans="1:25" x14ac:dyDescent="0.35">
      <c r="B12" s="2" t="s">
        <v>350</v>
      </c>
    </row>
    <row r="14" spans="1:25" s="8" customFormat="1" ht="13" x14ac:dyDescent="0.35">
      <c r="B14" s="8" t="s">
        <v>48</v>
      </c>
      <c r="F14" s="8" t="s">
        <v>29</v>
      </c>
      <c r="H14" s="8" t="s">
        <v>30</v>
      </c>
      <c r="J14" s="8" t="s">
        <v>133</v>
      </c>
      <c r="L14" s="143" t="s">
        <v>351</v>
      </c>
      <c r="M14" s="144" t="s">
        <v>352</v>
      </c>
      <c r="N14" s="143" t="s">
        <v>353</v>
      </c>
      <c r="O14" s="144" t="s">
        <v>354</v>
      </c>
      <c r="P14" s="143" t="s">
        <v>355</v>
      </c>
      <c r="Q14" s="143" t="s">
        <v>356</v>
      </c>
      <c r="R14" s="144" t="s">
        <v>381</v>
      </c>
      <c r="S14" s="144" t="s">
        <v>357</v>
      </c>
      <c r="T14" s="144" t="s">
        <v>358</v>
      </c>
      <c r="U14" s="144" t="s">
        <v>359</v>
      </c>
      <c r="W14" s="8" t="s">
        <v>49</v>
      </c>
      <c r="Y14" s="8" t="s">
        <v>50</v>
      </c>
    </row>
    <row r="17" spans="2:25" s="8" customFormat="1" ht="13" x14ac:dyDescent="0.35">
      <c r="B17" s="8" t="s">
        <v>341</v>
      </c>
    </row>
    <row r="19" spans="2:25" ht="13" x14ac:dyDescent="0.35">
      <c r="B19" s="1" t="s">
        <v>110</v>
      </c>
      <c r="L19" s="1"/>
      <c r="M19" s="1"/>
      <c r="N19" s="1"/>
      <c r="O19" s="1"/>
      <c r="P19" s="1"/>
      <c r="Q19" s="1"/>
      <c r="R19" s="1"/>
      <c r="S19" s="1"/>
      <c r="T19" s="1"/>
      <c r="U19" s="1"/>
    </row>
    <row r="20" spans="2:25" x14ac:dyDescent="0.25">
      <c r="B20" s="2" t="s">
        <v>360</v>
      </c>
      <c r="F20" s="2" t="s">
        <v>361</v>
      </c>
      <c r="L20" s="148"/>
      <c r="M20" s="148"/>
      <c r="N20" s="148"/>
      <c r="O20" s="148"/>
      <c r="P20" s="148"/>
      <c r="Q20" s="148"/>
      <c r="R20" s="148"/>
      <c r="S20" s="148"/>
      <c r="T20" s="148"/>
      <c r="U20" s="148"/>
      <c r="W20" s="27"/>
      <c r="Y20" s="133" t="s">
        <v>383</v>
      </c>
    </row>
    <row r="21" spans="2:25" x14ac:dyDescent="0.35">
      <c r="B21" s="2" t="s">
        <v>362</v>
      </c>
      <c r="F21" s="2" t="s">
        <v>363</v>
      </c>
      <c r="J21" s="147">
        <v>72.725474047866044</v>
      </c>
      <c r="L21" s="149"/>
      <c r="M21" s="149"/>
      <c r="N21" s="149"/>
      <c r="O21" s="149"/>
      <c r="P21" s="149"/>
      <c r="Q21" s="149"/>
      <c r="R21" s="149"/>
      <c r="S21" s="149"/>
      <c r="T21" s="149"/>
      <c r="U21" s="149"/>
    </row>
    <row r="22" spans="2:25" x14ac:dyDescent="0.35">
      <c r="O22" s="145"/>
      <c r="T22" s="145"/>
    </row>
    <row r="23" spans="2:25" x14ac:dyDescent="0.35">
      <c r="T23" s="145"/>
    </row>
    <row r="24" spans="2:25" s="8" customFormat="1" ht="13" x14ac:dyDescent="0.35">
      <c r="B24" s="8" t="s">
        <v>364</v>
      </c>
      <c r="T24" s="144"/>
    </row>
    <row r="25" spans="2:25" customFormat="1" ht="14.5" x14ac:dyDescent="0.35">
      <c r="T25" s="146"/>
    </row>
    <row r="26" spans="2:25" ht="13" x14ac:dyDescent="0.35">
      <c r="B26" s="1" t="s">
        <v>368</v>
      </c>
      <c r="P26" s="1"/>
      <c r="Q26" s="1"/>
      <c r="R26" s="1"/>
      <c r="T26" s="145"/>
    </row>
    <row r="27" spans="2:25" x14ac:dyDescent="0.35">
      <c r="B27" s="2" t="s">
        <v>365</v>
      </c>
      <c r="F27" s="2" t="s">
        <v>366</v>
      </c>
      <c r="J27" s="134">
        <v>0.59799851700503848</v>
      </c>
      <c r="L27" s="150"/>
      <c r="M27" s="150"/>
      <c r="N27" s="150"/>
      <c r="O27" s="150"/>
      <c r="P27" s="150"/>
      <c r="Q27" s="150"/>
      <c r="R27" s="150"/>
      <c r="S27" s="150"/>
      <c r="T27" s="150"/>
      <c r="U27" s="150"/>
    </row>
    <row r="28" spans="2:25" x14ac:dyDescent="0.35">
      <c r="T28" s="145"/>
    </row>
    <row r="29" spans="2:25" x14ac:dyDescent="0.35">
      <c r="L29" s="135"/>
      <c r="M29" s="135"/>
      <c r="N29" s="135"/>
      <c r="O29" s="135"/>
      <c r="P29" s="135"/>
      <c r="Q29" s="135"/>
      <c r="R29" s="135"/>
      <c r="S29" s="135"/>
      <c r="T29" s="145"/>
      <c r="U29" s="135"/>
      <c r="W29" s="136"/>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B2:W32"/>
  <sheetViews>
    <sheetView showGridLines="0" zoomScale="85" zoomScaleNormal="85" workbookViewId="0">
      <pane xSplit="6" ySplit="12" topLeftCell="H13" activePane="bottomRight" state="frozen"/>
      <selection pane="topRight"/>
      <selection pane="bottomLeft"/>
      <selection pane="bottomRight" activeCell="B44" sqref="B44"/>
    </sheetView>
  </sheetViews>
  <sheetFormatPr defaultColWidth="9.1796875" defaultRowHeight="12.5" x14ac:dyDescent="0.35"/>
  <cols>
    <col min="1" max="1" width="4" style="2" customWidth="1"/>
    <col min="2" max="2" width="66.1796875" style="2" customWidth="1"/>
    <col min="3" max="5" width="4.54296875" style="2" customWidth="1"/>
    <col min="6" max="6" width="13.26953125" style="2" customWidth="1"/>
    <col min="7" max="7" width="2.7265625" style="2" customWidth="1"/>
    <col min="8" max="8" width="13.7265625" style="2" customWidth="1"/>
    <col min="9" max="9" width="2.7265625" style="2" customWidth="1"/>
    <col min="10" max="10" width="13.7265625" style="2" customWidth="1"/>
    <col min="11" max="11" width="2.7265625" style="2" customWidth="1"/>
    <col min="12" max="12" width="14.1796875" style="2" bestFit="1" customWidth="1"/>
    <col min="13" max="14" width="15.81640625" style="2" bestFit="1" customWidth="1"/>
    <col min="15" max="15" width="14.1796875" style="2" bestFit="1" customWidth="1"/>
    <col min="16" max="16" width="15.81640625" style="2" bestFit="1" customWidth="1"/>
    <col min="17" max="17" width="13" style="2" bestFit="1" customWidth="1"/>
    <col min="18" max="18" width="14.7265625" style="2" customWidth="1"/>
    <col min="19" max="19" width="19.1796875" style="2" bestFit="1" customWidth="1"/>
    <col min="20" max="20" width="2.7265625" style="2" customWidth="1"/>
    <col min="21" max="21" width="17.1796875" style="2" customWidth="1"/>
    <col min="22" max="22" width="2.7265625" style="2" customWidth="1"/>
    <col min="23" max="23" width="13.7265625" style="2" customWidth="1"/>
    <col min="24" max="24" width="2.7265625" style="2" customWidth="1"/>
    <col min="25" max="39" width="13.7265625" style="2" customWidth="1"/>
    <col min="40" max="16384" width="9.1796875" style="2"/>
  </cols>
  <sheetData>
    <row r="2" spans="2:23" s="26" customFormat="1" ht="18" x14ac:dyDescent="0.35">
      <c r="B2" s="26" t="s">
        <v>285</v>
      </c>
    </row>
    <row r="4" spans="2:23" ht="13" x14ac:dyDescent="0.35">
      <c r="B4" s="1" t="s">
        <v>31</v>
      </c>
      <c r="C4" s="1"/>
      <c r="D4" s="1"/>
    </row>
    <row r="5" spans="2:23" ht="13" x14ac:dyDescent="0.35">
      <c r="B5" s="2" t="s">
        <v>127</v>
      </c>
      <c r="C5" s="1"/>
      <c r="D5" s="1"/>
    </row>
    <row r="6" spans="2:23" x14ac:dyDescent="0.35">
      <c r="B6" s="2" t="s">
        <v>286</v>
      </c>
      <c r="C6" s="3"/>
      <c r="D6" s="3"/>
      <c r="H6" s="27"/>
    </row>
    <row r="7" spans="2:23" x14ac:dyDescent="0.35">
      <c r="C7" s="3"/>
      <c r="D7" s="3"/>
      <c r="H7" s="27"/>
    </row>
    <row r="8" spans="2:23" ht="13" x14ac:dyDescent="0.35">
      <c r="B8" s="4" t="s">
        <v>32</v>
      </c>
      <c r="C8" s="3"/>
      <c r="D8" s="3"/>
      <c r="H8" s="27"/>
    </row>
    <row r="9" spans="2:23" ht="13" x14ac:dyDescent="0.35">
      <c r="B9" s="4" t="s">
        <v>308</v>
      </c>
      <c r="C9" s="3"/>
      <c r="D9" s="3"/>
      <c r="H9" s="27"/>
    </row>
    <row r="10" spans="2:23" x14ac:dyDescent="0.35">
      <c r="B10" s="27"/>
    </row>
    <row r="11" spans="2:23" s="8" customFormat="1" ht="13" x14ac:dyDescent="0.35">
      <c r="B11" s="8" t="s">
        <v>48</v>
      </c>
      <c r="F11" s="8" t="s">
        <v>29</v>
      </c>
      <c r="H11" s="8" t="s">
        <v>30</v>
      </c>
      <c r="J11" s="8" t="s">
        <v>133</v>
      </c>
      <c r="L11" s="8" t="s">
        <v>111</v>
      </c>
      <c r="M11" s="8" t="s">
        <v>112</v>
      </c>
      <c r="N11" s="8" t="s">
        <v>312</v>
      </c>
      <c r="O11" s="8" t="s">
        <v>311</v>
      </c>
      <c r="P11" s="8" t="s">
        <v>113</v>
      </c>
      <c r="Q11" s="8" t="s">
        <v>114</v>
      </c>
      <c r="U11" s="8" t="s">
        <v>49</v>
      </c>
      <c r="W11" s="8" t="s">
        <v>50</v>
      </c>
    </row>
    <row r="14" spans="2:23" s="8" customFormat="1" ht="13" x14ac:dyDescent="0.35">
      <c r="B14" s="8" t="s">
        <v>341</v>
      </c>
    </row>
    <row r="16" spans="2:23" ht="13" x14ac:dyDescent="0.35">
      <c r="B16" s="1" t="s">
        <v>110</v>
      </c>
      <c r="L16" s="27"/>
      <c r="M16" s="27"/>
      <c r="N16" s="27"/>
      <c r="O16" s="27"/>
      <c r="P16" s="27"/>
      <c r="Q16" s="27"/>
    </row>
    <row r="17" spans="2:23" x14ac:dyDescent="0.35">
      <c r="B17" s="2" t="s">
        <v>163</v>
      </c>
      <c r="F17" s="2" t="s">
        <v>331</v>
      </c>
      <c r="L17" s="110">
        <v>18</v>
      </c>
      <c r="M17" s="110">
        <v>18</v>
      </c>
      <c r="N17" s="170">
        <v>18.007200000000001</v>
      </c>
      <c r="O17" s="110">
        <v>18</v>
      </c>
      <c r="P17" s="110">
        <v>18</v>
      </c>
      <c r="Q17" s="110">
        <v>18</v>
      </c>
      <c r="U17" s="2" t="s">
        <v>328</v>
      </c>
      <c r="W17" s="27"/>
    </row>
    <row r="18" spans="2:23" ht="13" x14ac:dyDescent="0.35">
      <c r="B18" s="2" t="s">
        <v>164</v>
      </c>
      <c r="F18" s="2" t="s">
        <v>104</v>
      </c>
      <c r="J18" s="39">
        <f>SUMPRODUCT(L17:Q17,L18:Q18)/SUM(L18:Q18)</f>
        <v>18.002519253310886</v>
      </c>
      <c r="L18" s="110">
        <v>141944.87595628412</v>
      </c>
      <c r="M18" s="110">
        <v>2282439.1565265926</v>
      </c>
      <c r="N18" s="110">
        <v>2524370.8748670518</v>
      </c>
      <c r="O18" s="110">
        <v>104555.48666666665</v>
      </c>
      <c r="P18" s="110">
        <v>2107343.808447673</v>
      </c>
      <c r="Q18" s="110">
        <v>53971.742659219308</v>
      </c>
      <c r="U18" s="2" t="s">
        <v>287</v>
      </c>
    </row>
    <row r="19" spans="2:23" x14ac:dyDescent="0.35">
      <c r="L19" s="121"/>
      <c r="M19" s="121"/>
      <c r="N19" s="121"/>
      <c r="O19" s="121"/>
      <c r="P19" s="121"/>
      <c r="Q19" s="121"/>
    </row>
    <row r="20" spans="2:23" x14ac:dyDescent="0.35">
      <c r="B20" s="2" t="s">
        <v>165</v>
      </c>
      <c r="F20" s="2" t="s">
        <v>331</v>
      </c>
      <c r="L20" s="110">
        <v>33.462600000000002</v>
      </c>
      <c r="M20" s="110">
        <v>34.622100000000003</v>
      </c>
      <c r="N20" s="110">
        <v>39.601199999999999</v>
      </c>
      <c r="O20" s="110">
        <v>33.982999999999997</v>
      </c>
      <c r="P20" s="110">
        <v>34.090000000000003</v>
      </c>
      <c r="Q20" s="110">
        <v>27.953299999999999</v>
      </c>
    </row>
    <row r="21" spans="2:23" x14ac:dyDescent="0.35">
      <c r="B21" s="2" t="s">
        <v>166</v>
      </c>
      <c r="F21" s="2" t="s">
        <v>104</v>
      </c>
      <c r="L21" s="110">
        <v>3</v>
      </c>
      <c r="M21" s="110">
        <v>3</v>
      </c>
      <c r="N21" s="110">
        <v>3</v>
      </c>
      <c r="O21" s="110">
        <v>3</v>
      </c>
      <c r="P21" s="110">
        <v>3</v>
      </c>
      <c r="Q21" s="110">
        <v>3</v>
      </c>
    </row>
    <row r="22" spans="2:23" x14ac:dyDescent="0.35">
      <c r="B22" s="2" t="s">
        <v>167</v>
      </c>
      <c r="F22" s="2" t="s">
        <v>104</v>
      </c>
      <c r="J22" s="39">
        <f>SUMPRODUCT(L20:Q20,L21:Q21,L22:Q22)/SUM(L22:Q22)</f>
        <v>108.37413394574952</v>
      </c>
      <c r="L22" s="110">
        <v>467889.15918032784</v>
      </c>
      <c r="M22" s="110">
        <v>7328171.9287251653</v>
      </c>
      <c r="N22" s="110">
        <v>7874376.5576156462</v>
      </c>
      <c r="O22" s="110">
        <v>340514.64999999997</v>
      </c>
      <c r="P22" s="110">
        <v>6392096.3850025656</v>
      </c>
      <c r="Q22" s="110">
        <v>169231.35329768088</v>
      </c>
    </row>
    <row r="23" spans="2:23" x14ac:dyDescent="0.35">
      <c r="L23" s="121"/>
      <c r="M23" s="121"/>
      <c r="N23" s="121"/>
      <c r="O23" s="121"/>
      <c r="P23" s="121"/>
      <c r="Q23" s="121"/>
    </row>
    <row r="24" spans="2:23" x14ac:dyDescent="0.35">
      <c r="B24" s="2" t="s">
        <v>168</v>
      </c>
      <c r="F24" s="2" t="s">
        <v>331</v>
      </c>
      <c r="L24" s="110">
        <v>42.139200000000002</v>
      </c>
      <c r="M24" s="110">
        <v>42.03</v>
      </c>
      <c r="N24" s="110">
        <v>41.284799999999997</v>
      </c>
      <c r="O24" s="110">
        <v>43.16</v>
      </c>
      <c r="P24" s="110">
        <v>40.58</v>
      </c>
      <c r="Q24" s="110">
        <v>39.910000000000004</v>
      </c>
    </row>
    <row r="25" spans="2:23" x14ac:dyDescent="0.35">
      <c r="B25" s="2" t="s">
        <v>169</v>
      </c>
      <c r="F25" s="2" t="s">
        <v>104</v>
      </c>
      <c r="J25" s="39">
        <f>SUMPRODUCT(L24:Q24,L25:Q25)/SUM(L25:Q25)</f>
        <v>41.347474504100219</v>
      </c>
      <c r="L25" s="110">
        <v>139219.20644808744</v>
      </c>
      <c r="M25" s="110">
        <v>2241703.0557976454</v>
      </c>
      <c r="N25" s="110">
        <v>2483722.1559493248</v>
      </c>
      <c r="O25" s="110">
        <v>102655.68666666666</v>
      </c>
      <c r="P25" s="110">
        <v>2077535.275391184</v>
      </c>
      <c r="Q25" s="110">
        <v>53000.957282332471</v>
      </c>
    </row>
    <row r="26" spans="2:23" x14ac:dyDescent="0.35">
      <c r="L26" s="27"/>
      <c r="M26" s="27"/>
      <c r="N26" s="27"/>
      <c r="O26" s="27"/>
      <c r="P26" s="27"/>
      <c r="Q26" s="27"/>
    </row>
    <row r="27" spans="2:23" x14ac:dyDescent="0.35">
      <c r="L27" s="27"/>
      <c r="M27" s="27"/>
      <c r="N27" s="27"/>
      <c r="O27" s="27"/>
      <c r="P27" s="27"/>
      <c r="Q27" s="27"/>
    </row>
    <row r="28" spans="2:23" x14ac:dyDescent="0.35">
      <c r="L28" s="27"/>
      <c r="M28" s="27"/>
      <c r="N28" s="27"/>
      <c r="O28" s="27"/>
      <c r="P28" s="27"/>
      <c r="Q28" s="27"/>
    </row>
    <row r="29" spans="2:23" x14ac:dyDescent="0.35">
      <c r="L29" s="27"/>
      <c r="M29" s="27"/>
      <c r="N29" s="27"/>
      <c r="O29" s="27"/>
      <c r="P29" s="27"/>
      <c r="Q29" s="27"/>
    </row>
    <row r="30" spans="2:23" x14ac:dyDescent="0.35">
      <c r="L30" s="27"/>
      <c r="M30" s="129"/>
      <c r="N30" s="129"/>
      <c r="O30" s="27"/>
      <c r="P30" s="27"/>
      <c r="Q30" s="27"/>
    </row>
    <row r="31" spans="2:23" x14ac:dyDescent="0.35">
      <c r="M31" s="105"/>
      <c r="N31" s="105"/>
    </row>
    <row r="32" spans="2:23" x14ac:dyDescent="0.35">
      <c r="M32" s="105"/>
      <c r="N32" s="105"/>
    </row>
  </sheetData>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election activeCell="R30" sqref="R30"/>
    </sheetView>
  </sheetViews>
  <sheetFormatPr defaultColWidth="9.1796875" defaultRowHeight="12.5" x14ac:dyDescent="0.35"/>
  <cols>
    <col min="1" max="16384" width="9.1796875" style="3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pageSetUpPr fitToPage="1"/>
  </sheetPr>
  <dimension ref="A2:R118"/>
  <sheetViews>
    <sheetView showGridLines="0" zoomScale="85" zoomScaleNormal="85" workbookViewId="0">
      <pane xSplit="6" ySplit="11" topLeftCell="G80" activePane="bottomRight" state="frozen"/>
      <selection pane="topRight"/>
      <selection pane="bottomLeft"/>
      <selection pane="bottomRight" activeCell="T102" sqref="T102"/>
    </sheetView>
  </sheetViews>
  <sheetFormatPr defaultColWidth="9.1796875" defaultRowHeight="12.5" x14ac:dyDescent="0.25"/>
  <cols>
    <col min="1" max="1" width="4.54296875" style="2" customWidth="1"/>
    <col min="2" max="2" width="41.453125" style="2" customWidth="1"/>
    <col min="3" max="4" width="4.54296875" style="2" customWidth="1"/>
    <col min="5" max="5" width="20.26953125" style="2" customWidth="1"/>
    <col min="6" max="6" width="14.81640625" style="100" customWidth="1"/>
    <col min="7" max="7" width="2.7265625" style="2" customWidth="1"/>
    <col min="8" max="8" width="13.7265625" style="2" customWidth="1"/>
    <col min="9" max="9" width="2.7265625" style="2" customWidth="1"/>
    <col min="10" max="10" width="13.7265625" style="2" customWidth="1"/>
    <col min="11" max="11" width="2.7265625" style="2" customWidth="1"/>
    <col min="12" max="13" width="12.54296875" style="2" customWidth="1"/>
    <col min="14" max="14" width="14.7265625" style="2" bestFit="1" customWidth="1"/>
    <col min="15" max="17" width="2.7265625" style="2" customWidth="1"/>
    <col min="18" max="32" width="13.7265625" style="2" customWidth="1"/>
    <col min="33" max="16384" width="9.1796875" style="2"/>
  </cols>
  <sheetData>
    <row r="2" spans="2:18" s="26" customFormat="1" ht="18" x14ac:dyDescent="0.35">
      <c r="B2" s="26" t="s">
        <v>156</v>
      </c>
      <c r="F2" s="107"/>
    </row>
    <row r="4" spans="2:18" ht="13" x14ac:dyDescent="0.25">
      <c r="B4" s="1" t="s">
        <v>62</v>
      </c>
      <c r="C4" s="1"/>
      <c r="D4" s="1"/>
    </row>
    <row r="5" spans="2:18" ht="13" x14ac:dyDescent="0.25">
      <c r="B5" s="2" t="s">
        <v>320</v>
      </c>
      <c r="C5" s="1"/>
      <c r="D5" s="1"/>
    </row>
    <row r="6" spans="2:18" x14ac:dyDescent="0.25">
      <c r="B6" s="2" t="s">
        <v>317</v>
      </c>
      <c r="C6" s="3"/>
      <c r="D6" s="3"/>
      <c r="H6" s="27"/>
    </row>
    <row r="7" spans="2:18" x14ac:dyDescent="0.25">
      <c r="B7" s="2" t="s">
        <v>302</v>
      </c>
      <c r="C7" s="3"/>
      <c r="D7" s="3"/>
      <c r="H7" s="27"/>
    </row>
    <row r="8" spans="2:18" x14ac:dyDescent="0.25">
      <c r="B8" s="2" t="s">
        <v>318</v>
      </c>
      <c r="C8" s="3"/>
      <c r="D8" s="3"/>
      <c r="H8" s="27"/>
    </row>
    <row r="9" spans="2:18" x14ac:dyDescent="0.25">
      <c r="C9" s="3"/>
      <c r="D9" s="3"/>
      <c r="H9" s="27"/>
    </row>
    <row r="10" spans="2:18" s="8" customFormat="1" ht="13" x14ac:dyDescent="0.35">
      <c r="B10" s="8" t="s">
        <v>48</v>
      </c>
      <c r="E10" s="8" t="s">
        <v>29</v>
      </c>
      <c r="F10" s="8" t="s">
        <v>276</v>
      </c>
      <c r="H10" s="8" t="s">
        <v>30</v>
      </c>
      <c r="J10" s="8" t="s">
        <v>52</v>
      </c>
      <c r="L10" s="8" t="s">
        <v>147</v>
      </c>
      <c r="N10" s="8" t="s">
        <v>177</v>
      </c>
      <c r="R10" s="8" t="s">
        <v>50</v>
      </c>
    </row>
    <row r="13" spans="2:18" s="8" customFormat="1" ht="13" x14ac:dyDescent="0.35">
      <c r="B13" s="8" t="s">
        <v>51</v>
      </c>
    </row>
    <row r="15" spans="2:18" ht="13" x14ac:dyDescent="0.25">
      <c r="B15" s="1" t="s">
        <v>70</v>
      </c>
    </row>
    <row r="16" spans="2:18" x14ac:dyDescent="0.25">
      <c r="B16" s="41" t="s">
        <v>196</v>
      </c>
      <c r="E16" s="2" t="s">
        <v>80</v>
      </c>
      <c r="H16" s="92">
        <f>'Gegevens warmteregeling &amp; ACM'!I30</f>
        <v>3.5799999999999998E-2</v>
      </c>
    </row>
    <row r="17" spans="2:12" x14ac:dyDescent="0.25">
      <c r="B17" s="2" t="s">
        <v>91</v>
      </c>
      <c r="E17" s="2" t="s">
        <v>80</v>
      </c>
      <c r="H17" s="92">
        <f>'Gegevens warmteregeling &amp; ACM'!I21</f>
        <v>1.4E-2</v>
      </c>
    </row>
    <row r="18" spans="2:12" x14ac:dyDescent="0.25">
      <c r="B18" s="2" t="s">
        <v>92</v>
      </c>
      <c r="E18" s="2" t="s">
        <v>80</v>
      </c>
      <c r="H18" s="92">
        <f>'Gegevens warmteregeling &amp; ACM'!I22</f>
        <v>2.1000000000000001E-2</v>
      </c>
    </row>
    <row r="19" spans="2:12" x14ac:dyDescent="0.25">
      <c r="B19" s="2" t="s">
        <v>93</v>
      </c>
      <c r="C19" s="27"/>
      <c r="E19" s="2" t="s">
        <v>80</v>
      </c>
      <c r="H19" s="92">
        <f>'Gegevens warmteregeling &amp; ACM'!I23</f>
        <v>2.8000000000000001E-2</v>
      </c>
      <c r="I19" s="106"/>
      <c r="K19" s="51"/>
    </row>
    <row r="20" spans="2:12" x14ac:dyDescent="0.25">
      <c r="B20" s="2" t="s">
        <v>275</v>
      </c>
      <c r="C20" s="27"/>
      <c r="E20" s="2" t="s">
        <v>80</v>
      </c>
      <c r="H20" s="92">
        <f>'Gegevens warmteregeling &amp; ACM'!I24</f>
        <v>7.0000000000000001E-3</v>
      </c>
      <c r="I20" s="106"/>
      <c r="K20" s="51"/>
    </row>
    <row r="21" spans="2:12" x14ac:dyDescent="0.25">
      <c r="B21" s="2" t="s">
        <v>289</v>
      </c>
      <c r="C21" s="27"/>
      <c r="E21" s="2" t="s">
        <v>80</v>
      </c>
      <c r="H21" s="92">
        <f>'Gegevens warmteregeling &amp; ACM'!I25</f>
        <v>2.4E-2</v>
      </c>
      <c r="I21" s="106"/>
      <c r="K21" s="51"/>
    </row>
    <row r="22" spans="2:12" x14ac:dyDescent="0.25">
      <c r="B22" s="2" t="s">
        <v>313</v>
      </c>
      <c r="C22" s="27"/>
      <c r="E22" s="2" t="s">
        <v>80</v>
      </c>
      <c r="H22" s="92">
        <f>'Gegevens warmteregeling &amp; ACM'!I26</f>
        <v>0.12</v>
      </c>
      <c r="I22" s="106"/>
      <c r="K22" s="51"/>
    </row>
    <row r="23" spans="2:12" x14ac:dyDescent="0.25">
      <c r="B23" s="2" t="s">
        <v>330</v>
      </c>
      <c r="C23" s="27"/>
      <c r="E23" s="2" t="s">
        <v>80</v>
      </c>
      <c r="H23" s="92">
        <f>'Gegevens warmteregeling &amp; ACM'!I27</f>
        <v>0.03</v>
      </c>
      <c r="I23" s="106"/>
      <c r="K23" s="51"/>
    </row>
    <row r="24" spans="2:12" x14ac:dyDescent="0.25">
      <c r="B24" s="41" t="s">
        <v>335</v>
      </c>
      <c r="E24" s="2" t="s">
        <v>104</v>
      </c>
      <c r="H24" s="40">
        <f>'Gegevens warmteregeling &amp; ACM'!I28</f>
        <v>1.2660226813082076</v>
      </c>
    </row>
    <row r="25" spans="2:12" x14ac:dyDescent="0.25">
      <c r="B25" s="2" t="s">
        <v>71</v>
      </c>
      <c r="E25" s="2" t="s">
        <v>80</v>
      </c>
      <c r="H25" s="42">
        <f>'Gegevens warmteregeling &amp; ACM'!I17</f>
        <v>0.21</v>
      </c>
    </row>
    <row r="26" spans="2:12" x14ac:dyDescent="0.25">
      <c r="B26" s="2" t="s">
        <v>134</v>
      </c>
      <c r="E26" s="2" t="s">
        <v>104</v>
      </c>
      <c r="H26" s="40">
        <f>'Gegevens warmteregeling &amp; ACM'!I41</f>
        <v>0.5</v>
      </c>
    </row>
    <row r="27" spans="2:12" ht="13" x14ac:dyDescent="0.25">
      <c r="B27" s="1"/>
    </row>
    <row r="28" spans="2:12" ht="13" x14ac:dyDescent="0.25">
      <c r="B28" s="1" t="s">
        <v>316</v>
      </c>
    </row>
    <row r="29" spans="2:12" x14ac:dyDescent="0.25">
      <c r="B29" s="2" t="s">
        <v>158</v>
      </c>
      <c r="E29" s="2" t="s">
        <v>309</v>
      </c>
      <c r="F29" s="100" t="s">
        <v>325</v>
      </c>
      <c r="L29" s="82">
        <f>Gasleveranciers!J21</f>
        <v>72.725474047866044</v>
      </c>
    </row>
    <row r="30" spans="2:12" x14ac:dyDescent="0.25">
      <c r="L30" s="105"/>
    </row>
    <row r="31" spans="2:12" ht="13" x14ac:dyDescent="0.25">
      <c r="B31" s="1" t="s">
        <v>316</v>
      </c>
      <c r="L31" s="105"/>
    </row>
    <row r="32" spans="2:12" x14ac:dyDescent="0.25">
      <c r="B32" s="2" t="s">
        <v>159</v>
      </c>
      <c r="E32" s="2" t="s">
        <v>309</v>
      </c>
      <c r="F32" s="100" t="s">
        <v>325</v>
      </c>
      <c r="L32" s="82">
        <f>Netbeheer!J18</f>
        <v>18.002519253310886</v>
      </c>
    </row>
    <row r="33" spans="2:14" x14ac:dyDescent="0.25">
      <c r="B33" s="2" t="s">
        <v>161</v>
      </c>
      <c r="E33" s="2" t="s">
        <v>309</v>
      </c>
      <c r="F33" s="100" t="s">
        <v>325</v>
      </c>
      <c r="L33" s="82">
        <f>Netbeheer!J22</f>
        <v>108.37413394574952</v>
      </c>
    </row>
    <row r="34" spans="2:14" x14ac:dyDescent="0.25">
      <c r="B34" s="2" t="s">
        <v>160</v>
      </c>
      <c r="E34" s="2" t="s">
        <v>309</v>
      </c>
      <c r="F34" s="100" t="s">
        <v>325</v>
      </c>
      <c r="L34" s="82">
        <f>Netbeheer!J25</f>
        <v>41.347474504100219</v>
      </c>
    </row>
    <row r="35" spans="2:14" x14ac:dyDescent="0.25">
      <c r="L35" s="105"/>
    </row>
    <row r="36" spans="2:14" ht="13" x14ac:dyDescent="0.25">
      <c r="B36" s="1" t="s">
        <v>84</v>
      </c>
      <c r="F36" s="128"/>
      <c r="L36" s="105"/>
    </row>
    <row r="37" spans="2:14" x14ac:dyDescent="0.25">
      <c r="B37" s="2" t="s">
        <v>135</v>
      </c>
      <c r="E37" s="2" t="s">
        <v>182</v>
      </c>
      <c r="F37" s="122" t="s">
        <v>327</v>
      </c>
      <c r="L37" s="82">
        <f>'Gegevens warmteregeling &amp; ACM'!I45</f>
        <v>1486.53</v>
      </c>
      <c r="M37" s="50"/>
    </row>
    <row r="38" spans="2:14" x14ac:dyDescent="0.25">
      <c r="B38" s="2" t="s">
        <v>173</v>
      </c>
      <c r="E38" s="2" t="s">
        <v>182</v>
      </c>
      <c r="F38" s="122" t="s">
        <v>371</v>
      </c>
      <c r="L38" s="82">
        <f>'Gegevens warmteregeling &amp; ACM'!I46</f>
        <v>204.28</v>
      </c>
      <c r="M38" s="50"/>
    </row>
    <row r="39" spans="2:14" x14ac:dyDescent="0.25">
      <c r="B39" s="2" t="s">
        <v>135</v>
      </c>
      <c r="E39" s="2" t="s">
        <v>182</v>
      </c>
      <c r="F39" s="122" t="s">
        <v>378</v>
      </c>
      <c r="H39" s="90"/>
      <c r="L39" s="50"/>
      <c r="M39" s="50"/>
      <c r="N39" s="82">
        <f>'Gegevens warmteregeling &amp; ACM'!I58</f>
        <v>112872</v>
      </c>
    </row>
    <row r="40" spans="2:14" x14ac:dyDescent="0.25">
      <c r="B40" s="2" t="s">
        <v>173</v>
      </c>
      <c r="E40" s="2" t="s">
        <v>182</v>
      </c>
      <c r="F40" s="122" t="s">
        <v>378</v>
      </c>
      <c r="H40" s="90"/>
      <c r="L40" s="50"/>
      <c r="M40" s="50"/>
      <c r="N40" s="42">
        <f>'Gegevens warmteregeling &amp; ACM'!I59</f>
        <v>0.03</v>
      </c>
    </row>
    <row r="41" spans="2:14" x14ac:dyDescent="0.25">
      <c r="B41" s="2" t="s">
        <v>88</v>
      </c>
      <c r="E41" s="2" t="s">
        <v>87</v>
      </c>
      <c r="H41" s="49">
        <f>'Gegevens warmteregeling &amp; ACM'!I50</f>
        <v>15</v>
      </c>
      <c r="L41" s="50"/>
      <c r="M41" s="50"/>
      <c r="N41" s="93"/>
    </row>
    <row r="42" spans="2:14" x14ac:dyDescent="0.25">
      <c r="B42" s="2" t="s">
        <v>226</v>
      </c>
      <c r="E42" s="2" t="s">
        <v>104</v>
      </c>
      <c r="H42" s="40">
        <v>0.5</v>
      </c>
      <c r="L42" s="50"/>
      <c r="M42" s="50"/>
      <c r="N42" s="93"/>
    </row>
    <row r="43" spans="2:14" x14ac:dyDescent="0.25">
      <c r="L43" s="50"/>
      <c r="M43" s="50"/>
      <c r="N43" s="50"/>
    </row>
    <row r="44" spans="2:14" ht="13" x14ac:dyDescent="0.25">
      <c r="B44" s="1" t="s">
        <v>85</v>
      </c>
      <c r="L44" s="50"/>
      <c r="M44" s="50"/>
      <c r="N44" s="50"/>
    </row>
    <row r="45" spans="2:14" x14ac:dyDescent="0.25">
      <c r="B45" s="2" t="s">
        <v>136</v>
      </c>
      <c r="E45" s="2" t="s">
        <v>182</v>
      </c>
      <c r="F45" s="100" t="s">
        <v>327</v>
      </c>
      <c r="L45" s="82">
        <f>'Gegevens warmteregeling &amp; ACM'!I47</f>
        <v>1044</v>
      </c>
      <c r="M45" s="105"/>
      <c r="N45" s="105"/>
    </row>
    <row r="46" spans="2:14" x14ac:dyDescent="0.25">
      <c r="B46" s="2" t="s">
        <v>172</v>
      </c>
      <c r="E46" s="2" t="s">
        <v>182</v>
      </c>
      <c r="F46" s="130" t="s">
        <v>325</v>
      </c>
      <c r="L46" s="82">
        <f>'Gegevens warmteregeling &amp; ACM'!I48</f>
        <v>31.86</v>
      </c>
      <c r="M46" s="105"/>
      <c r="N46" s="105"/>
    </row>
    <row r="47" spans="2:14" x14ac:dyDescent="0.25">
      <c r="B47" s="2" t="s">
        <v>136</v>
      </c>
      <c r="E47" s="2" t="s">
        <v>182</v>
      </c>
      <c r="F47" s="100" t="s">
        <v>327</v>
      </c>
      <c r="L47" s="153"/>
      <c r="M47" s="105"/>
      <c r="N47" s="82">
        <f>'Gegevens warmteregeling &amp; ACM'!I60</f>
        <v>48024.26</v>
      </c>
    </row>
    <row r="48" spans="2:14" x14ac:dyDescent="0.25">
      <c r="B48" s="2" t="s">
        <v>172</v>
      </c>
      <c r="E48" s="2" t="s">
        <v>182</v>
      </c>
      <c r="F48" s="100" t="s">
        <v>327</v>
      </c>
      <c r="L48" s="93"/>
      <c r="M48" s="50"/>
      <c r="N48" s="42">
        <f>'Gegevens warmteregeling &amp; ACM'!I61</f>
        <v>0.02</v>
      </c>
    </row>
    <row r="49" spans="2:18" x14ac:dyDescent="0.25">
      <c r="B49" s="2" t="s">
        <v>89</v>
      </c>
      <c r="E49" s="2" t="s">
        <v>87</v>
      </c>
      <c r="H49" s="49">
        <f>'Gegevens warmteregeling &amp; ACM'!I51</f>
        <v>15</v>
      </c>
      <c r="L49" s="50"/>
      <c r="M49" s="50"/>
      <c r="N49" s="93"/>
    </row>
    <row r="50" spans="2:18" x14ac:dyDescent="0.25">
      <c r="B50" s="2" t="s">
        <v>226</v>
      </c>
      <c r="E50" s="2" t="s">
        <v>104</v>
      </c>
      <c r="H50" s="40">
        <v>0.5</v>
      </c>
      <c r="L50" s="50"/>
      <c r="M50" s="50"/>
      <c r="N50" s="93"/>
    </row>
    <row r="51" spans="2:18" x14ac:dyDescent="0.25">
      <c r="L51" s="50"/>
      <c r="M51" s="50"/>
      <c r="N51" s="50"/>
    </row>
    <row r="52" spans="2:18" x14ac:dyDescent="0.25">
      <c r="B52" s="41" t="s">
        <v>137</v>
      </c>
      <c r="E52" s="2" t="s">
        <v>182</v>
      </c>
      <c r="F52" s="130" t="s">
        <v>325</v>
      </c>
      <c r="L52" s="82">
        <f>'Gegevens warmteregeling &amp; ACM'!I54</f>
        <v>26.18</v>
      </c>
      <c r="M52" s="105"/>
      <c r="N52" s="82">
        <f>'Gegevens warmteregeling &amp; ACM'!I54</f>
        <v>26.18</v>
      </c>
      <c r="R52" s="27"/>
    </row>
    <row r="53" spans="2:18" x14ac:dyDescent="0.25">
      <c r="B53" s="41" t="s">
        <v>150</v>
      </c>
      <c r="E53" s="2" t="s">
        <v>182</v>
      </c>
      <c r="F53" s="122" t="s">
        <v>243</v>
      </c>
      <c r="L53" s="105"/>
      <c r="M53" s="105"/>
      <c r="N53" s="82">
        <f>'Gegevens warmteregeling &amp; ACM'!I66</f>
        <v>3874</v>
      </c>
    </row>
    <row r="54" spans="2:18" x14ac:dyDescent="0.25">
      <c r="B54" s="51"/>
      <c r="L54" s="105"/>
      <c r="M54" s="105"/>
      <c r="N54" s="157"/>
    </row>
    <row r="55" spans="2:18" ht="13" x14ac:dyDescent="0.25">
      <c r="B55" s="35" t="s">
        <v>143</v>
      </c>
      <c r="L55" s="105"/>
      <c r="M55" s="105"/>
      <c r="N55" s="157"/>
    </row>
    <row r="56" spans="2:18" x14ac:dyDescent="0.25">
      <c r="B56" s="2" t="s">
        <v>108</v>
      </c>
      <c r="E56" s="2" t="s">
        <v>195</v>
      </c>
      <c r="F56" s="122" t="s">
        <v>243</v>
      </c>
      <c r="L56" s="82">
        <f>'Gegevens warmteregeling &amp; ACM'!I71</f>
        <v>245.27</v>
      </c>
      <c r="M56" s="105"/>
      <c r="N56" s="157"/>
    </row>
    <row r="57" spans="2:18" x14ac:dyDescent="0.25">
      <c r="B57" s="2" t="s">
        <v>126</v>
      </c>
      <c r="E57" s="2" t="s">
        <v>195</v>
      </c>
      <c r="F57" s="122" t="s">
        <v>243</v>
      </c>
      <c r="L57" s="82">
        <f>'Gegevens warmteregeling &amp; ACM'!I72</f>
        <v>62.06</v>
      </c>
      <c r="M57" s="105"/>
      <c r="N57" s="157"/>
    </row>
    <row r="58" spans="2:18" x14ac:dyDescent="0.25">
      <c r="B58" s="51"/>
      <c r="F58" s="122"/>
      <c r="L58" s="105"/>
      <c r="M58" s="105"/>
      <c r="N58" s="157"/>
    </row>
    <row r="59" spans="2:18" ht="13" x14ac:dyDescent="0.25">
      <c r="B59" s="35" t="s">
        <v>144</v>
      </c>
      <c r="F59" s="122"/>
      <c r="L59" s="105"/>
      <c r="M59" s="105"/>
      <c r="N59" s="157"/>
    </row>
    <row r="60" spans="2:18" x14ac:dyDescent="0.25">
      <c r="B60" s="2" t="s">
        <v>152</v>
      </c>
      <c r="E60" s="2" t="s">
        <v>195</v>
      </c>
      <c r="F60" s="122" t="s">
        <v>243</v>
      </c>
      <c r="L60" s="82">
        <f>'Gegevens warmteregeling &amp; ACM'!I77</f>
        <v>222.5</v>
      </c>
      <c r="M60" s="105"/>
      <c r="N60" s="157"/>
    </row>
    <row r="61" spans="2:18" x14ac:dyDescent="0.25">
      <c r="B61" s="2" t="s">
        <v>151</v>
      </c>
      <c r="E61" s="2" t="s">
        <v>195</v>
      </c>
      <c r="F61" s="122" t="s">
        <v>243</v>
      </c>
      <c r="L61" s="82">
        <f>'Gegevens warmteregeling &amp; ACM'!I78</f>
        <v>54.11</v>
      </c>
      <c r="M61" s="105"/>
      <c r="N61" s="105"/>
    </row>
    <row r="62" spans="2:18" x14ac:dyDescent="0.25">
      <c r="F62" s="128"/>
    </row>
    <row r="63" spans="2:18" s="8" customFormat="1" ht="13" x14ac:dyDescent="0.35">
      <c r="B63" s="8" t="s">
        <v>83</v>
      </c>
    </row>
    <row r="65" spans="2:18" ht="13" x14ac:dyDescent="0.25">
      <c r="B65" s="1" t="s">
        <v>336</v>
      </c>
    </row>
    <row r="66" spans="2:18" x14ac:dyDescent="0.25">
      <c r="B66" s="2" t="s">
        <v>158</v>
      </c>
      <c r="E66" s="2" t="s">
        <v>309</v>
      </c>
      <c r="F66" s="100" t="s">
        <v>325</v>
      </c>
      <c r="L66" s="39">
        <f>L29</f>
        <v>72.725474047866044</v>
      </c>
    </row>
    <row r="68" spans="2:18" ht="13" x14ac:dyDescent="0.25">
      <c r="B68" s="1" t="s">
        <v>336</v>
      </c>
    </row>
    <row r="69" spans="2:18" x14ac:dyDescent="0.25">
      <c r="B69" s="2" t="s">
        <v>162</v>
      </c>
      <c r="E69" s="2" t="s">
        <v>309</v>
      </c>
      <c r="F69" s="100" t="s">
        <v>325</v>
      </c>
      <c r="L69" s="39">
        <f>L32</f>
        <v>18.002519253310886</v>
      </c>
    </row>
    <row r="70" spans="2:18" x14ac:dyDescent="0.25">
      <c r="B70" s="2" t="s">
        <v>161</v>
      </c>
      <c r="E70" s="2" t="s">
        <v>309</v>
      </c>
      <c r="F70" s="100" t="s">
        <v>325</v>
      </c>
      <c r="L70" s="39">
        <f>L33</f>
        <v>108.37413394574952</v>
      </c>
    </row>
    <row r="71" spans="2:18" x14ac:dyDescent="0.25">
      <c r="B71" s="2" t="s">
        <v>160</v>
      </c>
      <c r="E71" s="2" t="s">
        <v>309</v>
      </c>
      <c r="F71" s="100" t="s">
        <v>325</v>
      </c>
      <c r="K71" s="37"/>
      <c r="L71" s="39">
        <f>L34</f>
        <v>41.347474504100219</v>
      </c>
      <c r="M71" s="37"/>
    </row>
    <row r="72" spans="2:18" x14ac:dyDescent="0.25">
      <c r="B72" s="45" t="s">
        <v>145</v>
      </c>
      <c r="E72" s="2" t="s">
        <v>309</v>
      </c>
      <c r="F72" s="100" t="s">
        <v>325</v>
      </c>
      <c r="K72" s="37"/>
      <c r="L72" s="38">
        <f>SUM(L66:L71)</f>
        <v>240.44960175102665</v>
      </c>
      <c r="M72" s="37"/>
      <c r="N72" s="52"/>
    </row>
    <row r="73" spans="2:18" x14ac:dyDescent="0.25">
      <c r="B73" s="45"/>
      <c r="K73" s="37"/>
      <c r="L73" s="96"/>
      <c r="M73" s="37"/>
      <c r="N73" s="52"/>
    </row>
    <row r="74" spans="2:18" ht="13" x14ac:dyDescent="0.25">
      <c r="B74" s="95" t="s">
        <v>227</v>
      </c>
      <c r="K74" s="37"/>
      <c r="L74" s="96"/>
      <c r="M74" s="37"/>
      <c r="N74" s="52"/>
    </row>
    <row r="75" spans="2:18" x14ac:dyDescent="0.25">
      <c r="B75" s="45" t="s">
        <v>145</v>
      </c>
      <c r="E75" s="2" t="s">
        <v>309</v>
      </c>
      <c r="F75" s="100" t="s">
        <v>325</v>
      </c>
      <c r="K75" s="37"/>
      <c r="L75" s="38">
        <f>L72*H26</f>
        <v>120.22480087551332</v>
      </c>
      <c r="M75" s="37"/>
      <c r="N75" s="52"/>
    </row>
    <row r="77" spans="2:18" s="8" customFormat="1" ht="13" x14ac:dyDescent="0.35">
      <c r="B77" s="8" t="s">
        <v>94</v>
      </c>
    </row>
    <row r="79" spans="2:18" ht="13" x14ac:dyDescent="0.25">
      <c r="B79" s="1" t="s">
        <v>122</v>
      </c>
      <c r="L79" s="1"/>
    </row>
    <row r="80" spans="2:18" x14ac:dyDescent="0.25">
      <c r="B80" s="2" t="s">
        <v>135</v>
      </c>
      <c r="E80" s="2" t="s">
        <v>182</v>
      </c>
      <c r="F80" s="122" t="s">
        <v>327</v>
      </c>
      <c r="L80" s="40">
        <f>L37</f>
        <v>1486.53</v>
      </c>
      <c r="N80" s="39">
        <f>((((N39/(1+H22)^0.5)/(1+H21))/(1+H20))/(1+(H19))/((1+H18)^0.5))</f>
        <v>99573.046816863134</v>
      </c>
      <c r="R80" s="27"/>
    </row>
    <row r="81" spans="1:14" x14ac:dyDescent="0.25">
      <c r="B81" s="2" t="s">
        <v>115</v>
      </c>
      <c r="E81" s="2" t="s">
        <v>182</v>
      </c>
      <c r="L81" s="39">
        <f>L37/H41</f>
        <v>99.102000000000004</v>
      </c>
      <c r="N81" s="39">
        <f>N39/H41</f>
        <v>7524.8</v>
      </c>
    </row>
    <row r="82" spans="1:14" x14ac:dyDescent="0.25">
      <c r="B82" s="2" t="s">
        <v>116</v>
      </c>
      <c r="E82" s="2" t="s">
        <v>182</v>
      </c>
      <c r="F82" s="122" t="s">
        <v>327</v>
      </c>
      <c r="L82" s="39">
        <f>L80*H42</f>
        <v>743.26499999999999</v>
      </c>
      <c r="N82" s="39">
        <f>N80*H42</f>
        <v>49786.523408431567</v>
      </c>
    </row>
    <row r="83" spans="1:14" x14ac:dyDescent="0.25">
      <c r="B83" s="2" t="s">
        <v>171</v>
      </c>
      <c r="E83" s="2" t="s">
        <v>182</v>
      </c>
      <c r="F83" s="119" t="s">
        <v>325</v>
      </c>
      <c r="L83" s="39">
        <f>L82*H16</f>
        <v>26.608886999999999</v>
      </c>
      <c r="N83" s="39">
        <f>H16*N82</f>
        <v>1782.3575380218501</v>
      </c>
    </row>
    <row r="84" spans="1:14" x14ac:dyDescent="0.25">
      <c r="B84" s="2" t="s">
        <v>121</v>
      </c>
      <c r="E84" s="2" t="s">
        <v>182</v>
      </c>
      <c r="F84" s="119" t="s">
        <v>325</v>
      </c>
      <c r="L84" s="39">
        <f>L81+L83</f>
        <v>125.710887</v>
      </c>
      <c r="N84" s="39">
        <f>N81+N83</f>
        <v>9307.157538021851</v>
      </c>
    </row>
    <row r="85" spans="1:14" x14ac:dyDescent="0.25">
      <c r="A85" s="27"/>
      <c r="B85" s="2" t="s">
        <v>173</v>
      </c>
      <c r="E85" s="2" t="s">
        <v>182</v>
      </c>
      <c r="F85" s="142" t="s">
        <v>325</v>
      </c>
      <c r="L85" s="68">
        <f>L38*(1+H23)*(1+H22)</f>
        <v>235.65740800000003</v>
      </c>
      <c r="N85" s="68">
        <f>N39*N40*((1+H23)^0.5)</f>
        <v>3436.5770662052669</v>
      </c>
    </row>
    <row r="86" spans="1:14" x14ac:dyDescent="0.25">
      <c r="A86" s="27"/>
      <c r="J86" s="27"/>
      <c r="L86" s="51"/>
      <c r="N86" s="51"/>
    </row>
    <row r="87" spans="1:14" ht="13" x14ac:dyDescent="0.25">
      <c r="A87" s="27"/>
      <c r="B87" s="1" t="s">
        <v>124</v>
      </c>
      <c r="L87" s="51"/>
      <c r="N87" s="51"/>
    </row>
    <row r="88" spans="1:14" x14ac:dyDescent="0.25">
      <c r="A88" s="27"/>
      <c r="B88" s="51" t="s">
        <v>150</v>
      </c>
      <c r="E88" s="2" t="s">
        <v>182</v>
      </c>
      <c r="F88" s="119" t="s">
        <v>325</v>
      </c>
      <c r="L88" s="51"/>
      <c r="N88" s="39">
        <f>N53*H24</f>
        <v>4904.5718673879965</v>
      </c>
    </row>
    <row r="90" spans="1:14" s="8" customFormat="1" ht="13" x14ac:dyDescent="0.35">
      <c r="B90" s="8" t="s">
        <v>95</v>
      </c>
    </row>
    <row r="92" spans="1:14" ht="13" x14ac:dyDescent="0.25">
      <c r="B92" s="1" t="s">
        <v>123</v>
      </c>
      <c r="L92" s="1"/>
    </row>
    <row r="93" spans="1:14" x14ac:dyDescent="0.25">
      <c r="B93" s="2" t="s">
        <v>136</v>
      </c>
      <c r="E93" s="2" t="s">
        <v>182</v>
      </c>
      <c r="F93" s="119" t="s">
        <v>327</v>
      </c>
      <c r="L93" s="40">
        <f>L45</f>
        <v>1044</v>
      </c>
      <c r="N93" s="40">
        <f>N47</f>
        <v>48024.26</v>
      </c>
    </row>
    <row r="94" spans="1:14" x14ac:dyDescent="0.25">
      <c r="B94" s="2" t="s">
        <v>115</v>
      </c>
      <c r="E94" s="2" t="s">
        <v>182</v>
      </c>
      <c r="L94" s="39">
        <f>L93/H49</f>
        <v>69.599999999999994</v>
      </c>
      <c r="N94" s="39">
        <f>N93/H49</f>
        <v>3201.6173333333336</v>
      </c>
    </row>
    <row r="95" spans="1:14" x14ac:dyDescent="0.25">
      <c r="B95" s="2" t="s">
        <v>119</v>
      </c>
      <c r="E95" s="2" t="s">
        <v>182</v>
      </c>
      <c r="F95" s="119" t="s">
        <v>327</v>
      </c>
      <c r="L95" s="39">
        <f>L93*H50</f>
        <v>522</v>
      </c>
      <c r="N95" s="39">
        <f>N93*H50</f>
        <v>24012.13</v>
      </c>
    </row>
    <row r="96" spans="1:14" x14ac:dyDescent="0.25">
      <c r="B96" s="2" t="s">
        <v>171</v>
      </c>
      <c r="E96" s="2" t="s">
        <v>182</v>
      </c>
      <c r="F96" s="119" t="s">
        <v>325</v>
      </c>
      <c r="L96" s="39">
        <f>L95*H16</f>
        <v>18.6876</v>
      </c>
      <c r="N96" s="39">
        <f>H16*N95</f>
        <v>859.63425400000006</v>
      </c>
    </row>
    <row r="97" spans="1:18" x14ac:dyDescent="0.25">
      <c r="B97" s="2" t="s">
        <v>120</v>
      </c>
      <c r="E97" s="2" t="s">
        <v>182</v>
      </c>
      <c r="F97" s="119" t="s">
        <v>325</v>
      </c>
      <c r="L97" s="39">
        <f>L94+L96</f>
        <v>88.287599999999998</v>
      </c>
      <c r="N97" s="39">
        <f>N94+N96</f>
        <v>4061.2515873333336</v>
      </c>
    </row>
    <row r="98" spans="1:18" x14ac:dyDescent="0.25">
      <c r="A98" s="27"/>
      <c r="B98" s="2" t="s">
        <v>172</v>
      </c>
      <c r="E98" s="2" t="s">
        <v>182</v>
      </c>
      <c r="F98" s="119" t="s">
        <v>325</v>
      </c>
      <c r="L98" s="40">
        <f>L46</f>
        <v>31.86</v>
      </c>
      <c r="N98" s="68">
        <f>N47*N48*((1+H18)*(1+H19)*(1+H20)*(1+H21)*(1+H22)*(1+H23))</f>
        <v>1199.2071481862426</v>
      </c>
    </row>
    <row r="99" spans="1:18" x14ac:dyDescent="0.25">
      <c r="J99" s="27"/>
    </row>
    <row r="100" spans="1:18" s="8" customFormat="1" ht="13" x14ac:dyDescent="0.35">
      <c r="B100" s="8" t="s">
        <v>96</v>
      </c>
    </row>
    <row r="102" spans="1:18" ht="13" x14ac:dyDescent="0.25">
      <c r="B102" s="1" t="s">
        <v>109</v>
      </c>
    </row>
    <row r="103" spans="1:18" x14ac:dyDescent="0.35">
      <c r="B103" s="2" t="s">
        <v>117</v>
      </c>
      <c r="E103" s="2" t="s">
        <v>309</v>
      </c>
      <c r="F103" s="51" t="s">
        <v>325</v>
      </c>
      <c r="L103" s="39">
        <f>(L52+L84+L85)</f>
        <v>387.54829500000005</v>
      </c>
      <c r="M103" s="37"/>
      <c r="N103" s="39">
        <f>(N84+N85)</f>
        <v>12743.734604227118</v>
      </c>
    </row>
    <row r="104" spans="1:18" x14ac:dyDescent="0.35">
      <c r="B104" s="2" t="s">
        <v>118</v>
      </c>
      <c r="E104" s="2" t="s">
        <v>309</v>
      </c>
      <c r="F104" s="51" t="s">
        <v>325</v>
      </c>
      <c r="L104" s="39">
        <f>(L52+L97+L98)</f>
        <v>146.32760000000002</v>
      </c>
      <c r="M104" s="37"/>
      <c r="N104" s="39">
        <f>(N52+N97+N98)</f>
        <v>5286.6387355195766</v>
      </c>
    </row>
    <row r="105" spans="1:18" x14ac:dyDescent="0.35">
      <c r="B105" s="2" t="s">
        <v>97</v>
      </c>
      <c r="E105" s="2" t="s">
        <v>309</v>
      </c>
      <c r="F105" s="51" t="s">
        <v>325</v>
      </c>
      <c r="L105" s="38">
        <f>L103-L104</f>
        <v>241.22069500000003</v>
      </c>
      <c r="N105" s="38">
        <f>N103-N104</f>
        <v>7457.0958687075417</v>
      </c>
      <c r="R105" s="2" t="s">
        <v>225</v>
      </c>
    </row>
    <row r="106" spans="1:18" x14ac:dyDescent="0.35">
      <c r="B106" s="2" t="s">
        <v>146</v>
      </c>
      <c r="E106" s="2" t="s">
        <v>309</v>
      </c>
      <c r="F106" s="51" t="s">
        <v>325</v>
      </c>
      <c r="L106" s="38">
        <f>L105*H26</f>
        <v>120.61034750000002</v>
      </c>
      <c r="N106" s="38">
        <f>N105*H26</f>
        <v>3728.5479343537709</v>
      </c>
    </row>
    <row r="108" spans="1:18" s="8" customFormat="1" ht="13" x14ac:dyDescent="0.35">
      <c r="B108" s="8" t="s">
        <v>107</v>
      </c>
    </row>
    <row r="110" spans="1:18" ht="13" x14ac:dyDescent="0.25">
      <c r="B110" s="35" t="s">
        <v>143</v>
      </c>
    </row>
    <row r="111" spans="1:18" x14ac:dyDescent="0.35">
      <c r="B111" s="2" t="s">
        <v>108</v>
      </c>
      <c r="E111" s="2" t="s">
        <v>309</v>
      </c>
      <c r="F111" s="51" t="s">
        <v>325</v>
      </c>
      <c r="L111" s="39">
        <f>(L56*$H$24)/(1+H25)</f>
        <v>256.62593640038358</v>
      </c>
    </row>
    <row r="112" spans="1:18" x14ac:dyDescent="0.35">
      <c r="B112" s="2" t="s">
        <v>126</v>
      </c>
      <c r="E112" s="2" t="s">
        <v>310</v>
      </c>
      <c r="F112" s="51" t="s">
        <v>325</v>
      </c>
      <c r="L112" s="39">
        <f>(L57*$H$24)/(1+H25)</f>
        <v>64.93336165453502</v>
      </c>
    </row>
    <row r="113" spans="2:13" x14ac:dyDescent="0.25">
      <c r="L113" s="37"/>
    </row>
    <row r="114" spans="2:13" s="8" customFormat="1" ht="13" x14ac:dyDescent="0.35">
      <c r="B114" s="8" t="s">
        <v>176</v>
      </c>
      <c r="L114" s="115"/>
    </row>
    <row r="115" spans="2:13" s="53" customFormat="1" ht="13" x14ac:dyDescent="0.35">
      <c r="L115" s="116"/>
    </row>
    <row r="116" spans="2:13" ht="13" x14ac:dyDescent="0.25">
      <c r="B116" s="35" t="s">
        <v>144</v>
      </c>
      <c r="L116" s="37"/>
    </row>
    <row r="117" spans="2:13" x14ac:dyDescent="0.35">
      <c r="B117" s="2" t="s">
        <v>152</v>
      </c>
      <c r="E117" s="2" t="s">
        <v>309</v>
      </c>
      <c r="F117" s="51" t="s">
        <v>325</v>
      </c>
      <c r="L117" s="39">
        <f>(L60*H24)/(1+H25)</f>
        <v>232.80169139758362</v>
      </c>
    </row>
    <row r="118" spans="2:13" x14ac:dyDescent="0.35">
      <c r="B118" s="2" t="s">
        <v>151</v>
      </c>
      <c r="E118" s="2" t="s">
        <v>310</v>
      </c>
      <c r="F118" s="51" t="s">
        <v>325</v>
      </c>
      <c r="L118" s="39">
        <f>(L61*H24)/(1+H25)</f>
        <v>56.615278748419108</v>
      </c>
      <c r="M118" s="27"/>
    </row>
  </sheetData>
  <phoneticPr fontId="42" type="noConversion"/>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pageSetUpPr fitToPage="1"/>
  </sheetPr>
  <dimension ref="B2:N40"/>
  <sheetViews>
    <sheetView showGridLines="0" zoomScale="85" zoomScaleNormal="85" workbookViewId="0">
      <pane xSplit="6" ySplit="8" topLeftCell="G9" activePane="bottomRight" state="frozen"/>
      <selection activeCell="N66" activeCellId="1" sqref="F55 N66"/>
      <selection pane="topRight" activeCell="N66" activeCellId="1" sqref="F55 N66"/>
      <selection pane="bottomLeft" activeCell="N66" activeCellId="1" sqref="F55 N66"/>
      <selection pane="bottomRight" activeCell="P22" sqref="P22"/>
    </sheetView>
  </sheetViews>
  <sheetFormatPr defaultColWidth="9.1796875" defaultRowHeight="12.5" x14ac:dyDescent="0.25"/>
  <cols>
    <col min="1" max="1" width="4.54296875" style="2" customWidth="1"/>
    <col min="2" max="2" width="46.81640625" style="2" customWidth="1"/>
    <col min="3" max="4" width="4.54296875" style="2" customWidth="1"/>
    <col min="5" max="5" width="20.1796875" style="2" customWidth="1"/>
    <col min="6" max="6" width="10.1796875" style="100" customWidth="1"/>
    <col min="7" max="7" width="2.7265625" style="2" customWidth="1"/>
    <col min="8" max="8" width="13.7265625" style="2" customWidth="1"/>
    <col min="9" max="9" width="2.7265625" style="2" customWidth="1"/>
    <col min="10" max="10" width="13.7265625" style="2" customWidth="1"/>
    <col min="11" max="11" width="2.7265625" style="2" customWidth="1"/>
    <col min="12" max="12" width="9.453125" style="2" customWidth="1"/>
    <col min="13" max="13" width="2.7265625" style="2" customWidth="1"/>
    <col min="14" max="28" width="13.7265625" style="2" customWidth="1"/>
    <col min="29" max="16384" width="9.1796875" style="2"/>
  </cols>
  <sheetData>
    <row r="2" spans="2:14" s="26" customFormat="1" ht="18" x14ac:dyDescent="0.35">
      <c r="B2" s="26" t="s">
        <v>157</v>
      </c>
      <c r="F2" s="107"/>
    </row>
    <row r="4" spans="2:14" ht="13" x14ac:dyDescent="0.25">
      <c r="B4" s="1" t="s">
        <v>62</v>
      </c>
      <c r="C4" s="1"/>
      <c r="D4" s="1"/>
    </row>
    <row r="5" spans="2:14" x14ac:dyDescent="0.25">
      <c r="B5" s="2" t="s">
        <v>321</v>
      </c>
      <c r="C5" s="3"/>
      <c r="D5" s="3"/>
      <c r="H5" s="27"/>
    </row>
    <row r="6" spans="2:14" x14ac:dyDescent="0.25">
      <c r="C6" s="3"/>
      <c r="D6" s="3"/>
      <c r="H6" s="27"/>
    </row>
    <row r="7" spans="2:14" s="8" customFormat="1" ht="13" x14ac:dyDescent="0.35">
      <c r="B7" s="8" t="s">
        <v>48</v>
      </c>
      <c r="E7" s="8" t="s">
        <v>29</v>
      </c>
      <c r="F7" s="8" t="s">
        <v>276</v>
      </c>
      <c r="H7" s="8" t="s">
        <v>30</v>
      </c>
      <c r="J7" s="8" t="s">
        <v>141</v>
      </c>
      <c r="N7" s="8" t="s">
        <v>50</v>
      </c>
    </row>
    <row r="10" spans="2:14" s="8" customFormat="1" ht="13" x14ac:dyDescent="0.35">
      <c r="B10" s="8" t="s">
        <v>51</v>
      </c>
    </row>
    <row r="12" spans="2:14" ht="13" x14ac:dyDescent="0.25">
      <c r="B12" s="1" t="s">
        <v>70</v>
      </c>
    </row>
    <row r="13" spans="2:14" x14ac:dyDescent="0.25">
      <c r="B13" s="2" t="s">
        <v>379</v>
      </c>
      <c r="E13" s="2" t="s">
        <v>239</v>
      </c>
      <c r="F13" s="119" t="s">
        <v>325</v>
      </c>
      <c r="J13" s="43">
        <f>'Gegevens warmteregeling &amp; ACM'!I18</f>
        <v>0.58301000000000003</v>
      </c>
      <c r="L13" s="123"/>
    </row>
    <row r="15" spans="2:14" x14ac:dyDescent="0.25">
      <c r="B15" s="2" t="s">
        <v>244</v>
      </c>
      <c r="E15" s="2" t="s">
        <v>239</v>
      </c>
      <c r="F15" s="119" t="s">
        <v>325</v>
      </c>
      <c r="J15" s="43">
        <f>Gasleveranciers!J27</f>
        <v>0.59799851700503848</v>
      </c>
    </row>
    <row r="17" spans="2:10" x14ac:dyDescent="0.25">
      <c r="B17" s="2" t="s">
        <v>98</v>
      </c>
      <c r="E17" s="2" t="s">
        <v>104</v>
      </c>
      <c r="J17" s="40">
        <f>'Gegevens warmteregeling &amp; ACM'!I36</f>
        <v>0.79</v>
      </c>
    </row>
    <row r="18" spans="2:10" x14ac:dyDescent="0.25">
      <c r="B18" s="2" t="s">
        <v>76</v>
      </c>
      <c r="E18" s="2" t="s">
        <v>104</v>
      </c>
      <c r="J18" s="40">
        <f>'Gegevens warmteregeling &amp; ACM'!I37</f>
        <v>0.21</v>
      </c>
    </row>
    <row r="19" spans="2:10" x14ac:dyDescent="0.25">
      <c r="B19" s="2" t="s">
        <v>77</v>
      </c>
      <c r="E19" s="2" t="s">
        <v>104</v>
      </c>
      <c r="J19" s="40">
        <f>'Gegevens warmteregeling &amp; ACM'!I38</f>
        <v>0.94</v>
      </c>
    </row>
    <row r="20" spans="2:10" x14ac:dyDescent="0.25">
      <c r="B20" s="2" t="s">
        <v>78</v>
      </c>
      <c r="E20" s="2" t="s">
        <v>104</v>
      </c>
      <c r="J20" s="40">
        <f>'Gegevens warmteregeling &amp; ACM'!I39</f>
        <v>0.68</v>
      </c>
    </row>
    <row r="22" spans="2:10" x14ac:dyDescent="0.25">
      <c r="B22" s="2" t="s">
        <v>82</v>
      </c>
      <c r="E22" s="2" t="s">
        <v>104</v>
      </c>
      <c r="J22" s="89">
        <f>'Gegevens warmteregeling &amp; ACM'!I32</f>
        <v>3.517E-2</v>
      </c>
    </row>
    <row r="24" spans="2:10" s="8" customFormat="1" ht="13" x14ac:dyDescent="0.35">
      <c r="B24" s="8" t="s">
        <v>332</v>
      </c>
    </row>
    <row r="26" spans="2:10" ht="13" x14ac:dyDescent="0.25">
      <c r="B26" s="1" t="s">
        <v>333</v>
      </c>
    </row>
    <row r="27" spans="2:10" x14ac:dyDescent="0.25">
      <c r="B27" s="2" t="s">
        <v>170</v>
      </c>
      <c r="E27" s="2" t="s">
        <v>239</v>
      </c>
      <c r="F27" s="119" t="s">
        <v>325</v>
      </c>
      <c r="J27" s="39">
        <f>J15+J13</f>
        <v>1.1810085170050386</v>
      </c>
    </row>
    <row r="29" spans="2:10" x14ac:dyDescent="0.25">
      <c r="B29" s="2" t="s">
        <v>138</v>
      </c>
      <c r="J29" s="44">
        <f>(J17/J19)+(J18/J20)</f>
        <v>1.1492490613266584</v>
      </c>
    </row>
    <row r="30" spans="2:10" x14ac:dyDescent="0.25">
      <c r="B30" s="2" t="s">
        <v>139</v>
      </c>
      <c r="J30" s="39">
        <f>1/J29</f>
        <v>0.87013340593520283</v>
      </c>
    </row>
    <row r="32" spans="2:10" ht="13" x14ac:dyDescent="0.25">
      <c r="B32" s="1" t="s">
        <v>334</v>
      </c>
    </row>
    <row r="33" spans="2:10" x14ac:dyDescent="0.25">
      <c r="B33" s="2" t="s">
        <v>238</v>
      </c>
      <c r="E33" s="2" t="s">
        <v>236</v>
      </c>
      <c r="F33" s="119" t="s">
        <v>325</v>
      </c>
      <c r="J33" s="39">
        <f>J27/(J30*J22)</f>
        <v>38.591780767325261</v>
      </c>
    </row>
    <row r="34" spans="2:10" x14ac:dyDescent="0.25">
      <c r="J34" s="27"/>
    </row>
    <row r="40" spans="2:10" x14ac:dyDescent="0.25">
      <c r="J40" s="27"/>
    </row>
  </sheetData>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pageSetUpPr fitToPage="1"/>
  </sheetPr>
  <dimension ref="B2:G56"/>
  <sheetViews>
    <sheetView showGridLines="0" zoomScale="85" zoomScaleNormal="85" workbookViewId="0">
      <pane ySplit="3" topLeftCell="A4" activePane="bottomLeft" state="frozen"/>
      <selection pane="bottomLeft" activeCell="D31" sqref="D31"/>
    </sheetView>
  </sheetViews>
  <sheetFormatPr defaultColWidth="9.1796875" defaultRowHeight="12.5" x14ac:dyDescent="0.35"/>
  <cols>
    <col min="1" max="1" width="2.81640625" style="2" customWidth="1"/>
    <col min="2" max="2" width="19.1796875" style="2" customWidth="1"/>
    <col min="3" max="3" width="20.7265625" style="2" customWidth="1"/>
    <col min="4" max="4" width="56.81640625" style="2" customWidth="1"/>
    <col min="5" max="5" width="29.81640625" style="2" customWidth="1"/>
    <col min="6" max="6" width="24.7265625" style="2" customWidth="1"/>
    <col min="7" max="7" width="37.26953125" style="2" customWidth="1"/>
    <col min="8" max="16384" width="9.1796875" style="2"/>
  </cols>
  <sheetData>
    <row r="2" spans="2:2" s="7" customFormat="1" ht="18" x14ac:dyDescent="0.35">
      <c r="B2" s="7" t="s">
        <v>56</v>
      </c>
    </row>
    <row r="4" spans="2:2" s="8" customFormat="1" ht="13" x14ac:dyDescent="0.35">
      <c r="B4" s="8" t="s">
        <v>14</v>
      </c>
    </row>
    <row r="6" spans="2:2" x14ac:dyDescent="0.35">
      <c r="B6" s="2" t="s">
        <v>232</v>
      </c>
    </row>
    <row r="7" spans="2:2" x14ac:dyDescent="0.35">
      <c r="B7" s="2" t="s">
        <v>233</v>
      </c>
    </row>
    <row r="9" spans="2:2" s="8" customFormat="1" ht="13" x14ac:dyDescent="0.35">
      <c r="B9" s="8" t="s">
        <v>65</v>
      </c>
    </row>
    <row r="13" spans="2:2" ht="13" x14ac:dyDescent="0.35">
      <c r="B13" s="5"/>
    </row>
    <row r="26" spans="2:6" s="8" customFormat="1" ht="13" x14ac:dyDescent="0.35">
      <c r="B26" s="8" t="s">
        <v>15</v>
      </c>
    </row>
    <row r="28" spans="2:6" ht="13" x14ac:dyDescent="0.35">
      <c r="B28" s="1" t="s">
        <v>41</v>
      </c>
      <c r="D28" s="1" t="s">
        <v>16</v>
      </c>
      <c r="F28" s="5"/>
    </row>
    <row r="30" spans="2:6" x14ac:dyDescent="0.35">
      <c r="B30" s="13">
        <v>123</v>
      </c>
      <c r="D30" s="2" t="s">
        <v>58</v>
      </c>
    </row>
    <row r="31" spans="2:6" x14ac:dyDescent="0.35">
      <c r="B31" s="14">
        <f>B30</f>
        <v>123</v>
      </c>
      <c r="D31" s="2" t="s">
        <v>17</v>
      </c>
    </row>
    <row r="32" spans="2:6" x14ac:dyDescent="0.35">
      <c r="B32" s="15">
        <f>B31+B30</f>
        <v>246</v>
      </c>
      <c r="D32" s="2" t="s">
        <v>18</v>
      </c>
    </row>
    <row r="33" spans="2:7" ht="13" x14ac:dyDescent="0.35">
      <c r="B33" s="16">
        <f>B31+B32</f>
        <v>369</v>
      </c>
      <c r="D33" s="2" t="s">
        <v>57</v>
      </c>
      <c r="E33" s="5"/>
      <c r="F33" s="5"/>
    </row>
    <row r="34" spans="2:7" ht="13" x14ac:dyDescent="0.35">
      <c r="B34" s="17"/>
      <c r="D34" s="3" t="s">
        <v>19</v>
      </c>
      <c r="E34" s="5"/>
    </row>
    <row r="36" spans="2:7" ht="13" x14ac:dyDescent="0.35">
      <c r="B36" s="4" t="s">
        <v>20</v>
      </c>
    </row>
    <row r="37" spans="2:7" x14ac:dyDescent="0.35">
      <c r="B37" s="18">
        <f>B33+16</f>
        <v>385</v>
      </c>
      <c r="D37" s="2" t="s">
        <v>21</v>
      </c>
    </row>
    <row r="38" spans="2:7" x14ac:dyDescent="0.35">
      <c r="B38" s="19">
        <f>B31*PI()</f>
        <v>386.41589639154455</v>
      </c>
      <c r="C38" s="20"/>
      <c r="D38" s="2" t="s">
        <v>22</v>
      </c>
    </row>
    <row r="39" spans="2:7" x14ac:dyDescent="0.35">
      <c r="B39" s="20"/>
      <c r="C39" s="20"/>
    </row>
    <row r="40" spans="2:7" ht="13" x14ac:dyDescent="0.35">
      <c r="B40" s="21" t="s">
        <v>23</v>
      </c>
      <c r="C40" s="21"/>
    </row>
    <row r="41" spans="2:7" ht="13" x14ac:dyDescent="0.35">
      <c r="B41" s="22">
        <v>123</v>
      </c>
      <c r="C41" s="21"/>
      <c r="D41" s="3" t="s">
        <v>24</v>
      </c>
      <c r="G41" s="5"/>
    </row>
    <row r="42" spans="2:7" ht="13" x14ac:dyDescent="0.35">
      <c r="B42" s="23">
        <v>124</v>
      </c>
      <c r="C42" s="21"/>
      <c r="D42" s="3" t="s">
        <v>25</v>
      </c>
    </row>
    <row r="43" spans="2:7" x14ac:dyDescent="0.35">
      <c r="B43" s="24">
        <f>B32-B33</f>
        <v>-123</v>
      </c>
      <c r="C43" s="24"/>
      <c r="D43" s="2" t="s">
        <v>64</v>
      </c>
    </row>
    <row r="46" spans="2:7" ht="13" x14ac:dyDescent="0.35">
      <c r="B46" s="1" t="s">
        <v>36</v>
      </c>
    </row>
    <row r="47" spans="2:7" ht="13" x14ac:dyDescent="0.35">
      <c r="B47" s="1"/>
    </row>
    <row r="48" spans="2:7" ht="13" x14ac:dyDescent="0.35">
      <c r="B48" s="4" t="s">
        <v>42</v>
      </c>
    </row>
    <row r="49" spans="2:4" x14ac:dyDescent="0.35">
      <c r="B49" s="30" t="s">
        <v>35</v>
      </c>
      <c r="D49" s="3" t="s">
        <v>45</v>
      </c>
    </row>
    <row r="50" spans="2:4" x14ac:dyDescent="0.35">
      <c r="B50" s="28" t="s">
        <v>33</v>
      </c>
      <c r="D50" s="3" t="s">
        <v>37</v>
      </c>
    </row>
    <row r="51" spans="2:4" x14ac:dyDescent="0.35">
      <c r="B51" s="29" t="s">
        <v>34</v>
      </c>
      <c r="D51" s="3" t="s">
        <v>38</v>
      </c>
    </row>
    <row r="52" spans="2:4" x14ac:dyDescent="0.35">
      <c r="B52" s="19" t="s">
        <v>34</v>
      </c>
      <c r="D52" s="3" t="s">
        <v>40</v>
      </c>
    </row>
    <row r="53" spans="2:4" x14ac:dyDescent="0.35">
      <c r="D53" s="3"/>
    </row>
    <row r="54" spans="2:4" ht="13" x14ac:dyDescent="0.35">
      <c r="B54" s="4" t="s">
        <v>44</v>
      </c>
      <c r="D54" s="3"/>
    </row>
    <row r="55" spans="2:4" x14ac:dyDescent="0.35">
      <c r="B55" s="31" t="s">
        <v>39</v>
      </c>
      <c r="D55" s="3" t="s">
        <v>46</v>
      </c>
    </row>
    <row r="56" spans="2:4" x14ac:dyDescent="0.35">
      <c r="B56" s="32" t="s">
        <v>43</v>
      </c>
      <c r="D56" s="3" t="s">
        <v>47</v>
      </c>
    </row>
  </sheetData>
  <pageMargins left="0.74803149606299213" right="0.74803149606299213" top="0.98425196850393704" bottom="0.98425196850393704" header="0.51181102362204722" footer="0.51181102362204722"/>
  <pageSetup paperSize="9" scale="6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pageSetUpPr fitToPage="1"/>
  </sheetPr>
  <dimension ref="B2:E25"/>
  <sheetViews>
    <sheetView showGridLines="0" zoomScale="85" zoomScaleNormal="85" workbookViewId="0">
      <pane ySplit="3" topLeftCell="A4" activePane="bottomLeft" state="frozen"/>
      <selection pane="bottomLeft" activeCell="D15" sqref="D15"/>
    </sheetView>
  </sheetViews>
  <sheetFormatPr defaultColWidth="9.1796875" defaultRowHeight="12.5" x14ac:dyDescent="0.35"/>
  <cols>
    <col min="1" max="1" width="2.81640625" style="2" customWidth="1"/>
    <col min="2" max="2" width="7.54296875" style="2" customWidth="1"/>
    <col min="3" max="5" width="40.7265625" style="2" customWidth="1"/>
    <col min="6" max="6" width="4.54296875" style="2" customWidth="1"/>
    <col min="7" max="7" width="22" style="2" customWidth="1"/>
    <col min="8" max="16384" width="9.1796875" style="2"/>
  </cols>
  <sheetData>
    <row r="2" spans="2:5" s="7" customFormat="1" ht="18" x14ac:dyDescent="0.35">
      <c r="B2" s="7" t="s">
        <v>26</v>
      </c>
    </row>
    <row r="4" spans="2:5" s="8" customFormat="1" ht="13" x14ac:dyDescent="0.35">
      <c r="B4" s="8" t="s">
        <v>27</v>
      </c>
    </row>
    <row r="6" spans="2:5" ht="13" x14ac:dyDescent="0.35">
      <c r="B6" s="5"/>
    </row>
    <row r="8" spans="2:5" ht="14" x14ac:dyDescent="0.35">
      <c r="B8" s="117" t="s">
        <v>59</v>
      </c>
      <c r="C8" s="117" t="s">
        <v>60</v>
      </c>
      <c r="D8" s="117" t="s">
        <v>61</v>
      </c>
      <c r="E8" s="117" t="s">
        <v>66</v>
      </c>
    </row>
    <row r="9" spans="2:5" x14ac:dyDescent="0.35">
      <c r="B9" s="25"/>
      <c r="C9" s="33" t="s">
        <v>68</v>
      </c>
      <c r="D9" s="33" t="s">
        <v>28</v>
      </c>
      <c r="E9" s="33" t="s">
        <v>67</v>
      </c>
    </row>
    <row r="10" spans="2:5" x14ac:dyDescent="0.35">
      <c r="B10" s="6">
        <v>1</v>
      </c>
      <c r="C10" s="6" t="s">
        <v>267</v>
      </c>
      <c r="D10" s="131"/>
      <c r="E10" s="6"/>
    </row>
    <row r="11" spans="2:5" x14ac:dyDescent="0.35">
      <c r="B11" s="6">
        <v>2</v>
      </c>
      <c r="C11" s="6" t="s">
        <v>128</v>
      </c>
      <c r="D11" s="131"/>
      <c r="E11" s="6"/>
    </row>
    <row r="12" spans="2:5" ht="50" x14ac:dyDescent="0.35">
      <c r="B12" s="6">
        <v>3</v>
      </c>
      <c r="C12" s="6" t="s">
        <v>130</v>
      </c>
      <c r="D12" s="139" t="s">
        <v>266</v>
      </c>
      <c r="E12" s="6"/>
    </row>
    <row r="13" spans="2:5" ht="62.5" x14ac:dyDescent="0.35">
      <c r="B13" s="6">
        <v>4</v>
      </c>
      <c r="C13" s="6" t="s">
        <v>131</v>
      </c>
      <c r="D13" s="139" t="s">
        <v>265</v>
      </c>
      <c r="E13" s="6"/>
    </row>
    <row r="14" spans="2:5" x14ac:dyDescent="0.25">
      <c r="B14" s="6">
        <v>5</v>
      </c>
      <c r="C14" s="140" t="s">
        <v>231</v>
      </c>
      <c r="D14" s="139" t="s">
        <v>272</v>
      </c>
      <c r="E14" s="6"/>
    </row>
    <row r="15" spans="2:5" x14ac:dyDescent="0.35">
      <c r="B15" s="6">
        <v>6</v>
      </c>
      <c r="C15" s="6" t="s">
        <v>328</v>
      </c>
      <c r="D15" s="169" t="s">
        <v>385</v>
      </c>
      <c r="E15" s="6"/>
    </row>
    <row r="16" spans="2:5" ht="25" x14ac:dyDescent="0.35">
      <c r="B16" s="6">
        <v>7</v>
      </c>
      <c r="C16" s="6" t="s">
        <v>329</v>
      </c>
      <c r="D16" s="168" t="s">
        <v>384</v>
      </c>
      <c r="E16" s="6"/>
    </row>
    <row r="17" spans="2:5" ht="50" x14ac:dyDescent="0.25">
      <c r="B17" s="6">
        <v>8</v>
      </c>
      <c r="C17" s="6" t="s">
        <v>237</v>
      </c>
      <c r="D17" s="141" t="s">
        <v>375</v>
      </c>
      <c r="E17" s="6"/>
    </row>
    <row r="18" spans="2:5" ht="37.5" x14ac:dyDescent="0.25">
      <c r="B18" s="6">
        <v>9</v>
      </c>
      <c r="C18" s="6" t="s">
        <v>373</v>
      </c>
      <c r="D18" s="141" t="s">
        <v>380</v>
      </c>
      <c r="E18" s="6"/>
    </row>
    <row r="19" spans="2:5" ht="25" x14ac:dyDescent="0.35">
      <c r="B19" s="6">
        <v>10</v>
      </c>
      <c r="C19" s="6" t="s">
        <v>314</v>
      </c>
      <c r="D19" s="139" t="s">
        <v>376</v>
      </c>
      <c r="E19" s="6"/>
    </row>
    <row r="22" spans="2:5" s="8" customFormat="1" ht="13" x14ac:dyDescent="0.35">
      <c r="B22" s="8" t="s">
        <v>55</v>
      </c>
    </row>
    <row r="24" spans="2:5" ht="13" x14ac:dyDescent="0.35">
      <c r="B24" s="4" t="s">
        <v>53</v>
      </c>
    </row>
    <row r="25" spans="2:5" ht="13" x14ac:dyDescent="0.35">
      <c r="B25" s="4" t="s">
        <v>54</v>
      </c>
    </row>
  </sheetData>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
  <sheetViews>
    <sheetView showGridLines="0" zoomScale="85" zoomScaleNormal="85" workbookViewId="0"/>
  </sheetViews>
  <sheetFormatPr defaultColWidth="9.1796875" defaultRowHeight="12.5" x14ac:dyDescent="0.35"/>
  <cols>
    <col min="1" max="16384" width="9.1796875" style="31"/>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2:AC37"/>
  <sheetViews>
    <sheetView showGridLines="0" zoomScale="90" zoomScaleNormal="90" workbookViewId="0">
      <pane xSplit="7" ySplit="11" topLeftCell="H26" activePane="bottomRight" state="frozen"/>
      <selection pane="topRight"/>
      <selection pane="bottomLeft"/>
      <selection pane="bottomRight" activeCell="N32" sqref="N32"/>
    </sheetView>
  </sheetViews>
  <sheetFormatPr defaultColWidth="9.1796875" defaultRowHeight="12.5" x14ac:dyDescent="0.35"/>
  <cols>
    <col min="1" max="1" width="3.7265625" style="2" customWidth="1"/>
    <col min="2" max="2" width="41.453125" style="2" customWidth="1"/>
    <col min="3" max="5" width="4.54296875" style="2" customWidth="1"/>
    <col min="6" max="6" width="13.81640625" style="2" customWidth="1"/>
    <col min="7" max="7" width="10.26953125" style="2" customWidth="1"/>
    <col min="8" max="8" width="2.7265625" style="2" customWidth="1"/>
    <col min="9" max="9" width="13.7265625" style="2" customWidth="1"/>
    <col min="10" max="10" width="11.26953125" style="2" customWidth="1"/>
    <col min="11" max="12" width="13.7265625" style="2" customWidth="1"/>
    <col min="13" max="13" width="11.7265625" style="2" customWidth="1"/>
    <col min="14" max="14" width="16.1796875" style="2" customWidth="1"/>
    <col min="15" max="15" width="12.54296875" style="2" customWidth="1"/>
    <col min="16" max="30" width="13.7265625" style="2" customWidth="1"/>
    <col min="31" max="16384" width="9.1796875" style="2"/>
  </cols>
  <sheetData>
    <row r="2" spans="1:15" s="26" customFormat="1" ht="18" x14ac:dyDescent="0.35">
      <c r="B2" s="26" t="s">
        <v>270</v>
      </c>
    </row>
    <row r="4" spans="1:15" ht="13" x14ac:dyDescent="0.35">
      <c r="A4" s="1"/>
      <c r="B4" s="1" t="s">
        <v>63</v>
      </c>
      <c r="C4" s="1"/>
      <c r="D4" s="1"/>
    </row>
    <row r="5" spans="1:15" ht="13" x14ac:dyDescent="0.35">
      <c r="A5" s="1"/>
      <c r="B5" s="2" t="s">
        <v>203</v>
      </c>
      <c r="C5" s="3"/>
      <c r="D5" s="3"/>
      <c r="I5" s="27"/>
    </row>
    <row r="6" spans="1:15" x14ac:dyDescent="0.35">
      <c r="B6" s="2" t="s">
        <v>204</v>
      </c>
      <c r="C6" s="3"/>
      <c r="D6" s="3"/>
      <c r="I6" s="27"/>
    </row>
    <row r="7" spans="1:15" x14ac:dyDescent="0.35">
      <c r="B7" s="2" t="s">
        <v>205</v>
      </c>
      <c r="C7" s="3"/>
      <c r="D7" s="3"/>
      <c r="I7" s="27"/>
    </row>
    <row r="8" spans="1:15" x14ac:dyDescent="0.35">
      <c r="B8" s="2" t="s">
        <v>324</v>
      </c>
      <c r="C8" s="3"/>
      <c r="D8" s="3"/>
      <c r="I8" s="27"/>
    </row>
    <row r="10" spans="1:15" s="8" customFormat="1" ht="13" x14ac:dyDescent="0.35">
      <c r="B10" s="8" t="s">
        <v>48</v>
      </c>
      <c r="F10" s="8" t="s">
        <v>29</v>
      </c>
      <c r="G10" s="8" t="s">
        <v>276</v>
      </c>
    </row>
    <row r="13" spans="1:15" s="56" customFormat="1" ht="13" x14ac:dyDescent="0.35">
      <c r="B13" s="56" t="s">
        <v>209</v>
      </c>
      <c r="I13" s="56" t="s">
        <v>30</v>
      </c>
      <c r="L13" s="56" t="s">
        <v>50</v>
      </c>
    </row>
    <row r="14" spans="1:15" s="69" customFormat="1" ht="13" x14ac:dyDescent="0.35"/>
    <row r="15" spans="1:15" s="57" customFormat="1" ht="12.75" customHeight="1" x14ac:dyDescent="0.35">
      <c r="B15" s="58" t="s">
        <v>278</v>
      </c>
      <c r="F15" s="58" t="s">
        <v>182</v>
      </c>
      <c r="G15" s="120" t="s">
        <v>325</v>
      </c>
      <c r="I15" s="40">
        <f>'Berekening huurtarieven'!K45</f>
        <v>120.1476</v>
      </c>
    </row>
    <row r="16" spans="1:15" s="57" customFormat="1" ht="13.5" customHeight="1" x14ac:dyDescent="0.35">
      <c r="B16" s="58" t="s">
        <v>279</v>
      </c>
      <c r="F16" s="58" t="s">
        <v>182</v>
      </c>
      <c r="G16" s="120" t="s">
        <v>325</v>
      </c>
      <c r="I16" s="40">
        <f>'Berekening huurtarieven'!O45</f>
        <v>112.3176</v>
      </c>
      <c r="J16" s="78"/>
      <c r="K16" s="78"/>
      <c r="L16" s="78"/>
      <c r="M16" s="78"/>
      <c r="N16" s="64"/>
      <c r="O16" s="64"/>
    </row>
    <row r="17" spans="2:29" s="57" customFormat="1" ht="12" customHeight="1" x14ac:dyDescent="0.35">
      <c r="B17" s="58" t="s">
        <v>280</v>
      </c>
      <c r="F17" s="58" t="s">
        <v>182</v>
      </c>
      <c r="G17" s="120" t="s">
        <v>325</v>
      </c>
      <c r="I17" s="40">
        <f>'Berekening huurtarieven'!P45</f>
        <v>94.5976</v>
      </c>
      <c r="J17" s="78"/>
      <c r="K17" s="78"/>
      <c r="L17" s="78"/>
      <c r="M17" s="78"/>
      <c r="N17" s="64"/>
      <c r="O17" s="64"/>
    </row>
    <row r="18" spans="2:29" s="57" customFormat="1" ht="14.5" x14ac:dyDescent="0.35">
      <c r="B18" s="58"/>
      <c r="F18" s="86"/>
      <c r="G18" s="86"/>
      <c r="H18" s="79"/>
      <c r="I18" s="80"/>
      <c r="J18" s="80"/>
      <c r="K18" s="80"/>
      <c r="L18" s="80"/>
      <c r="M18" s="80"/>
    </row>
    <row r="19" spans="2:29" s="56" customFormat="1" ht="13" x14ac:dyDescent="0.35">
      <c r="B19" s="56" t="s">
        <v>251</v>
      </c>
      <c r="F19" s="77"/>
      <c r="G19" s="77"/>
      <c r="H19" s="77"/>
      <c r="I19" s="77"/>
      <c r="J19" s="77"/>
      <c r="K19" s="77"/>
      <c r="L19" s="56" t="s">
        <v>50</v>
      </c>
      <c r="M19" s="77"/>
    </row>
    <row r="20" spans="2:29" s="58" customFormat="1" x14ac:dyDescent="0.25"/>
    <row r="21" spans="2:29" s="58" customFormat="1" ht="13" x14ac:dyDescent="0.3">
      <c r="B21" s="83" t="s">
        <v>219</v>
      </c>
    </row>
    <row r="22" spans="2:29" s="58" customFormat="1" x14ac:dyDescent="0.25">
      <c r="B22" s="58" t="s">
        <v>252</v>
      </c>
      <c r="F22" s="58" t="s">
        <v>182</v>
      </c>
      <c r="I22" s="75">
        <f>'Berekening huurtarieven'!J50</f>
        <v>-66.649999999999977</v>
      </c>
      <c r="L22" s="64" t="s">
        <v>277</v>
      </c>
    </row>
    <row r="23" spans="2:29" s="58" customFormat="1" x14ac:dyDescent="0.25">
      <c r="B23" s="109" t="s">
        <v>253</v>
      </c>
      <c r="D23" s="62"/>
      <c r="E23" s="62"/>
      <c r="F23" s="58" t="s">
        <v>182</v>
      </c>
      <c r="H23" s="62"/>
      <c r="I23" s="75">
        <f>'Berekening huurtarieven'!J51</f>
        <v>-5.636368333333337</v>
      </c>
      <c r="J23" s="62"/>
      <c r="K23" s="62"/>
      <c r="L23" s="62"/>
      <c r="M23" s="62"/>
      <c r="N23" s="54"/>
      <c r="O23" s="62"/>
      <c r="P23" s="62"/>
      <c r="Q23" s="62"/>
      <c r="R23" s="62"/>
      <c r="S23" s="62"/>
      <c r="T23" s="62"/>
      <c r="U23" s="62"/>
      <c r="V23" s="62"/>
      <c r="W23" s="62"/>
      <c r="X23" s="62"/>
      <c r="Y23" s="62"/>
      <c r="Z23" s="62"/>
      <c r="AA23" s="62"/>
      <c r="AB23" s="62"/>
      <c r="AC23" s="62"/>
    </row>
    <row r="24" spans="2:29" s="58" customFormat="1" x14ac:dyDescent="0.25">
      <c r="B24" s="61" t="s">
        <v>254</v>
      </c>
      <c r="D24" s="62"/>
      <c r="E24" s="62"/>
      <c r="F24" s="58" t="s">
        <v>182</v>
      </c>
      <c r="H24" s="62"/>
      <c r="I24" s="75">
        <f>'Berekening huurtarieven'!L50</f>
        <v>27.799999999999955</v>
      </c>
      <c r="J24" s="62"/>
      <c r="K24" s="62"/>
      <c r="L24" s="62"/>
      <c r="M24" s="62"/>
      <c r="N24" s="54"/>
      <c r="O24" s="62"/>
      <c r="P24" s="62"/>
      <c r="Q24" s="62"/>
      <c r="R24" s="62"/>
      <c r="S24" s="62"/>
      <c r="T24" s="62"/>
      <c r="U24" s="62"/>
      <c r="V24" s="62"/>
      <c r="W24" s="62"/>
      <c r="X24" s="62"/>
      <c r="Y24" s="62"/>
      <c r="Z24" s="62"/>
      <c r="AA24" s="62"/>
      <c r="AB24" s="62"/>
      <c r="AC24" s="62"/>
    </row>
    <row r="25" spans="2:29" s="58" customFormat="1" x14ac:dyDescent="0.25">
      <c r="B25" s="109" t="s">
        <v>261</v>
      </c>
      <c r="D25" s="62"/>
      <c r="E25" s="62"/>
      <c r="F25" s="58" t="s">
        <v>182</v>
      </c>
      <c r="H25" s="62"/>
      <c r="I25" s="75">
        <f>'Berekening huurtarieven'!L51</f>
        <v>2.3509533333333366</v>
      </c>
      <c r="J25" s="62"/>
      <c r="K25" s="62"/>
      <c r="L25" s="62"/>
      <c r="M25" s="62"/>
      <c r="N25" s="54"/>
      <c r="O25" s="64"/>
      <c r="P25" s="62"/>
      <c r="Q25" s="62"/>
      <c r="R25" s="62"/>
      <c r="S25" s="62"/>
      <c r="T25" s="62"/>
      <c r="U25" s="62"/>
      <c r="V25" s="62"/>
      <c r="W25" s="62"/>
      <c r="X25" s="62"/>
      <c r="Y25" s="62"/>
      <c r="Z25" s="62"/>
      <c r="AA25" s="62"/>
      <c r="AB25" s="62"/>
      <c r="AC25" s="62"/>
    </row>
    <row r="26" spans="2:29" s="58" customFormat="1" x14ac:dyDescent="0.25">
      <c r="B26" s="61" t="s">
        <v>254</v>
      </c>
      <c r="D26" s="62"/>
      <c r="E26" s="62"/>
      <c r="F26" s="58" t="s">
        <v>182</v>
      </c>
      <c r="H26" s="62"/>
      <c r="I26" s="75">
        <f>'Berekening huurtarieven'!M50</f>
        <v>27.799999999999955</v>
      </c>
      <c r="J26" s="62"/>
      <c r="K26" s="62"/>
      <c r="L26" s="62"/>
      <c r="M26" s="62"/>
      <c r="N26" s="54"/>
      <c r="O26" s="64"/>
      <c r="P26" s="62"/>
      <c r="Q26" s="62"/>
      <c r="R26" s="62"/>
      <c r="S26" s="62"/>
      <c r="T26" s="62"/>
      <c r="U26" s="62"/>
      <c r="V26" s="62"/>
      <c r="W26" s="62"/>
      <c r="X26" s="62"/>
      <c r="Y26" s="62"/>
      <c r="Z26" s="62"/>
      <c r="AA26" s="62"/>
      <c r="AB26" s="62"/>
      <c r="AC26" s="62"/>
    </row>
    <row r="27" spans="2:29" s="58" customFormat="1" x14ac:dyDescent="0.25">
      <c r="B27" s="109" t="s">
        <v>262</v>
      </c>
      <c r="F27" s="58" t="s">
        <v>182</v>
      </c>
      <c r="I27" s="75">
        <f>'Berekening huurtarieven'!M51</f>
        <v>2.3509533333333366</v>
      </c>
      <c r="N27" s="54"/>
    </row>
    <row r="28" spans="2:29" s="58" customFormat="1" x14ac:dyDescent="0.25">
      <c r="B28" s="61"/>
      <c r="I28" s="85"/>
      <c r="N28" s="54"/>
    </row>
    <row r="29" spans="2:29" s="58" customFormat="1" ht="13" x14ac:dyDescent="0.25">
      <c r="B29" s="84" t="s">
        <v>220</v>
      </c>
      <c r="I29" s="85"/>
      <c r="N29" s="54"/>
    </row>
    <row r="30" spans="2:29" s="58" customFormat="1" x14ac:dyDescent="0.25">
      <c r="B30" s="61" t="s">
        <v>260</v>
      </c>
      <c r="F30" s="58" t="s">
        <v>182</v>
      </c>
      <c r="I30" s="81">
        <f>'Berekening huurtarieven'!T50</f>
        <v>33.868584801432469</v>
      </c>
      <c r="N30" s="54"/>
    </row>
    <row r="31" spans="2:29" s="58" customFormat="1" x14ac:dyDescent="0.25">
      <c r="B31" s="109" t="s">
        <v>218</v>
      </c>
      <c r="F31" s="58" t="s">
        <v>182</v>
      </c>
      <c r="I31" s="81">
        <f>'Berekening huurtarieven'!T51</f>
        <v>2.8641533213744723</v>
      </c>
      <c r="N31" s="54"/>
    </row>
    <row r="32" spans="2:29" s="58" customFormat="1" ht="13" x14ac:dyDescent="0.25">
      <c r="B32" s="61"/>
      <c r="C32" s="63"/>
      <c r="D32" s="63"/>
      <c r="E32" s="63"/>
      <c r="F32" s="62"/>
      <c r="G32" s="62"/>
      <c r="H32" s="63"/>
      <c r="I32" s="55"/>
      <c r="J32" s="63"/>
      <c r="K32" s="63"/>
      <c r="L32" s="63"/>
      <c r="N32" s="54"/>
      <c r="O32" s="63"/>
      <c r="P32" s="63"/>
      <c r="Q32" s="63"/>
    </row>
    <row r="33" spans="1:17" s="58" customFormat="1" ht="13" x14ac:dyDescent="0.25">
      <c r="B33" s="84" t="s">
        <v>221</v>
      </c>
      <c r="C33" s="63"/>
      <c r="D33" s="63"/>
      <c r="E33" s="63"/>
      <c r="F33" s="62"/>
      <c r="G33" s="62"/>
      <c r="H33" s="63"/>
      <c r="I33" s="55"/>
      <c r="J33" s="63"/>
      <c r="K33" s="63"/>
      <c r="L33" s="63"/>
      <c r="N33" s="54"/>
      <c r="O33" s="63"/>
      <c r="P33" s="63"/>
      <c r="Q33" s="63"/>
    </row>
    <row r="34" spans="1:17" s="58" customFormat="1" ht="13" x14ac:dyDescent="0.25">
      <c r="B34" s="61" t="s">
        <v>256</v>
      </c>
      <c r="C34" s="63"/>
      <c r="D34" s="63"/>
      <c r="E34" s="63"/>
      <c r="F34" s="58" t="s">
        <v>182</v>
      </c>
      <c r="H34" s="63"/>
      <c r="I34" s="75">
        <f>'Berekening huurtarieven'!R50</f>
        <v>85.36</v>
      </c>
      <c r="J34" s="63"/>
      <c r="K34" s="63"/>
      <c r="L34" s="64" t="s">
        <v>240</v>
      </c>
      <c r="N34" s="54"/>
      <c r="O34" s="63"/>
      <c r="P34" s="63"/>
      <c r="Q34" s="63"/>
    </row>
    <row r="35" spans="1:17" s="58" customFormat="1" ht="12" customHeight="1" x14ac:dyDescent="0.25">
      <c r="A35" s="100"/>
      <c r="B35" s="108" t="s">
        <v>255</v>
      </c>
      <c r="C35" s="64"/>
      <c r="D35" s="64"/>
      <c r="E35" s="64"/>
      <c r="F35" s="58" t="s">
        <v>182</v>
      </c>
      <c r="H35" s="64"/>
      <c r="I35" s="75">
        <f>'Berekening huurtarieven'!R51</f>
        <v>7.2186106666666667</v>
      </c>
      <c r="J35" s="64"/>
      <c r="K35" s="64"/>
      <c r="M35" s="64"/>
      <c r="N35" s="65"/>
      <c r="O35" s="64"/>
      <c r="P35" s="64"/>
      <c r="Q35" s="64"/>
    </row>
    <row r="36" spans="1:17" s="58" customFormat="1" ht="12" customHeight="1" x14ac:dyDescent="0.25">
      <c r="A36" s="100"/>
      <c r="B36" s="64" t="s">
        <v>257</v>
      </c>
      <c r="C36" s="64"/>
      <c r="D36" s="64"/>
      <c r="E36" s="64"/>
      <c r="F36" s="58" t="s">
        <v>182</v>
      </c>
      <c r="H36" s="64"/>
      <c r="I36" s="82">
        <f>'Berekening huurtarieven'!S50</f>
        <v>307.18</v>
      </c>
      <c r="J36" s="64"/>
      <c r="K36" s="64"/>
      <c r="L36" s="64"/>
      <c r="M36" s="64"/>
      <c r="N36" s="65"/>
      <c r="O36" s="64"/>
      <c r="P36" s="64"/>
      <c r="Q36" s="64"/>
    </row>
    <row r="37" spans="1:17" s="58" customFormat="1" x14ac:dyDescent="0.25">
      <c r="B37" s="108" t="s">
        <v>258</v>
      </c>
      <c r="C37" s="64"/>
      <c r="D37" s="64"/>
      <c r="E37" s="64"/>
      <c r="F37" s="58" t="s">
        <v>182</v>
      </c>
      <c r="H37" s="64"/>
      <c r="I37" s="82">
        <f>'Berekening huurtarieven'!S51</f>
        <v>25.977188666666663</v>
      </c>
      <c r="J37" s="64"/>
      <c r="K37" s="64"/>
      <c r="L37" s="64"/>
      <c r="M37" s="64"/>
      <c r="N37" s="64"/>
      <c r="O37" s="64"/>
      <c r="P37" s="64"/>
      <c r="Q37" s="64"/>
    </row>
  </sheetData>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2:P35"/>
  <sheetViews>
    <sheetView showGridLines="0" zoomScale="85" zoomScaleNormal="85" workbookViewId="0">
      <pane xSplit="7" ySplit="11" topLeftCell="H12" activePane="bottomRight" state="frozen"/>
      <selection pane="topRight"/>
      <selection pane="bottomLeft"/>
      <selection pane="bottomRight" activeCell="L25" sqref="L25"/>
    </sheetView>
  </sheetViews>
  <sheetFormatPr defaultColWidth="9.1796875" defaultRowHeight="12.5" x14ac:dyDescent="0.35"/>
  <cols>
    <col min="1" max="1" width="3.7265625" style="2" customWidth="1"/>
    <col min="2" max="2" width="41.453125" style="2" customWidth="1"/>
    <col min="3" max="5" width="4.54296875" style="2" customWidth="1"/>
    <col min="6" max="6" width="16.26953125" style="2" customWidth="1"/>
    <col min="7" max="7" width="15" style="2" customWidth="1"/>
    <col min="8" max="8" width="2.7265625" style="2" customWidth="1"/>
    <col min="9" max="9" width="13.453125" style="2" customWidth="1"/>
    <col min="10" max="10" width="13.7265625" style="2" customWidth="1"/>
    <col min="11" max="11" width="11.26953125" style="2" customWidth="1"/>
    <col min="12" max="12" width="13.7265625" style="2" customWidth="1"/>
    <col min="13" max="13" width="11.7265625" style="2" customWidth="1"/>
    <col min="14" max="14" width="12.54296875" style="2" customWidth="1"/>
    <col min="15" max="15" width="22.453125" style="2" bestFit="1" customWidth="1"/>
    <col min="16" max="16" width="12.54296875" style="2" customWidth="1"/>
    <col min="17" max="31" width="13.7265625" style="2" customWidth="1"/>
    <col min="32" max="16384" width="9.1796875" style="2"/>
  </cols>
  <sheetData>
    <row r="2" spans="1:16" s="26" customFormat="1" ht="18" x14ac:dyDescent="0.35">
      <c r="B2" s="26" t="s">
        <v>210</v>
      </c>
    </row>
    <row r="4" spans="1:16" ht="13" x14ac:dyDescent="0.35">
      <c r="A4" s="1"/>
      <c r="B4" s="1" t="s">
        <v>63</v>
      </c>
      <c r="C4" s="1"/>
      <c r="D4" s="1"/>
    </row>
    <row r="5" spans="1:16" ht="13" x14ac:dyDescent="0.35">
      <c r="A5" s="1"/>
      <c r="B5" s="2" t="s">
        <v>222</v>
      </c>
      <c r="C5" s="3"/>
      <c r="D5" s="3"/>
      <c r="J5" s="27"/>
    </row>
    <row r="6" spans="1:16" x14ac:dyDescent="0.35">
      <c r="C6" s="3"/>
      <c r="D6" s="3"/>
      <c r="J6" s="27"/>
    </row>
    <row r="7" spans="1:16" ht="13" x14ac:dyDescent="0.35">
      <c r="A7" s="4"/>
      <c r="B7" s="4" t="s">
        <v>32</v>
      </c>
      <c r="C7" s="3"/>
      <c r="D7" s="3"/>
      <c r="J7" s="27"/>
    </row>
    <row r="8" spans="1:16" ht="13" x14ac:dyDescent="0.35">
      <c r="A8" s="4"/>
      <c r="B8" s="2" t="s">
        <v>175</v>
      </c>
      <c r="C8" s="3"/>
      <c r="D8" s="3"/>
      <c r="N8" s="27"/>
    </row>
    <row r="10" spans="1:16" s="8" customFormat="1" ht="13" x14ac:dyDescent="0.35">
      <c r="B10" s="8" t="s">
        <v>48</v>
      </c>
      <c r="F10" s="8" t="s">
        <v>29</v>
      </c>
      <c r="G10" s="8" t="s">
        <v>276</v>
      </c>
    </row>
    <row r="13" spans="1:16" s="56" customFormat="1" ht="13" x14ac:dyDescent="0.35">
      <c r="B13" s="56" t="s">
        <v>229</v>
      </c>
      <c r="I13" s="56" t="s">
        <v>30</v>
      </c>
      <c r="J13" s="56" t="s">
        <v>178</v>
      </c>
      <c r="K13" s="56" t="s">
        <v>179</v>
      </c>
      <c r="L13" s="56" t="s">
        <v>180</v>
      </c>
      <c r="M13" s="56" t="s">
        <v>181</v>
      </c>
      <c r="O13" s="56" t="s">
        <v>49</v>
      </c>
      <c r="P13" s="56" t="s">
        <v>50</v>
      </c>
    </row>
    <row r="14" spans="1:16" s="69" customFormat="1" ht="13" x14ac:dyDescent="0.35">
      <c r="A14" s="101"/>
    </row>
    <row r="15" spans="1:16" s="57" customFormat="1" ht="13.5" customHeight="1" x14ac:dyDescent="0.35">
      <c r="B15" s="83" t="s">
        <v>202</v>
      </c>
      <c r="C15" s="58"/>
      <c r="D15" s="58"/>
      <c r="E15" s="58"/>
      <c r="F15" s="58"/>
      <c r="G15" s="58"/>
      <c r="H15" s="58"/>
      <c r="I15" s="58"/>
      <c r="J15" s="58"/>
      <c r="K15" s="58"/>
      <c r="L15" s="58"/>
      <c r="M15" s="58"/>
    </row>
    <row r="16" spans="1:16" s="57" customFormat="1" ht="13.5" customHeight="1" x14ac:dyDescent="0.35">
      <c r="B16" s="58" t="s">
        <v>188</v>
      </c>
      <c r="C16" s="58"/>
      <c r="D16" s="58"/>
      <c r="E16" s="58"/>
      <c r="F16" s="58" t="s">
        <v>182</v>
      </c>
      <c r="G16" s="127" t="s">
        <v>326</v>
      </c>
      <c r="H16" s="58"/>
      <c r="I16" s="151"/>
      <c r="J16" s="152">
        <v>977.35</v>
      </c>
      <c r="K16" s="152">
        <v>1044</v>
      </c>
      <c r="L16" s="152">
        <v>1071.8</v>
      </c>
      <c r="M16" s="152">
        <v>1071.8</v>
      </c>
      <c r="N16" s="73"/>
      <c r="O16" s="2" t="s">
        <v>231</v>
      </c>
      <c r="P16" s="64"/>
    </row>
    <row r="17" spans="2:16" s="57" customFormat="1" ht="12.75" customHeight="1" x14ac:dyDescent="0.35">
      <c r="B17" s="58" t="s">
        <v>230</v>
      </c>
      <c r="C17" s="58"/>
      <c r="D17" s="58"/>
      <c r="E17" s="58"/>
      <c r="F17" s="58" t="s">
        <v>182</v>
      </c>
      <c r="G17" s="127" t="s">
        <v>325</v>
      </c>
      <c r="H17" s="58"/>
      <c r="I17" s="152">
        <v>31.86</v>
      </c>
      <c r="J17" s="153"/>
      <c r="K17" s="153"/>
      <c r="L17" s="153"/>
      <c r="M17" s="153"/>
      <c r="N17" s="73"/>
      <c r="O17" s="2" t="s">
        <v>231</v>
      </c>
      <c r="P17" s="2"/>
    </row>
    <row r="18" spans="2:16" s="58" customFormat="1" x14ac:dyDescent="0.25">
      <c r="B18" s="64"/>
      <c r="H18" s="64"/>
      <c r="I18" s="64"/>
      <c r="N18" s="64"/>
      <c r="O18" s="64"/>
    </row>
    <row r="19" spans="2:16" s="56" customFormat="1" ht="13" x14ac:dyDescent="0.35">
      <c r="B19" s="56" t="s">
        <v>228</v>
      </c>
      <c r="O19" s="56" t="s">
        <v>49</v>
      </c>
      <c r="P19" s="56" t="s">
        <v>50</v>
      </c>
    </row>
    <row r="20" spans="2:16" ht="13" x14ac:dyDescent="0.35">
      <c r="J20" s="69"/>
      <c r="K20" s="69"/>
    </row>
    <row r="21" spans="2:16" ht="13" x14ac:dyDescent="0.35">
      <c r="B21" s="1" t="s">
        <v>206</v>
      </c>
      <c r="I21" s="105"/>
      <c r="J21" s="69"/>
      <c r="K21" s="69"/>
    </row>
    <row r="22" spans="2:16" x14ac:dyDescent="0.25">
      <c r="B22" s="58" t="s">
        <v>188</v>
      </c>
      <c r="F22" s="58" t="s">
        <v>182</v>
      </c>
      <c r="G22" s="127" t="s">
        <v>326</v>
      </c>
      <c r="I22" s="152">
        <v>1044</v>
      </c>
      <c r="J22" s="27"/>
      <c r="O22" s="2" t="s">
        <v>231</v>
      </c>
    </row>
    <row r="23" spans="2:16" x14ac:dyDescent="0.25">
      <c r="B23" s="58" t="s">
        <v>230</v>
      </c>
      <c r="F23" s="58" t="s">
        <v>182</v>
      </c>
      <c r="G23" s="127" t="s">
        <v>325</v>
      </c>
      <c r="I23" s="152">
        <v>24.03</v>
      </c>
      <c r="J23" s="27"/>
      <c r="M23" s="99"/>
      <c r="O23" s="2" t="s">
        <v>231</v>
      </c>
    </row>
    <row r="24" spans="2:16" x14ac:dyDescent="0.25">
      <c r="B24" s="58" t="s">
        <v>218</v>
      </c>
      <c r="F24" s="58" t="s">
        <v>182</v>
      </c>
      <c r="G24" s="127" t="s">
        <v>326</v>
      </c>
      <c r="I24" s="152">
        <v>33.868584801432469</v>
      </c>
      <c r="J24" s="124"/>
      <c r="K24" s="97"/>
      <c r="O24" s="2" t="s">
        <v>231</v>
      </c>
    </row>
    <row r="25" spans="2:16" x14ac:dyDescent="0.35">
      <c r="I25" s="129"/>
      <c r="J25" s="27"/>
      <c r="K25" s="98"/>
    </row>
    <row r="26" spans="2:16" ht="13.5" customHeight="1" x14ac:dyDescent="0.3">
      <c r="B26" s="83" t="s">
        <v>207</v>
      </c>
      <c r="F26" s="58"/>
      <c r="G26" s="58"/>
      <c r="I26" s="129"/>
      <c r="J26" s="125"/>
      <c r="K26" s="88"/>
      <c r="L26" s="54"/>
    </row>
    <row r="27" spans="2:16" ht="13.5" customHeight="1" x14ac:dyDescent="0.25">
      <c r="B27" s="58" t="s">
        <v>188</v>
      </c>
      <c r="F27" s="58" t="s">
        <v>182</v>
      </c>
      <c r="G27" s="127" t="s">
        <v>326</v>
      </c>
      <c r="I27" s="152">
        <v>1044</v>
      </c>
      <c r="J27" s="27"/>
      <c r="O27" s="2" t="s">
        <v>231</v>
      </c>
    </row>
    <row r="28" spans="2:16" ht="13.5" customHeight="1" x14ac:dyDescent="0.25">
      <c r="B28" s="58" t="s">
        <v>230</v>
      </c>
      <c r="F28" s="58" t="s">
        <v>182</v>
      </c>
      <c r="G28" s="127" t="s">
        <v>325</v>
      </c>
      <c r="I28" s="152">
        <v>6.31</v>
      </c>
      <c r="J28" s="27"/>
      <c r="O28" s="2" t="s">
        <v>231</v>
      </c>
    </row>
    <row r="29" spans="2:16" x14ac:dyDescent="0.35">
      <c r="I29" s="105"/>
    </row>
    <row r="30" spans="2:16" s="56" customFormat="1" ht="13" x14ac:dyDescent="0.35">
      <c r="B30" s="56" t="s">
        <v>247</v>
      </c>
      <c r="I30" s="154"/>
      <c r="O30" s="56" t="s">
        <v>49</v>
      </c>
      <c r="P30" s="56" t="s">
        <v>50</v>
      </c>
    </row>
    <row r="31" spans="2:16" x14ac:dyDescent="0.35">
      <c r="B31" s="27"/>
      <c r="I31" s="105"/>
    </row>
    <row r="32" spans="2:16" s="57" customFormat="1" ht="14.5" x14ac:dyDescent="0.35">
      <c r="B32" s="74" t="s">
        <v>183</v>
      </c>
      <c r="F32" s="58"/>
      <c r="G32" s="58"/>
      <c r="I32" s="155"/>
      <c r="J32" s="126"/>
    </row>
    <row r="33" spans="2:15" s="57" customFormat="1" ht="14.25" customHeight="1" x14ac:dyDescent="0.35">
      <c r="B33" s="59" t="s">
        <v>199</v>
      </c>
      <c r="C33" s="60"/>
      <c r="F33" s="58" t="s">
        <v>182</v>
      </c>
      <c r="G33" s="127" t="s">
        <v>326</v>
      </c>
      <c r="I33" s="152">
        <v>85.36</v>
      </c>
      <c r="J33" s="126"/>
      <c r="O33" s="2" t="s">
        <v>231</v>
      </c>
    </row>
    <row r="34" spans="2:15" s="57" customFormat="1" ht="14.25" customHeight="1" x14ac:dyDescent="0.35">
      <c r="B34" s="58" t="s">
        <v>200</v>
      </c>
      <c r="F34" s="58" t="s">
        <v>182</v>
      </c>
      <c r="G34" s="127" t="s">
        <v>326</v>
      </c>
      <c r="I34" s="152">
        <v>307.18</v>
      </c>
      <c r="J34" s="126"/>
      <c r="O34" s="2" t="s">
        <v>231</v>
      </c>
    </row>
    <row r="35" spans="2:15" x14ac:dyDescent="0.35">
      <c r="I35" s="27"/>
      <c r="J35" s="27"/>
    </row>
  </sheetData>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2:AB52"/>
  <sheetViews>
    <sheetView showGridLines="0" zoomScale="85" zoomScaleNormal="85" workbookViewId="0">
      <pane xSplit="7" ySplit="13" topLeftCell="H14" activePane="bottomRight" state="frozen"/>
      <selection pane="topRight"/>
      <selection pane="bottomLeft"/>
      <selection pane="bottomRight" activeCell="M25" sqref="M25"/>
    </sheetView>
  </sheetViews>
  <sheetFormatPr defaultColWidth="9.1796875" defaultRowHeight="12.5" x14ac:dyDescent="0.35"/>
  <cols>
    <col min="1" max="1" width="3.7265625" style="2" customWidth="1"/>
    <col min="2" max="2" width="41.453125" style="2" customWidth="1"/>
    <col min="3" max="4" width="4.54296875" style="2" customWidth="1"/>
    <col min="5" max="5" width="6.54296875" style="2" customWidth="1"/>
    <col min="6" max="6" width="13.7265625" style="2" customWidth="1"/>
    <col min="7" max="7" width="14.26953125" style="2" customWidth="1"/>
    <col min="8" max="8" width="2.7265625" style="2" customWidth="1"/>
    <col min="9" max="9" width="13.26953125" style="2" customWidth="1"/>
    <col min="10" max="10" width="13.7265625" style="2" customWidth="1"/>
    <col min="11" max="11" width="11.26953125" style="2" customWidth="1"/>
    <col min="12" max="12" width="13.7265625" style="2" customWidth="1"/>
    <col min="13" max="13" width="11.7265625" style="2" customWidth="1"/>
    <col min="14" max="14" width="12.54296875" style="2" customWidth="1"/>
    <col min="15" max="29" width="13.7265625" style="2" customWidth="1"/>
    <col min="30" max="16384" width="9.1796875" style="2"/>
  </cols>
  <sheetData>
    <row r="2" spans="1:13" s="26" customFormat="1" ht="18" x14ac:dyDescent="0.35">
      <c r="B2" s="26" t="s">
        <v>211</v>
      </c>
    </row>
    <row r="4" spans="1:13" ht="13" x14ac:dyDescent="0.35">
      <c r="A4" s="1"/>
      <c r="B4" s="1" t="s">
        <v>63</v>
      </c>
      <c r="C4" s="1"/>
      <c r="D4" s="1"/>
    </row>
    <row r="5" spans="1:13" ht="13" x14ac:dyDescent="0.35">
      <c r="A5" s="1"/>
      <c r="B5" s="2" t="s">
        <v>201</v>
      </c>
      <c r="C5" s="3"/>
      <c r="D5" s="3"/>
      <c r="J5" s="27"/>
    </row>
    <row r="6" spans="1:13" x14ac:dyDescent="0.35">
      <c r="B6" s="2" t="s">
        <v>281</v>
      </c>
      <c r="C6" s="3"/>
      <c r="D6" s="3"/>
      <c r="J6" s="27"/>
    </row>
    <row r="7" spans="1:13" x14ac:dyDescent="0.35">
      <c r="B7" s="2" t="s">
        <v>214</v>
      </c>
      <c r="C7" s="3"/>
      <c r="D7" s="3"/>
      <c r="J7" s="27"/>
    </row>
    <row r="8" spans="1:13" x14ac:dyDescent="0.35">
      <c r="C8" s="3"/>
      <c r="D8" s="3"/>
      <c r="J8" s="27"/>
    </row>
    <row r="9" spans="1:13" ht="13" x14ac:dyDescent="0.35">
      <c r="A9" s="4"/>
      <c r="B9" s="4" t="s">
        <v>32</v>
      </c>
      <c r="C9" s="3"/>
      <c r="D9" s="3"/>
      <c r="J9" s="27"/>
    </row>
    <row r="10" spans="1:13" ht="13" x14ac:dyDescent="0.35">
      <c r="A10" s="4"/>
      <c r="B10" s="2" t="s">
        <v>224</v>
      </c>
      <c r="C10" s="3"/>
      <c r="D10" s="3"/>
    </row>
    <row r="12" spans="1:13" s="8" customFormat="1" ht="13" x14ac:dyDescent="0.35">
      <c r="B12" s="8" t="s">
        <v>48</v>
      </c>
      <c r="F12" s="8" t="s">
        <v>29</v>
      </c>
      <c r="G12" s="8" t="s">
        <v>276</v>
      </c>
    </row>
    <row r="15" spans="1:13" s="56" customFormat="1" ht="13" x14ac:dyDescent="0.35">
      <c r="B15" s="56" t="s">
        <v>188</v>
      </c>
      <c r="I15" s="56" t="s">
        <v>30</v>
      </c>
      <c r="J15" s="56" t="s">
        <v>178</v>
      </c>
      <c r="K15" s="56" t="s">
        <v>179</v>
      </c>
      <c r="L15" s="56" t="s">
        <v>180</v>
      </c>
      <c r="M15" s="56" t="s">
        <v>181</v>
      </c>
    </row>
    <row r="16" spans="1:13" s="69" customFormat="1" ht="13" x14ac:dyDescent="0.35"/>
    <row r="17" spans="1:28" s="57" customFormat="1" ht="14.5" x14ac:dyDescent="0.35">
      <c r="A17"/>
      <c r="B17" s="58" t="s">
        <v>202</v>
      </c>
      <c r="F17" s="58" t="s">
        <v>182</v>
      </c>
      <c r="G17" s="120" t="s">
        <v>326</v>
      </c>
      <c r="I17" s="156"/>
      <c r="J17" s="82">
        <f>'Gegevens t.b.v. huurtarieven'!J16</f>
        <v>977.35</v>
      </c>
      <c r="K17" s="82">
        <f>'Gegevens t.b.v. huurtarieven'!K16</f>
        <v>1044</v>
      </c>
      <c r="L17" s="82">
        <f>'Gegevens t.b.v. huurtarieven'!L16</f>
        <v>1071.8</v>
      </c>
      <c r="M17" s="82">
        <f>'Gegevens t.b.v. huurtarieven'!M16</f>
        <v>1071.8</v>
      </c>
      <c r="N17" s="156"/>
      <c r="T17" s="64"/>
    </row>
    <row r="18" spans="1:28" s="57" customFormat="1" ht="14.25" customHeight="1" x14ac:dyDescent="0.35">
      <c r="B18" s="58" t="s">
        <v>206</v>
      </c>
      <c r="F18" s="58" t="s">
        <v>182</v>
      </c>
      <c r="G18" s="120" t="s">
        <v>326</v>
      </c>
      <c r="I18" s="82">
        <f>'Gegevens t.b.v. huurtarieven'!I22</f>
        <v>1044</v>
      </c>
      <c r="J18" s="157"/>
      <c r="K18" s="157"/>
      <c r="L18" s="157"/>
      <c r="M18" s="157"/>
      <c r="N18" s="156"/>
    </row>
    <row r="19" spans="1:28" s="57" customFormat="1" ht="14.5" x14ac:dyDescent="0.35">
      <c r="B19" s="58" t="s">
        <v>207</v>
      </c>
      <c r="F19" s="58" t="s">
        <v>182</v>
      </c>
      <c r="G19" s="120" t="s">
        <v>326</v>
      </c>
      <c r="I19" s="82">
        <f>'Gegevens t.b.v. huurtarieven'!I27</f>
        <v>1044</v>
      </c>
      <c r="J19" s="157"/>
      <c r="K19" s="157"/>
      <c r="L19" s="157"/>
      <c r="M19" s="157"/>
      <c r="N19" s="156"/>
    </row>
    <row r="20" spans="1:28" x14ac:dyDescent="0.35">
      <c r="F20" s="104"/>
      <c r="G20" s="104"/>
      <c r="I20" s="105"/>
      <c r="J20" s="105"/>
      <c r="K20" s="105"/>
      <c r="L20" s="105"/>
      <c r="M20" s="105"/>
      <c r="N20" s="105"/>
    </row>
    <row r="21" spans="1:28" s="57" customFormat="1" ht="14.5" x14ac:dyDescent="0.35">
      <c r="B21" s="74" t="s">
        <v>264</v>
      </c>
      <c r="F21" s="58"/>
      <c r="G21" s="58"/>
      <c r="I21" s="156"/>
      <c r="J21" s="156"/>
      <c r="K21" s="156"/>
      <c r="L21" s="156"/>
      <c r="M21" s="156"/>
      <c r="N21" s="156"/>
    </row>
    <row r="22" spans="1:28" s="57" customFormat="1" ht="14.5" x14ac:dyDescent="0.35">
      <c r="B22" s="59" t="s">
        <v>184</v>
      </c>
      <c r="C22" s="60"/>
      <c r="F22" s="58" t="s">
        <v>182</v>
      </c>
      <c r="G22" s="120" t="s">
        <v>326</v>
      </c>
      <c r="I22" s="82">
        <f>'Gegevens t.b.v. huurtarieven'!I33</f>
        <v>85.36</v>
      </c>
      <c r="J22" s="156"/>
      <c r="K22" s="156"/>
      <c r="L22" s="156"/>
      <c r="M22" s="156"/>
      <c r="N22" s="156"/>
    </row>
    <row r="23" spans="1:28" s="57" customFormat="1" ht="14.5" x14ac:dyDescent="0.35">
      <c r="B23" s="58" t="s">
        <v>185</v>
      </c>
      <c r="F23" s="58" t="s">
        <v>182</v>
      </c>
      <c r="G23" s="120" t="s">
        <v>326</v>
      </c>
      <c r="I23" s="82">
        <f>'Gegevens t.b.v. huurtarieven'!I34</f>
        <v>307.18</v>
      </c>
      <c r="J23" s="156"/>
      <c r="K23" s="156"/>
      <c r="L23" s="156"/>
      <c r="M23" s="156"/>
      <c r="N23" s="156"/>
    </row>
    <row r="24" spans="1:28" s="58" customFormat="1" x14ac:dyDescent="0.25">
      <c r="B24" s="58" t="s">
        <v>218</v>
      </c>
      <c r="C24" s="64"/>
      <c r="D24" s="64"/>
      <c r="E24" s="64"/>
      <c r="F24" s="58" t="s">
        <v>182</v>
      </c>
      <c r="G24" s="120" t="s">
        <v>326</v>
      </c>
      <c r="H24" s="64"/>
      <c r="I24" s="82">
        <f>'Gegevens t.b.v. huurtarieven'!I24</f>
        <v>33.868584801432469</v>
      </c>
      <c r="J24" s="158"/>
      <c r="K24" s="158"/>
      <c r="L24" s="158"/>
      <c r="M24" s="158"/>
      <c r="N24" s="158"/>
      <c r="O24" s="64"/>
      <c r="P24" s="64"/>
    </row>
    <row r="26" spans="1:28" s="56" customFormat="1" ht="13" x14ac:dyDescent="0.35">
      <c r="B26" s="56" t="s">
        <v>197</v>
      </c>
    </row>
    <row r="27" spans="1:28" s="58" customFormat="1" x14ac:dyDescent="0.25"/>
    <row r="28" spans="1:28" s="58" customFormat="1" x14ac:dyDescent="0.25">
      <c r="A28" s="100"/>
      <c r="B28" s="61" t="s">
        <v>89</v>
      </c>
      <c r="D28" s="62"/>
      <c r="E28" s="62"/>
      <c r="F28" s="62" t="s">
        <v>104</v>
      </c>
      <c r="G28" s="62"/>
      <c r="H28" s="62"/>
      <c r="I28" s="49">
        <f>'Gegevens warmteregeling &amp; ACM'!I51</f>
        <v>15</v>
      </c>
      <c r="J28" s="62"/>
      <c r="K28" s="62"/>
      <c r="L28" s="62"/>
      <c r="M28" s="62"/>
      <c r="N28" s="62"/>
      <c r="O28" s="62"/>
      <c r="P28" s="62"/>
      <c r="Q28" s="62"/>
      <c r="R28" s="62"/>
      <c r="S28" s="62"/>
      <c r="T28" s="62"/>
      <c r="U28" s="62"/>
      <c r="V28" s="62"/>
      <c r="W28" s="62"/>
      <c r="X28" s="62"/>
      <c r="Y28" s="62"/>
      <c r="Z28" s="62"/>
      <c r="AA28" s="62"/>
      <c r="AB28" s="62"/>
    </row>
    <row r="29" spans="1:28" s="58" customFormat="1" x14ac:dyDescent="0.25">
      <c r="B29" s="61" t="s">
        <v>186</v>
      </c>
      <c r="F29" s="58" t="s">
        <v>80</v>
      </c>
      <c r="I29" s="92">
        <f>'Gegevens warmteregeling &amp; ACM'!I30</f>
        <v>3.5799999999999998E-2</v>
      </c>
    </row>
    <row r="30" spans="1:28" s="58" customFormat="1" x14ac:dyDescent="0.25">
      <c r="A30" s="100"/>
      <c r="B30" s="64" t="s">
        <v>198</v>
      </c>
      <c r="C30" s="64"/>
      <c r="D30" s="64"/>
      <c r="E30" s="64"/>
      <c r="F30" s="64" t="s">
        <v>182</v>
      </c>
      <c r="G30" s="64" t="s">
        <v>325</v>
      </c>
      <c r="H30" s="64"/>
      <c r="I30" s="82">
        <f>'Gegevens t.b.v. huurtarieven'!I17</f>
        <v>31.86</v>
      </c>
      <c r="J30" s="64"/>
      <c r="K30" s="64"/>
      <c r="L30" s="64"/>
      <c r="M30" s="64"/>
      <c r="N30" s="64"/>
      <c r="O30" s="64"/>
      <c r="P30" s="64"/>
    </row>
    <row r="31" spans="1:28" s="58" customFormat="1" x14ac:dyDescent="0.25">
      <c r="A31" s="100"/>
      <c r="B31" s="64" t="s">
        <v>304</v>
      </c>
      <c r="C31" s="64"/>
      <c r="D31" s="64"/>
      <c r="E31" s="64"/>
      <c r="F31" s="64" t="s">
        <v>182</v>
      </c>
      <c r="G31" s="64" t="s">
        <v>325</v>
      </c>
      <c r="H31" s="64"/>
      <c r="I31" s="82">
        <f>'Gegevens t.b.v. huurtarieven'!I23</f>
        <v>24.03</v>
      </c>
      <c r="J31" s="64"/>
      <c r="K31" s="64"/>
      <c r="L31" s="64"/>
      <c r="M31" s="64"/>
      <c r="N31" s="64"/>
      <c r="O31" s="64"/>
      <c r="P31" s="64"/>
    </row>
    <row r="32" spans="1:28" s="58" customFormat="1" x14ac:dyDescent="0.25">
      <c r="A32" s="100"/>
      <c r="B32" s="64" t="s">
        <v>303</v>
      </c>
      <c r="C32" s="64"/>
      <c r="D32" s="64"/>
      <c r="E32" s="64"/>
      <c r="F32" s="64" t="s">
        <v>182</v>
      </c>
      <c r="G32" s="64" t="s">
        <v>325</v>
      </c>
      <c r="H32" s="64"/>
      <c r="I32" s="82">
        <f>'Gegevens t.b.v. huurtarieven'!I28</f>
        <v>6.31</v>
      </c>
      <c r="J32" s="64"/>
      <c r="K32" s="64"/>
      <c r="L32" s="64"/>
      <c r="M32" s="64"/>
      <c r="N32" s="64"/>
      <c r="O32" s="64"/>
      <c r="P32" s="64"/>
    </row>
    <row r="33" spans="1:20" s="58" customFormat="1" x14ac:dyDescent="0.25">
      <c r="B33" s="64"/>
      <c r="H33" s="64"/>
      <c r="I33" s="151"/>
    </row>
    <row r="34" spans="1:20" s="56" customFormat="1" ht="13" x14ac:dyDescent="0.35">
      <c r="B34" s="56" t="s">
        <v>189</v>
      </c>
      <c r="J34" s="56" t="s">
        <v>178</v>
      </c>
      <c r="K34" s="56" t="s">
        <v>179</v>
      </c>
      <c r="L34" s="56" t="s">
        <v>180</v>
      </c>
      <c r="M34" s="56" t="s">
        <v>181</v>
      </c>
      <c r="O34" s="56" t="s">
        <v>212</v>
      </c>
      <c r="P34" s="56" t="s">
        <v>213</v>
      </c>
      <c r="R34" s="56" t="s">
        <v>216</v>
      </c>
      <c r="S34" s="56" t="s">
        <v>217</v>
      </c>
      <c r="T34" s="56" t="s">
        <v>259</v>
      </c>
    </row>
    <row r="35" spans="1:20" s="58" customFormat="1" ht="13" x14ac:dyDescent="0.25">
      <c r="B35" s="66"/>
      <c r="C35" s="66"/>
      <c r="J35" s="67"/>
      <c r="K35" s="67"/>
      <c r="L35" s="67"/>
      <c r="M35" s="67"/>
      <c r="O35" s="2"/>
      <c r="P35" s="2"/>
      <c r="R35" s="2"/>
      <c r="S35" s="2"/>
    </row>
    <row r="36" spans="1:20" s="58" customFormat="1" ht="13" x14ac:dyDescent="0.25">
      <c r="B36" s="62" t="s">
        <v>136</v>
      </c>
      <c r="C36" s="63"/>
      <c r="F36" s="62" t="s">
        <v>182</v>
      </c>
      <c r="G36" s="127" t="s">
        <v>326</v>
      </c>
      <c r="J36" s="82">
        <f>J17</f>
        <v>977.35</v>
      </c>
      <c r="K36" s="82">
        <f>K17</f>
        <v>1044</v>
      </c>
      <c r="L36" s="82">
        <f>L17</f>
        <v>1071.8</v>
      </c>
      <c r="M36" s="82">
        <f>M17</f>
        <v>1071.8</v>
      </c>
      <c r="N36" s="151"/>
      <c r="O36" s="82">
        <f>I18</f>
        <v>1044</v>
      </c>
      <c r="P36" s="82">
        <f>I19</f>
        <v>1044</v>
      </c>
      <c r="Q36" s="151"/>
      <c r="R36" s="82">
        <f>I22</f>
        <v>85.36</v>
      </c>
      <c r="S36" s="82">
        <f>I23</f>
        <v>307.18</v>
      </c>
      <c r="T36" s="82">
        <f>I24</f>
        <v>33.868584801432469</v>
      </c>
    </row>
    <row r="37" spans="1:20" s="58" customFormat="1" x14ac:dyDescent="0.25">
      <c r="B37" s="58" t="s">
        <v>190</v>
      </c>
      <c r="F37" s="62" t="s">
        <v>182</v>
      </c>
      <c r="G37" s="62"/>
      <c r="J37" s="160">
        <f>J36/I28</f>
        <v>65.156666666666666</v>
      </c>
      <c r="K37" s="160">
        <f>K36/I28</f>
        <v>69.599999999999994</v>
      </c>
      <c r="L37" s="160">
        <f>L36/I28</f>
        <v>71.453333333333333</v>
      </c>
      <c r="M37" s="160">
        <f>M36/I28</f>
        <v>71.453333333333333</v>
      </c>
      <c r="N37" s="151"/>
      <c r="O37" s="160">
        <f>O36/I28</f>
        <v>69.599999999999994</v>
      </c>
      <c r="P37" s="160">
        <f>P36/I28</f>
        <v>69.599999999999994</v>
      </c>
      <c r="Q37" s="151"/>
      <c r="R37" s="160">
        <f>R36/I28</f>
        <v>5.690666666666667</v>
      </c>
      <c r="S37" s="160">
        <f>S36/I28</f>
        <v>20.478666666666665</v>
      </c>
      <c r="T37" s="160">
        <f>T36/I28</f>
        <v>2.2579056534288311</v>
      </c>
    </row>
    <row r="38" spans="1:20" s="69" customFormat="1" ht="13" x14ac:dyDescent="0.35">
      <c r="A38" s="101"/>
      <c r="B38" s="70" t="s">
        <v>191</v>
      </c>
      <c r="F38" s="62" t="s">
        <v>104</v>
      </c>
      <c r="G38" s="62"/>
      <c r="I38" s="94">
        <f>I28/2</f>
        <v>7.5</v>
      </c>
      <c r="J38" s="161"/>
      <c r="K38" s="153"/>
      <c r="L38" s="153"/>
      <c r="M38" s="153"/>
      <c r="N38" s="161"/>
      <c r="O38" s="153"/>
      <c r="P38" s="153"/>
      <c r="Q38" s="162"/>
      <c r="R38" s="153"/>
      <c r="S38" s="153"/>
      <c r="T38" s="161"/>
    </row>
    <row r="39" spans="1:20" s="58" customFormat="1" x14ac:dyDescent="0.25">
      <c r="B39" s="58" t="s">
        <v>192</v>
      </c>
      <c r="F39" s="62" t="s">
        <v>182</v>
      </c>
      <c r="G39" s="62"/>
      <c r="J39" s="160">
        <f>J37*I38</f>
        <v>488.67500000000001</v>
      </c>
      <c r="K39" s="160">
        <f>K37*I38</f>
        <v>522</v>
      </c>
      <c r="L39" s="160">
        <f>L37*I38</f>
        <v>535.9</v>
      </c>
      <c r="M39" s="160">
        <f>M37*I38</f>
        <v>535.9</v>
      </c>
      <c r="N39" s="151"/>
      <c r="O39" s="160">
        <f>O37*I38</f>
        <v>522</v>
      </c>
      <c r="P39" s="160">
        <f>P37*I38</f>
        <v>522</v>
      </c>
      <c r="Q39" s="151"/>
      <c r="R39" s="160">
        <f>R37*I38</f>
        <v>42.68</v>
      </c>
      <c r="S39" s="160">
        <f>S37*I38</f>
        <v>153.59</v>
      </c>
      <c r="T39" s="160">
        <f>T37*I38</f>
        <v>16.934292400716235</v>
      </c>
    </row>
    <row r="40" spans="1:20" s="62" customFormat="1" ht="13" x14ac:dyDescent="0.35">
      <c r="B40" s="71" t="s">
        <v>193</v>
      </c>
      <c r="F40" s="62" t="s">
        <v>182</v>
      </c>
      <c r="J40" s="160">
        <f>J39*I29</f>
        <v>17.494564999999998</v>
      </c>
      <c r="K40" s="160">
        <f>K39*I29</f>
        <v>18.6876</v>
      </c>
      <c r="L40" s="160">
        <f>L39*I29</f>
        <v>19.185219999999997</v>
      </c>
      <c r="M40" s="160">
        <f>M39*I29</f>
        <v>19.185219999999997</v>
      </c>
      <c r="N40" s="159"/>
      <c r="O40" s="160">
        <f>O39*I29</f>
        <v>18.6876</v>
      </c>
      <c r="P40" s="160">
        <f>P39*I29</f>
        <v>18.6876</v>
      </c>
      <c r="Q40" s="159"/>
      <c r="R40" s="160">
        <f>R39*I29</f>
        <v>1.527944</v>
      </c>
      <c r="S40" s="160">
        <f>S39*I29</f>
        <v>5.4985219999999995</v>
      </c>
      <c r="T40" s="160">
        <f>T39*I29</f>
        <v>0.60624766794564122</v>
      </c>
    </row>
    <row r="41" spans="1:20" s="58" customFormat="1" x14ac:dyDescent="0.25">
      <c r="B41" s="58" t="s">
        <v>194</v>
      </c>
      <c r="F41" s="62" t="s">
        <v>182</v>
      </c>
      <c r="G41" s="64" t="s">
        <v>325</v>
      </c>
      <c r="J41" s="163">
        <f>J37+J40</f>
        <v>82.651231666666661</v>
      </c>
      <c r="K41" s="163">
        <f>K37+K40</f>
        <v>88.287599999999998</v>
      </c>
      <c r="L41" s="163">
        <f>L37+L40</f>
        <v>90.638553333333334</v>
      </c>
      <c r="M41" s="163">
        <f>M37+M40</f>
        <v>90.638553333333334</v>
      </c>
      <c r="N41" s="151"/>
      <c r="O41" s="163">
        <f>O37+O40</f>
        <v>88.287599999999998</v>
      </c>
      <c r="P41" s="163">
        <f>P37+P40</f>
        <v>88.287599999999998</v>
      </c>
      <c r="Q41" s="151"/>
      <c r="R41" s="163">
        <f>R37+R40</f>
        <v>7.2186106666666667</v>
      </c>
      <c r="S41" s="163">
        <f>S37+S40</f>
        <v>25.977188666666663</v>
      </c>
      <c r="T41" s="163">
        <f>T37+T40</f>
        <v>2.8641533213744723</v>
      </c>
    </row>
    <row r="42" spans="1:20" s="58" customFormat="1" ht="13" x14ac:dyDescent="0.25">
      <c r="B42" s="72"/>
      <c r="C42" s="66"/>
      <c r="D42" s="66"/>
      <c r="E42" s="66"/>
      <c r="J42" s="164"/>
      <c r="K42" s="164"/>
      <c r="L42" s="164"/>
      <c r="M42" s="164"/>
      <c r="N42" s="151"/>
      <c r="O42" s="164"/>
      <c r="P42" s="164"/>
      <c r="Q42" s="151"/>
      <c r="R42" s="157"/>
      <c r="S42" s="157"/>
      <c r="T42" s="151"/>
    </row>
    <row r="43" spans="1:20" s="58" customFormat="1" ht="13" x14ac:dyDescent="0.25">
      <c r="B43" s="62" t="s">
        <v>187</v>
      </c>
      <c r="C43" s="63"/>
      <c r="D43" s="63"/>
      <c r="E43" s="63"/>
      <c r="F43" s="62" t="s">
        <v>182</v>
      </c>
      <c r="G43" s="64" t="s">
        <v>325</v>
      </c>
      <c r="J43" s="82">
        <f>$I$30</f>
        <v>31.86</v>
      </c>
      <c r="K43" s="82">
        <f>$I$30</f>
        <v>31.86</v>
      </c>
      <c r="L43" s="82">
        <f>$I$30</f>
        <v>31.86</v>
      </c>
      <c r="M43" s="82">
        <f>$I$30</f>
        <v>31.86</v>
      </c>
      <c r="N43" s="151"/>
      <c r="O43" s="82">
        <f>I31</f>
        <v>24.03</v>
      </c>
      <c r="P43" s="82">
        <f>I32</f>
        <v>6.31</v>
      </c>
      <c r="Q43" s="151"/>
      <c r="R43" s="165"/>
      <c r="S43" s="165"/>
      <c r="T43" s="165"/>
    </row>
    <row r="44" spans="1:20" s="58" customFormat="1" x14ac:dyDescent="0.25">
      <c r="B44" s="64"/>
      <c r="C44" s="64"/>
      <c r="D44" s="64"/>
      <c r="E44" s="64"/>
      <c r="J44" s="157"/>
      <c r="K44" s="157"/>
      <c r="L44" s="157"/>
      <c r="M44" s="157"/>
      <c r="N44" s="151"/>
      <c r="O44" s="157"/>
      <c r="P44" s="157"/>
      <c r="Q44" s="151"/>
      <c r="R44" s="151"/>
      <c r="S44" s="151"/>
      <c r="T44" s="151"/>
    </row>
    <row r="45" spans="1:20" s="58" customFormat="1" x14ac:dyDescent="0.25">
      <c r="A45" s="100"/>
      <c r="B45" s="64" t="s">
        <v>250</v>
      </c>
      <c r="F45" s="62" t="s">
        <v>182</v>
      </c>
      <c r="G45" s="64" t="s">
        <v>325</v>
      </c>
      <c r="J45" s="166">
        <f>J41+J43</f>
        <v>114.51123166666666</v>
      </c>
      <c r="K45" s="166">
        <f>K41+K43</f>
        <v>120.1476</v>
      </c>
      <c r="L45" s="166">
        <f t="shared" ref="L45:M45" si="0">L41+L43</f>
        <v>122.49855333333333</v>
      </c>
      <c r="M45" s="166">
        <f t="shared" si="0"/>
        <v>122.49855333333333</v>
      </c>
      <c r="N45" s="151"/>
      <c r="O45" s="166">
        <f>O41+O43</f>
        <v>112.3176</v>
      </c>
      <c r="P45" s="166">
        <f>P41+P43</f>
        <v>94.5976</v>
      </c>
      <c r="Q45" s="151"/>
      <c r="R45" s="153"/>
      <c r="S45" s="153"/>
      <c r="T45" s="153"/>
    </row>
    <row r="46" spans="1:20" s="58" customFormat="1" x14ac:dyDescent="0.25">
      <c r="J46" s="87"/>
      <c r="K46" s="87"/>
      <c r="L46" s="87"/>
      <c r="M46" s="87"/>
      <c r="O46" s="87"/>
      <c r="P46" s="87"/>
      <c r="R46" s="87"/>
      <c r="S46" s="87"/>
    </row>
    <row r="47" spans="1:20" s="56" customFormat="1" ht="13" x14ac:dyDescent="0.35">
      <c r="B47" s="56" t="s">
        <v>215</v>
      </c>
      <c r="J47" s="56" t="s">
        <v>178</v>
      </c>
      <c r="K47" s="56" t="s">
        <v>179</v>
      </c>
      <c r="L47" s="56" t="s">
        <v>180</v>
      </c>
      <c r="M47" s="56" t="s">
        <v>181</v>
      </c>
      <c r="R47" s="56" t="s">
        <v>216</v>
      </c>
      <c r="S47" s="56" t="s">
        <v>217</v>
      </c>
      <c r="T47" s="56" t="s">
        <v>259</v>
      </c>
    </row>
    <row r="49" spans="1:21" s="83" customFormat="1" ht="13" x14ac:dyDescent="0.3">
      <c r="B49" s="83" t="s">
        <v>208</v>
      </c>
      <c r="O49" s="2"/>
      <c r="P49" s="2"/>
    </row>
    <row r="50" spans="1:21" s="83" customFormat="1" ht="13" x14ac:dyDescent="0.3">
      <c r="B50" s="58" t="s">
        <v>249</v>
      </c>
      <c r="F50" s="2" t="s">
        <v>182</v>
      </c>
      <c r="G50" s="2"/>
      <c r="J50" s="39">
        <f>J36-$K$36</f>
        <v>-66.649999999999977</v>
      </c>
      <c r="K50" s="76"/>
      <c r="L50" s="39">
        <f>L36-$K$36</f>
        <v>27.799999999999955</v>
      </c>
      <c r="M50" s="39">
        <f>M36-$K$36</f>
        <v>27.799999999999955</v>
      </c>
      <c r="O50" s="2"/>
      <c r="P50" s="2"/>
      <c r="Q50" s="167"/>
      <c r="R50" s="82">
        <f>R36</f>
        <v>85.36</v>
      </c>
      <c r="S50" s="82">
        <f>S36</f>
        <v>307.18</v>
      </c>
      <c r="T50" s="82">
        <f>T36</f>
        <v>33.868584801432469</v>
      </c>
      <c r="U50" s="167"/>
    </row>
    <row r="51" spans="1:21" ht="15" customHeight="1" x14ac:dyDescent="0.35">
      <c r="A51"/>
      <c r="B51" s="2" t="s">
        <v>248</v>
      </c>
      <c r="F51" s="2" t="s">
        <v>182</v>
      </c>
      <c r="J51" s="39">
        <f>J41-K41</f>
        <v>-5.636368333333337</v>
      </c>
      <c r="K51" s="76"/>
      <c r="L51" s="39">
        <f>L41-K41</f>
        <v>2.3509533333333366</v>
      </c>
      <c r="M51" s="39">
        <f>M41-K41</f>
        <v>2.3509533333333366</v>
      </c>
      <c r="Q51" s="105"/>
      <c r="R51" s="82">
        <f>R41</f>
        <v>7.2186106666666667</v>
      </c>
      <c r="S51" s="82">
        <f>S41</f>
        <v>25.977188666666663</v>
      </c>
      <c r="T51" s="82">
        <f>T41</f>
        <v>2.8641533213744723</v>
      </c>
      <c r="U51" s="105"/>
    </row>
    <row r="52" spans="1:21" x14ac:dyDescent="0.35">
      <c r="Q52" s="105"/>
      <c r="R52" s="105"/>
      <c r="S52" s="105"/>
      <c r="T52" s="105"/>
      <c r="U52" s="105"/>
    </row>
  </sheetData>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election activeCell="N41" sqref="N41"/>
    </sheetView>
  </sheetViews>
  <sheetFormatPr defaultColWidth="9.1796875" defaultRowHeight="12.5" x14ac:dyDescent="0.35"/>
  <cols>
    <col min="1" max="16384" width="9.1796875" style="3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2:T48"/>
  <sheetViews>
    <sheetView showGridLines="0" tabSelected="1" zoomScale="85" zoomScaleNormal="85" workbookViewId="0">
      <pane xSplit="7" ySplit="11" topLeftCell="H12" activePane="bottomRight" state="frozen"/>
      <selection pane="topRight"/>
      <selection pane="bottomLeft"/>
      <selection pane="bottomRight" activeCell="M20" sqref="M20"/>
    </sheetView>
  </sheetViews>
  <sheetFormatPr defaultColWidth="9.1796875" defaultRowHeight="12.5" x14ac:dyDescent="0.35"/>
  <cols>
    <col min="1" max="1" width="3.7265625" style="2" customWidth="1"/>
    <col min="2" max="2" width="41.453125" style="2" customWidth="1"/>
    <col min="3" max="5" width="4.54296875" style="2" customWidth="1"/>
    <col min="6" max="6" width="25.81640625" style="2" customWidth="1"/>
    <col min="7" max="7" width="21" style="2" bestFit="1" customWidth="1"/>
    <col min="8" max="8" width="2.7265625" style="2" customWidth="1"/>
    <col min="9" max="9" width="13.7265625" style="2" customWidth="1"/>
    <col min="10" max="10" width="2.7265625" style="2" customWidth="1"/>
    <col min="11" max="11" width="13.7265625" style="2" customWidth="1"/>
    <col min="12" max="12" width="2.7265625" style="2" customWidth="1"/>
    <col min="13" max="16" width="12.54296875" style="2" customWidth="1"/>
    <col min="17" max="19" width="2.7265625" style="2" customWidth="1"/>
    <col min="20" max="34" width="13.7265625" style="2" customWidth="1"/>
    <col min="35" max="16384" width="9.1796875" style="2"/>
  </cols>
  <sheetData>
    <row r="2" spans="1:20" s="26" customFormat="1" ht="18" x14ac:dyDescent="0.35">
      <c r="B2" s="26" t="s">
        <v>271</v>
      </c>
    </row>
    <row r="4" spans="1:20" ht="13" x14ac:dyDescent="0.35">
      <c r="A4" s="1"/>
      <c r="B4" s="1" t="s">
        <v>63</v>
      </c>
      <c r="C4" s="1"/>
      <c r="D4" s="1"/>
    </row>
    <row r="5" spans="1:20" ht="13" x14ac:dyDescent="0.35">
      <c r="A5" s="1"/>
      <c r="B5" s="2" t="s">
        <v>223</v>
      </c>
      <c r="C5" s="3"/>
      <c r="D5" s="3"/>
      <c r="I5" s="27"/>
    </row>
    <row r="6" spans="1:20" x14ac:dyDescent="0.35">
      <c r="C6" s="3"/>
      <c r="D6" s="3"/>
      <c r="I6" s="27"/>
    </row>
    <row r="7" spans="1:20" ht="13" x14ac:dyDescent="0.35">
      <c r="A7" s="4"/>
      <c r="B7" s="4" t="s">
        <v>32</v>
      </c>
      <c r="C7" s="3"/>
      <c r="D7" s="3"/>
      <c r="I7" s="27"/>
    </row>
    <row r="8" spans="1:20" ht="13" x14ac:dyDescent="0.35">
      <c r="A8" s="4"/>
      <c r="B8" s="2" t="s">
        <v>224</v>
      </c>
      <c r="C8" s="3"/>
      <c r="D8" s="3"/>
      <c r="M8" s="27"/>
    </row>
    <row r="10" spans="1:20" s="8" customFormat="1" ht="13" x14ac:dyDescent="0.35">
      <c r="B10" s="8" t="s">
        <v>48</v>
      </c>
      <c r="F10" s="8" t="s">
        <v>29</v>
      </c>
      <c r="G10" s="8" t="s">
        <v>276</v>
      </c>
      <c r="I10" s="8" t="s">
        <v>30</v>
      </c>
      <c r="K10" s="8" t="s">
        <v>52</v>
      </c>
      <c r="M10" s="8" t="s">
        <v>99</v>
      </c>
      <c r="N10" s="8" t="s">
        <v>100</v>
      </c>
      <c r="O10" s="8" t="s">
        <v>101</v>
      </c>
      <c r="P10" s="8" t="s">
        <v>102</v>
      </c>
      <c r="T10" s="8" t="s">
        <v>50</v>
      </c>
    </row>
    <row r="12" spans="1:20" s="8" customFormat="1" ht="13" x14ac:dyDescent="0.35">
      <c r="B12" s="8" t="s">
        <v>338</v>
      </c>
    </row>
    <row r="14" spans="1:20" ht="13" x14ac:dyDescent="0.35">
      <c r="A14" s="1"/>
      <c r="B14" s="1" t="s">
        <v>142</v>
      </c>
    </row>
    <row r="15" spans="1:20" x14ac:dyDescent="0.35">
      <c r="A15" s="45"/>
      <c r="B15" s="45" t="s">
        <v>145</v>
      </c>
      <c r="F15" s="2" t="s">
        <v>235</v>
      </c>
      <c r="G15" s="64" t="s">
        <v>325</v>
      </c>
      <c r="M15" s="40">
        <f>'Vaste kosten verbruik'!L72</f>
        <v>240.44960175102665</v>
      </c>
      <c r="N15" s="40">
        <f>'Vaste kosten verbruik'!L75</f>
        <v>120.22480087551332</v>
      </c>
      <c r="O15" s="47"/>
      <c r="P15" s="40">
        <f>'Vaste kosten verbruik'!L75</f>
        <v>120.22480087551332</v>
      </c>
    </row>
    <row r="17" spans="1:17" ht="13" x14ac:dyDescent="0.35">
      <c r="A17" s="1"/>
      <c r="B17" s="1" t="s">
        <v>103</v>
      </c>
    </row>
    <row r="18" spans="1:17" x14ac:dyDescent="0.35">
      <c r="B18" s="2" t="s">
        <v>153</v>
      </c>
      <c r="F18" s="2" t="s">
        <v>235</v>
      </c>
      <c r="G18" s="64" t="s">
        <v>325</v>
      </c>
      <c r="M18" s="40">
        <f>'Vaste kosten verbruik'!$L$105</f>
        <v>241.22069500000003</v>
      </c>
      <c r="N18" s="40">
        <f>'Vaste kosten verbruik'!$L$106</f>
        <v>120.61034750000002</v>
      </c>
      <c r="O18" s="47"/>
      <c r="P18" s="40">
        <f>'Vaste kosten verbruik'!$L$106</f>
        <v>120.61034750000002</v>
      </c>
    </row>
    <row r="20" spans="1:17" x14ac:dyDescent="0.35">
      <c r="B20" s="2" t="s">
        <v>124</v>
      </c>
      <c r="F20" s="2" t="s">
        <v>235</v>
      </c>
      <c r="G20" s="64" t="s">
        <v>325</v>
      </c>
      <c r="M20" s="38">
        <f>M15+M18</f>
        <v>481.67029675102668</v>
      </c>
      <c r="N20" s="38">
        <f>N15+N18</f>
        <v>240.83514837551334</v>
      </c>
      <c r="O20" s="38">
        <f>'Vaste kosten verbruik'!L111</f>
        <v>256.62593640038358</v>
      </c>
      <c r="P20" s="38">
        <f>P15+P18</f>
        <v>240.83514837551334</v>
      </c>
    </row>
    <row r="21" spans="1:17" x14ac:dyDescent="0.35">
      <c r="B21" s="2" t="s">
        <v>132</v>
      </c>
      <c r="F21" s="2" t="s">
        <v>235</v>
      </c>
      <c r="G21" s="64" t="s">
        <v>325</v>
      </c>
      <c r="M21" s="47"/>
      <c r="N21" s="47"/>
      <c r="O21" s="38">
        <f>'Vaste kosten verbruik'!L112</f>
        <v>64.93336165453502</v>
      </c>
      <c r="P21" s="47"/>
    </row>
    <row r="23" spans="1:17" s="8" customFormat="1" ht="13" x14ac:dyDescent="0.35">
      <c r="B23" s="8" t="s">
        <v>339</v>
      </c>
    </row>
    <row r="25" spans="1:17" x14ac:dyDescent="0.35">
      <c r="B25" s="2" t="s">
        <v>273</v>
      </c>
      <c r="F25" s="2" t="s">
        <v>246</v>
      </c>
      <c r="G25" s="64" t="s">
        <v>325</v>
      </c>
      <c r="M25" s="38">
        <f>'Variabele kosten verbruik'!J33</f>
        <v>38.591780767325261</v>
      </c>
      <c r="N25" s="38">
        <f>'Variabele kosten verbruik'!J33</f>
        <v>38.591780767325261</v>
      </c>
      <c r="O25" s="47"/>
      <c r="P25" s="38">
        <f>'Variabele kosten verbruik'!J33</f>
        <v>38.591780767325261</v>
      </c>
      <c r="Q25" s="102"/>
    </row>
    <row r="27" spans="1:17" s="8" customFormat="1" ht="13" x14ac:dyDescent="0.35">
      <c r="B27" s="8" t="s">
        <v>337</v>
      </c>
    </row>
    <row r="29" spans="1:17" x14ac:dyDescent="0.35">
      <c r="B29" s="51" t="s">
        <v>155</v>
      </c>
      <c r="F29" s="2" t="s">
        <v>235</v>
      </c>
      <c r="G29" s="64" t="s">
        <v>325</v>
      </c>
      <c r="I29" s="38">
        <f>'Vaste kosten verbruik'!$L$117</f>
        <v>232.80169139758362</v>
      </c>
      <c r="J29" s="102"/>
      <c r="N29" s="90"/>
      <c r="O29" s="90"/>
      <c r="P29" s="90"/>
    </row>
    <row r="30" spans="1:17" x14ac:dyDescent="0.35">
      <c r="B30" s="51" t="s">
        <v>282</v>
      </c>
      <c r="F30" s="2" t="s">
        <v>235</v>
      </c>
      <c r="G30" s="64" t="s">
        <v>325</v>
      </c>
      <c r="I30" s="38">
        <f>'Vaste kosten verbruik'!$L$118</f>
        <v>56.615278748419108</v>
      </c>
      <c r="J30" s="102"/>
      <c r="N30" s="90"/>
      <c r="O30" s="90"/>
      <c r="P30" s="90"/>
    </row>
    <row r="32" spans="1:17" s="8" customFormat="1" ht="13" x14ac:dyDescent="0.35">
      <c r="B32" s="8" t="s">
        <v>306</v>
      </c>
    </row>
    <row r="34" spans="1:20" ht="13" x14ac:dyDescent="0.35">
      <c r="B34" s="1" t="s">
        <v>81</v>
      </c>
    </row>
    <row r="35" spans="1:20" x14ac:dyDescent="0.35">
      <c r="B35" s="51" t="s">
        <v>150</v>
      </c>
      <c r="F35" s="2" t="s">
        <v>182</v>
      </c>
      <c r="G35" s="64" t="s">
        <v>325</v>
      </c>
      <c r="I35" s="40">
        <f>'Vaste kosten verbruik'!$N$88</f>
        <v>4904.5718673879965</v>
      </c>
      <c r="N35" s="90"/>
      <c r="O35" s="91"/>
      <c r="P35" s="90"/>
    </row>
    <row r="37" spans="1:20" ht="13" x14ac:dyDescent="0.35">
      <c r="B37" s="1" t="s">
        <v>307</v>
      </c>
    </row>
    <row r="38" spans="1:20" x14ac:dyDescent="0.35">
      <c r="B38" s="2" t="s">
        <v>153</v>
      </c>
      <c r="F38" s="2" t="s">
        <v>182</v>
      </c>
      <c r="G38" s="64" t="s">
        <v>325</v>
      </c>
      <c r="I38" s="40">
        <f>'Vaste kosten verbruik'!$N$105</f>
        <v>7457.0958687075417</v>
      </c>
      <c r="N38" s="90"/>
      <c r="O38" s="91"/>
      <c r="P38" s="90"/>
    </row>
    <row r="40" spans="1:20" ht="13" x14ac:dyDescent="0.35">
      <c r="B40" s="1" t="s">
        <v>306</v>
      </c>
      <c r="P40" s="51"/>
    </row>
    <row r="41" spans="1:20" x14ac:dyDescent="0.35">
      <c r="B41" s="2" t="s">
        <v>154</v>
      </c>
      <c r="M41" s="48"/>
      <c r="N41" s="40">
        <f>'Vaste kosten verbruik'!H26</f>
        <v>0.5</v>
      </c>
      <c r="O41" s="48"/>
      <c r="P41" s="40">
        <f>'Vaste kosten verbruik'!H26</f>
        <v>0.5</v>
      </c>
    </row>
    <row r="42" spans="1:20" x14ac:dyDescent="0.35">
      <c r="B42" s="2" t="s">
        <v>124</v>
      </c>
      <c r="F42" s="2" t="s">
        <v>182</v>
      </c>
      <c r="G42" s="64" t="s">
        <v>325</v>
      </c>
      <c r="M42" s="39">
        <f>I35+I38</f>
        <v>12361.667736095538</v>
      </c>
      <c r="N42" s="39">
        <f>(I35+I38)*N41</f>
        <v>6180.8338680477691</v>
      </c>
      <c r="O42" s="47"/>
      <c r="P42" s="39">
        <f>(I35+I38)*P41</f>
        <v>6180.8338680477691</v>
      </c>
    </row>
    <row r="44" spans="1:20" s="8" customFormat="1" ht="13" x14ac:dyDescent="0.35">
      <c r="B44" s="8" t="s">
        <v>305</v>
      </c>
    </row>
    <row r="46" spans="1:20" ht="13" x14ac:dyDescent="0.35">
      <c r="B46" s="1" t="s">
        <v>174</v>
      </c>
      <c r="G46" s="64" t="s">
        <v>325</v>
      </c>
      <c r="M46" s="39">
        <f>M42-M20</f>
        <v>11879.997439344512</v>
      </c>
      <c r="N46" s="39">
        <f>N42-N20</f>
        <v>5939.9987196722559</v>
      </c>
      <c r="O46" s="47"/>
      <c r="P46" s="39">
        <f>P42-P20</f>
        <v>5939.9987196722559</v>
      </c>
    </row>
    <row r="48" spans="1:20" x14ac:dyDescent="0.35">
      <c r="A48" s="54"/>
      <c r="B48" s="2" t="s">
        <v>234</v>
      </c>
      <c r="F48" s="2" t="s">
        <v>245</v>
      </c>
      <c r="G48" s="2" t="s">
        <v>245</v>
      </c>
      <c r="M48" s="38">
        <f>M46/900</f>
        <v>13.199997154827235</v>
      </c>
      <c r="N48" s="38">
        <f>N46/900</f>
        <v>6.5999985774136176</v>
      </c>
      <c r="O48" s="47"/>
      <c r="P48" s="38">
        <f>P46/900</f>
        <v>6.5999985774136176</v>
      </c>
      <c r="Q48" s="102"/>
      <c r="T48" s="2" t="s">
        <v>283</v>
      </c>
    </row>
  </sheetData>
  <pageMargins left="0.70866141732283472" right="0.70866141732283472"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ormat review" ma:contentTypeID="0x01010012F9F7308D7BD144B4F8441E77C744BF00B03D3CE4081EB445BAB829CAC40B09E5" ma:contentTypeVersion="9" ma:contentTypeDescription="" ma:contentTypeScope="" ma:versionID="947193c102f9ef02555e406a8e0cc88f">
  <xsd:schema xmlns:xsd="http://www.w3.org/2001/XMLSchema" xmlns:xs="http://www.w3.org/2001/XMLSchema" xmlns:p="http://schemas.microsoft.com/office/2006/metadata/properties" xmlns:ns2="8f5cf0bc-6f17-423b-95f7-60d76aa1cbb7" targetNamespace="http://schemas.microsoft.com/office/2006/metadata/properties" ma:root="true" ma:fieldsID="ac9e35b19c9fd3f5b3372b9ef70cdfd8" ns2:_="">
    <xsd:import namespace="8f5cf0bc-6f17-423b-95f7-60d76aa1cbb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cf0bc-6f17-423b-95f7-60d76aa1cbb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8f5cf0bc-6f17-423b-95f7-60d76aa1cbb7" xsi:nil="true"/>
    <_dlc_DocId xmlns="8f5cf0bc-6f17-423b-95f7-60d76aa1cbb7">4XY7FXMT2CQ3-1148484122-1300</_dlc_DocId>
    <_dlc_DocIdUrl xmlns="8f5cf0bc-6f17-423b-95f7-60d76aa1cbb7">
      <Url>https://intranet.acm.local/team/warmteteam/_layouts/15/DocIdRedir.aspx?ID=4XY7FXMT2CQ3-1148484122-1300</Url>
      <Description>4XY7FXMT2CQ3-1148484122-1300</Description>
    </_dlc_DocIdUrl>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8DBCD3A3-15A0-45FC-B679-177E988FE7F4}">
  <ds:schemaRefs>
    <ds:schemaRef ds:uri="http://schemas.microsoft.com/sharepoint/events"/>
  </ds:schemaRefs>
</ds:datastoreItem>
</file>

<file path=customXml/itemProps2.xml><?xml version="1.0" encoding="utf-8"?>
<ds:datastoreItem xmlns:ds="http://schemas.openxmlformats.org/officeDocument/2006/customXml" ds:itemID="{4BE3D9F5-BAFA-44A1-8DAC-E01D74622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cf0bc-6f17-423b-95f7-60d76aa1c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AB9D1-B815-4B0E-93E7-4496A7FE99F6}">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8f5cf0bc-6f17-423b-95f7-60d76aa1cbb7"/>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8D941781-42C8-4F70-8B5A-0E0A65C30A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12</vt:i4>
      </vt:variant>
    </vt:vector>
  </HeadingPairs>
  <TitlesOfParts>
    <vt:vector size="28" baseType="lpstr">
      <vt:lpstr>Titelblad</vt:lpstr>
      <vt:lpstr>Toelichting</vt:lpstr>
      <vt:lpstr>Bronnen en toepassingen</vt:lpstr>
      <vt:lpstr>Huur --&gt;</vt:lpstr>
      <vt:lpstr>Resultaat huurtarieven</vt:lpstr>
      <vt:lpstr>Gegevens t.b.v. huurtarieven</vt:lpstr>
      <vt:lpstr>Berekening huurtarieven</vt:lpstr>
      <vt:lpstr>Levering --&gt;</vt:lpstr>
      <vt:lpstr>Resultaat levering</vt:lpstr>
      <vt:lpstr>Input --&gt;</vt:lpstr>
      <vt:lpstr>Gegevens warmteregeling &amp; ACM</vt:lpstr>
      <vt:lpstr>Gasleveranciers</vt:lpstr>
      <vt:lpstr>Netbeheer</vt:lpstr>
      <vt:lpstr>Berekeningen --&gt;</vt:lpstr>
      <vt:lpstr>Vaste kosten verbruik</vt:lpstr>
      <vt:lpstr>Variabele kosten verbruik</vt:lpstr>
      <vt:lpstr>'Berekening huurtarieven'!Afdrukbereik</vt:lpstr>
      <vt:lpstr>'Bronnen en toepassingen'!Afdrukbereik</vt:lpstr>
      <vt:lpstr>Gasleveranciers!Afdrukbereik</vt:lpstr>
      <vt:lpstr>'Gegevens t.b.v. huurtarieven'!Afdrukbereik</vt:lpstr>
      <vt:lpstr>'Gegevens warmteregeling &amp; ACM'!Afdrukbereik</vt:lpstr>
      <vt:lpstr>Netbeheer!Afdrukbereik</vt:lpstr>
      <vt:lpstr>'Resultaat huurtarieven'!Afdrukbereik</vt:lpstr>
      <vt:lpstr>'Resultaat levering'!Afdrukbereik</vt:lpstr>
      <vt:lpstr>Titelblad!Afdrukbereik</vt:lpstr>
      <vt:lpstr>Toelichting!Afdrukbereik</vt:lpstr>
      <vt:lpstr>'Variabele kosten verbruik'!Afdrukbereik</vt:lpstr>
      <vt:lpstr>'Vaste kosten verbruik'!Afdrukbereik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2024-06-27T12:37:00Z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0x01010012F9F7308D7BD144B4F8441E77C744BF00B03D3CE4081EB445BAB829CAC40B09E5</vt:lpwstr>
  </property>
  <property fmtid="{D5CDD505-2E9C-101B-9397-08002B2CF9AE}" pid="3" name="_dlc_DocIdItemGuid">
    <vt:lpwstr>5767b0ee-a901-43b4-8717-10469bf4099f</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ies>
</file>