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20" windowHeight="8580" activeTab="1"/>
  </bookViews>
  <sheets>
    <sheet name="Toelichting" sheetId="10" r:id="rId1"/>
    <sheet name="Marges Elektriciteit 2011" sheetId="2" r:id="rId2"/>
    <sheet name="Marges Elektriciteit 2012" sheetId="4" r:id="rId3"/>
    <sheet name="Marges Gas 2012" sheetId="7" r:id="rId4"/>
  </sheets>
  <definedNames>
    <definedName name="_xlnm.Print_Area" localSheetId="1">'Marges Elektriciteit 2011'!$C$1:$N$90</definedName>
    <definedName name="_xlnm.Print_Area" localSheetId="2">'Marges Elektriciteit 2012'!$C$2:$N$165</definedName>
    <definedName name="_xlnm.Print_Area" localSheetId="3">'Marges Gas 2012'!$C$1:$N$107</definedName>
  </definedNames>
  <calcPr calcId="145621"/>
</workbook>
</file>

<file path=xl/calcChain.xml><?xml version="1.0" encoding="utf-8"?>
<calcChain xmlns="http://schemas.openxmlformats.org/spreadsheetml/2006/main">
  <c r="M17" i="7" l="1"/>
  <c r="M18" i="7"/>
  <c r="L17" i="7"/>
  <c r="L18" i="7"/>
  <c r="K17" i="7"/>
  <c r="K18" i="7"/>
  <c r="J17" i="7"/>
  <c r="J18" i="7"/>
  <c r="I17" i="7"/>
  <c r="I18" i="7"/>
  <c r="H17" i="7"/>
  <c r="H18" i="7"/>
  <c r="G17" i="7"/>
  <c r="G18" i="7"/>
  <c r="F17" i="7"/>
  <c r="F18" i="7"/>
  <c r="M8" i="7"/>
  <c r="L8" i="7"/>
  <c r="K8" i="7"/>
  <c r="J8" i="7"/>
  <c r="I8" i="7"/>
  <c r="H8" i="7"/>
  <c r="G8" i="7"/>
  <c r="F8" i="7"/>
  <c r="M19" i="4"/>
  <c r="M20" i="4"/>
  <c r="L19" i="4"/>
  <c r="L20" i="4"/>
  <c r="K19" i="4"/>
  <c r="K20" i="4"/>
  <c r="J19" i="4"/>
  <c r="J20" i="4"/>
  <c r="I19" i="4"/>
  <c r="I20" i="4"/>
  <c r="H19" i="4"/>
  <c r="H20" i="4"/>
  <c r="G19" i="4"/>
  <c r="G20" i="4"/>
  <c r="F19" i="4"/>
  <c r="F20" i="4"/>
  <c r="M7" i="4"/>
  <c r="D9" i="4"/>
  <c r="M9" i="4"/>
  <c r="L7" i="4"/>
  <c r="L9" i="4"/>
  <c r="K7" i="4"/>
  <c r="K9" i="4"/>
  <c r="J7" i="4"/>
  <c r="J9" i="4"/>
  <c r="I7" i="4"/>
  <c r="I9" i="4"/>
  <c r="H7" i="4"/>
  <c r="H9" i="4"/>
  <c r="G7" i="4"/>
  <c r="G9" i="4"/>
  <c r="F7" i="4"/>
  <c r="F9" i="4"/>
  <c r="M8" i="2"/>
  <c r="L8" i="2"/>
  <c r="K8" i="2"/>
  <c r="J8" i="2"/>
  <c r="I8" i="2"/>
  <c r="H8" i="2"/>
  <c r="G8" i="2"/>
  <c r="F8" i="2"/>
  <c r="M40" i="4"/>
  <c r="M41" i="4"/>
  <c r="M42" i="4"/>
  <c r="M43" i="4"/>
  <c r="M44" i="4"/>
  <c r="M45" i="4"/>
  <c r="M46" i="4"/>
  <c r="M47" i="4"/>
  <c r="M48" i="4"/>
  <c r="M49" i="4"/>
  <c r="M50" i="4"/>
  <c r="L40" i="4"/>
  <c r="L41" i="4"/>
  <c r="L42" i="4"/>
  <c r="L43" i="4"/>
  <c r="L44" i="4"/>
  <c r="L45" i="4"/>
  <c r="L46" i="4"/>
  <c r="L47" i="4"/>
  <c r="L48" i="4"/>
  <c r="L49" i="4"/>
  <c r="L50" i="4"/>
  <c r="K40" i="4"/>
  <c r="K41" i="4"/>
  <c r="K42" i="4"/>
  <c r="K43" i="4"/>
  <c r="K44" i="4"/>
  <c r="K45" i="4"/>
  <c r="K46" i="4"/>
  <c r="K47" i="4"/>
  <c r="K48" i="4"/>
  <c r="K49" i="4"/>
  <c r="K50" i="4"/>
  <c r="J40" i="4"/>
  <c r="J41" i="4"/>
  <c r="J42" i="4"/>
  <c r="J43" i="4"/>
  <c r="J44" i="4"/>
  <c r="J45" i="4"/>
  <c r="J46" i="4"/>
  <c r="J47" i="4"/>
  <c r="J48" i="4"/>
  <c r="J49" i="4"/>
  <c r="J50" i="4"/>
  <c r="I28" i="2"/>
  <c r="I41" i="2"/>
  <c r="I40" i="4"/>
  <c r="I29" i="2"/>
  <c r="I42" i="2"/>
  <c r="I41" i="4"/>
  <c r="I42" i="4"/>
  <c r="I43" i="4"/>
  <c r="I44" i="4"/>
  <c r="I45" i="4"/>
  <c r="I46" i="4"/>
  <c r="I47" i="4"/>
  <c r="I48" i="4"/>
  <c r="I49" i="4"/>
  <c r="I50" i="4"/>
  <c r="H40" i="4"/>
  <c r="H41" i="4"/>
  <c r="H42" i="4"/>
  <c r="H43" i="4"/>
  <c r="H44" i="4"/>
  <c r="H45" i="4"/>
  <c r="H46" i="4"/>
  <c r="H47" i="4"/>
  <c r="H48" i="4"/>
  <c r="H49" i="4"/>
  <c r="H50" i="4"/>
  <c r="G40" i="4"/>
  <c r="G41" i="4"/>
  <c r="G42" i="4"/>
  <c r="G43" i="4"/>
  <c r="G44" i="4"/>
  <c r="G45" i="4"/>
  <c r="G46" i="4"/>
  <c r="G47" i="4"/>
  <c r="G48" i="4"/>
  <c r="G49" i="4"/>
  <c r="G50" i="4"/>
  <c r="F40" i="4"/>
  <c r="F41" i="4"/>
  <c r="F42" i="4"/>
  <c r="F43" i="4"/>
  <c r="F44" i="4"/>
  <c r="F45" i="4"/>
  <c r="F46" i="4"/>
  <c r="F47" i="4"/>
  <c r="F48" i="4"/>
  <c r="F49" i="4"/>
  <c r="F50" i="4"/>
  <c r="F9" i="2"/>
  <c r="F8" i="4"/>
  <c r="F10" i="4"/>
  <c r="D11" i="4"/>
  <c r="F14" i="4"/>
  <c r="F125" i="4"/>
  <c r="F21" i="4"/>
  <c r="D22" i="4"/>
  <c r="F24" i="4"/>
  <c r="F126" i="4"/>
  <c r="D53" i="4"/>
  <c r="F27" i="4"/>
  <c r="F53" i="4"/>
  <c r="F66" i="4"/>
  <c r="D54" i="4"/>
  <c r="F28" i="4"/>
  <c r="F54" i="4"/>
  <c r="F67" i="4"/>
  <c r="D55" i="4"/>
  <c r="F29" i="4"/>
  <c r="F55" i="4"/>
  <c r="F68" i="4"/>
  <c r="D56" i="4"/>
  <c r="F30" i="4"/>
  <c r="F56" i="4"/>
  <c r="F69" i="4"/>
  <c r="D57" i="4"/>
  <c r="F31" i="4"/>
  <c r="F57" i="4"/>
  <c r="F70" i="4"/>
  <c r="D58" i="4"/>
  <c r="F32" i="4"/>
  <c r="F58" i="4"/>
  <c r="F71" i="4"/>
  <c r="F59" i="4"/>
  <c r="F72" i="4"/>
  <c r="D60" i="4"/>
  <c r="F34" i="4"/>
  <c r="F60" i="4"/>
  <c r="F73" i="4"/>
  <c r="D61" i="4"/>
  <c r="F35" i="4"/>
  <c r="F61" i="4"/>
  <c r="F74" i="4"/>
  <c r="D62" i="4"/>
  <c r="F36" i="4"/>
  <c r="F62" i="4"/>
  <c r="F75" i="4"/>
  <c r="F76" i="4"/>
  <c r="F80" i="4"/>
  <c r="D81" i="4"/>
  <c r="F83" i="4"/>
  <c r="F127" i="4"/>
  <c r="D99" i="4"/>
  <c r="F99" i="4"/>
  <c r="F112" i="4"/>
  <c r="D100" i="4"/>
  <c r="F100" i="4"/>
  <c r="F113" i="4"/>
  <c r="D101" i="4"/>
  <c r="F101" i="4"/>
  <c r="F114" i="4"/>
  <c r="D102" i="4"/>
  <c r="F102" i="4"/>
  <c r="F115" i="4"/>
  <c r="D103" i="4"/>
  <c r="F103" i="4"/>
  <c r="F116" i="4"/>
  <c r="D104" i="4"/>
  <c r="F104" i="4"/>
  <c r="F117" i="4"/>
  <c r="F105" i="4"/>
  <c r="F118" i="4"/>
  <c r="F106" i="4"/>
  <c r="F119" i="4"/>
  <c r="F107" i="4"/>
  <c r="F120" i="4"/>
  <c r="F108" i="4"/>
  <c r="F121" i="4"/>
  <c r="F122" i="4"/>
  <c r="F128" i="4"/>
  <c r="F129" i="4"/>
  <c r="F130" i="4"/>
  <c r="I27" i="4"/>
  <c r="I53" i="4"/>
  <c r="I66" i="4"/>
  <c r="I28" i="4"/>
  <c r="I54" i="4"/>
  <c r="I67" i="4"/>
  <c r="I29" i="4"/>
  <c r="I55" i="4"/>
  <c r="I68" i="4"/>
  <c r="I30" i="4"/>
  <c r="I56" i="4"/>
  <c r="I69" i="4"/>
  <c r="I31" i="4"/>
  <c r="I57" i="4"/>
  <c r="I70" i="4"/>
  <c r="I32" i="4"/>
  <c r="I58" i="4"/>
  <c r="I71" i="4"/>
  <c r="I59" i="4"/>
  <c r="I72" i="4"/>
  <c r="I34" i="4"/>
  <c r="I60" i="4"/>
  <c r="I73" i="4"/>
  <c r="I35" i="4"/>
  <c r="I61" i="4"/>
  <c r="I74" i="4"/>
  <c r="I36" i="4"/>
  <c r="I62" i="4"/>
  <c r="I75" i="4"/>
  <c r="I76" i="4"/>
  <c r="I80" i="4"/>
  <c r="I83" i="4"/>
  <c r="I127" i="4"/>
  <c r="I9" i="2"/>
  <c r="I8" i="4"/>
  <c r="I10" i="4"/>
  <c r="I14" i="4"/>
  <c r="I125" i="4"/>
  <c r="I21" i="4"/>
  <c r="I24" i="4"/>
  <c r="I126" i="4"/>
  <c r="I99" i="4"/>
  <c r="I112" i="4"/>
  <c r="I100" i="4"/>
  <c r="I113" i="4"/>
  <c r="I101" i="4"/>
  <c r="I114" i="4"/>
  <c r="I102" i="4"/>
  <c r="I115" i="4"/>
  <c r="I103" i="4"/>
  <c r="I116" i="4"/>
  <c r="I104" i="4"/>
  <c r="I117" i="4"/>
  <c r="I105" i="4"/>
  <c r="I118" i="4"/>
  <c r="I106" i="4"/>
  <c r="I119" i="4"/>
  <c r="I107" i="4"/>
  <c r="I120" i="4"/>
  <c r="I108" i="4"/>
  <c r="I121" i="4"/>
  <c r="I122" i="4"/>
  <c r="I128" i="4"/>
  <c r="I129" i="4"/>
  <c r="L21" i="4"/>
  <c r="L24" i="4"/>
  <c r="L126" i="4"/>
  <c r="L9" i="2"/>
  <c r="L8" i="4"/>
  <c r="L10" i="4"/>
  <c r="L14" i="4"/>
  <c r="L125" i="4"/>
  <c r="L27" i="4"/>
  <c r="L53" i="4"/>
  <c r="L66" i="4"/>
  <c r="L28" i="4"/>
  <c r="L54" i="4"/>
  <c r="L67" i="4"/>
  <c r="L29" i="4"/>
  <c r="L55" i="4"/>
  <c r="L68" i="4"/>
  <c r="L30" i="4"/>
  <c r="L56" i="4"/>
  <c r="L69" i="4"/>
  <c r="L31" i="4"/>
  <c r="L57" i="4"/>
  <c r="L70" i="4"/>
  <c r="L32" i="4"/>
  <c r="L58" i="4"/>
  <c r="L71" i="4"/>
  <c r="L59" i="4"/>
  <c r="L72" i="4"/>
  <c r="L34" i="4"/>
  <c r="L60" i="4"/>
  <c r="L73" i="4"/>
  <c r="L35" i="4"/>
  <c r="L61" i="4"/>
  <c r="L74" i="4"/>
  <c r="L36" i="4"/>
  <c r="L62" i="4"/>
  <c r="L75" i="4"/>
  <c r="L76" i="4"/>
  <c r="L80" i="4"/>
  <c r="L83" i="4"/>
  <c r="L127" i="4"/>
  <c r="L99" i="4"/>
  <c r="L112" i="4"/>
  <c r="L100" i="4"/>
  <c r="L113" i="4"/>
  <c r="L101" i="4"/>
  <c r="L114" i="4"/>
  <c r="L102" i="4"/>
  <c r="L115" i="4"/>
  <c r="L103" i="4"/>
  <c r="L116" i="4"/>
  <c r="L104" i="4"/>
  <c r="L117" i="4"/>
  <c r="L105" i="4"/>
  <c r="L118" i="4"/>
  <c r="L106" i="4"/>
  <c r="L119" i="4"/>
  <c r="L107" i="4"/>
  <c r="L120" i="4"/>
  <c r="L108" i="4"/>
  <c r="L121" i="4"/>
  <c r="L122" i="4"/>
  <c r="L128" i="4"/>
  <c r="L129" i="4"/>
  <c r="G9" i="2"/>
  <c r="G8" i="4"/>
  <c r="G10" i="4"/>
  <c r="G14" i="4"/>
  <c r="G125" i="4"/>
  <c r="G21" i="4"/>
  <c r="G24" i="4"/>
  <c r="G126" i="4"/>
  <c r="G27" i="4"/>
  <c r="G53" i="4"/>
  <c r="G66" i="4"/>
  <c r="G28" i="4"/>
  <c r="G54" i="4"/>
  <c r="G67" i="4"/>
  <c r="G29" i="4"/>
  <c r="G55" i="4"/>
  <c r="G68" i="4"/>
  <c r="G30" i="4"/>
  <c r="G56" i="4"/>
  <c r="G69" i="4"/>
  <c r="G31" i="4"/>
  <c r="G57" i="4"/>
  <c r="G70" i="4"/>
  <c r="G32" i="4"/>
  <c r="G58" i="4"/>
  <c r="G71" i="4"/>
  <c r="G59" i="4"/>
  <c r="G72" i="4"/>
  <c r="G34" i="4"/>
  <c r="G60" i="4"/>
  <c r="G73" i="4"/>
  <c r="G35" i="4"/>
  <c r="G61" i="4"/>
  <c r="G74" i="4"/>
  <c r="G36" i="4"/>
  <c r="G62" i="4"/>
  <c r="G75" i="4"/>
  <c r="G76" i="4"/>
  <c r="G80" i="4"/>
  <c r="G83" i="4"/>
  <c r="G127" i="4"/>
  <c r="G99" i="4"/>
  <c r="G112" i="4"/>
  <c r="G100" i="4"/>
  <c r="G113" i="4"/>
  <c r="G101" i="4"/>
  <c r="G114" i="4"/>
  <c r="G102" i="4"/>
  <c r="G115" i="4"/>
  <c r="G103" i="4"/>
  <c r="G116" i="4"/>
  <c r="G104" i="4"/>
  <c r="G117" i="4"/>
  <c r="G105" i="4"/>
  <c r="G118" i="4"/>
  <c r="G106" i="4"/>
  <c r="G119" i="4"/>
  <c r="G107" i="4"/>
  <c r="G120" i="4"/>
  <c r="G108" i="4"/>
  <c r="G121" i="4"/>
  <c r="G122" i="4"/>
  <c r="G128" i="4"/>
  <c r="G129" i="4"/>
  <c r="H9" i="2"/>
  <c r="H8" i="4"/>
  <c r="H10" i="4"/>
  <c r="H14" i="4"/>
  <c r="H125" i="4"/>
  <c r="H21" i="4"/>
  <c r="H24" i="4"/>
  <c r="H126" i="4"/>
  <c r="H27" i="4"/>
  <c r="H53" i="4"/>
  <c r="H66" i="4"/>
  <c r="H28" i="4"/>
  <c r="H54" i="4"/>
  <c r="H67" i="4"/>
  <c r="H29" i="4"/>
  <c r="H55" i="4"/>
  <c r="H68" i="4"/>
  <c r="H30" i="4"/>
  <c r="H56" i="4"/>
  <c r="H69" i="4"/>
  <c r="H31" i="4"/>
  <c r="H57" i="4"/>
  <c r="H70" i="4"/>
  <c r="H32" i="4"/>
  <c r="H58" i="4"/>
  <c r="H71" i="4"/>
  <c r="H59" i="4"/>
  <c r="H72" i="4"/>
  <c r="H34" i="4"/>
  <c r="H60" i="4"/>
  <c r="H73" i="4"/>
  <c r="H35" i="4"/>
  <c r="H61" i="4"/>
  <c r="H74" i="4"/>
  <c r="H36" i="4"/>
  <c r="H62" i="4"/>
  <c r="H75" i="4"/>
  <c r="H76" i="4"/>
  <c r="H80" i="4"/>
  <c r="H83" i="4"/>
  <c r="H127" i="4"/>
  <c r="H99" i="4"/>
  <c r="H112" i="4"/>
  <c r="H100" i="4"/>
  <c r="H113" i="4"/>
  <c r="H101" i="4"/>
  <c r="H114" i="4"/>
  <c r="H102" i="4"/>
  <c r="H115" i="4"/>
  <c r="H103" i="4"/>
  <c r="H116" i="4"/>
  <c r="H104" i="4"/>
  <c r="H117" i="4"/>
  <c r="H105" i="4"/>
  <c r="H118" i="4"/>
  <c r="H106" i="4"/>
  <c r="H119" i="4"/>
  <c r="H107" i="4"/>
  <c r="H120" i="4"/>
  <c r="H108" i="4"/>
  <c r="H121" i="4"/>
  <c r="H122" i="4"/>
  <c r="H128" i="4"/>
  <c r="H129" i="4"/>
  <c r="J9" i="2"/>
  <c r="J8" i="4"/>
  <c r="J10" i="4"/>
  <c r="J14" i="4"/>
  <c r="J125" i="4"/>
  <c r="J21" i="4"/>
  <c r="J24" i="4"/>
  <c r="J126" i="4"/>
  <c r="J27" i="4"/>
  <c r="J53" i="4"/>
  <c r="J66" i="4"/>
  <c r="J28" i="4"/>
  <c r="J54" i="4"/>
  <c r="J67" i="4"/>
  <c r="J29" i="4"/>
  <c r="J55" i="4"/>
  <c r="J68" i="4"/>
  <c r="J30" i="4"/>
  <c r="J56" i="4"/>
  <c r="J69" i="4"/>
  <c r="J31" i="4"/>
  <c r="J57" i="4"/>
  <c r="J70" i="4"/>
  <c r="J32" i="4"/>
  <c r="J58" i="4"/>
  <c r="J71" i="4"/>
  <c r="J59" i="4"/>
  <c r="J72" i="4"/>
  <c r="J34" i="4"/>
  <c r="J60" i="4"/>
  <c r="J73" i="4"/>
  <c r="J35" i="4"/>
  <c r="J61" i="4"/>
  <c r="J74" i="4"/>
  <c r="J36" i="4"/>
  <c r="J62" i="4"/>
  <c r="J75" i="4"/>
  <c r="J76" i="4"/>
  <c r="J80" i="4"/>
  <c r="J83" i="4"/>
  <c r="J127" i="4"/>
  <c r="J99" i="4"/>
  <c r="J112" i="4"/>
  <c r="J100" i="4"/>
  <c r="J113" i="4"/>
  <c r="J101" i="4"/>
  <c r="J114" i="4"/>
  <c r="J102" i="4"/>
  <c r="J115" i="4"/>
  <c r="J103" i="4"/>
  <c r="J116" i="4"/>
  <c r="J104" i="4"/>
  <c r="J117" i="4"/>
  <c r="J105" i="4"/>
  <c r="J118" i="4"/>
  <c r="J106" i="4"/>
  <c r="J119" i="4"/>
  <c r="J107" i="4"/>
  <c r="J120" i="4"/>
  <c r="J108" i="4"/>
  <c r="J121" i="4"/>
  <c r="J122" i="4"/>
  <c r="J128" i="4"/>
  <c r="J129" i="4"/>
  <c r="K9" i="2"/>
  <c r="K8" i="4"/>
  <c r="K10" i="4"/>
  <c r="K14" i="4"/>
  <c r="K125" i="4"/>
  <c r="K21" i="4"/>
  <c r="K24" i="4"/>
  <c r="K126" i="4"/>
  <c r="K27" i="4"/>
  <c r="K53" i="4"/>
  <c r="K66" i="4"/>
  <c r="K28" i="4"/>
  <c r="K54" i="4"/>
  <c r="K67" i="4"/>
  <c r="K29" i="4"/>
  <c r="K55" i="4"/>
  <c r="K68" i="4"/>
  <c r="K30" i="4"/>
  <c r="K56" i="4"/>
  <c r="K69" i="4"/>
  <c r="K31" i="4"/>
  <c r="K57" i="4"/>
  <c r="K70" i="4"/>
  <c r="K32" i="4"/>
  <c r="K58" i="4"/>
  <c r="K71" i="4"/>
  <c r="K59" i="4"/>
  <c r="K72" i="4"/>
  <c r="K34" i="4"/>
  <c r="K60" i="4"/>
  <c r="K73" i="4"/>
  <c r="K35" i="4"/>
  <c r="K61" i="4"/>
  <c r="K74" i="4"/>
  <c r="K36" i="4"/>
  <c r="K62" i="4"/>
  <c r="K75" i="4"/>
  <c r="K76" i="4"/>
  <c r="K80" i="4"/>
  <c r="K83" i="4"/>
  <c r="K127" i="4"/>
  <c r="K99" i="4"/>
  <c r="K112" i="4"/>
  <c r="K100" i="4"/>
  <c r="K113" i="4"/>
  <c r="K101" i="4"/>
  <c r="K114" i="4"/>
  <c r="K102" i="4"/>
  <c r="K115" i="4"/>
  <c r="K103" i="4"/>
  <c r="K116" i="4"/>
  <c r="K104" i="4"/>
  <c r="K117" i="4"/>
  <c r="K105" i="4"/>
  <c r="K118" i="4"/>
  <c r="K106" i="4"/>
  <c r="K119" i="4"/>
  <c r="K107" i="4"/>
  <c r="K120" i="4"/>
  <c r="K108" i="4"/>
  <c r="K121" i="4"/>
  <c r="K122" i="4"/>
  <c r="K128" i="4"/>
  <c r="K129" i="4"/>
  <c r="M9" i="2"/>
  <c r="M8" i="4"/>
  <c r="M10" i="4"/>
  <c r="M14" i="4"/>
  <c r="M125" i="4"/>
  <c r="M21" i="4"/>
  <c r="M24" i="4"/>
  <c r="M126" i="4"/>
  <c r="M27" i="4"/>
  <c r="M53" i="4"/>
  <c r="M66" i="4"/>
  <c r="M28" i="4"/>
  <c r="M54" i="4"/>
  <c r="M67" i="4"/>
  <c r="M29" i="4"/>
  <c r="M55" i="4"/>
  <c r="M68" i="4"/>
  <c r="M30" i="4"/>
  <c r="M56" i="4"/>
  <c r="M69" i="4"/>
  <c r="M31" i="4"/>
  <c r="M57" i="4"/>
  <c r="M70" i="4"/>
  <c r="M32" i="4"/>
  <c r="M58" i="4"/>
  <c r="M71" i="4"/>
  <c r="M59" i="4"/>
  <c r="M72" i="4"/>
  <c r="M34" i="4"/>
  <c r="M60" i="4"/>
  <c r="M73" i="4"/>
  <c r="M35" i="4"/>
  <c r="M61" i="4"/>
  <c r="M74" i="4"/>
  <c r="M36" i="4"/>
  <c r="M62" i="4"/>
  <c r="M75" i="4"/>
  <c r="M76" i="4"/>
  <c r="M80" i="4"/>
  <c r="M83" i="4"/>
  <c r="M127" i="4"/>
  <c r="M99" i="4"/>
  <c r="M112" i="4"/>
  <c r="M100" i="4"/>
  <c r="M113" i="4"/>
  <c r="M101" i="4"/>
  <c r="M114" i="4"/>
  <c r="M102" i="4"/>
  <c r="M115" i="4"/>
  <c r="M103" i="4"/>
  <c r="M116" i="4"/>
  <c r="M104" i="4"/>
  <c r="M117" i="4"/>
  <c r="M105" i="4"/>
  <c r="M118" i="4"/>
  <c r="M106" i="4"/>
  <c r="M119" i="4"/>
  <c r="M107" i="4"/>
  <c r="M120" i="4"/>
  <c r="M108" i="4"/>
  <c r="M121" i="4"/>
  <c r="M122" i="4"/>
  <c r="M128" i="4"/>
  <c r="M129" i="4"/>
  <c r="N129" i="4"/>
  <c r="F28" i="2"/>
  <c r="H144" i="4"/>
  <c r="G66" i="2"/>
  <c r="F144" i="4"/>
  <c r="M144" i="4"/>
  <c r="G144" i="4"/>
  <c r="L144" i="4"/>
  <c r="I144" i="4"/>
  <c r="K144" i="4"/>
  <c r="J144" i="4"/>
  <c r="N144" i="4"/>
  <c r="M33" i="4"/>
  <c r="L33" i="4"/>
  <c r="K33" i="4"/>
  <c r="J33" i="4"/>
  <c r="I33" i="4"/>
  <c r="H33" i="4"/>
  <c r="G33" i="4"/>
  <c r="F33" i="4"/>
  <c r="D38" i="7"/>
  <c r="F38" i="7"/>
  <c r="F63" i="4"/>
  <c r="F79" i="4"/>
  <c r="M63" i="4"/>
  <c r="L63" i="4"/>
  <c r="K63" i="4"/>
  <c r="J63" i="4"/>
  <c r="I63" i="4"/>
  <c r="H63" i="4"/>
  <c r="G63" i="4"/>
  <c r="F13" i="4"/>
  <c r="N80" i="7"/>
  <c r="N79" i="7"/>
  <c r="F9" i="7"/>
  <c r="D10" i="7"/>
  <c r="F12" i="7"/>
  <c r="F64" i="7"/>
  <c r="D20" i="7"/>
  <c r="F19" i="7"/>
  <c r="F22" i="7"/>
  <c r="F65" i="7"/>
  <c r="F51" i="7"/>
  <c r="D39" i="7"/>
  <c r="F39" i="7"/>
  <c r="F52" i="7"/>
  <c r="D40" i="7"/>
  <c r="F40" i="7"/>
  <c r="F53" i="7"/>
  <c r="D41" i="7"/>
  <c r="F41" i="7"/>
  <c r="F54" i="7"/>
  <c r="D42" i="7"/>
  <c r="F42" i="7"/>
  <c r="F55" i="7"/>
  <c r="D43" i="7"/>
  <c r="F43" i="7"/>
  <c r="F56" i="7"/>
  <c r="F44" i="7"/>
  <c r="F57" i="7"/>
  <c r="F45" i="7"/>
  <c r="F58" i="7"/>
  <c r="F46" i="7"/>
  <c r="F59" i="7"/>
  <c r="F47" i="7"/>
  <c r="F60" i="7"/>
  <c r="F61" i="7"/>
  <c r="F66" i="7"/>
  <c r="F67" i="7"/>
  <c r="F68" i="7"/>
  <c r="F71" i="7"/>
  <c r="F11" i="7"/>
  <c r="F72" i="7"/>
  <c r="F21" i="7"/>
  <c r="F73" i="7"/>
  <c r="F48" i="7"/>
  <c r="F74" i="7"/>
  <c r="F75" i="7"/>
  <c r="G9" i="7"/>
  <c r="G12" i="7"/>
  <c r="G64" i="7"/>
  <c r="G19" i="7"/>
  <c r="G22" i="7"/>
  <c r="G65" i="7"/>
  <c r="G38" i="7"/>
  <c r="G51" i="7"/>
  <c r="G39" i="7"/>
  <c r="G52" i="7"/>
  <c r="G40" i="7"/>
  <c r="G53" i="7"/>
  <c r="G41" i="7"/>
  <c r="G54" i="7"/>
  <c r="G42" i="7"/>
  <c r="G55" i="7"/>
  <c r="G43" i="7"/>
  <c r="G56" i="7"/>
  <c r="G44" i="7"/>
  <c r="G57" i="7"/>
  <c r="G45" i="7"/>
  <c r="G58" i="7"/>
  <c r="G46" i="7"/>
  <c r="G59" i="7"/>
  <c r="G47" i="7"/>
  <c r="G60" i="7"/>
  <c r="G61" i="7"/>
  <c r="G66" i="7"/>
  <c r="G67" i="7"/>
  <c r="G68" i="7"/>
  <c r="G71" i="7"/>
  <c r="G11" i="7"/>
  <c r="G72" i="7"/>
  <c r="G21" i="7"/>
  <c r="G73" i="7"/>
  <c r="G48" i="7"/>
  <c r="G74" i="7"/>
  <c r="G75" i="7"/>
  <c r="H9" i="7"/>
  <c r="H12" i="7"/>
  <c r="H64" i="7"/>
  <c r="H19" i="7"/>
  <c r="H22" i="7"/>
  <c r="H65" i="7"/>
  <c r="H38" i="7"/>
  <c r="H51" i="7"/>
  <c r="H39" i="7"/>
  <c r="H52" i="7"/>
  <c r="H40" i="7"/>
  <c r="H53" i="7"/>
  <c r="H41" i="7"/>
  <c r="H54" i="7"/>
  <c r="H42" i="7"/>
  <c r="H55" i="7"/>
  <c r="H43" i="7"/>
  <c r="H56" i="7"/>
  <c r="H44" i="7"/>
  <c r="H57" i="7"/>
  <c r="H45" i="7"/>
  <c r="H58" i="7"/>
  <c r="H46" i="7"/>
  <c r="H59" i="7"/>
  <c r="H47" i="7"/>
  <c r="H60" i="7"/>
  <c r="H61" i="7"/>
  <c r="H66" i="7"/>
  <c r="H67" i="7"/>
  <c r="H68" i="7"/>
  <c r="H71" i="7"/>
  <c r="H11" i="7"/>
  <c r="H72" i="7"/>
  <c r="H21" i="7"/>
  <c r="H73" i="7"/>
  <c r="H48" i="7"/>
  <c r="H74" i="7"/>
  <c r="H75" i="7"/>
  <c r="I9" i="7"/>
  <c r="I12" i="7"/>
  <c r="I64" i="7"/>
  <c r="I19" i="7"/>
  <c r="I22" i="7"/>
  <c r="I65" i="7"/>
  <c r="I38" i="7"/>
  <c r="I51" i="7"/>
  <c r="I39" i="7"/>
  <c r="I52" i="7"/>
  <c r="I40" i="7"/>
  <c r="I53" i="7"/>
  <c r="I41" i="7"/>
  <c r="I54" i="7"/>
  <c r="I42" i="7"/>
  <c r="I55" i="7"/>
  <c r="I43" i="7"/>
  <c r="I56" i="7"/>
  <c r="I44" i="7"/>
  <c r="I57" i="7"/>
  <c r="I45" i="7"/>
  <c r="I58" i="7"/>
  <c r="I46" i="7"/>
  <c r="I59" i="7"/>
  <c r="I47" i="7"/>
  <c r="I60" i="7"/>
  <c r="I61" i="7"/>
  <c r="I66" i="7"/>
  <c r="I67" i="7"/>
  <c r="I68" i="7"/>
  <c r="I71" i="7"/>
  <c r="I11" i="7"/>
  <c r="I72" i="7"/>
  <c r="I21" i="7"/>
  <c r="I73" i="7"/>
  <c r="I48" i="7"/>
  <c r="I74" i="7"/>
  <c r="I75" i="7"/>
  <c r="J9" i="7"/>
  <c r="J12" i="7"/>
  <c r="J64" i="7"/>
  <c r="J19" i="7"/>
  <c r="J22" i="7"/>
  <c r="J65" i="7"/>
  <c r="J38" i="7"/>
  <c r="J51" i="7"/>
  <c r="J39" i="7"/>
  <c r="J52" i="7"/>
  <c r="J40" i="7"/>
  <c r="J53" i="7"/>
  <c r="J41" i="7"/>
  <c r="J54" i="7"/>
  <c r="J42" i="7"/>
  <c r="J55" i="7"/>
  <c r="J43" i="7"/>
  <c r="J56" i="7"/>
  <c r="J44" i="7"/>
  <c r="J57" i="7"/>
  <c r="J45" i="7"/>
  <c r="J58" i="7"/>
  <c r="J46" i="7"/>
  <c r="J59" i="7"/>
  <c r="J47" i="7"/>
  <c r="J60" i="7"/>
  <c r="J61" i="7"/>
  <c r="J66" i="7"/>
  <c r="J67" i="7"/>
  <c r="J68" i="7"/>
  <c r="J71" i="7"/>
  <c r="J11" i="7"/>
  <c r="J72" i="7"/>
  <c r="J21" i="7"/>
  <c r="J73" i="7"/>
  <c r="J48" i="7"/>
  <c r="J74" i="7"/>
  <c r="J75" i="7"/>
  <c r="K9" i="7"/>
  <c r="K12" i="7"/>
  <c r="K64" i="7"/>
  <c r="K19" i="7"/>
  <c r="K22" i="7"/>
  <c r="K65" i="7"/>
  <c r="K38" i="7"/>
  <c r="K51" i="7"/>
  <c r="K39" i="7"/>
  <c r="K52" i="7"/>
  <c r="K40" i="7"/>
  <c r="K53" i="7"/>
  <c r="K41" i="7"/>
  <c r="K54" i="7"/>
  <c r="K42" i="7"/>
  <c r="K55" i="7"/>
  <c r="K43" i="7"/>
  <c r="K56" i="7"/>
  <c r="K44" i="7"/>
  <c r="K57" i="7"/>
  <c r="K45" i="7"/>
  <c r="K58" i="7"/>
  <c r="K46" i="7"/>
  <c r="K59" i="7"/>
  <c r="K47" i="7"/>
  <c r="K60" i="7"/>
  <c r="K61" i="7"/>
  <c r="K66" i="7"/>
  <c r="K67" i="7"/>
  <c r="K68" i="7"/>
  <c r="K71" i="7"/>
  <c r="K11" i="7"/>
  <c r="K72" i="7"/>
  <c r="K21" i="7"/>
  <c r="K73" i="7"/>
  <c r="K48" i="7"/>
  <c r="K74" i="7"/>
  <c r="K75" i="7"/>
  <c r="L9" i="7"/>
  <c r="L12" i="7"/>
  <c r="L64" i="7"/>
  <c r="L19" i="7"/>
  <c r="L22" i="7"/>
  <c r="L65" i="7"/>
  <c r="L38" i="7"/>
  <c r="L51" i="7"/>
  <c r="L39" i="7"/>
  <c r="L52" i="7"/>
  <c r="L40" i="7"/>
  <c r="L53" i="7"/>
  <c r="L41" i="7"/>
  <c r="L54" i="7"/>
  <c r="L42" i="7"/>
  <c r="L55" i="7"/>
  <c r="L43" i="7"/>
  <c r="L56" i="7"/>
  <c r="L44" i="7"/>
  <c r="L57" i="7"/>
  <c r="L45" i="7"/>
  <c r="L58" i="7"/>
  <c r="L46" i="7"/>
  <c r="L59" i="7"/>
  <c r="L47" i="7"/>
  <c r="L60" i="7"/>
  <c r="L61" i="7"/>
  <c r="L66" i="7"/>
  <c r="L67" i="7"/>
  <c r="L68" i="7"/>
  <c r="L71" i="7"/>
  <c r="L11" i="7"/>
  <c r="L72" i="7"/>
  <c r="L21" i="7"/>
  <c r="L73" i="7"/>
  <c r="L48" i="7"/>
  <c r="L74" i="7"/>
  <c r="L75" i="7"/>
  <c r="M9" i="7"/>
  <c r="M12" i="7"/>
  <c r="M64" i="7"/>
  <c r="M19" i="7"/>
  <c r="M22" i="7"/>
  <c r="M65" i="7"/>
  <c r="M38" i="7"/>
  <c r="M51" i="7"/>
  <c r="M39" i="7"/>
  <c r="M52" i="7"/>
  <c r="M40" i="7"/>
  <c r="M53" i="7"/>
  <c r="M41" i="7"/>
  <c r="M54" i="7"/>
  <c r="M42" i="7"/>
  <c r="M55" i="7"/>
  <c r="M43" i="7"/>
  <c r="M56" i="7"/>
  <c r="M44" i="7"/>
  <c r="M57" i="7"/>
  <c r="M45" i="7"/>
  <c r="M58" i="7"/>
  <c r="M46" i="7"/>
  <c r="M59" i="7"/>
  <c r="M47" i="7"/>
  <c r="M60" i="7"/>
  <c r="M61" i="7"/>
  <c r="M66" i="7"/>
  <c r="M67" i="7"/>
  <c r="M68" i="7"/>
  <c r="M71" i="7"/>
  <c r="M11" i="7"/>
  <c r="M72" i="7"/>
  <c r="M21" i="7"/>
  <c r="M73" i="7"/>
  <c r="M48" i="7"/>
  <c r="M74" i="7"/>
  <c r="M75" i="7"/>
  <c r="N75" i="7"/>
  <c r="N74" i="7"/>
  <c r="N73" i="7"/>
  <c r="N72" i="7"/>
  <c r="N71" i="7"/>
  <c r="N68" i="7"/>
  <c r="N67" i="7"/>
  <c r="N66" i="7"/>
  <c r="N65" i="7"/>
  <c r="N64" i="7"/>
  <c r="N61" i="7"/>
  <c r="N60" i="7"/>
  <c r="N59" i="7"/>
  <c r="N58" i="7"/>
  <c r="N57" i="7"/>
  <c r="N56" i="7"/>
  <c r="N55" i="7"/>
  <c r="N54" i="7"/>
  <c r="N53" i="7"/>
  <c r="N52" i="7"/>
  <c r="N51" i="7"/>
  <c r="N48" i="7"/>
  <c r="N47" i="7"/>
  <c r="N46" i="7"/>
  <c r="N45" i="7"/>
  <c r="N44" i="7"/>
  <c r="N43" i="7"/>
  <c r="N42" i="7"/>
  <c r="N41" i="7"/>
  <c r="N40" i="7"/>
  <c r="N39" i="7"/>
  <c r="N38" i="7"/>
  <c r="F35" i="7"/>
  <c r="G35" i="7"/>
  <c r="H35" i="7"/>
  <c r="I35" i="7"/>
  <c r="J35" i="7"/>
  <c r="K35" i="7"/>
  <c r="L35" i="7"/>
  <c r="M35" i="7"/>
  <c r="N35" i="7"/>
  <c r="N34" i="7"/>
  <c r="N33" i="7"/>
  <c r="N32" i="7"/>
  <c r="N31" i="7"/>
  <c r="N30" i="7"/>
  <c r="N29" i="7"/>
  <c r="N28" i="7"/>
  <c r="N27" i="7"/>
  <c r="N26" i="7"/>
  <c r="N25" i="7"/>
  <c r="N22" i="7"/>
  <c r="N21" i="7"/>
  <c r="N19" i="7"/>
  <c r="N18" i="7"/>
  <c r="N17" i="7"/>
  <c r="N16" i="7"/>
  <c r="N15" i="7"/>
  <c r="N12" i="7"/>
  <c r="N11" i="7"/>
  <c r="N9" i="7"/>
  <c r="N8" i="7"/>
  <c r="N7" i="7"/>
  <c r="N143" i="4"/>
  <c r="N142" i="4"/>
  <c r="N141" i="4"/>
  <c r="F30" i="2"/>
  <c r="F43" i="2"/>
  <c r="F133" i="4"/>
  <c r="F134" i="4"/>
  <c r="F82" i="4"/>
  <c r="F136" i="4"/>
  <c r="F109" i="4"/>
  <c r="F137" i="4"/>
  <c r="F23" i="4"/>
  <c r="F135" i="4"/>
  <c r="F138" i="4"/>
  <c r="G30" i="2"/>
  <c r="G43" i="2"/>
  <c r="G130" i="4"/>
  <c r="G133" i="4"/>
  <c r="G13" i="4"/>
  <c r="G134" i="4"/>
  <c r="G79" i="4"/>
  <c r="G82" i="4"/>
  <c r="G136" i="4"/>
  <c r="G109" i="4"/>
  <c r="G137" i="4"/>
  <c r="G23" i="4"/>
  <c r="G135" i="4"/>
  <c r="G138" i="4"/>
  <c r="H30" i="2"/>
  <c r="H43" i="2"/>
  <c r="H130" i="4"/>
  <c r="H133" i="4"/>
  <c r="H13" i="4"/>
  <c r="H134" i="4"/>
  <c r="H79" i="4"/>
  <c r="H82" i="4"/>
  <c r="H136" i="4"/>
  <c r="H109" i="4"/>
  <c r="H137" i="4"/>
  <c r="H23" i="4"/>
  <c r="H135" i="4"/>
  <c r="H138" i="4"/>
  <c r="I30" i="2"/>
  <c r="I43" i="2"/>
  <c r="I130" i="4"/>
  <c r="I133" i="4"/>
  <c r="I13" i="4"/>
  <c r="I134" i="4"/>
  <c r="I79" i="4"/>
  <c r="I82" i="4"/>
  <c r="I136" i="4"/>
  <c r="I109" i="4"/>
  <c r="I137" i="4"/>
  <c r="I23" i="4"/>
  <c r="I135" i="4"/>
  <c r="I138" i="4"/>
  <c r="J30" i="2"/>
  <c r="J43" i="2"/>
  <c r="J130" i="4"/>
  <c r="J133" i="4"/>
  <c r="J13" i="4"/>
  <c r="J134" i="4"/>
  <c r="J79" i="4"/>
  <c r="J82" i="4"/>
  <c r="J136" i="4"/>
  <c r="J109" i="4"/>
  <c r="J137" i="4"/>
  <c r="J23" i="4"/>
  <c r="J135" i="4"/>
  <c r="J138" i="4"/>
  <c r="K30" i="2"/>
  <c r="K43" i="2"/>
  <c r="K130" i="4"/>
  <c r="K133" i="4"/>
  <c r="K13" i="4"/>
  <c r="K134" i="4"/>
  <c r="K79" i="4"/>
  <c r="K82" i="4"/>
  <c r="K136" i="4"/>
  <c r="K109" i="4"/>
  <c r="K137" i="4"/>
  <c r="K23" i="4"/>
  <c r="K135" i="4"/>
  <c r="K138" i="4"/>
  <c r="L30" i="2"/>
  <c r="L43" i="2"/>
  <c r="L130" i="4"/>
  <c r="L133" i="4"/>
  <c r="L13" i="4"/>
  <c r="L134" i="4"/>
  <c r="L79" i="4"/>
  <c r="L82" i="4"/>
  <c r="L136" i="4"/>
  <c r="L109" i="4"/>
  <c r="L137" i="4"/>
  <c r="L23" i="4"/>
  <c r="L135" i="4"/>
  <c r="L138" i="4"/>
  <c r="M30" i="2"/>
  <c r="M43" i="2"/>
  <c r="M130" i="4"/>
  <c r="M133" i="4"/>
  <c r="M13" i="4"/>
  <c r="M134" i="4"/>
  <c r="M79" i="4"/>
  <c r="M82" i="4"/>
  <c r="M136" i="4"/>
  <c r="M109" i="4"/>
  <c r="M137" i="4"/>
  <c r="M23" i="4"/>
  <c r="M135" i="4"/>
  <c r="M138" i="4"/>
  <c r="N138" i="4"/>
  <c r="N137" i="4"/>
  <c r="N136" i="4"/>
  <c r="N135" i="4"/>
  <c r="N134" i="4"/>
  <c r="N133" i="4"/>
  <c r="N130" i="4"/>
  <c r="N128" i="4"/>
  <c r="N127" i="4"/>
  <c r="N126" i="4"/>
  <c r="N125" i="4"/>
  <c r="N122" i="4"/>
  <c r="N121" i="4"/>
  <c r="N120" i="4"/>
  <c r="N119" i="4"/>
  <c r="N118" i="4"/>
  <c r="N117" i="4"/>
  <c r="N116" i="4"/>
  <c r="N115" i="4"/>
  <c r="N114" i="4"/>
  <c r="N113" i="4"/>
  <c r="N112" i="4"/>
  <c r="N109" i="4"/>
  <c r="N108" i="4"/>
  <c r="N107" i="4"/>
  <c r="N106" i="4"/>
  <c r="N105" i="4"/>
  <c r="N104" i="4"/>
  <c r="N103" i="4"/>
  <c r="N102" i="4"/>
  <c r="N101" i="4"/>
  <c r="N100" i="4"/>
  <c r="N99" i="4"/>
  <c r="F96" i="4"/>
  <c r="G96" i="4"/>
  <c r="H96" i="4"/>
  <c r="I96" i="4"/>
  <c r="J96" i="4"/>
  <c r="K96" i="4"/>
  <c r="L96" i="4"/>
  <c r="M96" i="4"/>
  <c r="N96" i="4"/>
  <c r="N95" i="4"/>
  <c r="N94" i="4"/>
  <c r="N93" i="4"/>
  <c r="N92" i="4"/>
  <c r="N91" i="4"/>
  <c r="N90" i="4"/>
  <c r="N89" i="4"/>
  <c r="N88" i="4"/>
  <c r="N87" i="4"/>
  <c r="N86" i="4"/>
  <c r="N83" i="4"/>
  <c r="N82" i="4"/>
  <c r="N80" i="4"/>
  <c r="N79" i="4"/>
  <c r="N76" i="4"/>
  <c r="N75" i="4"/>
  <c r="N74" i="4"/>
  <c r="N73" i="4"/>
  <c r="N72" i="4"/>
  <c r="N71" i="4"/>
  <c r="N70" i="4"/>
  <c r="N69" i="4"/>
  <c r="N68" i="4"/>
  <c r="N67" i="4"/>
  <c r="N66" i="4"/>
  <c r="N63" i="4"/>
  <c r="N62" i="4"/>
  <c r="N61" i="4"/>
  <c r="N60" i="4"/>
  <c r="N59" i="4"/>
  <c r="N58" i="4"/>
  <c r="N57" i="4"/>
  <c r="N56" i="4"/>
  <c r="N55" i="4"/>
  <c r="N54" i="4"/>
  <c r="N53" i="4"/>
  <c r="F51" i="2"/>
  <c r="G51" i="2"/>
  <c r="H51" i="2"/>
  <c r="I51" i="2"/>
  <c r="J51" i="2"/>
  <c r="K51" i="2"/>
  <c r="L51" i="2"/>
  <c r="M51" i="2"/>
  <c r="N50" i="4"/>
  <c r="N49" i="4"/>
  <c r="N48" i="4"/>
  <c r="N47" i="4"/>
  <c r="N46" i="4"/>
  <c r="N45" i="4"/>
  <c r="N44" i="4"/>
  <c r="N43" i="4"/>
  <c r="N42" i="4"/>
  <c r="N41" i="4"/>
  <c r="N40" i="4"/>
  <c r="F37" i="4"/>
  <c r="G37" i="4"/>
  <c r="H37" i="4"/>
  <c r="I37" i="4"/>
  <c r="J37" i="4"/>
  <c r="K37" i="4"/>
  <c r="L37" i="4"/>
  <c r="M37" i="4"/>
  <c r="N37" i="4"/>
  <c r="N36" i="4"/>
  <c r="N35" i="4"/>
  <c r="N34" i="4"/>
  <c r="N33" i="4"/>
  <c r="N32" i="4"/>
  <c r="N31" i="4"/>
  <c r="N30" i="4"/>
  <c r="N29" i="4"/>
  <c r="N28" i="4"/>
  <c r="N27" i="4"/>
  <c r="N24" i="4"/>
  <c r="N23" i="4"/>
  <c r="N21" i="4"/>
  <c r="N20" i="4"/>
  <c r="N19" i="4"/>
  <c r="N18" i="4"/>
  <c r="N17" i="4"/>
  <c r="N14" i="4"/>
  <c r="N13" i="4"/>
  <c r="N10" i="4"/>
  <c r="N9" i="4"/>
  <c r="N8" i="4"/>
  <c r="N7" i="4"/>
  <c r="G69" i="2"/>
  <c r="N69" i="2"/>
  <c r="N68" i="2"/>
  <c r="N67" i="2"/>
  <c r="N66" i="2"/>
  <c r="F12" i="2"/>
  <c r="F54" i="2"/>
  <c r="F55" i="2"/>
  <c r="F56" i="2"/>
  <c r="F57" i="2"/>
  <c r="F60" i="2"/>
  <c r="F11" i="2"/>
  <c r="F61" i="2"/>
  <c r="F38" i="2"/>
  <c r="F62" i="2"/>
  <c r="F63" i="2"/>
  <c r="G12" i="2"/>
  <c r="G54" i="2"/>
  <c r="G55" i="2"/>
  <c r="G56" i="2"/>
  <c r="G57" i="2"/>
  <c r="G60" i="2"/>
  <c r="G11" i="2"/>
  <c r="G61" i="2"/>
  <c r="G38" i="2"/>
  <c r="G62" i="2"/>
  <c r="G63" i="2"/>
  <c r="H12" i="2"/>
  <c r="H54" i="2"/>
  <c r="H55" i="2"/>
  <c r="H56" i="2"/>
  <c r="H57" i="2"/>
  <c r="H60" i="2"/>
  <c r="H11" i="2"/>
  <c r="H61" i="2"/>
  <c r="H38" i="2"/>
  <c r="H62" i="2"/>
  <c r="H63" i="2"/>
  <c r="I12" i="2"/>
  <c r="I54" i="2"/>
  <c r="I55" i="2"/>
  <c r="I56" i="2"/>
  <c r="I57" i="2"/>
  <c r="I60" i="2"/>
  <c r="I11" i="2"/>
  <c r="I61" i="2"/>
  <c r="I38" i="2"/>
  <c r="I62" i="2"/>
  <c r="I63" i="2"/>
  <c r="J12" i="2"/>
  <c r="J54" i="2"/>
  <c r="J55" i="2"/>
  <c r="J56" i="2"/>
  <c r="J57" i="2"/>
  <c r="J60" i="2"/>
  <c r="J11" i="2"/>
  <c r="J61" i="2"/>
  <c r="J38" i="2"/>
  <c r="J62" i="2"/>
  <c r="J63" i="2"/>
  <c r="K12" i="2"/>
  <c r="K54" i="2"/>
  <c r="K55" i="2"/>
  <c r="K56" i="2"/>
  <c r="K57" i="2"/>
  <c r="K60" i="2"/>
  <c r="K11" i="2"/>
  <c r="K61" i="2"/>
  <c r="K38" i="2"/>
  <c r="K62" i="2"/>
  <c r="K63" i="2"/>
  <c r="L12" i="2"/>
  <c r="L54" i="2"/>
  <c r="L55" i="2"/>
  <c r="L56" i="2"/>
  <c r="L57" i="2"/>
  <c r="L60" i="2"/>
  <c r="L11" i="2"/>
  <c r="L61" i="2"/>
  <c r="L38" i="2"/>
  <c r="L62" i="2"/>
  <c r="L63" i="2"/>
  <c r="M12" i="2"/>
  <c r="M54" i="2"/>
  <c r="M55" i="2"/>
  <c r="M56" i="2"/>
  <c r="M57" i="2"/>
  <c r="M60" i="2"/>
  <c r="M11" i="2"/>
  <c r="M61" i="2"/>
  <c r="M38" i="2"/>
  <c r="M62" i="2"/>
  <c r="M63" i="2"/>
  <c r="N63" i="2"/>
  <c r="N62" i="2"/>
  <c r="N61" i="2"/>
  <c r="N60" i="2"/>
  <c r="N57" i="2"/>
  <c r="N56" i="2"/>
  <c r="N55" i="2"/>
  <c r="N54" i="2"/>
  <c r="N51" i="2"/>
  <c r="N50" i="2"/>
  <c r="N49" i="2"/>
  <c r="N48" i="2"/>
  <c r="N47" i="2"/>
  <c r="N46" i="2"/>
  <c r="N45" i="2"/>
  <c r="N44" i="2"/>
  <c r="N43" i="2"/>
  <c r="N42" i="2"/>
  <c r="N41" i="2"/>
  <c r="N38" i="2"/>
  <c r="N37" i="2"/>
  <c r="N36" i="2"/>
  <c r="N35" i="2"/>
  <c r="N34" i="2"/>
  <c r="N33" i="2"/>
  <c r="N32" i="2"/>
  <c r="N31" i="2"/>
  <c r="N30" i="2"/>
  <c r="N29" i="2"/>
  <c r="N28" i="2"/>
  <c r="I25" i="2"/>
  <c r="N25" i="2"/>
  <c r="N24" i="2"/>
  <c r="N23" i="2"/>
  <c r="N22" i="2"/>
  <c r="N21" i="2"/>
  <c r="N20" i="2"/>
  <c r="N19" i="2"/>
  <c r="N18" i="2"/>
  <c r="N17" i="2"/>
  <c r="N16" i="2"/>
  <c r="N15" i="2"/>
  <c r="N12" i="2"/>
  <c r="N11" i="2"/>
  <c r="N9" i="2"/>
  <c r="N8" i="2"/>
  <c r="N7" i="2"/>
  <c r="G28" i="2"/>
  <c r="G41" i="2"/>
  <c r="G29" i="2"/>
  <c r="G42" i="2"/>
  <c r="G31" i="2"/>
  <c r="G44" i="2"/>
  <c r="G32" i="2"/>
  <c r="G45" i="2"/>
  <c r="G33" i="2"/>
  <c r="G46" i="2"/>
  <c r="G34" i="2"/>
  <c r="G47" i="2"/>
  <c r="G35" i="2"/>
  <c r="G48" i="2"/>
  <c r="G36" i="2"/>
  <c r="G49" i="2"/>
  <c r="G37" i="2"/>
  <c r="G50" i="2"/>
  <c r="G147" i="4"/>
  <c r="G148" i="4"/>
  <c r="G156" i="4"/>
  <c r="G158" i="4"/>
  <c r="G84" i="7"/>
  <c r="G98" i="7"/>
  <c r="G100" i="7"/>
  <c r="G104" i="7"/>
  <c r="H148" i="4"/>
  <c r="H28" i="2"/>
  <c r="H41" i="2"/>
  <c r="H29" i="2"/>
  <c r="H42" i="2"/>
  <c r="H31" i="2"/>
  <c r="H44" i="2"/>
  <c r="H32" i="2"/>
  <c r="H45" i="2"/>
  <c r="H33" i="2"/>
  <c r="H46" i="2"/>
  <c r="H34" i="2"/>
  <c r="H47" i="2"/>
  <c r="H35" i="2"/>
  <c r="H48" i="2"/>
  <c r="H36" i="2"/>
  <c r="H49" i="2"/>
  <c r="H37" i="2"/>
  <c r="H50" i="2"/>
  <c r="H147" i="4"/>
  <c r="H156" i="4"/>
  <c r="H158" i="4"/>
  <c r="H84" i="7"/>
  <c r="H98" i="7"/>
  <c r="H100" i="7"/>
  <c r="H104" i="7"/>
  <c r="I31" i="2"/>
  <c r="I44" i="2"/>
  <c r="I32" i="2"/>
  <c r="I45" i="2"/>
  <c r="I33" i="2"/>
  <c r="I46" i="2"/>
  <c r="I34" i="2"/>
  <c r="I47" i="2"/>
  <c r="I35" i="2"/>
  <c r="I48" i="2"/>
  <c r="I36" i="2"/>
  <c r="I49" i="2"/>
  <c r="I37" i="2"/>
  <c r="I50" i="2"/>
  <c r="I147" i="4"/>
  <c r="I148" i="4"/>
  <c r="I156" i="4"/>
  <c r="I158" i="4"/>
  <c r="I84" i="7"/>
  <c r="I98" i="7"/>
  <c r="I100" i="7"/>
  <c r="I104" i="7"/>
  <c r="J28" i="2"/>
  <c r="J41" i="2"/>
  <c r="J29" i="2"/>
  <c r="J42" i="2"/>
  <c r="J31" i="2"/>
  <c r="J44" i="2"/>
  <c r="J32" i="2"/>
  <c r="J45" i="2"/>
  <c r="J33" i="2"/>
  <c r="J46" i="2"/>
  <c r="J34" i="2"/>
  <c r="J47" i="2"/>
  <c r="J35" i="2"/>
  <c r="J48" i="2"/>
  <c r="J36" i="2"/>
  <c r="J49" i="2"/>
  <c r="J37" i="2"/>
  <c r="J50" i="2"/>
  <c r="J147" i="4"/>
  <c r="J148" i="4"/>
  <c r="J156" i="4"/>
  <c r="J158" i="4"/>
  <c r="J84" i="7"/>
  <c r="J98" i="7"/>
  <c r="J100" i="7"/>
  <c r="J104" i="7"/>
  <c r="K28" i="2"/>
  <c r="K41" i="2"/>
  <c r="K29" i="2"/>
  <c r="K42" i="2"/>
  <c r="K31" i="2"/>
  <c r="K44" i="2"/>
  <c r="K32" i="2"/>
  <c r="K45" i="2"/>
  <c r="K33" i="2"/>
  <c r="K46" i="2"/>
  <c r="K34" i="2"/>
  <c r="K47" i="2"/>
  <c r="K35" i="2"/>
  <c r="K48" i="2"/>
  <c r="K36" i="2"/>
  <c r="K49" i="2"/>
  <c r="K37" i="2"/>
  <c r="K50" i="2"/>
  <c r="K147" i="4"/>
  <c r="K148" i="4"/>
  <c r="K156" i="4"/>
  <c r="K158" i="4"/>
  <c r="K84" i="7"/>
  <c r="K98" i="7"/>
  <c r="K100" i="7"/>
  <c r="K104" i="7"/>
  <c r="L84" i="7"/>
  <c r="L98" i="7"/>
  <c r="L100" i="7"/>
  <c r="L104" i="7"/>
  <c r="L28" i="2"/>
  <c r="L41" i="2"/>
  <c r="L29" i="2"/>
  <c r="L42" i="2"/>
  <c r="L31" i="2"/>
  <c r="L44" i="2"/>
  <c r="L32" i="2"/>
  <c r="L45" i="2"/>
  <c r="L33" i="2"/>
  <c r="L46" i="2"/>
  <c r="L34" i="2"/>
  <c r="L47" i="2"/>
  <c r="L35" i="2"/>
  <c r="L48" i="2"/>
  <c r="L36" i="2"/>
  <c r="L49" i="2"/>
  <c r="L37" i="2"/>
  <c r="L50" i="2"/>
  <c r="L147" i="4"/>
  <c r="L148" i="4"/>
  <c r="L156" i="4"/>
  <c r="L158" i="4"/>
  <c r="M28" i="2"/>
  <c r="M41" i="2"/>
  <c r="M29" i="2"/>
  <c r="M42" i="2"/>
  <c r="M31" i="2"/>
  <c r="M44" i="2"/>
  <c r="M32" i="2"/>
  <c r="M45" i="2"/>
  <c r="M33" i="2"/>
  <c r="M46" i="2"/>
  <c r="M34" i="2"/>
  <c r="M47" i="2"/>
  <c r="M35" i="2"/>
  <c r="M48" i="2"/>
  <c r="M36" i="2"/>
  <c r="M49" i="2"/>
  <c r="M37" i="2"/>
  <c r="M50" i="2"/>
  <c r="M147" i="4"/>
  <c r="M148" i="4"/>
  <c r="M156" i="4"/>
  <c r="M158" i="4"/>
  <c r="M84" i="7"/>
  <c r="M98" i="7"/>
  <c r="M100" i="7"/>
  <c r="M104" i="7"/>
  <c r="F84" i="7"/>
  <c r="F98" i="7"/>
  <c r="F100" i="7"/>
  <c r="F104" i="7"/>
  <c r="F41" i="2"/>
  <c r="F29" i="2"/>
  <c r="F42" i="2"/>
  <c r="F31" i="2"/>
  <c r="F44" i="2"/>
  <c r="F32" i="2"/>
  <c r="F45" i="2"/>
  <c r="F33" i="2"/>
  <c r="F46" i="2"/>
  <c r="F34" i="2"/>
  <c r="F47" i="2"/>
  <c r="F35" i="2"/>
  <c r="F48" i="2"/>
  <c r="F36" i="2"/>
  <c r="F49" i="2"/>
  <c r="F37" i="2"/>
  <c r="F50" i="2"/>
  <c r="F147" i="4"/>
  <c r="F148" i="4"/>
  <c r="F156" i="4"/>
  <c r="F158" i="4"/>
  <c r="F25" i="2"/>
  <c r="G25" i="2"/>
  <c r="H25" i="2"/>
  <c r="J25" i="2"/>
  <c r="K25" i="2"/>
  <c r="L25" i="2"/>
  <c r="M25" i="2"/>
  <c r="M97" i="7"/>
  <c r="L97" i="7"/>
  <c r="K97" i="7"/>
  <c r="J97" i="7"/>
  <c r="I97" i="7"/>
  <c r="H97" i="7"/>
  <c r="G97" i="7"/>
  <c r="F97" i="7"/>
  <c r="M69" i="2"/>
  <c r="M73" i="2"/>
  <c r="L69" i="2"/>
  <c r="L73" i="2"/>
  <c r="K69" i="2"/>
  <c r="K73" i="2"/>
  <c r="J69" i="2"/>
  <c r="J73" i="2"/>
  <c r="I69" i="2"/>
  <c r="I73" i="2"/>
  <c r="H69" i="2"/>
  <c r="H73" i="2"/>
  <c r="G73" i="2"/>
  <c r="F69" i="2"/>
  <c r="F73" i="2"/>
  <c r="N99" i="7"/>
  <c r="N96" i="7"/>
  <c r="N95" i="7"/>
  <c r="N94" i="7"/>
  <c r="M81" i="2"/>
  <c r="M83" i="2"/>
  <c r="M87" i="2"/>
  <c r="L81" i="2"/>
  <c r="L83" i="2"/>
  <c r="L87" i="2"/>
  <c r="K81" i="2"/>
  <c r="K83" i="2"/>
  <c r="K87" i="2"/>
  <c r="J81" i="2"/>
  <c r="J83" i="2"/>
  <c r="J87" i="2"/>
  <c r="I81" i="2"/>
  <c r="I83" i="2"/>
  <c r="I87" i="2"/>
  <c r="H81" i="2"/>
  <c r="H83" i="2"/>
  <c r="G81" i="2"/>
  <c r="G83" i="2"/>
  <c r="G87" i="2"/>
  <c r="F81" i="2"/>
  <c r="N157" i="4"/>
  <c r="N155" i="4"/>
  <c r="N82" i="2"/>
  <c r="N80" i="2"/>
  <c r="F83" i="2"/>
  <c r="F87" i="2"/>
  <c r="N156" i="4"/>
  <c r="F162" i="4"/>
  <c r="N81" i="2"/>
  <c r="H162" i="4"/>
  <c r="N100" i="7"/>
  <c r="N98" i="7"/>
  <c r="N97" i="7"/>
  <c r="N148" i="4"/>
  <c r="N158" i="4"/>
  <c r="I162" i="4"/>
  <c r="J162" i="4"/>
  <c r="K162" i="4"/>
  <c r="L162" i="4"/>
  <c r="M162" i="4"/>
  <c r="G162" i="4"/>
  <c r="N73" i="2"/>
  <c r="H87" i="2"/>
  <c r="N83" i="2"/>
  <c r="N104" i="7"/>
  <c r="N162" i="4"/>
  <c r="N87" i="2"/>
  <c r="K72" i="2"/>
  <c r="K74" i="2"/>
  <c r="F72" i="2"/>
  <c r="I72" i="2"/>
  <c r="M72" i="2"/>
  <c r="M74" i="2"/>
  <c r="M88" i="2"/>
  <c r="M89" i="2"/>
  <c r="I74" i="2"/>
  <c r="F74" i="2"/>
  <c r="K88" i="2"/>
  <c r="K89" i="2"/>
  <c r="H72" i="2"/>
  <c r="J72" i="2"/>
  <c r="L72" i="2"/>
  <c r="G72" i="2"/>
  <c r="G74" i="2"/>
  <c r="L74" i="2"/>
  <c r="J74" i="2"/>
  <c r="H74" i="2"/>
  <c r="N74" i="2"/>
  <c r="F88" i="2"/>
  <c r="I88" i="2"/>
  <c r="I89" i="2"/>
  <c r="N72" i="2"/>
  <c r="F89" i="2"/>
  <c r="H88" i="2"/>
  <c r="H89" i="2"/>
  <c r="J88" i="2"/>
  <c r="J89" i="2"/>
  <c r="L88" i="2"/>
  <c r="L89" i="2"/>
  <c r="G88" i="2"/>
  <c r="G89" i="2"/>
  <c r="N89" i="2"/>
  <c r="N88" i="2"/>
  <c r="I149" i="4"/>
  <c r="G149" i="4"/>
  <c r="F149" i="4"/>
  <c r="L149" i="4"/>
  <c r="H149" i="4"/>
  <c r="N147" i="4"/>
  <c r="M149" i="4"/>
  <c r="K149" i="4"/>
  <c r="H163" i="4"/>
  <c r="H164" i="4"/>
  <c r="L163" i="4"/>
  <c r="L164" i="4"/>
  <c r="J149" i="4"/>
  <c r="F163" i="4"/>
  <c r="N149" i="4"/>
  <c r="G163" i="4"/>
  <c r="G164" i="4"/>
  <c r="I163" i="4"/>
  <c r="I164" i="4"/>
  <c r="J163" i="4"/>
  <c r="J164" i="4"/>
  <c r="F164" i="4"/>
  <c r="K163" i="4"/>
  <c r="K164" i="4"/>
  <c r="M163" i="4"/>
  <c r="M164" i="4"/>
  <c r="N84" i="7"/>
  <c r="N164" i="4"/>
  <c r="N163" i="4"/>
  <c r="F81" i="7"/>
  <c r="G81" i="7"/>
  <c r="H81" i="7"/>
  <c r="I81" i="7"/>
  <c r="J81" i="7"/>
  <c r="K81" i="7"/>
  <c r="L81" i="7"/>
  <c r="M81" i="7"/>
  <c r="N81" i="7"/>
  <c r="N78" i="7"/>
  <c r="F85" i="7"/>
  <c r="G85" i="7"/>
  <c r="H85" i="7"/>
  <c r="I85" i="7"/>
  <c r="J85" i="7"/>
  <c r="K85" i="7"/>
  <c r="L85" i="7"/>
  <c r="M85" i="7"/>
  <c r="N85" i="7"/>
  <c r="J86" i="7"/>
  <c r="J105" i="7"/>
  <c r="J106" i="7"/>
  <c r="G86" i="7"/>
  <c r="G105" i="7"/>
  <c r="G106" i="7"/>
  <c r="F86" i="7"/>
  <c r="H86" i="7"/>
  <c r="I86" i="7"/>
  <c r="K86" i="7"/>
  <c r="L86" i="7"/>
  <c r="M86" i="7"/>
  <c r="N86" i="7"/>
  <c r="L105" i="7"/>
  <c r="L106" i="7"/>
  <c r="I105" i="7"/>
  <c r="I106" i="7"/>
  <c r="M105" i="7"/>
  <c r="M106" i="7"/>
  <c r="K105" i="7"/>
  <c r="K106" i="7"/>
  <c r="H105" i="7"/>
  <c r="H106" i="7"/>
  <c r="F105" i="7"/>
  <c r="N105" i="7"/>
  <c r="F106" i="7"/>
  <c r="N106" i="7"/>
</calcChain>
</file>

<file path=xl/sharedStrings.xml><?xml version="1.0" encoding="utf-8"?>
<sst xmlns="http://schemas.openxmlformats.org/spreadsheetml/2006/main" count="361" uniqueCount="128">
  <si>
    <t>Liander</t>
  </si>
  <si>
    <t>Stedin</t>
  </si>
  <si>
    <t>Enexis</t>
  </si>
  <si>
    <t>Endinet</t>
  </si>
  <si>
    <t>Delta</t>
  </si>
  <si>
    <t>Westland</t>
  </si>
  <si>
    <t>Rendo</t>
  </si>
  <si>
    <t>Subsidies of overige bijdragen van derden</t>
  </si>
  <si>
    <t>Overige opbrengsten uit gereguleerd meetdomein</t>
  </si>
  <si>
    <t>Totaal</t>
  </si>
  <si>
    <t>Aantal meters</t>
  </si>
  <si>
    <t>Meetinrichtingen en toebehoren (incl. aanschaf en installatie): conventionele meters</t>
  </si>
  <si>
    <t>Meetinrichtingen en toebehoren (incl. aanschaf en installatie): slimme meters</t>
  </si>
  <si>
    <t>Bij gebruikers aanwezige TF-ontvangers</t>
  </si>
  <si>
    <t>MSR-kits (t.b.v. PLC)</t>
  </si>
  <si>
    <t>Communicatiemodules slimme meter</t>
  </si>
  <si>
    <t>Combinatie (TF-ontvangers, MSR-kits, Communicatiemodules)</t>
  </si>
  <si>
    <t>Terreinen</t>
  </si>
  <si>
    <t>Geen</t>
  </si>
  <si>
    <t>Procesondersteunende info. systemen</t>
  </si>
  <si>
    <t>Andere vaste bedrijfsmiddelen</t>
  </si>
  <si>
    <t>Gebouwen en magazijnen</t>
  </si>
  <si>
    <t>Reële WACC</t>
  </si>
  <si>
    <t>Alle bedragen in EUR</t>
  </si>
  <si>
    <t>GAW ultimo 2011 nieuwe investeringen 2011</t>
  </si>
  <si>
    <t>Berekening kapitaalkosten 2012</t>
  </si>
  <si>
    <t>Berekening kapitaalkosten 2011</t>
  </si>
  <si>
    <t>Kapitaalkosten 2011</t>
  </si>
  <si>
    <t>Operationele kosten 2011</t>
  </si>
  <si>
    <t>Berekening vermogenskostenvergoeding over 2011</t>
  </si>
  <si>
    <t>Totale kosten 2011</t>
  </si>
  <si>
    <t>Totale afschrijving op nieuwe investeringen 2011</t>
  </si>
  <si>
    <t>Totale GAW ultimo 2011</t>
  </si>
  <si>
    <t>Totale vermogenskostenvergoeding 2011</t>
  </si>
  <si>
    <t>Berekening totale kosten 2011</t>
  </si>
  <si>
    <t>Marge 2011</t>
  </si>
  <si>
    <t>Totale afschrijving op nieuwe investeringen 2012</t>
  </si>
  <si>
    <t>GAW ultimo 2012 nieuwe investeringen 2011</t>
  </si>
  <si>
    <t>GAW ultimo 2012 nieuwe investeringen 2012</t>
  </si>
  <si>
    <t>Berekening vermogenskostenvergoeding over 2012</t>
  </si>
  <si>
    <t>Totale GAW ultimo 2012</t>
  </si>
  <si>
    <t>Totale vermogenskostenvergoeding 2012</t>
  </si>
  <si>
    <t>Kapitaalkosten 2012</t>
  </si>
  <si>
    <t>Berekening totale kosten 2012</t>
  </si>
  <si>
    <t>Operationele kosten 2012</t>
  </si>
  <si>
    <t>Totale kosten 2012</t>
  </si>
  <si>
    <t>Marge 2012</t>
  </si>
  <si>
    <t>Overgenomen GAW per 1 januari 2012</t>
  </si>
  <si>
    <t>Overgenomen GAW ultimo 2012</t>
  </si>
  <si>
    <t>Totale afschrijving overgenomen GAW 2012</t>
  </si>
  <si>
    <t>Gehanteerde tarief 2011</t>
  </si>
  <si>
    <t>CPI 2011</t>
  </si>
  <si>
    <t>CPI 2012</t>
  </si>
  <si>
    <t>Afschrijving overgenomen GAW 2012 (prijspeil 1 januari 2012)</t>
  </si>
  <si>
    <t>Overgenomen GAW per 1 januari 2012 (prijspeil 1 januari 2012)</t>
  </si>
  <si>
    <t>Berekening van totale kosten 2012 in het meetdomein elektriciteit</t>
  </si>
  <si>
    <t>Berekening van totale kosten 2011 in het meetdomein elektriciteit</t>
  </si>
  <si>
    <t>GAW ultimo 2012 nieuwe investeringen 2011 (in prijzen 2011)</t>
  </si>
  <si>
    <t>Totale afschrijvingen nieuwe investeringen 2011 in 2012 (prijzen 2011)</t>
  </si>
  <si>
    <t>Meettarief kleinverbruikmeters Gas van het type ≤ G6</t>
  </si>
  <si>
    <t>Meettarief kleinverbruikmeters Gas van het type G10 en G16</t>
  </si>
  <si>
    <t>Meettarief kleinverbruikmeters Gas van het type G25</t>
  </si>
  <si>
    <t>Aantal meters  van het type ≤ G6</t>
  </si>
  <si>
    <t>Aantal meters  van het type G10 en G16</t>
  </si>
  <si>
    <t>Aantal meters  van het type  G25</t>
  </si>
  <si>
    <t>Berekening van totale kosten 2012 in het meetdomein gas</t>
  </si>
  <si>
    <t>Berekenig operationele kosten 2011 na correctie</t>
  </si>
  <si>
    <t>Operationele kosten 2011 na correctie</t>
  </si>
  <si>
    <t>Operationele kosten 2012 na correctie</t>
  </si>
  <si>
    <t>Overgenomen GAW per 1 januari 2012 van andere partijen</t>
  </si>
  <si>
    <t>Toelichting</t>
  </si>
  <si>
    <t>Legenda celkleuren</t>
  </si>
  <si>
    <t>Brondata</t>
  </si>
  <si>
    <t>Waarde die zonder berekening wordt overgenomen uit een andere cel</t>
  </si>
  <si>
    <t>Berekende waarde</t>
  </si>
  <si>
    <t>Berekende of overgenomen waarde en tevens resultaat</t>
  </si>
  <si>
    <t xml:space="preserve"> </t>
  </si>
  <si>
    <t>Berekening van de MARGE 2011 in EUR/meter in het meetdomein elektriciteit</t>
  </si>
  <si>
    <t>Berekening van de MARGE 2012 in EUR/meter in het meetdomein elektriciteit</t>
  </si>
  <si>
    <t>Berekening van de MARGE 2012 in EUR/meter in het meetdomein gas</t>
  </si>
  <si>
    <t>Dit Excel-bestand bevat het model conform het besluit van ACM waarmee de marges zijn bepaald in het meetdomein elektriciteit voor de jaren 2011 en 2012, en in het meetdomein gas voor het jaar 2012.</t>
  </si>
  <si>
    <t>Afschrijvingstermijn</t>
  </si>
  <si>
    <t>Investeringen 2011: aanschafwaarde</t>
  </si>
  <si>
    <t>Investeringen 2011: GAW ultimo 2011</t>
  </si>
  <si>
    <t>Investeringen 2011: afschrijvingen in 2012 (prijzen 2011)</t>
  </si>
  <si>
    <t>Investeringen 2011: GAW ultimo 2012 (prijzen 2011)</t>
  </si>
  <si>
    <t>Investeringen 2012: aanschafwaarde</t>
  </si>
  <si>
    <t>Investeringen 2012: afschrijvingen (helft wordt afgeschreven)</t>
  </si>
  <si>
    <t>Investeringen 2012: GAW ultimo 2012</t>
  </si>
  <si>
    <t>Investeringen 2011: afschrijvingen (helft wordt afgeschreven)</t>
  </si>
  <si>
    <t>Investeringen 2011: berekening GAW ultimo 2011</t>
  </si>
  <si>
    <t>Investeringen 2012: berekening GAW ultimo 2012</t>
  </si>
  <si>
    <t>Investeringen 2011: Totale afschrijvingen en GAW in 2012</t>
  </si>
  <si>
    <t>Cogas</t>
  </si>
  <si>
    <t>Berekening operationele kosten 2012 na correctie</t>
  </si>
  <si>
    <t>Overgenomen GAW ultimo 2012 (afschrijven tot en met het jaar 2019)</t>
  </si>
  <si>
    <t>Start GAW ultimo 2011 (afschrijven tot en met het jaar 2019)</t>
  </si>
  <si>
    <t>Start GAW ultimo 2010</t>
  </si>
  <si>
    <t>Start GAW ultimo 2010 (prijzen 2010)</t>
  </si>
  <si>
    <t>Afschrijving Start GAW 2011 (in prijzen 2010)</t>
  </si>
  <si>
    <t>Start GAW ultimo 2011 (in prijzen 2010)</t>
  </si>
  <si>
    <t>Afschrijving Start GAW 2011</t>
  </si>
  <si>
    <t>Start GAW ultimo 2011</t>
  </si>
  <si>
    <t>Totale afschrijving Start GAW 2011</t>
  </si>
  <si>
    <t>Start GAW ultimo 2012 (afschrijven tot en met het jaar 2019)</t>
  </si>
  <si>
    <t>Start GAW ultimo 2011 (prijzen 2010)</t>
  </si>
  <si>
    <t>Afschrijving Start GAW 2012 (in prijzen 2010)</t>
  </si>
  <si>
    <t>Start GAW ultimo 2012 (in prijzen 2010)</t>
  </si>
  <si>
    <t>Afschrijving Start GAW 2012</t>
  </si>
  <si>
    <t>Start GAW ultimo 2012</t>
  </si>
  <si>
    <t>Totale afschrijving Start GAW 2012</t>
  </si>
  <si>
    <t>Afschrijving Start GAW 2012 (prijzen 2011)</t>
  </si>
  <si>
    <t>Start GAW ultimo 2012 (prijzen 2011)</t>
  </si>
  <si>
    <t>Overgenomen GAW per 1 januari 2012 van Oxxio incl. naverrekening</t>
  </si>
  <si>
    <t>Totale afschrijvingen nieuwe investeringen 2011 in 2012 (prijzen 2012)</t>
  </si>
  <si>
    <t>GAW ultimo 2012 nieuwe investeringen 2011 (prijzen 2012)</t>
  </si>
  <si>
    <t>Start GAW ultimo 2011 (prijzen 2011)</t>
  </si>
  <si>
    <t>Overgenomen GAW per 1 januari 2012 van Oxxio  incl. naverrekening</t>
  </si>
  <si>
    <t>Inkomsten 2011</t>
  </si>
  <si>
    <t>Inkomsten uit meettarief kleinverbruikmeters Elektriciteit (1- en 3-fase; enkel en dubbel)</t>
  </si>
  <si>
    <t>Correctie inkomsten voor afloopverschillen voorgaand boekjaar</t>
  </si>
  <si>
    <t xml:space="preserve">inkomsten 2011 incl. correctie afloopverschillen </t>
  </si>
  <si>
    <t>Berekening totale inkomsten 2012 in het meetdomein elektriciteit</t>
  </si>
  <si>
    <t>Berekening totale inkomsten 2011 in het meetdomein elektriciteit</t>
  </si>
  <si>
    <t xml:space="preserve">Inkomsten 2012 incl. correctie afloopverschillen </t>
  </si>
  <si>
    <t>Inkomsten 2012</t>
  </si>
  <si>
    <t>Berekening totale inkomsten 2012 in het meetdomein gas</t>
  </si>
  <si>
    <t>Inkomsten uit meettarief kleinverbruikmeters gas (1- en 3-fase; enkel en dubbel)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</si>
</sst>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_-* #,##0.00_-;_-* #,##0.00\-;_-* &quot;-&quot;??_-;_-@_-"/>
    <numFmt numFmtId="166" formatCode="0.0%"/>
    <numFmt numFmtId="167" formatCode="0.0&quot;x&quot;;@_)"/>
    <numFmt numFmtId="168" formatCode="#,##0.0000"/>
    <numFmt numFmtId="169" formatCode="#,##0.00000"/>
  </numFmts>
  <fonts count="57" x14ac:knownFonts="1">
    <font>
      <sz val="10"/>
      <name val="Arial"/>
    </font>
    <font>
      <sz val="10"/>
      <name val="Arial"/>
      <family val="2"/>
    </font>
    <font>
      <sz val="10"/>
      <name val="Arial"/>
      <family val="2"/>
    </font>
    <font>
      <b/>
      <sz val="10"/>
      <name val="Arial"/>
      <family val="2"/>
    </font>
    <font>
      <sz val="8"/>
      <name val="Arial"/>
      <family val="2"/>
    </font>
    <font>
      <b/>
      <sz val="10"/>
      <color indexed="10"/>
      <name val="Arial"/>
      <family val="2"/>
    </font>
    <font>
      <i/>
      <sz val="10"/>
      <name val="Arial"/>
      <family val="2"/>
    </font>
    <font>
      <i/>
      <sz val="10"/>
      <color indexed="10"/>
      <name val="Arial"/>
      <family val="2"/>
    </font>
    <font>
      <sz val="10"/>
      <color indexed="8"/>
      <name val="Arial"/>
      <family val="2"/>
    </font>
    <font>
      <sz val="10"/>
      <color indexed="10"/>
      <name val="Arial"/>
      <family val="2"/>
    </font>
    <font>
      <sz val="10"/>
      <name val="Arial"/>
      <family val="2"/>
    </font>
    <font>
      <b/>
      <i/>
      <sz val="10"/>
      <name val="Arial"/>
      <family val="2"/>
    </font>
    <font>
      <sz val="10"/>
      <name val="Trebuchet MS"/>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1"/>
      <color indexed="17"/>
      <name val="Calibri"/>
      <family val="2"/>
    </font>
    <font>
      <sz val="10"/>
      <color indexed="17"/>
      <name val="Verdana"/>
      <family val="2"/>
    </font>
    <font>
      <b/>
      <sz val="8"/>
      <name val="Arial"/>
      <family val="2"/>
    </font>
    <font>
      <sz val="11"/>
      <color indexed="60"/>
      <name val="Calibri"/>
      <family val="2"/>
    </font>
    <font>
      <sz val="10"/>
      <name val="Comic Sans MS"/>
      <family val="4"/>
    </font>
    <font>
      <sz val="12"/>
      <name val="Arial"/>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10"/>
      <color indexed="8"/>
      <name val="MS Sans Serif"/>
      <family val="2"/>
    </font>
    <font>
      <b/>
      <sz val="15"/>
      <color indexed="8"/>
      <name val="Arial"/>
      <family val="2"/>
    </font>
    <font>
      <sz val="11"/>
      <color theme="1"/>
      <name val="Calibri"/>
      <family val="2"/>
      <scheme val="minor"/>
    </font>
    <font>
      <sz val="12"/>
      <color theme="0"/>
      <name val="Calibri"/>
      <family val="2"/>
      <scheme val="minor"/>
    </font>
    <font>
      <sz val="12"/>
      <color rgb="FF006100"/>
      <name val="Calibri"/>
      <family val="2"/>
      <scheme val="minor"/>
    </font>
    <font>
      <sz val="12"/>
      <color rgb="FF9C6500"/>
      <name val="Calibri"/>
      <family val="2"/>
      <scheme val="minor"/>
    </font>
    <font>
      <sz val="10"/>
      <color rgb="FFFF0000"/>
      <name val="Arial"/>
      <family val="2"/>
    </font>
    <font>
      <sz val="10"/>
      <color theme="1"/>
      <name val="Arial"/>
      <family val="2"/>
    </font>
    <font>
      <b/>
      <sz val="10"/>
      <color theme="1"/>
      <name val="Arial"/>
      <family val="2"/>
    </font>
    <font>
      <b/>
      <sz val="10"/>
      <color rgb="FFFF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theme="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CFFFF"/>
        <bgColor indexed="64"/>
      </patternFill>
    </fill>
  </fills>
  <borders count="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80">
    <xf numFmtId="0" fontId="0" fillId="0" borderId="0"/>
    <xf numFmtId="0" fontId="2" fillId="0" borderId="0"/>
    <xf numFmtId="0" fontId="2"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0" fillId="2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18" fillId="3" borderId="0" applyNumberFormat="0" applyBorder="0" applyAlignment="0" applyProtection="0"/>
    <xf numFmtId="0" fontId="30" fillId="20" borderId="2" applyNumberFormat="0" applyAlignment="0" applyProtection="0"/>
    <xf numFmtId="0" fontId="21" fillId="20" borderId="2" applyNumberFormat="0" applyAlignment="0" applyProtection="0"/>
    <xf numFmtId="0" fontId="23" fillId="21" borderId="3" applyNumberFormat="0" applyAlignment="0" applyProtection="0"/>
    <xf numFmtId="0" fontId="31" fillId="7" borderId="2" applyNumberFormat="0" applyAlignment="0" applyProtection="0"/>
    <xf numFmtId="0" fontId="32" fillId="0" borderId="4" applyNumberFormat="0" applyFill="0" applyAlignment="0" applyProtection="0"/>
    <xf numFmtId="0" fontId="33" fillId="0" borderId="0" applyNumberFormat="0" applyFill="0" applyBorder="0" applyAlignment="0" applyProtection="0"/>
    <xf numFmtId="164" fontId="12" fillId="0" borderId="0" applyFont="0" applyFill="0" applyBorder="0" applyAlignment="0" applyProtection="0"/>
    <xf numFmtId="0" fontId="25" fillId="0" borderId="0" applyNumberFormat="0" applyFill="0" applyBorder="0" applyAlignment="0" applyProtection="0"/>
    <xf numFmtId="0" fontId="51" fillId="27"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6" fillId="0" borderId="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9" fillId="7" borderId="2" applyNumberFormat="0" applyAlignment="0" applyProtection="0"/>
    <xf numFmtId="165" fontId="1" fillId="0" borderId="0" applyFont="0" applyFill="0" applyBorder="0" applyAlignment="0" applyProtection="0"/>
    <xf numFmtId="165" fontId="2" fillId="0" borderId="0" applyFont="0" applyFill="0" applyBorder="0" applyAlignment="0" applyProtection="0"/>
    <xf numFmtId="165" fontId="12" fillId="0" borderId="0" applyFont="0" applyFill="0" applyBorder="0" applyAlignment="0" applyProtection="0"/>
    <xf numFmtId="0" fontId="22" fillId="0" borderId="5" applyNumberFormat="0" applyFill="0" applyAlignment="0" applyProtection="0"/>
    <xf numFmtId="0" fontId="2" fillId="0" borderId="0" applyNumberFormat="0" applyFill="0" applyBorder="0" applyAlignment="0" applyProtection="0"/>
    <xf numFmtId="0" fontId="52" fillId="28" borderId="0" applyNumberFormat="0" applyBorder="0" applyAlignment="0" applyProtection="0"/>
    <xf numFmtId="0" fontId="37" fillId="22" borderId="0" applyNumberFormat="0" applyBorder="0" applyAlignment="0" applyProtection="0"/>
    <xf numFmtId="0" fontId="38" fillId="0" borderId="0"/>
    <xf numFmtId="0" fontId="2" fillId="23" borderId="9" applyNumberFormat="0" applyFont="0" applyAlignment="0" applyProtection="0"/>
    <xf numFmtId="0" fontId="12" fillId="29" borderId="16" applyNumberFormat="0" applyFont="0" applyAlignment="0" applyProtection="0"/>
    <xf numFmtId="0" fontId="27" fillId="23" borderId="9" applyNumberFormat="0" applyFont="0" applyAlignment="0" applyProtection="0"/>
    <xf numFmtId="0" fontId="20" fillId="20" borderId="1" applyNumberFormat="0" applyAlignment="0" applyProtection="0"/>
    <xf numFmtId="9" fontId="1" fillId="0" borderId="0" applyFont="0" applyFill="0" applyBorder="0" applyAlignment="0" applyProtection="0"/>
    <xf numFmtId="9" fontId="12" fillId="0" borderId="0" applyFont="0" applyFill="0" applyBorder="0" applyAlignment="0" applyProtection="0"/>
    <xf numFmtId="167" fontId="39" fillId="0" borderId="0" applyFont="0" applyFill="0" applyBorder="0" applyAlignment="0" applyProtection="0">
      <alignment horizontal="right"/>
    </xf>
    <xf numFmtId="0" fontId="40" fillId="3" borderId="0" applyNumberFormat="0" applyBorder="0" applyAlignment="0" applyProtection="0"/>
    <xf numFmtId="0" fontId="2" fillId="0" borderId="0"/>
    <xf numFmtId="0" fontId="13" fillId="0" borderId="0"/>
    <xf numFmtId="0" fontId="12" fillId="0" borderId="0"/>
    <xf numFmtId="0" fontId="49" fillId="0" borderId="0"/>
    <xf numFmtId="0" fontId="47" fillId="0" borderId="0"/>
    <xf numFmtId="0" fontId="14" fillId="0" borderId="0" applyNumberFormat="0" applyFill="0" applyBorder="0" applyAlignment="0" applyProtection="0"/>
    <xf numFmtId="0" fontId="26" fillId="0" borderId="4" applyNumberFormat="0" applyFill="0" applyAlignment="0" applyProtection="0"/>
    <xf numFmtId="0" fontId="14"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164" fontId="12" fillId="0" borderId="0" applyFont="0" applyFill="0" applyBorder="0" applyAlignment="0" applyProtection="0"/>
    <xf numFmtId="0" fontId="44" fillId="0" borderId="5" applyNumberFormat="0" applyFill="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6" fillId="21" borderId="3" applyNumberFormat="0" applyAlignment="0" applyProtection="0"/>
  </cellStyleXfs>
  <cellXfs count="137">
    <xf numFmtId="0" fontId="0" fillId="0" borderId="0" xfId="0"/>
    <xf numFmtId="0" fontId="0" fillId="24" borderId="0" xfId="0" applyFill="1"/>
    <xf numFmtId="0" fontId="3" fillId="24" borderId="0" xfId="0" applyFont="1" applyFill="1" applyBorder="1"/>
    <xf numFmtId="3" fontId="0" fillId="24" borderId="0" xfId="0" applyNumberFormat="1" applyFill="1"/>
    <xf numFmtId="0" fontId="0" fillId="24" borderId="0" xfId="0" applyFill="1" applyBorder="1"/>
    <xf numFmtId="0" fontId="0" fillId="24" borderId="11" xfId="0" applyFill="1" applyBorder="1"/>
    <xf numFmtId="0" fontId="0" fillId="24" borderId="12" xfId="0" applyFill="1" applyBorder="1"/>
    <xf numFmtId="0" fontId="3" fillId="24" borderId="13" xfId="0" applyFont="1" applyFill="1" applyBorder="1"/>
    <xf numFmtId="3" fontId="0" fillId="24" borderId="0" xfId="0" applyNumberFormat="1" applyFill="1" applyBorder="1"/>
    <xf numFmtId="2" fontId="0" fillId="24" borderId="0" xfId="0" applyNumberFormat="1" applyFill="1" applyBorder="1"/>
    <xf numFmtId="2" fontId="0" fillId="24" borderId="0" xfId="0" applyNumberFormat="1" applyFill="1" applyBorder="1" applyAlignment="1">
      <alignment horizontal="right"/>
    </xf>
    <xf numFmtId="0" fontId="5" fillId="24" borderId="0" xfId="0" applyFont="1" applyFill="1"/>
    <xf numFmtId="3" fontId="2" fillId="24" borderId="0" xfId="47" applyNumberFormat="1" applyFont="1" applyFill="1" applyBorder="1" applyAlignment="1" applyProtection="1">
      <alignment horizontal="right"/>
      <protection locked="0"/>
    </xf>
    <xf numFmtId="3" fontId="2" fillId="24" borderId="12" xfId="47" applyNumberFormat="1" applyFont="1" applyFill="1" applyBorder="1" applyAlignment="1" applyProtection="1">
      <alignment horizontal="right"/>
      <protection locked="0"/>
    </xf>
    <xf numFmtId="3" fontId="0" fillId="24" borderId="0" xfId="0" applyNumberFormat="1" applyFill="1" applyBorder="1" applyAlignment="1">
      <alignment horizontal="right"/>
    </xf>
    <xf numFmtId="2" fontId="7" fillId="24" borderId="0" xfId="0" applyNumberFormat="1" applyFont="1" applyFill="1" applyBorder="1"/>
    <xf numFmtId="9" fontId="0" fillId="24" borderId="0" xfId="59" applyFont="1" applyFill="1"/>
    <xf numFmtId="0" fontId="0" fillId="30" borderId="0" xfId="0" applyFill="1"/>
    <xf numFmtId="0" fontId="3" fillId="24" borderId="12" xfId="0" applyFont="1" applyFill="1" applyBorder="1"/>
    <xf numFmtId="3" fontId="0" fillId="24" borderId="12" xfId="47" applyNumberFormat="1" applyFont="1" applyFill="1" applyBorder="1" applyAlignment="1">
      <alignment horizontal="right"/>
    </xf>
    <xf numFmtId="3" fontId="10" fillId="30" borderId="12" xfId="47" applyNumberFormat="1" applyFont="1" applyFill="1" applyBorder="1" applyAlignment="1">
      <alignment horizontal="right"/>
    </xf>
    <xf numFmtId="3" fontId="0" fillId="30" borderId="0" xfId="0" applyNumberFormat="1" applyFill="1" applyBorder="1"/>
    <xf numFmtId="3" fontId="0" fillId="30" borderId="11" xfId="0" applyNumberFormat="1" applyFill="1" applyBorder="1"/>
    <xf numFmtId="3" fontId="0" fillId="30" borderId="12" xfId="0" applyNumberFormat="1" applyFill="1" applyBorder="1"/>
    <xf numFmtId="0" fontId="54" fillId="24" borderId="0" xfId="0" applyFont="1" applyFill="1" applyBorder="1"/>
    <xf numFmtId="0" fontId="0" fillId="30" borderId="0" xfId="0" applyFill="1" applyBorder="1"/>
    <xf numFmtId="0" fontId="5" fillId="24" borderId="12" xfId="0" applyFont="1" applyFill="1" applyBorder="1"/>
    <xf numFmtId="0" fontId="8" fillId="24" borderId="0" xfId="0" applyFont="1" applyFill="1" applyBorder="1"/>
    <xf numFmtId="0" fontId="55" fillId="24" borderId="12" xfId="0" applyFont="1" applyFill="1" applyBorder="1"/>
    <xf numFmtId="0" fontId="0" fillId="24" borderId="13" xfId="0" applyFill="1" applyBorder="1"/>
    <xf numFmtId="0" fontId="2" fillId="24" borderId="0" xfId="0" applyFont="1" applyFill="1" applyBorder="1"/>
    <xf numFmtId="3" fontId="2" fillId="30" borderId="0" xfId="47" applyNumberFormat="1" applyFont="1" applyFill="1" applyBorder="1" applyAlignment="1" applyProtection="1">
      <alignment horizontal="right"/>
      <protection locked="0"/>
    </xf>
    <xf numFmtId="3" fontId="0" fillId="30" borderId="0" xfId="0" applyNumberFormat="1" applyFill="1"/>
    <xf numFmtId="0" fontId="2" fillId="24" borderId="13" xfId="0" applyFont="1" applyFill="1" applyBorder="1"/>
    <xf numFmtId="0" fontId="2" fillId="24" borderId="12" xfId="0" applyFont="1" applyFill="1" applyBorder="1"/>
    <xf numFmtId="0" fontId="0" fillId="30" borderId="12" xfId="0" applyFill="1" applyBorder="1"/>
    <xf numFmtId="3" fontId="2" fillId="30" borderId="12" xfId="47" applyNumberFormat="1" applyFont="1" applyFill="1" applyBorder="1" applyAlignment="1" applyProtection="1">
      <alignment horizontal="right"/>
      <protection locked="0"/>
    </xf>
    <xf numFmtId="0" fontId="3" fillId="30" borderId="0" xfId="0" applyFont="1" applyFill="1" applyBorder="1"/>
    <xf numFmtId="0" fontId="55" fillId="24" borderId="0" xfId="0" applyFont="1" applyFill="1" applyBorder="1"/>
    <xf numFmtId="0" fontId="54" fillId="24" borderId="12" xfId="0" applyFont="1" applyFill="1" applyBorder="1"/>
    <xf numFmtId="0" fontId="5" fillId="24" borderId="0" xfId="0" applyFont="1" applyFill="1" applyBorder="1"/>
    <xf numFmtId="0" fontId="7" fillId="24" borderId="0" xfId="0" applyFont="1" applyFill="1" applyBorder="1"/>
    <xf numFmtId="0" fontId="56" fillId="24" borderId="0" xfId="0" applyFont="1" applyFill="1"/>
    <xf numFmtId="0" fontId="56" fillId="24" borderId="0" xfId="0" applyFont="1" applyFill="1" applyBorder="1"/>
    <xf numFmtId="3" fontId="0" fillId="24" borderId="12" xfId="0" applyNumberFormat="1" applyFill="1" applyBorder="1" applyAlignment="1">
      <alignment horizontal="right"/>
    </xf>
    <xf numFmtId="3" fontId="11" fillId="24" borderId="12" xfId="0" applyNumberFormat="1" applyFont="1" applyFill="1" applyBorder="1"/>
    <xf numFmtId="3" fontId="6" fillId="24" borderId="0" xfId="0" applyNumberFormat="1" applyFont="1" applyFill="1" applyBorder="1"/>
    <xf numFmtId="0" fontId="3" fillId="30" borderId="12" xfId="0" applyFont="1" applyFill="1" applyBorder="1"/>
    <xf numFmtId="0" fontId="54" fillId="30" borderId="0" xfId="0" applyFont="1" applyFill="1" applyBorder="1"/>
    <xf numFmtId="0" fontId="2" fillId="30" borderId="0" xfId="0" applyFont="1" applyFill="1" applyBorder="1"/>
    <xf numFmtId="0" fontId="2" fillId="30" borderId="12" xfId="0" applyFont="1" applyFill="1" applyBorder="1"/>
    <xf numFmtId="0" fontId="54" fillId="30" borderId="11" xfId="0" applyFont="1" applyFill="1" applyBorder="1"/>
    <xf numFmtId="0" fontId="0" fillId="30" borderId="11" xfId="0" applyFill="1" applyBorder="1"/>
    <xf numFmtId="3" fontId="2" fillId="31" borderId="0" xfId="47" applyNumberFormat="1" applyFont="1" applyFill="1" applyBorder="1" applyAlignment="1" applyProtection="1">
      <alignment horizontal="right"/>
      <protection locked="0"/>
    </xf>
    <xf numFmtId="3" fontId="2" fillId="32" borderId="0" xfId="47" applyNumberFormat="1" applyFont="1" applyFill="1" applyBorder="1" applyAlignment="1" applyProtection="1">
      <alignment horizontal="right"/>
      <protection locked="0"/>
    </xf>
    <xf numFmtId="3" fontId="0" fillId="32" borderId="0" xfId="0" applyNumberFormat="1" applyFill="1" applyBorder="1"/>
    <xf numFmtId="3" fontId="0" fillId="32" borderId="12" xfId="0" applyNumberFormat="1" applyFill="1" applyBorder="1"/>
    <xf numFmtId="3" fontId="2" fillId="32" borderId="11" xfId="47" applyNumberFormat="1" applyFont="1" applyFill="1" applyBorder="1" applyAlignment="1" applyProtection="1">
      <alignment horizontal="right"/>
      <protection locked="0"/>
    </xf>
    <xf numFmtId="3" fontId="2" fillId="32" borderId="12" xfId="47" applyNumberFormat="1" applyFont="1" applyFill="1" applyBorder="1" applyAlignment="1" applyProtection="1">
      <alignment horizontal="right"/>
      <protection locked="0"/>
    </xf>
    <xf numFmtId="0" fontId="0" fillId="32" borderId="0" xfId="0" applyFill="1" applyBorder="1"/>
    <xf numFmtId="0" fontId="0" fillId="32" borderId="11" xfId="0" applyFill="1" applyBorder="1"/>
    <xf numFmtId="0" fontId="0" fillId="32" borderId="0" xfId="0" applyFill="1" applyBorder="1" applyAlignment="1">
      <alignment horizontal="right"/>
    </xf>
    <xf numFmtId="0" fontId="0" fillId="32" borderId="12" xfId="0" applyFill="1" applyBorder="1" applyAlignment="1">
      <alignment horizontal="right"/>
    </xf>
    <xf numFmtId="3" fontId="0" fillId="32" borderId="11" xfId="0" applyNumberFormat="1" applyFill="1" applyBorder="1"/>
    <xf numFmtId="3" fontId="0" fillId="32" borderId="13" xfId="0" applyNumberFormat="1" applyFill="1" applyBorder="1"/>
    <xf numFmtId="3" fontId="6" fillId="32" borderId="0" xfId="0" applyNumberFormat="1" applyFont="1" applyFill="1" applyBorder="1"/>
    <xf numFmtId="3" fontId="6" fillId="32" borderId="12" xfId="0" applyNumberFormat="1" applyFont="1" applyFill="1" applyBorder="1"/>
    <xf numFmtId="3" fontId="2" fillId="33" borderId="0" xfId="47" applyNumberFormat="1" applyFont="1" applyFill="1" applyBorder="1" applyAlignment="1" applyProtection="1">
      <alignment horizontal="right"/>
      <protection locked="0"/>
    </xf>
    <xf numFmtId="10" fontId="0" fillId="33" borderId="0" xfId="0" applyNumberFormat="1" applyFill="1" applyBorder="1"/>
    <xf numFmtId="3" fontId="2" fillId="33" borderId="11" xfId="47" applyNumberFormat="1" applyFont="1" applyFill="1" applyBorder="1" applyAlignment="1" applyProtection="1">
      <alignment horizontal="right"/>
      <protection locked="0"/>
    </xf>
    <xf numFmtId="3" fontId="2" fillId="33" borderId="12" xfId="47" applyNumberFormat="1" applyFont="1" applyFill="1" applyBorder="1" applyAlignment="1" applyProtection="1">
      <alignment horizontal="right"/>
      <protection locked="0"/>
    </xf>
    <xf numFmtId="3" fontId="0" fillId="33" borderId="0" xfId="0" applyNumberFormat="1" applyFill="1" applyBorder="1"/>
    <xf numFmtId="3" fontId="0" fillId="33" borderId="12" xfId="0" applyNumberFormat="1" applyFill="1" applyBorder="1"/>
    <xf numFmtId="0" fontId="0" fillId="31" borderId="0" xfId="0" applyFill="1" applyBorder="1"/>
    <xf numFmtId="3" fontId="0" fillId="31" borderId="0" xfId="0" applyNumberFormat="1" applyFill="1" applyBorder="1" applyAlignment="1">
      <alignment horizontal="right"/>
    </xf>
    <xf numFmtId="3" fontId="0" fillId="31" borderId="0" xfId="0" applyNumberFormat="1" applyFill="1" applyBorder="1"/>
    <xf numFmtId="3" fontId="0" fillId="31" borderId="12" xfId="0" applyNumberFormat="1" applyFill="1" applyBorder="1"/>
    <xf numFmtId="166" fontId="0" fillId="31" borderId="13" xfId="0" applyNumberFormat="1" applyFill="1" applyBorder="1"/>
    <xf numFmtId="0" fontId="0" fillId="31" borderId="0" xfId="0" applyFill="1" applyBorder="1" applyAlignment="1">
      <alignment horizontal="right"/>
    </xf>
    <xf numFmtId="3" fontId="2" fillId="31" borderId="12" xfId="47" applyNumberFormat="1" applyFont="1" applyFill="1" applyBorder="1" applyAlignment="1" applyProtection="1">
      <alignment horizontal="right"/>
      <protection locked="0"/>
    </xf>
    <xf numFmtId="3" fontId="2" fillId="31" borderId="11" xfId="47" applyNumberFormat="1" applyFont="1" applyFill="1" applyBorder="1" applyAlignment="1" applyProtection="1">
      <alignment horizontal="right"/>
      <protection locked="0"/>
    </xf>
    <xf numFmtId="0" fontId="54" fillId="24" borderId="13" xfId="0" applyFont="1" applyFill="1" applyBorder="1"/>
    <xf numFmtId="3" fontId="2" fillId="33" borderId="13" xfId="47" applyNumberFormat="1" applyFont="1" applyFill="1" applyBorder="1" applyAlignment="1" applyProtection="1">
      <alignment horizontal="right"/>
      <protection locked="0"/>
    </xf>
    <xf numFmtId="10" fontId="6" fillId="30" borderId="0" xfId="0" applyNumberFormat="1" applyFont="1" applyFill="1" applyBorder="1" applyAlignment="1">
      <alignment horizontal="right"/>
    </xf>
    <xf numFmtId="0" fontId="6" fillId="30" borderId="0" xfId="0" applyFont="1" applyFill="1" applyBorder="1"/>
    <xf numFmtId="0" fontId="6" fillId="24" borderId="0" xfId="0" applyFont="1" applyFill="1" applyBorder="1" applyAlignment="1">
      <alignment horizontal="right"/>
    </xf>
    <xf numFmtId="0" fontId="54" fillId="24" borderId="11" xfId="0" applyFont="1" applyFill="1" applyBorder="1"/>
    <xf numFmtId="4" fontId="0" fillId="31" borderId="0" xfId="0" applyNumberFormat="1" applyFill="1" applyBorder="1"/>
    <xf numFmtId="169" fontId="0" fillId="31" borderId="0" xfId="0" applyNumberFormat="1" applyFill="1" applyBorder="1"/>
    <xf numFmtId="168" fontId="0" fillId="31" borderId="0" xfId="0" applyNumberFormat="1" applyFill="1" applyBorder="1" applyAlignment="1">
      <alignment horizontal="right"/>
    </xf>
    <xf numFmtId="0" fontId="0" fillId="31" borderId="11" xfId="0" applyFill="1" applyBorder="1"/>
    <xf numFmtId="0" fontId="0" fillId="31" borderId="12" xfId="0" applyFill="1" applyBorder="1" applyAlignment="1">
      <alignment horizontal="right"/>
    </xf>
    <xf numFmtId="2" fontId="0" fillId="31" borderId="0" xfId="0" applyNumberFormat="1" applyFill="1" applyBorder="1"/>
    <xf numFmtId="0" fontId="2" fillId="30" borderId="0" xfId="0" applyFont="1" applyFill="1"/>
    <xf numFmtId="0" fontId="2" fillId="24" borderId="11" xfId="0" applyFont="1" applyFill="1" applyBorder="1"/>
    <xf numFmtId="2" fontId="0" fillId="31" borderId="11" xfId="0" applyNumberFormat="1" applyFill="1" applyBorder="1"/>
    <xf numFmtId="3" fontId="6" fillId="24" borderId="11" xfId="0" applyNumberFormat="1" applyFont="1" applyFill="1" applyBorder="1"/>
    <xf numFmtId="3" fontId="0" fillId="31" borderId="11" xfId="0" applyNumberFormat="1" applyFill="1" applyBorder="1"/>
    <xf numFmtId="3" fontId="2" fillId="32" borderId="0" xfId="0" applyNumberFormat="1" applyFont="1" applyFill="1" applyBorder="1"/>
    <xf numFmtId="3" fontId="2" fillId="32" borderId="11" xfId="0" applyNumberFormat="1" applyFont="1" applyFill="1" applyBorder="1"/>
    <xf numFmtId="3" fontId="0" fillId="31" borderId="13" xfId="0" applyNumberFormat="1" applyFill="1" applyBorder="1"/>
    <xf numFmtId="0" fontId="0" fillId="33" borderId="11" xfId="0" applyFill="1" applyBorder="1"/>
    <xf numFmtId="0" fontId="0" fillId="33" borderId="0" xfId="0" applyFill="1" applyBorder="1"/>
    <xf numFmtId="0" fontId="53" fillId="24" borderId="0" xfId="0" applyFont="1" applyFill="1" applyBorder="1"/>
    <xf numFmtId="3" fontId="2" fillId="24" borderId="12" xfId="0" applyNumberFormat="1" applyFont="1" applyFill="1" applyBorder="1"/>
    <xf numFmtId="3" fontId="2" fillId="31" borderId="0" xfId="0" applyNumberFormat="1" applyFont="1" applyFill="1" applyBorder="1"/>
    <xf numFmtId="3" fontId="2" fillId="24" borderId="0" xfId="0" applyNumberFormat="1" applyFont="1" applyFill="1"/>
    <xf numFmtId="0" fontId="8" fillId="24" borderId="0" xfId="67" applyFont="1" applyFill="1"/>
    <xf numFmtId="0" fontId="48" fillId="34" borderId="14" xfId="1" applyFont="1" applyFill="1" applyBorder="1"/>
    <xf numFmtId="0" fontId="8" fillId="24" borderId="0" xfId="67" applyFont="1" applyFill="1" applyBorder="1"/>
    <xf numFmtId="0" fontId="2" fillId="24" borderId="0" xfId="67" applyFont="1" applyFill="1" applyBorder="1" applyAlignment="1">
      <alignment wrapText="1"/>
    </xf>
    <xf numFmtId="0" fontId="2" fillId="24" borderId="0" xfId="67" applyFont="1" applyFill="1" applyBorder="1"/>
    <xf numFmtId="0" fontId="2" fillId="25" borderId="15" xfId="67" applyFont="1" applyFill="1" applyBorder="1"/>
    <xf numFmtId="3" fontId="0" fillId="35" borderId="0" xfId="0" applyNumberFormat="1" applyFill="1" applyBorder="1"/>
    <xf numFmtId="0" fontId="2" fillId="32" borderId="15" xfId="67" applyFont="1" applyFill="1" applyBorder="1"/>
    <xf numFmtId="0" fontId="2" fillId="33" borderId="15" xfId="67" applyFont="1" applyFill="1" applyBorder="1"/>
    <xf numFmtId="0" fontId="2" fillId="31" borderId="15" xfId="67" applyFont="1" applyFill="1" applyBorder="1"/>
    <xf numFmtId="166" fontId="0" fillId="31" borderId="0" xfId="0" applyNumberFormat="1" applyFill="1" applyBorder="1"/>
    <xf numFmtId="166" fontId="0" fillId="33" borderId="0" xfId="0" applyNumberFormat="1" applyFill="1" applyBorder="1"/>
    <xf numFmtId="0" fontId="3" fillId="24" borderId="0" xfId="0" applyFont="1" applyFill="1"/>
    <xf numFmtId="0" fontId="5" fillId="30" borderId="0" xfId="0" applyFont="1" applyFill="1"/>
    <xf numFmtId="0" fontId="9" fillId="30" borderId="0" xfId="0" applyFont="1" applyFill="1"/>
    <xf numFmtId="0" fontId="53" fillId="30" borderId="0" xfId="0" applyFont="1" applyFill="1"/>
    <xf numFmtId="3" fontId="3" fillId="30" borderId="0" xfId="0" applyNumberFormat="1" applyFont="1" applyFill="1"/>
    <xf numFmtId="3" fontId="11" fillId="30" borderId="0" xfId="0" applyNumberFormat="1" applyFont="1" applyFill="1" applyBorder="1"/>
    <xf numFmtId="3" fontId="6" fillId="30" borderId="0" xfId="0" applyNumberFormat="1" applyFont="1" applyFill="1" applyBorder="1"/>
    <xf numFmtId="3" fontId="2" fillId="30" borderId="0" xfId="0" applyNumberFormat="1" applyFont="1" applyFill="1"/>
    <xf numFmtId="2" fontId="0" fillId="30" borderId="0" xfId="0" applyNumberFormat="1" applyFill="1" applyBorder="1"/>
    <xf numFmtId="0" fontId="3" fillId="24" borderId="10" xfId="0" applyFont="1" applyFill="1" applyBorder="1" applyAlignment="1">
      <alignment horizontal="center"/>
    </xf>
    <xf numFmtId="0" fontId="0" fillId="24" borderId="14" xfId="0" applyFill="1" applyBorder="1"/>
    <xf numFmtId="3" fontId="0" fillId="32" borderId="0" xfId="0" applyNumberFormat="1" applyFill="1"/>
    <xf numFmtId="3" fontId="11" fillId="24" borderId="10" xfId="0" applyNumberFormat="1" applyFont="1" applyFill="1" applyBorder="1"/>
    <xf numFmtId="3" fontId="0" fillId="32" borderId="14" xfId="0" applyNumberFormat="1" applyFill="1" applyBorder="1"/>
    <xf numFmtId="0" fontId="6" fillId="30" borderId="12" xfId="0" applyFont="1" applyFill="1" applyBorder="1"/>
    <xf numFmtId="3" fontId="0" fillId="33" borderId="11" xfId="0" applyNumberFormat="1" applyFill="1" applyBorder="1" applyAlignment="1">
      <alignment horizontal="right"/>
    </xf>
    <xf numFmtId="0" fontId="2" fillId="24" borderId="0" xfId="0" applyFont="1" applyFill="1"/>
    <xf numFmtId="0" fontId="6" fillId="24" borderId="12" xfId="0" applyFont="1" applyFill="1" applyBorder="1"/>
  </cellXfs>
  <cellStyles count="80">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2"/>
    <cellStyle name="20 % - Akzent1" xfId="3"/>
    <cellStyle name="20 % - Akzent2" xfId="4"/>
    <cellStyle name="20 % - Akzent3" xfId="5"/>
    <cellStyle name="20 % - Akzent4" xfId="6"/>
    <cellStyle name="20 % - Akzent5" xfId="7"/>
    <cellStyle name="20 % - Akzent6" xfId="8"/>
    <cellStyle name="40 % - Akzent1" xfId="9"/>
    <cellStyle name="40 % - Akzent2" xfId="10"/>
    <cellStyle name="40 % - Akzent3" xfId="11"/>
    <cellStyle name="40 % - Akzent4" xfId="12"/>
    <cellStyle name="40 % - Akzent5" xfId="13"/>
    <cellStyle name="40 % - Akzent6" xfId="14"/>
    <cellStyle name="60 % - Akzent1" xfId="15"/>
    <cellStyle name="60 % - Akzent2" xfId="16"/>
    <cellStyle name="60 % - Akzent3" xfId="17"/>
    <cellStyle name="60 % - Akzent4" xfId="18"/>
    <cellStyle name="60 % - Akzent5" xfId="19"/>
    <cellStyle name="60 % - Akzent6" xfId="20"/>
    <cellStyle name="Accent6 2" xfId="21"/>
    <cellStyle name="Akzent1" xfId="22"/>
    <cellStyle name="Akzent2" xfId="23"/>
    <cellStyle name="Akzent3" xfId="24"/>
    <cellStyle name="Akzent4" xfId="25"/>
    <cellStyle name="Akzent5" xfId="26"/>
    <cellStyle name="Akzent6" xfId="27"/>
    <cellStyle name="Ausgabe" xfId="28"/>
    <cellStyle name="Bad" xfId="29"/>
    <cellStyle name="Berechnung" xfId="30"/>
    <cellStyle name="Calculation" xfId="31"/>
    <cellStyle name="Check Cell" xfId="32"/>
    <cellStyle name="Eingabe" xfId="33"/>
    <cellStyle name="Ergebnis" xfId="34"/>
    <cellStyle name="Erklärender Text" xfId="35"/>
    <cellStyle name="Euro" xfId="36"/>
    <cellStyle name="Explanatory Text" xfId="37"/>
    <cellStyle name="Goed 2" xfId="38"/>
    <cellStyle name="Good" xfId="39"/>
    <cellStyle name="Gut" xfId="40"/>
    <cellStyle name="Header" xfId="41"/>
    <cellStyle name="Heading 1" xfId="42"/>
    <cellStyle name="Heading 2" xfId="43"/>
    <cellStyle name="Heading 3" xfId="44"/>
    <cellStyle name="Heading 4" xfId="45"/>
    <cellStyle name="Input" xfId="46"/>
    <cellStyle name="Komma" xfId="47" builtinId="3"/>
    <cellStyle name="Komma 2" xfId="48"/>
    <cellStyle name="Komma 3" xfId="49"/>
    <cellStyle name="Linked Cell" xfId="50"/>
    <cellStyle name="MAND_x000a_CHECK.COMMAND_x000e_RENAME.COMMAND_x0008_SHOW.BAR_x000b_DELETE.MENU_x000e_DELETE.COMMAND_x000e_GET.CHA" xfId="51"/>
    <cellStyle name="Neutraal 2" xfId="52"/>
    <cellStyle name="Neutral" xfId="53"/>
    <cellStyle name="Normal_# klanten" xfId="54"/>
    <cellStyle name="Note" xfId="55"/>
    <cellStyle name="Notitie 2" xfId="56"/>
    <cellStyle name="Notiz" xfId="57"/>
    <cellStyle name="Output" xfId="58"/>
    <cellStyle name="Procent" xfId="59" builtinId="5"/>
    <cellStyle name="Procent 2" xfId="60"/>
    <cellStyle name="Ratio" xfId="61"/>
    <cellStyle name="Schlecht" xfId="62"/>
    <cellStyle name="Standaard" xfId="0" builtinId="0"/>
    <cellStyle name="Standaard 2" xfId="63"/>
    <cellStyle name="Standaard 2 2" xfId="64"/>
    <cellStyle name="Standaard 3" xfId="65"/>
    <cellStyle name="Standaard 4" xfId="66"/>
    <cellStyle name="Standaard_20100727 Rekenmodel NE5R v1.9" xfId="67"/>
    <cellStyle name="Title" xfId="68"/>
    <cellStyle name="Total" xfId="69"/>
    <cellStyle name="Überschrift" xfId="70"/>
    <cellStyle name="Überschrift 1" xfId="71"/>
    <cellStyle name="Überschrift 2" xfId="72"/>
    <cellStyle name="Überschrift 3" xfId="73"/>
    <cellStyle name="Überschrift 4" xfId="74"/>
    <cellStyle name="Valuta 2" xfId="75"/>
    <cellStyle name="Verknüpfte Zelle" xfId="76"/>
    <cellStyle name="Warnender Text" xfId="77"/>
    <cellStyle name="Warning Text" xfId="78"/>
    <cellStyle name="Zelle überprüfen"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workbookViewId="0">
      <selection activeCell="B24" sqref="B24"/>
    </sheetView>
  </sheetViews>
  <sheetFormatPr defaultRowHeight="12.75" x14ac:dyDescent="0.2"/>
  <cols>
    <col min="1" max="1" width="3.7109375" style="17" customWidth="1"/>
    <col min="2" max="2" width="131.140625" style="17" customWidth="1"/>
    <col min="3" max="3" width="9.140625" style="17"/>
    <col min="4" max="4" width="23.28515625" style="17" bestFit="1" customWidth="1"/>
    <col min="5" max="6" width="9.140625" style="17"/>
    <col min="7" max="7" width="10.7109375" style="17" customWidth="1"/>
    <col min="8" max="8" width="11.5703125" style="17" customWidth="1"/>
    <col min="9" max="16384" width="9.140625" style="17"/>
  </cols>
  <sheetData>
    <row r="1" spans="1:2" x14ac:dyDescent="0.2">
      <c r="A1" s="107"/>
      <c r="B1" s="107"/>
    </row>
    <row r="2" spans="1:2" ht="19.5" x14ac:dyDescent="0.3">
      <c r="A2" s="108"/>
      <c r="B2" s="108" t="s">
        <v>70</v>
      </c>
    </row>
    <row r="3" spans="1:2" x14ac:dyDescent="0.2">
      <c r="A3" s="107"/>
      <c r="B3" s="107"/>
    </row>
    <row r="4" spans="1:2" ht="29.25" customHeight="1" x14ac:dyDescent="0.2">
      <c r="A4" s="109"/>
      <c r="B4" s="110" t="s">
        <v>80</v>
      </c>
    </row>
    <row r="5" spans="1:2" x14ac:dyDescent="0.2">
      <c r="A5" s="107"/>
      <c r="B5" s="107"/>
    </row>
    <row r="6" spans="1:2" ht="19.5" x14ac:dyDescent="0.3">
      <c r="A6" s="108"/>
      <c r="B6" s="108" t="s">
        <v>71</v>
      </c>
    </row>
    <row r="7" spans="1:2" x14ac:dyDescent="0.2">
      <c r="A7" s="107"/>
      <c r="B7" s="107"/>
    </row>
    <row r="8" spans="1:2" x14ac:dyDescent="0.2">
      <c r="A8" s="107"/>
      <c r="B8" s="116" t="s">
        <v>72</v>
      </c>
    </row>
    <row r="9" spans="1:2" x14ac:dyDescent="0.2">
      <c r="A9" s="107"/>
      <c r="B9" s="111"/>
    </row>
    <row r="10" spans="1:2" x14ac:dyDescent="0.2">
      <c r="A10" s="107"/>
      <c r="B10" s="115" t="s">
        <v>73</v>
      </c>
    </row>
    <row r="11" spans="1:2" x14ac:dyDescent="0.2">
      <c r="A11" s="107"/>
      <c r="B11" s="111"/>
    </row>
    <row r="12" spans="1:2" x14ac:dyDescent="0.2">
      <c r="A12" s="107"/>
      <c r="B12" s="114" t="s">
        <v>74</v>
      </c>
    </row>
    <row r="13" spans="1:2" x14ac:dyDescent="0.2">
      <c r="A13" s="107"/>
      <c r="B13" s="111"/>
    </row>
    <row r="14" spans="1:2" x14ac:dyDescent="0.2">
      <c r="A14" s="107"/>
      <c r="B14" s="112" t="s">
        <v>75</v>
      </c>
    </row>
    <row r="15" spans="1:2" x14ac:dyDescent="0.2">
      <c r="A15" s="107"/>
      <c r="B15" s="107"/>
    </row>
    <row r="17" spans="2:2" x14ac:dyDescent="0.2">
      <c r="B17" s="17" t="s">
        <v>76</v>
      </c>
    </row>
  </sheetData>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abSelected="1" zoomScale="85" zoomScaleNormal="85" workbookViewId="0">
      <pane xSplit="5" ySplit="2" topLeftCell="F3" activePane="bottomRight" state="frozen"/>
      <selection pane="topRight" activeCell="F1" sqref="F1"/>
      <selection pane="bottomLeft" activeCell="A3" sqref="A3"/>
      <selection pane="bottomRight" activeCell="C5" sqref="C5"/>
    </sheetView>
  </sheetViews>
  <sheetFormatPr defaultRowHeight="12.75" x14ac:dyDescent="0.2"/>
  <cols>
    <col min="1" max="1" width="3.85546875" style="1" customWidth="1"/>
    <col min="2" max="2" width="6.42578125" style="1" customWidth="1"/>
    <col min="3" max="3" width="70.7109375" style="1" customWidth="1"/>
    <col min="4" max="4" width="17.5703125" style="1" customWidth="1"/>
    <col min="5" max="5" width="3" style="1" customWidth="1"/>
    <col min="6" max="14" width="11.7109375" style="1" customWidth="1"/>
    <col min="15" max="15" width="5.140625" style="17" customWidth="1"/>
    <col min="16" max="16" width="9.140625" style="1"/>
    <col min="17" max="17" width="11.28515625" style="1" bestFit="1" customWidth="1"/>
    <col min="18" max="16384" width="9.140625" style="1"/>
  </cols>
  <sheetData>
    <row r="1" spans="1:17" ht="13.5" thickBot="1" x14ac:dyDescent="0.25"/>
    <row r="2" spans="1:17" x14ac:dyDescent="0.2">
      <c r="C2" s="11" t="s">
        <v>23</v>
      </c>
      <c r="F2" s="128" t="s">
        <v>0</v>
      </c>
      <c r="G2" s="128" t="s">
        <v>1</v>
      </c>
      <c r="H2" s="128" t="s">
        <v>2</v>
      </c>
      <c r="I2" s="128" t="s">
        <v>93</v>
      </c>
      <c r="J2" s="128" t="s">
        <v>3</v>
      </c>
      <c r="K2" s="128" t="s">
        <v>4</v>
      </c>
      <c r="L2" s="128" t="s">
        <v>5</v>
      </c>
      <c r="M2" s="128" t="s">
        <v>6</v>
      </c>
      <c r="N2" s="131" t="s">
        <v>9</v>
      </c>
      <c r="O2" s="120"/>
      <c r="P2" s="119"/>
      <c r="Q2" s="119"/>
    </row>
    <row r="3" spans="1:17" x14ac:dyDescent="0.2">
      <c r="F3" s="7"/>
      <c r="G3" s="7"/>
      <c r="H3" s="7"/>
      <c r="I3" s="7"/>
      <c r="J3" s="7"/>
      <c r="K3" s="7"/>
      <c r="L3" s="7"/>
      <c r="M3" s="7"/>
    </row>
    <row r="4" spans="1:17" x14ac:dyDescent="0.2">
      <c r="C4" s="42" t="s">
        <v>56</v>
      </c>
      <c r="F4" s="2"/>
      <c r="G4" s="2"/>
      <c r="H4" s="2"/>
      <c r="I4" s="2"/>
      <c r="J4" s="2"/>
      <c r="K4" s="2"/>
      <c r="L4" s="2"/>
      <c r="M4" s="2"/>
    </row>
    <row r="5" spans="1:17" x14ac:dyDescent="0.2">
      <c r="F5" s="2"/>
      <c r="G5" s="2"/>
      <c r="H5" s="2"/>
      <c r="I5" s="2"/>
      <c r="J5" s="2"/>
      <c r="K5" s="2"/>
      <c r="L5" s="2"/>
      <c r="M5" s="2"/>
    </row>
    <row r="6" spans="1:17" x14ac:dyDescent="0.2">
      <c r="C6" s="47" t="s">
        <v>96</v>
      </c>
      <c r="D6" s="35"/>
      <c r="E6" s="35"/>
      <c r="F6" s="18"/>
      <c r="G6" s="18"/>
      <c r="H6" s="18"/>
      <c r="I6" s="18"/>
      <c r="J6" s="18"/>
      <c r="K6" s="18"/>
      <c r="L6" s="18"/>
      <c r="M6" s="18"/>
    </row>
    <row r="7" spans="1:17" x14ac:dyDescent="0.2">
      <c r="C7" s="48" t="s">
        <v>97</v>
      </c>
      <c r="D7" s="84" t="s">
        <v>81</v>
      </c>
      <c r="E7" s="25"/>
      <c r="F7" s="75">
        <v>50940650.593736537</v>
      </c>
      <c r="G7" s="75">
        <v>42466920.691252045</v>
      </c>
      <c r="H7" s="75">
        <v>34832471.257959642</v>
      </c>
      <c r="I7" s="75">
        <v>1194872.9540272332</v>
      </c>
      <c r="J7" s="75">
        <v>1975339.8966407345</v>
      </c>
      <c r="K7" s="75">
        <v>4795286.6924904697</v>
      </c>
      <c r="L7" s="75">
        <v>635825.61532222212</v>
      </c>
      <c r="M7" s="75">
        <v>248028.13858056077</v>
      </c>
      <c r="N7" s="64">
        <f>SUM(F7:M7)</f>
        <v>137089395.84000945</v>
      </c>
      <c r="P7" s="93"/>
    </row>
    <row r="8" spans="1:17" x14ac:dyDescent="0.2">
      <c r="C8" s="51" t="s">
        <v>99</v>
      </c>
      <c r="D8" s="90">
        <v>9</v>
      </c>
      <c r="E8" s="52"/>
      <c r="F8" s="63">
        <f>F7/$D$8</f>
        <v>5660072.2881929483</v>
      </c>
      <c r="G8" s="63">
        <f t="shared" ref="G8:M8" si="0">G7/$D$8</f>
        <v>4718546.7434724495</v>
      </c>
      <c r="H8" s="63">
        <f t="shared" si="0"/>
        <v>3870274.5842177379</v>
      </c>
      <c r="I8" s="63">
        <f t="shared" si="0"/>
        <v>132763.66155858146</v>
      </c>
      <c r="J8" s="63">
        <f t="shared" si="0"/>
        <v>219482.21073785939</v>
      </c>
      <c r="K8" s="63">
        <f t="shared" si="0"/>
        <v>532809.63249894104</v>
      </c>
      <c r="L8" s="63">
        <f t="shared" si="0"/>
        <v>70647.290591358018</v>
      </c>
      <c r="M8" s="63">
        <f t="shared" si="0"/>
        <v>27558.682064506753</v>
      </c>
      <c r="N8" s="63">
        <f>SUM(F8:M8)</f>
        <v>15232155.093334382</v>
      </c>
      <c r="P8" s="93"/>
    </row>
    <row r="9" spans="1:17" x14ac:dyDescent="0.2">
      <c r="C9" s="49" t="s">
        <v>100</v>
      </c>
      <c r="E9" s="25"/>
      <c r="F9" s="55">
        <f t="shared" ref="F9:M9" si="1">F7-F8</f>
        <v>45280578.305543587</v>
      </c>
      <c r="G9" s="55">
        <f t="shared" si="1"/>
        <v>37748373.947779596</v>
      </c>
      <c r="H9" s="55">
        <f t="shared" si="1"/>
        <v>30962196.673741903</v>
      </c>
      <c r="I9" s="55">
        <f t="shared" si="1"/>
        <v>1062109.2924686517</v>
      </c>
      <c r="J9" s="55">
        <f t="shared" si="1"/>
        <v>1755857.6859028751</v>
      </c>
      <c r="K9" s="55">
        <f t="shared" si="1"/>
        <v>4262477.0599915283</v>
      </c>
      <c r="L9" s="55">
        <f t="shared" si="1"/>
        <v>565178.32473086414</v>
      </c>
      <c r="M9" s="55">
        <f t="shared" si="1"/>
        <v>220469.45651605402</v>
      </c>
      <c r="N9" s="130">
        <f>SUM(F9:M9)</f>
        <v>121857240.74667506</v>
      </c>
      <c r="O9" s="32"/>
      <c r="P9" s="3"/>
    </row>
    <row r="10" spans="1:17" x14ac:dyDescent="0.2">
      <c r="C10" s="83" t="s">
        <v>51</v>
      </c>
      <c r="D10" s="117">
        <v>1.4999999999999999E-2</v>
      </c>
      <c r="E10" s="25"/>
      <c r="F10" s="21"/>
      <c r="G10" s="21"/>
      <c r="H10" s="21"/>
      <c r="I10" s="21"/>
      <c r="J10" s="21"/>
      <c r="K10" s="21"/>
      <c r="L10" s="21"/>
      <c r="M10" s="21"/>
      <c r="N10" s="3"/>
      <c r="O10" s="32"/>
      <c r="P10" s="106"/>
    </row>
    <row r="11" spans="1:17" x14ac:dyDescent="0.2">
      <c r="C11" s="49" t="s">
        <v>101</v>
      </c>
      <c r="E11" s="25"/>
      <c r="F11" s="55">
        <f t="shared" ref="F11:M12" si="2">F8*(1+$D$10)</f>
        <v>5744973.3725158423</v>
      </c>
      <c r="G11" s="55">
        <f t="shared" si="2"/>
        <v>4789324.9446245357</v>
      </c>
      <c r="H11" s="55">
        <f t="shared" si="2"/>
        <v>3928328.7029810036</v>
      </c>
      <c r="I11" s="55">
        <f t="shared" si="2"/>
        <v>134755.11648196017</v>
      </c>
      <c r="J11" s="55">
        <f t="shared" si="2"/>
        <v>222774.44389892727</v>
      </c>
      <c r="K11" s="55">
        <f t="shared" si="2"/>
        <v>540801.77698642504</v>
      </c>
      <c r="L11" s="55">
        <f t="shared" si="2"/>
        <v>71706.999950228375</v>
      </c>
      <c r="M11" s="55">
        <f t="shared" si="2"/>
        <v>27972.062295474352</v>
      </c>
      <c r="N11" s="130">
        <f>SUM(F11:M11)</f>
        <v>15460637.419734396</v>
      </c>
      <c r="O11" s="32"/>
      <c r="P11" s="3"/>
    </row>
    <row r="12" spans="1:17" x14ac:dyDescent="0.2">
      <c r="C12" s="50" t="s">
        <v>102</v>
      </c>
      <c r="D12" s="35"/>
      <c r="E12" s="35"/>
      <c r="F12" s="56">
        <f t="shared" si="2"/>
        <v>45959786.980126739</v>
      </c>
      <c r="G12" s="56">
        <f t="shared" si="2"/>
        <v>38314599.556996286</v>
      </c>
      <c r="H12" s="56">
        <f t="shared" si="2"/>
        <v>31426629.623848028</v>
      </c>
      <c r="I12" s="56">
        <f t="shared" si="2"/>
        <v>1078040.9318556814</v>
      </c>
      <c r="J12" s="56">
        <f t="shared" si="2"/>
        <v>1782195.5511914182</v>
      </c>
      <c r="K12" s="56">
        <f t="shared" si="2"/>
        <v>4326414.2158914004</v>
      </c>
      <c r="L12" s="56">
        <f t="shared" si="2"/>
        <v>573655.999601827</v>
      </c>
      <c r="M12" s="56">
        <f t="shared" si="2"/>
        <v>223776.49836379482</v>
      </c>
      <c r="N12" s="56">
        <f>SUM(F12:M12)</f>
        <v>123685099.35787517</v>
      </c>
      <c r="O12" s="32"/>
      <c r="P12" s="3"/>
    </row>
    <row r="13" spans="1:17" ht="13.5" customHeight="1" x14ac:dyDescent="0.2">
      <c r="C13" s="4"/>
      <c r="D13" s="4"/>
      <c r="E13" s="4"/>
      <c r="F13" s="2"/>
      <c r="G13" s="2"/>
      <c r="H13" s="2"/>
      <c r="I13" s="2"/>
      <c r="J13" s="2"/>
      <c r="K13" s="2"/>
      <c r="L13" s="2"/>
      <c r="M13" s="2"/>
    </row>
    <row r="14" spans="1:17" x14ac:dyDescent="0.2">
      <c r="A14" s="4"/>
      <c r="C14" s="28" t="s">
        <v>82</v>
      </c>
      <c r="D14" s="6"/>
      <c r="E14" s="6"/>
      <c r="F14" s="13"/>
      <c r="G14" s="13"/>
      <c r="H14" s="13"/>
      <c r="I14" s="13"/>
      <c r="J14" s="13"/>
      <c r="K14" s="13"/>
      <c r="L14" s="13"/>
      <c r="M14" s="13"/>
    </row>
    <row r="15" spans="1:17" x14ac:dyDescent="0.2">
      <c r="A15" s="4"/>
      <c r="B15" s="4"/>
      <c r="C15" s="4" t="s">
        <v>11</v>
      </c>
      <c r="D15" s="4"/>
      <c r="E15" s="4"/>
      <c r="F15" s="53">
        <v>6160048.6502917139</v>
      </c>
      <c r="G15" s="53">
        <v>3290508</v>
      </c>
      <c r="H15" s="53"/>
      <c r="I15" s="53">
        <v>80095</v>
      </c>
      <c r="J15" s="53">
        <v>105230.18364000002</v>
      </c>
      <c r="K15" s="53">
        <v>179873.09999999998</v>
      </c>
      <c r="L15" s="53">
        <v>-848.51694160177976</v>
      </c>
      <c r="M15" s="53">
        <v>78114.3</v>
      </c>
      <c r="N15" s="130">
        <f>SUM(F15:M15)</f>
        <v>9893020.7169901133</v>
      </c>
      <c r="P15" s="93"/>
    </row>
    <row r="16" spans="1:17" x14ac:dyDescent="0.2">
      <c r="A16" s="4"/>
      <c r="B16" s="4"/>
      <c r="C16" s="4" t="s">
        <v>12</v>
      </c>
      <c r="D16" s="4"/>
      <c r="E16" s="4"/>
      <c r="F16" s="53">
        <v>5108349.8327206345</v>
      </c>
      <c r="G16" s="53">
        <v>695217.15</v>
      </c>
      <c r="H16" s="53"/>
      <c r="I16" s="53">
        <v>235918</v>
      </c>
      <c r="J16" s="53">
        <v>108197.270125</v>
      </c>
      <c r="K16" s="53"/>
      <c r="L16" s="53">
        <v>2621.85</v>
      </c>
      <c r="M16" s="53">
        <v>31751.24</v>
      </c>
      <c r="N16" s="130">
        <f>SUM(F16:M16)</f>
        <v>6182055.3428456346</v>
      </c>
      <c r="P16" s="93"/>
    </row>
    <row r="17" spans="1:16" x14ac:dyDescent="0.2">
      <c r="A17" s="4"/>
      <c r="B17" s="4"/>
      <c r="C17" s="4" t="s">
        <v>13</v>
      </c>
      <c r="D17" s="4"/>
      <c r="E17" s="4"/>
      <c r="F17" s="53">
        <v>1632794.351809758</v>
      </c>
      <c r="G17" s="53"/>
      <c r="H17" s="53"/>
      <c r="I17" s="53"/>
      <c r="J17" s="53"/>
      <c r="K17" s="53"/>
      <c r="L17" s="53"/>
      <c r="M17" s="53"/>
      <c r="N17" s="130">
        <f t="shared" ref="N17:N25" si="3">SUM(F17:M17)</f>
        <v>1632794.351809758</v>
      </c>
      <c r="P17" s="93"/>
    </row>
    <row r="18" spans="1:16" x14ac:dyDescent="0.2">
      <c r="A18" s="4"/>
      <c r="B18" s="4"/>
      <c r="C18" s="4" t="s">
        <v>14</v>
      </c>
      <c r="D18" s="4"/>
      <c r="E18" s="4"/>
      <c r="F18" s="53">
        <v>56653</v>
      </c>
      <c r="G18" s="53"/>
      <c r="H18" s="53"/>
      <c r="I18" s="53"/>
      <c r="J18" s="53"/>
      <c r="K18" s="53"/>
      <c r="L18" s="53"/>
      <c r="M18" s="53"/>
      <c r="N18" s="130">
        <f t="shared" si="3"/>
        <v>56653</v>
      </c>
      <c r="P18" s="93"/>
    </row>
    <row r="19" spans="1:16" x14ac:dyDescent="0.2">
      <c r="A19" s="4"/>
      <c r="B19" s="4"/>
      <c r="C19" s="4" t="s">
        <v>15</v>
      </c>
      <c r="D19" s="4"/>
      <c r="E19" s="4"/>
      <c r="F19" s="53"/>
      <c r="G19" s="53">
        <v>672577.47</v>
      </c>
      <c r="H19" s="53"/>
      <c r="I19" s="53"/>
      <c r="J19" s="53"/>
      <c r="K19" s="53"/>
      <c r="L19" s="53"/>
      <c r="M19" s="53"/>
      <c r="N19" s="130">
        <f t="shared" si="3"/>
        <v>672577.47</v>
      </c>
      <c r="P19" s="93"/>
    </row>
    <row r="20" spans="1:16" x14ac:dyDescent="0.2">
      <c r="A20" s="4"/>
      <c r="B20" s="4"/>
      <c r="C20" s="5" t="s">
        <v>16</v>
      </c>
      <c r="D20" s="5"/>
      <c r="E20" s="5"/>
      <c r="F20" s="80"/>
      <c r="G20" s="80"/>
      <c r="H20" s="80">
        <v>5592925.0200000005</v>
      </c>
      <c r="I20" s="80"/>
      <c r="J20" s="80"/>
      <c r="K20" s="80"/>
      <c r="L20" s="80"/>
      <c r="M20" s="80"/>
      <c r="N20" s="130">
        <f t="shared" si="3"/>
        <v>5592925.0200000005</v>
      </c>
      <c r="P20" s="93"/>
    </row>
    <row r="21" spans="1:16" x14ac:dyDescent="0.2">
      <c r="A21" s="4"/>
      <c r="B21" s="4"/>
      <c r="C21" s="4" t="s">
        <v>17</v>
      </c>
      <c r="D21" s="4"/>
      <c r="E21" s="4"/>
      <c r="F21" s="53"/>
      <c r="G21" s="53"/>
      <c r="H21" s="53"/>
      <c r="I21" s="53"/>
      <c r="J21" s="53"/>
      <c r="K21" s="53"/>
      <c r="L21" s="53"/>
      <c r="M21" s="53"/>
      <c r="N21" s="130">
        <f t="shared" si="3"/>
        <v>0</v>
      </c>
      <c r="P21" s="93"/>
    </row>
    <row r="22" spans="1:16" x14ac:dyDescent="0.2">
      <c r="A22" s="4"/>
      <c r="B22" s="4"/>
      <c r="C22" s="4" t="s">
        <v>19</v>
      </c>
      <c r="D22" s="4"/>
      <c r="E22" s="4"/>
      <c r="F22" s="53"/>
      <c r="G22" s="53">
        <v>449907</v>
      </c>
      <c r="H22" s="53">
        <v>1724850.5265399546</v>
      </c>
      <c r="I22" s="53"/>
      <c r="J22" s="53"/>
      <c r="K22" s="53">
        <v>378598.98442602676</v>
      </c>
      <c r="L22" s="53">
        <v>345687.3418325918</v>
      </c>
      <c r="M22" s="53">
        <v>42433.98</v>
      </c>
      <c r="N22" s="130">
        <f t="shared" si="3"/>
        <v>2941477.8327985727</v>
      </c>
      <c r="P22" s="93"/>
    </row>
    <row r="23" spans="1:16" x14ac:dyDescent="0.2">
      <c r="A23" s="4"/>
      <c r="B23" s="4"/>
      <c r="C23" s="4" t="s">
        <v>20</v>
      </c>
      <c r="D23" s="4"/>
      <c r="E23" s="4"/>
      <c r="F23" s="53"/>
      <c r="G23" s="53">
        <v>13042</v>
      </c>
      <c r="H23" s="53"/>
      <c r="I23" s="53"/>
      <c r="J23" s="53"/>
      <c r="K23" s="53"/>
      <c r="L23" s="53"/>
      <c r="M23" s="53"/>
      <c r="N23" s="130">
        <f t="shared" si="3"/>
        <v>13042</v>
      </c>
      <c r="P23" s="93"/>
    </row>
    <row r="24" spans="1:16" x14ac:dyDescent="0.2">
      <c r="A24" s="4"/>
      <c r="B24" s="4"/>
      <c r="C24" s="6" t="s">
        <v>21</v>
      </c>
      <c r="D24" s="6"/>
      <c r="E24" s="6"/>
      <c r="F24" s="79"/>
      <c r="G24" s="79"/>
      <c r="H24" s="79"/>
      <c r="I24" s="79"/>
      <c r="J24" s="79"/>
      <c r="K24" s="79"/>
      <c r="L24" s="79"/>
      <c r="M24" s="79"/>
      <c r="N24" s="56">
        <f t="shared" si="3"/>
        <v>0</v>
      </c>
      <c r="P24" s="93"/>
    </row>
    <row r="25" spans="1:16" x14ac:dyDescent="0.2">
      <c r="A25" s="4"/>
      <c r="B25" s="4"/>
      <c r="C25" s="2" t="s">
        <v>9</v>
      </c>
      <c r="D25" s="4"/>
      <c r="E25" s="4"/>
      <c r="F25" s="55">
        <f t="shared" ref="F25:M25" si="4">SUM(F15:F24)</f>
        <v>12957845.834822107</v>
      </c>
      <c r="G25" s="55">
        <f t="shared" si="4"/>
        <v>5121251.62</v>
      </c>
      <c r="H25" s="55">
        <f t="shared" si="4"/>
        <v>7317775.5465399548</v>
      </c>
      <c r="I25" s="55">
        <f t="shared" si="4"/>
        <v>316013</v>
      </c>
      <c r="J25" s="55">
        <f t="shared" si="4"/>
        <v>213427.45376500001</v>
      </c>
      <c r="K25" s="55">
        <f t="shared" si="4"/>
        <v>558472.08442602679</v>
      </c>
      <c r="L25" s="55">
        <f t="shared" si="4"/>
        <v>347460.67489099002</v>
      </c>
      <c r="M25" s="55">
        <f t="shared" si="4"/>
        <v>152299.52000000002</v>
      </c>
      <c r="N25" s="130">
        <f t="shared" si="3"/>
        <v>26984545.734444082</v>
      </c>
    </row>
    <row r="26" spans="1:16" x14ac:dyDescent="0.2">
      <c r="A26" s="4"/>
      <c r="B26" s="4"/>
      <c r="C26" s="4"/>
      <c r="D26" s="4"/>
      <c r="E26" s="4"/>
      <c r="F26" s="12"/>
      <c r="G26" s="12"/>
      <c r="H26" s="12"/>
      <c r="I26" s="12"/>
      <c r="J26" s="12"/>
      <c r="K26" s="12"/>
      <c r="L26" s="12"/>
      <c r="M26" s="12"/>
    </row>
    <row r="27" spans="1:16" x14ac:dyDescent="0.2">
      <c r="A27" s="4"/>
      <c r="B27" s="4"/>
      <c r="C27" s="18" t="s">
        <v>89</v>
      </c>
      <c r="D27" s="133" t="s">
        <v>81</v>
      </c>
      <c r="E27" s="6"/>
      <c r="F27" s="19"/>
      <c r="G27" s="19"/>
      <c r="H27" s="19"/>
      <c r="I27" s="19"/>
      <c r="J27" s="19"/>
      <c r="K27" s="19"/>
      <c r="L27" s="19"/>
      <c r="M27" s="19"/>
    </row>
    <row r="28" spans="1:16" x14ac:dyDescent="0.2">
      <c r="A28" s="4"/>
      <c r="B28" s="4"/>
      <c r="C28" s="4" t="s">
        <v>11</v>
      </c>
      <c r="D28" s="73">
        <v>9</v>
      </c>
      <c r="E28" s="4"/>
      <c r="F28" s="55">
        <f>IF($D28&lt;&gt;"Geen",(F15/$D28)/2,0)</f>
        <v>342224.92501620634</v>
      </c>
      <c r="G28" s="55">
        <f t="shared" ref="F28:M37" si="5">IF($D28&lt;&gt;"Geen",(G15/$D28)/2,0)</f>
        <v>182806</v>
      </c>
      <c r="H28" s="55">
        <f t="shared" si="5"/>
        <v>0</v>
      </c>
      <c r="I28" s="55">
        <f t="shared" si="5"/>
        <v>4449.7222222222226</v>
      </c>
      <c r="J28" s="55">
        <f t="shared" si="5"/>
        <v>5846.121313333334</v>
      </c>
      <c r="K28" s="55">
        <f t="shared" si="5"/>
        <v>9992.9499999999989</v>
      </c>
      <c r="L28" s="55">
        <f t="shared" si="5"/>
        <v>-47.139830088987765</v>
      </c>
      <c r="M28" s="55">
        <f t="shared" si="5"/>
        <v>4339.6833333333334</v>
      </c>
      <c r="N28" s="64">
        <f t="shared" ref="N28:N38" si="6">SUM(F28:M28)</f>
        <v>549612.26205500623</v>
      </c>
      <c r="O28" s="121"/>
      <c r="P28" s="93"/>
    </row>
    <row r="29" spans="1:16" x14ac:dyDescent="0.2">
      <c r="A29" s="4"/>
      <c r="B29" s="4"/>
      <c r="C29" s="4" t="s">
        <v>12</v>
      </c>
      <c r="D29" s="73">
        <v>15</v>
      </c>
      <c r="E29" s="4"/>
      <c r="F29" s="55">
        <f t="shared" si="5"/>
        <v>170278.32775735448</v>
      </c>
      <c r="G29" s="55">
        <f t="shared" si="5"/>
        <v>23173.905000000002</v>
      </c>
      <c r="H29" s="55">
        <f t="shared" si="5"/>
        <v>0</v>
      </c>
      <c r="I29" s="55">
        <f t="shared" si="5"/>
        <v>7863.9333333333334</v>
      </c>
      <c r="J29" s="55">
        <f t="shared" si="5"/>
        <v>3606.5756708333333</v>
      </c>
      <c r="K29" s="55">
        <f t="shared" si="5"/>
        <v>0</v>
      </c>
      <c r="L29" s="55">
        <f t="shared" si="5"/>
        <v>87.394999999999996</v>
      </c>
      <c r="M29" s="55">
        <f t="shared" si="5"/>
        <v>1058.3746666666668</v>
      </c>
      <c r="N29" s="130">
        <f t="shared" si="6"/>
        <v>206068.51142818778</v>
      </c>
      <c r="O29" s="122"/>
      <c r="P29" s="93"/>
    </row>
    <row r="30" spans="1:16" x14ac:dyDescent="0.2">
      <c r="A30" s="4"/>
      <c r="B30" s="4"/>
      <c r="C30" s="4" t="s">
        <v>13</v>
      </c>
      <c r="D30" s="73">
        <v>9</v>
      </c>
      <c r="E30" s="4"/>
      <c r="F30" s="55">
        <f t="shared" si="5"/>
        <v>90710.797322764338</v>
      </c>
      <c r="G30" s="55">
        <f t="shared" si="5"/>
        <v>0</v>
      </c>
      <c r="H30" s="55">
        <f t="shared" si="5"/>
        <v>0</v>
      </c>
      <c r="I30" s="55">
        <f t="shared" si="5"/>
        <v>0</v>
      </c>
      <c r="J30" s="55">
        <f t="shared" si="5"/>
        <v>0</v>
      </c>
      <c r="K30" s="55">
        <f t="shared" si="5"/>
        <v>0</v>
      </c>
      <c r="L30" s="55">
        <f t="shared" si="5"/>
        <v>0</v>
      </c>
      <c r="M30" s="55">
        <f t="shared" si="5"/>
        <v>0</v>
      </c>
      <c r="N30" s="130">
        <f t="shared" si="6"/>
        <v>90710.797322764338</v>
      </c>
      <c r="P30" s="93"/>
    </row>
    <row r="31" spans="1:16" x14ac:dyDescent="0.2">
      <c r="A31" s="4"/>
      <c r="B31" s="4"/>
      <c r="C31" s="4" t="s">
        <v>14</v>
      </c>
      <c r="D31" s="73">
        <v>15</v>
      </c>
      <c r="E31" s="4"/>
      <c r="F31" s="55">
        <f t="shared" si="5"/>
        <v>1888.4333333333334</v>
      </c>
      <c r="G31" s="55">
        <f t="shared" si="5"/>
        <v>0</v>
      </c>
      <c r="H31" s="55">
        <f t="shared" si="5"/>
        <v>0</v>
      </c>
      <c r="I31" s="55">
        <f t="shared" si="5"/>
        <v>0</v>
      </c>
      <c r="J31" s="55">
        <f t="shared" si="5"/>
        <v>0</v>
      </c>
      <c r="K31" s="55">
        <f t="shared" si="5"/>
        <v>0</v>
      </c>
      <c r="L31" s="55">
        <f t="shared" si="5"/>
        <v>0</v>
      </c>
      <c r="M31" s="55">
        <f t="shared" si="5"/>
        <v>0</v>
      </c>
      <c r="N31" s="130">
        <f t="shared" si="6"/>
        <v>1888.4333333333334</v>
      </c>
      <c r="P31" s="93"/>
    </row>
    <row r="32" spans="1:16" x14ac:dyDescent="0.2">
      <c r="A32" s="4"/>
      <c r="B32" s="4"/>
      <c r="C32" s="4" t="s">
        <v>15</v>
      </c>
      <c r="D32" s="73">
        <v>10</v>
      </c>
      <c r="E32" s="4"/>
      <c r="F32" s="55">
        <f t="shared" si="5"/>
        <v>0</v>
      </c>
      <c r="G32" s="55">
        <f t="shared" si="5"/>
        <v>33628.873500000002</v>
      </c>
      <c r="H32" s="55">
        <f t="shared" si="5"/>
        <v>0</v>
      </c>
      <c r="I32" s="55">
        <f t="shared" si="5"/>
        <v>0</v>
      </c>
      <c r="J32" s="55">
        <f t="shared" si="5"/>
        <v>0</v>
      </c>
      <c r="K32" s="55">
        <f t="shared" si="5"/>
        <v>0</v>
      </c>
      <c r="L32" s="55">
        <f t="shared" si="5"/>
        <v>0</v>
      </c>
      <c r="M32" s="55">
        <f t="shared" si="5"/>
        <v>0</v>
      </c>
      <c r="N32" s="130">
        <f t="shared" si="6"/>
        <v>33628.873500000002</v>
      </c>
      <c r="P32" s="93"/>
    </row>
    <row r="33" spans="1:16" x14ac:dyDescent="0.2">
      <c r="A33" s="4"/>
      <c r="B33" s="4"/>
      <c r="C33" s="5" t="s">
        <v>16</v>
      </c>
      <c r="D33" s="90">
        <v>15</v>
      </c>
      <c r="E33" s="5"/>
      <c r="F33" s="63">
        <f t="shared" si="5"/>
        <v>0</v>
      </c>
      <c r="G33" s="63">
        <f t="shared" si="5"/>
        <v>0</v>
      </c>
      <c r="H33" s="63">
        <f t="shared" si="5"/>
        <v>186430.834</v>
      </c>
      <c r="I33" s="63">
        <f t="shared" si="5"/>
        <v>0</v>
      </c>
      <c r="J33" s="63">
        <f t="shared" si="5"/>
        <v>0</v>
      </c>
      <c r="K33" s="63">
        <f t="shared" si="5"/>
        <v>0</v>
      </c>
      <c r="L33" s="63">
        <f t="shared" si="5"/>
        <v>0</v>
      </c>
      <c r="M33" s="63">
        <f t="shared" si="5"/>
        <v>0</v>
      </c>
      <c r="N33" s="63">
        <f t="shared" si="6"/>
        <v>186430.834</v>
      </c>
      <c r="P33" s="93"/>
    </row>
    <row r="34" spans="1:16" x14ac:dyDescent="0.2">
      <c r="A34" s="4"/>
      <c r="B34" s="4"/>
      <c r="C34" s="4" t="s">
        <v>17</v>
      </c>
      <c r="D34" s="78" t="s">
        <v>18</v>
      </c>
      <c r="E34" s="4"/>
      <c r="F34" s="55">
        <f t="shared" si="5"/>
        <v>0</v>
      </c>
      <c r="G34" s="55">
        <f t="shared" si="5"/>
        <v>0</v>
      </c>
      <c r="H34" s="55">
        <f t="shared" si="5"/>
        <v>0</v>
      </c>
      <c r="I34" s="55">
        <f t="shared" si="5"/>
        <v>0</v>
      </c>
      <c r="J34" s="55">
        <f t="shared" si="5"/>
        <v>0</v>
      </c>
      <c r="K34" s="55">
        <f t="shared" si="5"/>
        <v>0</v>
      </c>
      <c r="L34" s="55">
        <f t="shared" si="5"/>
        <v>0</v>
      </c>
      <c r="M34" s="55">
        <f t="shared" si="5"/>
        <v>0</v>
      </c>
      <c r="N34" s="130">
        <f t="shared" si="6"/>
        <v>0</v>
      </c>
      <c r="O34" s="122"/>
      <c r="P34" s="93"/>
    </row>
    <row r="35" spans="1:16" x14ac:dyDescent="0.2">
      <c r="A35" s="4"/>
      <c r="B35" s="4"/>
      <c r="C35" s="4" t="s">
        <v>19</v>
      </c>
      <c r="D35" s="78">
        <v>5</v>
      </c>
      <c r="E35" s="4"/>
      <c r="F35" s="55">
        <f t="shared" si="5"/>
        <v>0</v>
      </c>
      <c r="G35" s="55">
        <f t="shared" si="5"/>
        <v>44990.7</v>
      </c>
      <c r="H35" s="55">
        <f t="shared" si="5"/>
        <v>172485.05265399546</v>
      </c>
      <c r="I35" s="55">
        <f t="shared" si="5"/>
        <v>0</v>
      </c>
      <c r="J35" s="55">
        <f t="shared" si="5"/>
        <v>0</v>
      </c>
      <c r="K35" s="55">
        <f t="shared" si="5"/>
        <v>37859.898442602673</v>
      </c>
      <c r="L35" s="55">
        <f t="shared" si="5"/>
        <v>34568.734183259177</v>
      </c>
      <c r="M35" s="55">
        <f t="shared" si="5"/>
        <v>4243.3980000000001</v>
      </c>
      <c r="N35" s="130">
        <f t="shared" si="6"/>
        <v>294147.78327985731</v>
      </c>
      <c r="P35" s="93"/>
    </row>
    <row r="36" spans="1:16" x14ac:dyDescent="0.2">
      <c r="A36" s="4"/>
      <c r="B36" s="4"/>
      <c r="C36" s="4" t="s">
        <v>20</v>
      </c>
      <c r="D36" s="78">
        <v>10</v>
      </c>
      <c r="E36" s="4"/>
      <c r="F36" s="55">
        <f t="shared" si="5"/>
        <v>0</v>
      </c>
      <c r="G36" s="55">
        <f t="shared" si="5"/>
        <v>652.1</v>
      </c>
      <c r="H36" s="55">
        <f t="shared" si="5"/>
        <v>0</v>
      </c>
      <c r="I36" s="55">
        <f t="shared" si="5"/>
        <v>0</v>
      </c>
      <c r="J36" s="55">
        <f t="shared" si="5"/>
        <v>0</v>
      </c>
      <c r="K36" s="55">
        <f t="shared" si="5"/>
        <v>0</v>
      </c>
      <c r="L36" s="55">
        <f t="shared" si="5"/>
        <v>0</v>
      </c>
      <c r="M36" s="55">
        <f t="shared" si="5"/>
        <v>0</v>
      </c>
      <c r="N36" s="130">
        <f t="shared" si="6"/>
        <v>652.1</v>
      </c>
      <c r="P36" s="93"/>
    </row>
    <row r="37" spans="1:16" x14ac:dyDescent="0.2">
      <c r="A37" s="4"/>
      <c r="B37" s="4"/>
      <c r="C37" s="6" t="s">
        <v>21</v>
      </c>
      <c r="D37" s="91">
        <v>30</v>
      </c>
      <c r="E37" s="6"/>
      <c r="F37" s="56">
        <f t="shared" si="5"/>
        <v>0</v>
      </c>
      <c r="G37" s="56">
        <f t="shared" si="5"/>
        <v>0</v>
      </c>
      <c r="H37" s="56">
        <f t="shared" si="5"/>
        <v>0</v>
      </c>
      <c r="I37" s="56">
        <f t="shared" si="5"/>
        <v>0</v>
      </c>
      <c r="J37" s="56">
        <f t="shared" si="5"/>
        <v>0</v>
      </c>
      <c r="K37" s="56">
        <f t="shared" si="5"/>
        <v>0</v>
      </c>
      <c r="L37" s="56">
        <f t="shared" si="5"/>
        <v>0</v>
      </c>
      <c r="M37" s="56">
        <f t="shared" si="5"/>
        <v>0</v>
      </c>
      <c r="N37" s="56">
        <f t="shared" si="6"/>
        <v>0</v>
      </c>
      <c r="P37" s="93"/>
    </row>
    <row r="38" spans="1:16" x14ac:dyDescent="0.2">
      <c r="C38" s="2" t="s">
        <v>31</v>
      </c>
      <c r="D38" s="4"/>
      <c r="E38" s="4"/>
      <c r="F38" s="55">
        <f>SUM(F28:F37)</f>
        <v>605102.48342965846</v>
      </c>
      <c r="G38" s="55">
        <f t="shared" ref="G38:M38" si="7">SUM(G28:G37)</f>
        <v>285251.5785</v>
      </c>
      <c r="H38" s="55">
        <f>SUM(H28:H37)</f>
        <v>358915.88665399549</v>
      </c>
      <c r="I38" s="55">
        <f t="shared" si="7"/>
        <v>12313.655555555557</v>
      </c>
      <c r="J38" s="55">
        <f t="shared" si="7"/>
        <v>9452.6969841666669</v>
      </c>
      <c r="K38" s="55">
        <f t="shared" si="7"/>
        <v>47852.84844260267</v>
      </c>
      <c r="L38" s="55">
        <f t="shared" si="7"/>
        <v>34608.989353170189</v>
      </c>
      <c r="M38" s="55">
        <f t="shared" si="7"/>
        <v>9641.4560000000001</v>
      </c>
      <c r="N38" s="130">
        <f t="shared" si="6"/>
        <v>1363139.5949191493</v>
      </c>
    </row>
    <row r="39" spans="1:16" x14ac:dyDescent="0.2">
      <c r="C39" s="4"/>
      <c r="D39" s="4"/>
      <c r="E39" s="4"/>
      <c r="F39" s="8"/>
      <c r="G39" s="8"/>
      <c r="H39" s="8"/>
      <c r="I39" s="8"/>
      <c r="J39" s="8"/>
      <c r="K39" s="8"/>
      <c r="L39" s="8"/>
      <c r="M39" s="8"/>
    </row>
    <row r="40" spans="1:16" x14ac:dyDescent="0.2">
      <c r="C40" s="18" t="s">
        <v>90</v>
      </c>
      <c r="D40" s="20"/>
      <c r="E40" s="20"/>
      <c r="F40" s="19"/>
      <c r="G40" s="19"/>
      <c r="H40" s="19"/>
      <c r="I40" s="19"/>
      <c r="J40" s="19"/>
      <c r="K40" s="19"/>
      <c r="L40" s="19"/>
      <c r="M40" s="19"/>
    </row>
    <row r="41" spans="1:16" x14ac:dyDescent="0.2">
      <c r="C41" s="4" t="s">
        <v>11</v>
      </c>
      <c r="D41" s="21"/>
      <c r="E41" s="21"/>
      <c r="F41" s="55">
        <f t="shared" ref="F41:M50" si="8">F15-F28</f>
        <v>5817823.7252755072</v>
      </c>
      <c r="G41" s="55">
        <f t="shared" si="8"/>
        <v>3107702</v>
      </c>
      <c r="H41" s="55">
        <f t="shared" si="8"/>
        <v>0</v>
      </c>
      <c r="I41" s="55">
        <f t="shared" si="8"/>
        <v>75645.277777777781</v>
      </c>
      <c r="J41" s="55">
        <f t="shared" si="8"/>
        <v>99384.062326666681</v>
      </c>
      <c r="K41" s="55">
        <f t="shared" si="8"/>
        <v>169880.14999999997</v>
      </c>
      <c r="L41" s="55">
        <f t="shared" si="8"/>
        <v>-801.377111512792</v>
      </c>
      <c r="M41" s="55">
        <f t="shared" si="8"/>
        <v>73774.616666666669</v>
      </c>
      <c r="N41" s="64">
        <f t="shared" ref="N41:N51" si="9">SUM(F41:M41)</f>
        <v>9343408.4549351055</v>
      </c>
    </row>
    <row r="42" spans="1:16" x14ac:dyDescent="0.2">
      <c r="C42" s="4" t="s">
        <v>12</v>
      </c>
      <c r="D42" s="21"/>
      <c r="E42" s="21"/>
      <c r="F42" s="55">
        <f t="shared" si="8"/>
        <v>4938071.5049632797</v>
      </c>
      <c r="G42" s="55">
        <f t="shared" si="8"/>
        <v>672043.245</v>
      </c>
      <c r="H42" s="55">
        <f t="shared" si="8"/>
        <v>0</v>
      </c>
      <c r="I42" s="55">
        <f t="shared" si="8"/>
        <v>228054.06666666668</v>
      </c>
      <c r="J42" s="55">
        <f t="shared" si="8"/>
        <v>104590.69445416666</v>
      </c>
      <c r="K42" s="55">
        <f t="shared" si="8"/>
        <v>0</v>
      </c>
      <c r="L42" s="55">
        <f t="shared" si="8"/>
        <v>2534.4549999999999</v>
      </c>
      <c r="M42" s="55">
        <f t="shared" si="8"/>
        <v>30692.865333333335</v>
      </c>
      <c r="N42" s="130">
        <f t="shared" si="9"/>
        <v>5975986.831417447</v>
      </c>
    </row>
    <row r="43" spans="1:16" x14ac:dyDescent="0.2">
      <c r="C43" s="4" t="s">
        <v>13</v>
      </c>
      <c r="D43" s="21"/>
      <c r="E43" s="21"/>
      <c r="F43" s="55">
        <f t="shared" si="8"/>
        <v>1542083.5544869937</v>
      </c>
      <c r="G43" s="55">
        <f t="shared" si="8"/>
        <v>0</v>
      </c>
      <c r="H43" s="55">
        <f t="shared" si="8"/>
        <v>0</v>
      </c>
      <c r="I43" s="55">
        <f t="shared" si="8"/>
        <v>0</v>
      </c>
      <c r="J43" s="55">
        <f t="shared" si="8"/>
        <v>0</v>
      </c>
      <c r="K43" s="55">
        <f t="shared" si="8"/>
        <v>0</v>
      </c>
      <c r="L43" s="55">
        <f t="shared" si="8"/>
        <v>0</v>
      </c>
      <c r="M43" s="55">
        <f t="shared" si="8"/>
        <v>0</v>
      </c>
      <c r="N43" s="130">
        <f t="shared" si="9"/>
        <v>1542083.5544869937</v>
      </c>
    </row>
    <row r="44" spans="1:16" x14ac:dyDescent="0.2">
      <c r="C44" s="4" t="s">
        <v>14</v>
      </c>
      <c r="D44" s="21"/>
      <c r="E44" s="21"/>
      <c r="F44" s="55">
        <f t="shared" si="8"/>
        <v>54764.566666666666</v>
      </c>
      <c r="G44" s="55">
        <f t="shared" si="8"/>
        <v>0</v>
      </c>
      <c r="H44" s="55">
        <f t="shared" si="8"/>
        <v>0</v>
      </c>
      <c r="I44" s="55">
        <f t="shared" si="8"/>
        <v>0</v>
      </c>
      <c r="J44" s="55">
        <f t="shared" si="8"/>
        <v>0</v>
      </c>
      <c r="K44" s="55">
        <f t="shared" si="8"/>
        <v>0</v>
      </c>
      <c r="L44" s="55">
        <f t="shared" si="8"/>
        <v>0</v>
      </c>
      <c r="M44" s="55">
        <f t="shared" si="8"/>
        <v>0</v>
      </c>
      <c r="N44" s="130">
        <f t="shared" si="9"/>
        <v>54764.566666666666</v>
      </c>
    </row>
    <row r="45" spans="1:16" x14ac:dyDescent="0.2">
      <c r="C45" s="4" t="s">
        <v>15</v>
      </c>
      <c r="D45" s="21"/>
      <c r="E45" s="21"/>
      <c r="F45" s="55">
        <f t="shared" si="8"/>
        <v>0</v>
      </c>
      <c r="G45" s="55">
        <f t="shared" si="8"/>
        <v>638948.59649999999</v>
      </c>
      <c r="H45" s="55">
        <f t="shared" si="8"/>
        <v>0</v>
      </c>
      <c r="I45" s="55">
        <f t="shared" si="8"/>
        <v>0</v>
      </c>
      <c r="J45" s="55">
        <f t="shared" si="8"/>
        <v>0</v>
      </c>
      <c r="K45" s="55">
        <f t="shared" si="8"/>
        <v>0</v>
      </c>
      <c r="L45" s="55">
        <f t="shared" si="8"/>
        <v>0</v>
      </c>
      <c r="M45" s="55">
        <f t="shared" si="8"/>
        <v>0</v>
      </c>
      <c r="N45" s="130">
        <f t="shared" si="9"/>
        <v>638948.59649999999</v>
      </c>
    </row>
    <row r="46" spans="1:16" x14ac:dyDescent="0.2">
      <c r="C46" s="5" t="s">
        <v>16</v>
      </c>
      <c r="D46" s="22"/>
      <c r="E46" s="22"/>
      <c r="F46" s="63">
        <f t="shared" si="8"/>
        <v>0</v>
      </c>
      <c r="G46" s="63">
        <f t="shared" si="8"/>
        <v>0</v>
      </c>
      <c r="H46" s="63">
        <f t="shared" si="8"/>
        <v>5406494.1860000007</v>
      </c>
      <c r="I46" s="63">
        <f t="shared" si="8"/>
        <v>0</v>
      </c>
      <c r="J46" s="63">
        <f t="shared" si="8"/>
        <v>0</v>
      </c>
      <c r="K46" s="63">
        <f t="shared" si="8"/>
        <v>0</v>
      </c>
      <c r="L46" s="63">
        <f t="shared" si="8"/>
        <v>0</v>
      </c>
      <c r="M46" s="63">
        <f t="shared" si="8"/>
        <v>0</v>
      </c>
      <c r="N46" s="63">
        <f t="shared" si="9"/>
        <v>5406494.1860000007</v>
      </c>
    </row>
    <row r="47" spans="1:16" x14ac:dyDescent="0.2">
      <c r="C47" s="4" t="s">
        <v>17</v>
      </c>
      <c r="D47" s="21"/>
      <c r="E47" s="21"/>
      <c r="F47" s="55">
        <f t="shared" si="8"/>
        <v>0</v>
      </c>
      <c r="G47" s="55">
        <f t="shared" si="8"/>
        <v>0</v>
      </c>
      <c r="H47" s="55">
        <f t="shared" si="8"/>
        <v>0</v>
      </c>
      <c r="I47" s="55">
        <f t="shared" si="8"/>
        <v>0</v>
      </c>
      <c r="J47" s="55">
        <f t="shared" si="8"/>
        <v>0</v>
      </c>
      <c r="K47" s="55">
        <f t="shared" si="8"/>
        <v>0</v>
      </c>
      <c r="L47" s="55">
        <f t="shared" si="8"/>
        <v>0</v>
      </c>
      <c r="M47" s="55">
        <f t="shared" si="8"/>
        <v>0</v>
      </c>
      <c r="N47" s="130">
        <f t="shared" si="9"/>
        <v>0</v>
      </c>
    </row>
    <row r="48" spans="1:16" x14ac:dyDescent="0.2">
      <c r="C48" s="4" t="s">
        <v>19</v>
      </c>
      <c r="D48" s="21"/>
      <c r="E48" s="21"/>
      <c r="F48" s="55">
        <f t="shared" si="8"/>
        <v>0</v>
      </c>
      <c r="G48" s="55">
        <f t="shared" si="8"/>
        <v>404916.3</v>
      </c>
      <c r="H48" s="55">
        <f t="shared" si="8"/>
        <v>1552365.473885959</v>
      </c>
      <c r="I48" s="55">
        <f t="shared" si="8"/>
        <v>0</v>
      </c>
      <c r="J48" s="55">
        <f t="shared" si="8"/>
        <v>0</v>
      </c>
      <c r="K48" s="55">
        <f t="shared" si="8"/>
        <v>340739.0859834241</v>
      </c>
      <c r="L48" s="55">
        <f t="shared" si="8"/>
        <v>311118.60764933261</v>
      </c>
      <c r="M48" s="55">
        <f t="shared" si="8"/>
        <v>38190.582000000002</v>
      </c>
      <c r="N48" s="130">
        <f t="shared" si="9"/>
        <v>2647330.0495187161</v>
      </c>
    </row>
    <row r="49" spans="3:16" x14ac:dyDescent="0.2">
      <c r="C49" s="4" t="s">
        <v>20</v>
      </c>
      <c r="D49" s="21"/>
      <c r="E49" s="21"/>
      <c r="F49" s="55">
        <f t="shared" si="8"/>
        <v>0</v>
      </c>
      <c r="G49" s="55">
        <f t="shared" si="8"/>
        <v>12389.9</v>
      </c>
      <c r="H49" s="55">
        <f t="shared" si="8"/>
        <v>0</v>
      </c>
      <c r="I49" s="55">
        <f t="shared" si="8"/>
        <v>0</v>
      </c>
      <c r="J49" s="55">
        <f t="shared" si="8"/>
        <v>0</v>
      </c>
      <c r="K49" s="55">
        <f t="shared" si="8"/>
        <v>0</v>
      </c>
      <c r="L49" s="55">
        <f t="shared" si="8"/>
        <v>0</v>
      </c>
      <c r="M49" s="55">
        <f t="shared" si="8"/>
        <v>0</v>
      </c>
      <c r="N49" s="130">
        <f t="shared" si="9"/>
        <v>12389.9</v>
      </c>
    </row>
    <row r="50" spans="3:16" x14ac:dyDescent="0.2">
      <c r="C50" s="6" t="s">
        <v>21</v>
      </c>
      <c r="D50" s="23"/>
      <c r="E50" s="23"/>
      <c r="F50" s="56">
        <f t="shared" si="8"/>
        <v>0</v>
      </c>
      <c r="G50" s="56">
        <f t="shared" si="8"/>
        <v>0</v>
      </c>
      <c r="H50" s="56">
        <f t="shared" si="8"/>
        <v>0</v>
      </c>
      <c r="I50" s="56">
        <f t="shared" si="8"/>
        <v>0</v>
      </c>
      <c r="J50" s="56">
        <f t="shared" si="8"/>
        <v>0</v>
      </c>
      <c r="K50" s="56">
        <f t="shared" si="8"/>
        <v>0</v>
      </c>
      <c r="L50" s="56">
        <f t="shared" si="8"/>
        <v>0</v>
      </c>
      <c r="M50" s="56">
        <f t="shared" si="8"/>
        <v>0</v>
      </c>
      <c r="N50" s="56">
        <f t="shared" si="9"/>
        <v>0</v>
      </c>
    </row>
    <row r="51" spans="3:16" x14ac:dyDescent="0.2">
      <c r="C51" s="7" t="s">
        <v>24</v>
      </c>
      <c r="D51" s="29"/>
      <c r="E51" s="29"/>
      <c r="F51" s="55">
        <f>SUM(F41:F50)</f>
        <v>12352743.351392448</v>
      </c>
      <c r="G51" s="55">
        <f t="shared" ref="G51:M51" si="10">SUM(G41:G50)</f>
        <v>4836000.0415000003</v>
      </c>
      <c r="H51" s="55">
        <f>SUM(H41:H50)</f>
        <v>6958859.6598859597</v>
      </c>
      <c r="I51" s="55">
        <f t="shared" si="10"/>
        <v>303699.34444444446</v>
      </c>
      <c r="J51" s="55">
        <f t="shared" si="10"/>
        <v>203974.75678083336</v>
      </c>
      <c r="K51" s="55">
        <f t="shared" si="10"/>
        <v>510619.23598342406</v>
      </c>
      <c r="L51" s="55">
        <f t="shared" si="10"/>
        <v>312851.68553781981</v>
      </c>
      <c r="M51" s="55">
        <f t="shared" si="10"/>
        <v>142658.06400000001</v>
      </c>
      <c r="N51" s="130">
        <f t="shared" si="9"/>
        <v>25621406.139524929</v>
      </c>
    </row>
    <row r="52" spans="3:16" x14ac:dyDescent="0.2">
      <c r="C52" s="4"/>
      <c r="D52" s="4"/>
      <c r="E52" s="4"/>
      <c r="F52" s="8"/>
      <c r="G52" s="8"/>
      <c r="H52" s="8"/>
      <c r="I52" s="8"/>
      <c r="J52" s="8"/>
      <c r="K52" s="8"/>
      <c r="L52" s="8"/>
      <c r="M52" s="8"/>
    </row>
    <row r="53" spans="3:16" x14ac:dyDescent="0.2">
      <c r="C53" s="18" t="s">
        <v>29</v>
      </c>
      <c r="D53" s="6"/>
      <c r="E53" s="6"/>
      <c r="F53" s="6"/>
      <c r="G53" s="6"/>
      <c r="H53" s="6"/>
      <c r="I53" s="6"/>
      <c r="J53" s="6"/>
      <c r="K53" s="6"/>
      <c r="L53" s="6"/>
      <c r="M53" s="6"/>
    </row>
    <row r="54" spans="3:16" x14ac:dyDescent="0.2">
      <c r="C54" s="30" t="s">
        <v>102</v>
      </c>
      <c r="D54" s="4"/>
      <c r="E54" s="4"/>
      <c r="F54" s="67">
        <f t="shared" ref="F54:M54" si="11">F12</f>
        <v>45959786.980126739</v>
      </c>
      <c r="G54" s="67">
        <f t="shared" si="11"/>
        <v>38314599.556996286</v>
      </c>
      <c r="H54" s="67">
        <f t="shared" si="11"/>
        <v>31426629.623848028</v>
      </c>
      <c r="I54" s="67">
        <f t="shared" si="11"/>
        <v>1078040.9318556814</v>
      </c>
      <c r="J54" s="67">
        <f t="shared" si="11"/>
        <v>1782195.5511914182</v>
      </c>
      <c r="K54" s="67">
        <f t="shared" si="11"/>
        <v>4326414.2158914004</v>
      </c>
      <c r="L54" s="67">
        <f t="shared" si="11"/>
        <v>573655.999601827</v>
      </c>
      <c r="M54" s="67">
        <f t="shared" si="11"/>
        <v>223776.49836379482</v>
      </c>
      <c r="N54" s="64">
        <f t="shared" ref="N54:N57" si="12">SUM(F54:M54)</f>
        <v>123685099.35787517</v>
      </c>
      <c r="O54" s="32"/>
      <c r="P54" s="3"/>
    </row>
    <row r="55" spans="3:16" x14ac:dyDescent="0.2">
      <c r="C55" s="4" t="s">
        <v>24</v>
      </c>
      <c r="D55" s="4"/>
      <c r="E55" s="4"/>
      <c r="F55" s="67">
        <f t="shared" ref="F55:M55" si="13">F51</f>
        <v>12352743.351392448</v>
      </c>
      <c r="G55" s="67">
        <f t="shared" si="13"/>
        <v>4836000.0415000003</v>
      </c>
      <c r="H55" s="67">
        <f t="shared" si="13"/>
        <v>6958859.6598859597</v>
      </c>
      <c r="I55" s="67">
        <f t="shared" si="13"/>
        <v>303699.34444444446</v>
      </c>
      <c r="J55" s="67">
        <f t="shared" si="13"/>
        <v>203974.75678083336</v>
      </c>
      <c r="K55" s="67">
        <f t="shared" si="13"/>
        <v>510619.23598342406</v>
      </c>
      <c r="L55" s="67">
        <f t="shared" si="13"/>
        <v>312851.68553781981</v>
      </c>
      <c r="M55" s="67">
        <f t="shared" si="13"/>
        <v>142658.06400000001</v>
      </c>
      <c r="N55" s="130">
        <f t="shared" si="12"/>
        <v>25621406.139524929</v>
      </c>
      <c r="O55" s="32"/>
      <c r="P55" s="3"/>
    </row>
    <row r="56" spans="3:16" x14ac:dyDescent="0.2">
      <c r="C56" s="34" t="s">
        <v>32</v>
      </c>
      <c r="D56" s="136" t="s">
        <v>22</v>
      </c>
      <c r="E56" s="6"/>
      <c r="F56" s="58">
        <f>F54+F55</f>
        <v>58312530.331519186</v>
      </c>
      <c r="G56" s="58">
        <f t="shared" ref="G56:M56" si="14">G54+G55</f>
        <v>43150599.598496288</v>
      </c>
      <c r="H56" s="58">
        <f t="shared" si="14"/>
        <v>38385489.283733986</v>
      </c>
      <c r="I56" s="58">
        <f t="shared" si="14"/>
        <v>1381740.2763001258</v>
      </c>
      <c r="J56" s="58">
        <f t="shared" si="14"/>
        <v>1986170.3079722514</v>
      </c>
      <c r="K56" s="58">
        <f t="shared" si="14"/>
        <v>4837033.4518748242</v>
      </c>
      <c r="L56" s="58">
        <f t="shared" si="14"/>
        <v>886507.68513964675</v>
      </c>
      <c r="M56" s="58">
        <f t="shared" si="14"/>
        <v>366434.56236379483</v>
      </c>
      <c r="N56" s="56">
        <f t="shared" si="12"/>
        <v>149306505.49740013</v>
      </c>
      <c r="O56" s="32"/>
      <c r="P56" s="3"/>
    </row>
    <row r="57" spans="3:16" x14ac:dyDescent="0.2">
      <c r="C57" s="7" t="s">
        <v>33</v>
      </c>
      <c r="D57" s="77">
        <v>5.3999999999999999E-2</v>
      </c>
      <c r="E57" s="29"/>
      <c r="F57" s="64">
        <f t="shared" ref="F57:M57" si="15">F56*$D$57</f>
        <v>3148876.6379020358</v>
      </c>
      <c r="G57" s="64">
        <f t="shared" si="15"/>
        <v>2330132.3783187997</v>
      </c>
      <c r="H57" s="64">
        <f t="shared" si="15"/>
        <v>2072816.4213216351</v>
      </c>
      <c r="I57" s="64">
        <f t="shared" si="15"/>
        <v>74613.974920206791</v>
      </c>
      <c r="J57" s="64">
        <f t="shared" si="15"/>
        <v>107253.19663050158</v>
      </c>
      <c r="K57" s="64">
        <f t="shared" si="15"/>
        <v>261199.80640124049</v>
      </c>
      <c r="L57" s="64">
        <f t="shared" si="15"/>
        <v>47871.414997540924</v>
      </c>
      <c r="M57" s="64">
        <f t="shared" si="15"/>
        <v>19787.46636764492</v>
      </c>
      <c r="N57" s="130">
        <f t="shared" si="12"/>
        <v>8062551.2968596062</v>
      </c>
      <c r="O57" s="123"/>
      <c r="P57" s="106"/>
    </row>
    <row r="58" spans="3:16" s="17" customFormat="1" x14ac:dyDescent="0.2">
      <c r="C58" s="25"/>
      <c r="D58" s="25"/>
      <c r="E58" s="25"/>
      <c r="F58" s="31"/>
      <c r="G58" s="31"/>
      <c r="H58" s="31"/>
      <c r="I58" s="31"/>
      <c r="J58" s="31"/>
      <c r="K58" s="31"/>
      <c r="L58" s="31"/>
      <c r="M58" s="31"/>
      <c r="N58" s="32"/>
      <c r="O58" s="32"/>
      <c r="P58" s="32"/>
    </row>
    <row r="59" spans="3:16" s="17" customFormat="1" x14ac:dyDescent="0.2">
      <c r="C59" s="37" t="s">
        <v>26</v>
      </c>
      <c r="D59" s="35"/>
      <c r="E59" s="35"/>
      <c r="F59" s="36"/>
      <c r="G59" s="36"/>
      <c r="H59" s="36"/>
      <c r="I59" s="36"/>
      <c r="J59" s="36"/>
      <c r="K59" s="36"/>
      <c r="L59" s="36"/>
      <c r="M59" s="36"/>
      <c r="N59" s="32"/>
      <c r="O59" s="32"/>
      <c r="P59" s="32"/>
    </row>
    <row r="60" spans="3:16" s="17" customFormat="1" x14ac:dyDescent="0.2">
      <c r="C60" s="33" t="s">
        <v>33</v>
      </c>
      <c r="D60" s="25"/>
      <c r="E60" s="25"/>
      <c r="F60" s="67">
        <f>F57</f>
        <v>3148876.6379020358</v>
      </c>
      <c r="G60" s="67">
        <f t="shared" ref="G60:M60" si="16">G57</f>
        <v>2330132.3783187997</v>
      </c>
      <c r="H60" s="67">
        <f t="shared" si="16"/>
        <v>2072816.4213216351</v>
      </c>
      <c r="I60" s="67">
        <f t="shared" si="16"/>
        <v>74613.974920206791</v>
      </c>
      <c r="J60" s="67">
        <f t="shared" si="16"/>
        <v>107253.19663050158</v>
      </c>
      <c r="K60" s="67">
        <f t="shared" si="16"/>
        <v>261199.80640124049</v>
      </c>
      <c r="L60" s="67">
        <f t="shared" si="16"/>
        <v>47871.414997540924</v>
      </c>
      <c r="M60" s="67">
        <f t="shared" si="16"/>
        <v>19787.46636764492</v>
      </c>
      <c r="N60" s="64">
        <f t="shared" ref="N60:N63" si="17">SUM(F60:M60)</f>
        <v>8062551.2968596062</v>
      </c>
      <c r="O60" s="32"/>
      <c r="P60" s="32"/>
    </row>
    <row r="61" spans="3:16" x14ac:dyDescent="0.2">
      <c r="C61" s="30" t="s">
        <v>103</v>
      </c>
      <c r="D61" s="4"/>
      <c r="E61" s="4"/>
      <c r="F61" s="67">
        <f t="shared" ref="F61:M61" si="18">F11</f>
        <v>5744973.3725158423</v>
      </c>
      <c r="G61" s="67">
        <f t="shared" si="18"/>
        <v>4789324.9446245357</v>
      </c>
      <c r="H61" s="67">
        <f t="shared" si="18"/>
        <v>3928328.7029810036</v>
      </c>
      <c r="I61" s="67">
        <f t="shared" si="18"/>
        <v>134755.11648196017</v>
      </c>
      <c r="J61" s="67">
        <f t="shared" si="18"/>
        <v>222774.44389892727</v>
      </c>
      <c r="K61" s="67">
        <f t="shared" si="18"/>
        <v>540801.77698642504</v>
      </c>
      <c r="L61" s="67">
        <f t="shared" si="18"/>
        <v>71706.999950228375</v>
      </c>
      <c r="M61" s="67">
        <f t="shared" si="18"/>
        <v>27972.062295474352</v>
      </c>
      <c r="N61" s="130">
        <f t="shared" si="17"/>
        <v>15460637.419734396</v>
      </c>
      <c r="O61" s="21"/>
      <c r="P61" s="3"/>
    </row>
    <row r="62" spans="3:16" x14ac:dyDescent="0.2">
      <c r="C62" s="6" t="s">
        <v>31</v>
      </c>
      <c r="D62" s="6"/>
      <c r="E62" s="6"/>
      <c r="F62" s="70">
        <f t="shared" ref="F62:M62" si="19">F38</f>
        <v>605102.48342965846</v>
      </c>
      <c r="G62" s="70">
        <f t="shared" si="19"/>
        <v>285251.5785</v>
      </c>
      <c r="H62" s="70">
        <f t="shared" si="19"/>
        <v>358915.88665399549</v>
      </c>
      <c r="I62" s="70">
        <f t="shared" si="19"/>
        <v>12313.655555555557</v>
      </c>
      <c r="J62" s="70">
        <f t="shared" si="19"/>
        <v>9452.6969841666669</v>
      </c>
      <c r="K62" s="70">
        <f t="shared" si="19"/>
        <v>47852.84844260267</v>
      </c>
      <c r="L62" s="70">
        <f t="shared" si="19"/>
        <v>34608.989353170189</v>
      </c>
      <c r="M62" s="70">
        <f t="shared" si="19"/>
        <v>9641.4560000000001</v>
      </c>
      <c r="N62" s="56">
        <f t="shared" si="17"/>
        <v>1363139.5949191493</v>
      </c>
      <c r="O62" s="32"/>
      <c r="P62" s="3"/>
    </row>
    <row r="63" spans="3:16" x14ac:dyDescent="0.2">
      <c r="C63" s="2" t="s">
        <v>27</v>
      </c>
      <c r="D63" s="4"/>
      <c r="E63" s="4"/>
      <c r="F63" s="55">
        <f t="shared" ref="F63:M63" si="20">SUM(F60:F62)</f>
        <v>9498952.4938475378</v>
      </c>
      <c r="G63" s="55">
        <f t="shared" si="20"/>
        <v>7404708.9014433352</v>
      </c>
      <c r="H63" s="55">
        <f t="shared" si="20"/>
        <v>6360061.0109566338</v>
      </c>
      <c r="I63" s="55">
        <f t="shared" si="20"/>
        <v>221682.74695772253</v>
      </c>
      <c r="J63" s="55">
        <f t="shared" si="20"/>
        <v>339480.33751359553</v>
      </c>
      <c r="K63" s="55">
        <f t="shared" si="20"/>
        <v>849854.43183026824</v>
      </c>
      <c r="L63" s="55">
        <f t="shared" si="20"/>
        <v>154187.4043009395</v>
      </c>
      <c r="M63" s="55">
        <f t="shared" si="20"/>
        <v>57400.98466311927</v>
      </c>
      <c r="N63" s="130">
        <f t="shared" si="17"/>
        <v>24886328.311513152</v>
      </c>
    </row>
    <row r="64" spans="3:16" x14ac:dyDescent="0.2">
      <c r="C64" s="4"/>
      <c r="D64" s="4"/>
      <c r="E64" s="4"/>
      <c r="F64" s="8"/>
      <c r="G64" s="8"/>
      <c r="H64" s="8"/>
      <c r="I64" s="8"/>
      <c r="J64" s="8"/>
      <c r="K64" s="8"/>
      <c r="L64" s="8"/>
      <c r="M64" s="8"/>
      <c r="N64" s="3"/>
      <c r="O64" s="32"/>
      <c r="P64" s="3"/>
    </row>
    <row r="65" spans="3:16" x14ac:dyDescent="0.2">
      <c r="C65" s="18" t="s">
        <v>66</v>
      </c>
      <c r="D65" s="6"/>
      <c r="E65" s="6"/>
      <c r="F65" s="23"/>
      <c r="G65" s="23"/>
      <c r="H65" s="23"/>
      <c r="I65" s="23"/>
      <c r="J65" s="23"/>
      <c r="K65" s="23"/>
      <c r="L65" s="23"/>
      <c r="M65" s="23"/>
      <c r="N65" s="3"/>
      <c r="O65" s="32"/>
      <c r="P65" s="3"/>
    </row>
    <row r="66" spans="3:16" x14ac:dyDescent="0.2">
      <c r="C66" s="30" t="s">
        <v>28</v>
      </c>
      <c r="D66" s="4"/>
      <c r="E66" s="4"/>
      <c r="F66" s="75">
        <v>32323430.415028866</v>
      </c>
      <c r="G66" s="75">
        <f>16595910.1661052</f>
        <v>16595910.1661052</v>
      </c>
      <c r="H66" s="75">
        <v>32513124.411373772</v>
      </c>
      <c r="I66" s="75">
        <v>741937</v>
      </c>
      <c r="J66" s="75">
        <v>995978.87996714353</v>
      </c>
      <c r="K66" s="75">
        <v>2349502.2683978439</v>
      </c>
      <c r="L66" s="75">
        <v>658179.25248753873</v>
      </c>
      <c r="M66" s="75">
        <v>345887.04</v>
      </c>
      <c r="N66" s="64">
        <f t="shared" ref="N66:N69" si="21">SUM(F66:M66)</f>
        <v>86523949.433360368</v>
      </c>
      <c r="O66" s="32"/>
      <c r="P66" s="106"/>
    </row>
    <row r="67" spans="3:16" x14ac:dyDescent="0.2">
      <c r="C67" s="4" t="s">
        <v>7</v>
      </c>
      <c r="D67" s="4"/>
      <c r="E67" s="4"/>
      <c r="F67" s="75">
        <v>0</v>
      </c>
      <c r="G67" s="75">
        <v>116745</v>
      </c>
      <c r="H67" s="75"/>
      <c r="I67" s="75">
        <v>0</v>
      </c>
      <c r="J67" s="75"/>
      <c r="K67" s="75">
        <v>0</v>
      </c>
      <c r="L67" s="75">
        <v>0</v>
      </c>
      <c r="M67" s="75"/>
      <c r="N67" s="130">
        <f t="shared" si="21"/>
        <v>116745</v>
      </c>
      <c r="O67" s="32"/>
      <c r="P67" s="106"/>
    </row>
    <row r="68" spans="3:16" x14ac:dyDescent="0.2">
      <c r="C68" s="6" t="s">
        <v>8</v>
      </c>
      <c r="D68" s="6"/>
      <c r="E68" s="6"/>
      <c r="F68" s="76">
        <v>0</v>
      </c>
      <c r="G68" s="76">
        <v>53550</v>
      </c>
      <c r="H68" s="76">
        <v>2865268.4222509889</v>
      </c>
      <c r="I68" s="76">
        <v>0</v>
      </c>
      <c r="J68" s="76">
        <v>1550.01</v>
      </c>
      <c r="K68" s="76">
        <v>0</v>
      </c>
      <c r="L68" s="76">
        <v>0</v>
      </c>
      <c r="M68" s="76">
        <v>939.37</v>
      </c>
      <c r="N68" s="56">
        <f t="shared" si="21"/>
        <v>2921307.8022509888</v>
      </c>
      <c r="O68" s="32"/>
      <c r="P68" s="106"/>
    </row>
    <row r="69" spans="3:16" x14ac:dyDescent="0.2">
      <c r="C69" s="2" t="s">
        <v>67</v>
      </c>
      <c r="D69" s="4"/>
      <c r="E69" s="4"/>
      <c r="F69" s="55">
        <f>F66-SUM(F67:F68)</f>
        <v>32323430.415028866</v>
      </c>
      <c r="G69" s="55">
        <f t="shared" ref="G69:M69" si="22">G66-SUM(G67:G68)</f>
        <v>16425615.1661052</v>
      </c>
      <c r="H69" s="55">
        <f t="shared" si="22"/>
        <v>29647855.989122782</v>
      </c>
      <c r="I69" s="55">
        <f t="shared" si="22"/>
        <v>741937</v>
      </c>
      <c r="J69" s="55">
        <f t="shared" si="22"/>
        <v>994428.86996714352</v>
      </c>
      <c r="K69" s="55">
        <f t="shared" si="22"/>
        <v>2349502.2683978439</v>
      </c>
      <c r="L69" s="55">
        <f t="shared" si="22"/>
        <v>658179.25248753873</v>
      </c>
      <c r="M69" s="55">
        <f t="shared" si="22"/>
        <v>344947.67</v>
      </c>
      <c r="N69" s="130">
        <f t="shared" si="21"/>
        <v>83485896.631109372</v>
      </c>
      <c r="O69" s="32"/>
      <c r="P69" s="3"/>
    </row>
    <row r="70" spans="3:16" x14ac:dyDescent="0.2">
      <c r="C70" s="4"/>
      <c r="D70" s="4"/>
      <c r="E70" s="4"/>
      <c r="F70" s="8"/>
      <c r="G70" s="8"/>
      <c r="H70" s="8"/>
      <c r="I70" s="8"/>
      <c r="J70" s="8"/>
      <c r="K70" s="8"/>
      <c r="L70" s="8"/>
      <c r="M70" s="8"/>
      <c r="N70" s="3"/>
      <c r="O70" s="32"/>
      <c r="P70" s="3"/>
    </row>
    <row r="71" spans="3:16" x14ac:dyDescent="0.2">
      <c r="C71" s="18" t="s">
        <v>34</v>
      </c>
      <c r="D71" s="6"/>
      <c r="E71" s="6"/>
      <c r="F71" s="23"/>
      <c r="G71" s="23"/>
      <c r="H71" s="23"/>
      <c r="I71" s="23"/>
      <c r="J71" s="23"/>
      <c r="K71" s="23"/>
      <c r="L71" s="23"/>
      <c r="M71" s="23"/>
      <c r="N71" s="45"/>
      <c r="O71" s="124"/>
      <c r="P71" s="3"/>
    </row>
    <row r="72" spans="3:16" x14ac:dyDescent="0.2">
      <c r="C72" s="30" t="s">
        <v>27</v>
      </c>
      <c r="D72" s="4"/>
      <c r="E72" s="4"/>
      <c r="F72" s="67">
        <f>F63</f>
        <v>9498952.4938475378</v>
      </c>
      <c r="G72" s="67">
        <f t="shared" ref="G72:M72" si="23">G63</f>
        <v>7404708.9014433352</v>
      </c>
      <c r="H72" s="67">
        <f t="shared" si="23"/>
        <v>6360061.0109566338</v>
      </c>
      <c r="I72" s="67">
        <f t="shared" si="23"/>
        <v>221682.74695772253</v>
      </c>
      <c r="J72" s="67">
        <f t="shared" si="23"/>
        <v>339480.33751359553</v>
      </c>
      <c r="K72" s="67">
        <f t="shared" si="23"/>
        <v>849854.43183026824</v>
      </c>
      <c r="L72" s="67">
        <f t="shared" si="23"/>
        <v>154187.4043009395</v>
      </c>
      <c r="M72" s="67">
        <f t="shared" si="23"/>
        <v>57400.98466311927</v>
      </c>
      <c r="N72" s="65">
        <f>SUM(F72:M72)</f>
        <v>24886328.311513152</v>
      </c>
      <c r="O72" s="125"/>
      <c r="P72" s="3"/>
    </row>
    <row r="73" spans="3:16" x14ac:dyDescent="0.2">
      <c r="C73" s="39" t="s">
        <v>67</v>
      </c>
      <c r="D73" s="6"/>
      <c r="E73" s="6"/>
      <c r="F73" s="72">
        <f>F69</f>
        <v>32323430.415028866</v>
      </c>
      <c r="G73" s="72">
        <f t="shared" ref="G73:M73" si="24">G69</f>
        <v>16425615.1661052</v>
      </c>
      <c r="H73" s="72">
        <f t="shared" si="24"/>
        <v>29647855.989122782</v>
      </c>
      <c r="I73" s="72">
        <f t="shared" si="24"/>
        <v>741937</v>
      </c>
      <c r="J73" s="72">
        <f t="shared" si="24"/>
        <v>994428.86996714352</v>
      </c>
      <c r="K73" s="72">
        <f t="shared" si="24"/>
        <v>2349502.2683978439</v>
      </c>
      <c r="L73" s="72">
        <f t="shared" si="24"/>
        <v>658179.25248753873</v>
      </c>
      <c r="M73" s="72">
        <f t="shared" si="24"/>
        <v>344947.67</v>
      </c>
      <c r="N73" s="66">
        <f>SUM(F73:M73)</f>
        <v>83485896.631109372</v>
      </c>
      <c r="O73" s="125"/>
      <c r="P73" s="16"/>
    </row>
    <row r="74" spans="3:16" x14ac:dyDescent="0.2">
      <c r="C74" s="38" t="s">
        <v>30</v>
      </c>
      <c r="D74" s="4"/>
      <c r="E74" s="4"/>
      <c r="F74" s="55">
        <f>F72+F73</f>
        <v>41822382.908876404</v>
      </c>
      <c r="G74" s="55">
        <f t="shared" ref="G74:M74" si="25">G72+G73</f>
        <v>23830324.067548536</v>
      </c>
      <c r="H74" s="55">
        <f t="shared" si="25"/>
        <v>36007917.000079416</v>
      </c>
      <c r="I74" s="55">
        <f t="shared" si="25"/>
        <v>963619.74695772259</v>
      </c>
      <c r="J74" s="55">
        <f t="shared" si="25"/>
        <v>1333909.2074807391</v>
      </c>
      <c r="K74" s="55">
        <f t="shared" si="25"/>
        <v>3199356.7002281123</v>
      </c>
      <c r="L74" s="55">
        <f t="shared" si="25"/>
        <v>812366.65678847826</v>
      </c>
      <c r="M74" s="55">
        <f t="shared" si="25"/>
        <v>402348.65466311923</v>
      </c>
      <c r="N74" s="65">
        <f>SUM(F74:M74)</f>
        <v>108372224.94262253</v>
      </c>
      <c r="O74" s="125"/>
      <c r="P74" s="3"/>
    </row>
    <row r="75" spans="3:16" x14ac:dyDescent="0.2">
      <c r="C75" s="4"/>
      <c r="D75" s="4"/>
      <c r="E75" s="4"/>
      <c r="F75" s="8"/>
      <c r="G75" s="8"/>
      <c r="H75" s="8"/>
      <c r="I75" s="8"/>
      <c r="J75" s="8"/>
      <c r="K75" s="8"/>
      <c r="L75" s="8"/>
      <c r="M75" s="8"/>
      <c r="N75" s="3"/>
      <c r="O75" s="32"/>
      <c r="P75" s="3"/>
    </row>
    <row r="76" spans="3:16" x14ac:dyDescent="0.2">
      <c r="C76" s="43" t="s">
        <v>123</v>
      </c>
      <c r="D76" s="4"/>
      <c r="E76" s="4"/>
      <c r="F76" s="8"/>
      <c r="G76" s="8"/>
      <c r="H76" s="8"/>
      <c r="I76" s="8"/>
      <c r="J76" s="8"/>
      <c r="K76" s="8"/>
      <c r="L76" s="8"/>
      <c r="M76" s="8"/>
      <c r="N76" s="8"/>
      <c r="O76" s="21"/>
      <c r="P76" s="8"/>
    </row>
    <row r="77" spans="3:16" x14ac:dyDescent="0.2">
      <c r="C77" s="4"/>
      <c r="D77" s="4"/>
      <c r="E77" s="4"/>
      <c r="F77" s="8"/>
      <c r="G77" s="8"/>
      <c r="H77" s="8"/>
      <c r="I77" s="8"/>
      <c r="J77" s="8"/>
      <c r="K77" s="8"/>
      <c r="L77" s="8"/>
      <c r="M77" s="8"/>
      <c r="N77" s="8"/>
      <c r="O77" s="21"/>
      <c r="P77" s="8"/>
    </row>
    <row r="78" spans="3:16" s="4" customFormat="1" x14ac:dyDescent="0.2">
      <c r="C78" s="28" t="s">
        <v>118</v>
      </c>
      <c r="D78" s="6"/>
      <c r="E78" s="6"/>
      <c r="F78" s="44"/>
      <c r="G78" s="23"/>
      <c r="H78" s="23"/>
      <c r="I78" s="23"/>
      <c r="J78" s="23"/>
      <c r="K78" s="23"/>
      <c r="L78" s="23"/>
      <c r="M78" s="23"/>
      <c r="N78" s="45"/>
      <c r="O78" s="124"/>
      <c r="P78" s="8"/>
    </row>
    <row r="79" spans="3:16" s="4" customFormat="1" x14ac:dyDescent="0.2">
      <c r="C79" s="4" t="s">
        <v>50</v>
      </c>
      <c r="F79" s="73">
        <v>25.71</v>
      </c>
      <c r="G79" s="73">
        <v>25.71</v>
      </c>
      <c r="H79" s="92">
        <v>25.7</v>
      </c>
      <c r="I79" s="73">
        <v>25.71</v>
      </c>
      <c r="J79" s="73">
        <v>25.71</v>
      </c>
      <c r="K79" s="73">
        <v>25.71</v>
      </c>
      <c r="L79" s="73">
        <v>25.71</v>
      </c>
      <c r="M79" s="73">
        <v>25.71</v>
      </c>
      <c r="N79" s="46"/>
      <c r="O79" s="125"/>
      <c r="P79" s="106"/>
    </row>
    <row r="80" spans="3:16" s="4" customFormat="1" x14ac:dyDescent="0.2">
      <c r="C80" s="27" t="s">
        <v>10</v>
      </c>
      <c r="F80" s="74">
        <v>2860256.7448463626</v>
      </c>
      <c r="G80" s="75">
        <v>1938059.4321275768</v>
      </c>
      <c r="H80" s="75">
        <v>2513581.2880495954</v>
      </c>
      <c r="I80" s="75">
        <v>52246</v>
      </c>
      <c r="J80" s="75">
        <v>103776</v>
      </c>
      <c r="K80" s="75">
        <v>204734.5</v>
      </c>
      <c r="L80" s="75">
        <v>53043.187972953041</v>
      </c>
      <c r="M80" s="75">
        <v>31039</v>
      </c>
      <c r="N80" s="65">
        <f>SUM(F80:M80)</f>
        <v>7756736.152996487</v>
      </c>
      <c r="O80" s="125"/>
      <c r="P80" s="106"/>
    </row>
    <row r="81" spans="3:17" s="4" customFormat="1" x14ac:dyDescent="0.2">
      <c r="C81" s="30" t="s">
        <v>119</v>
      </c>
      <c r="F81" s="55">
        <f>F79*F80</f>
        <v>73537200.909999982</v>
      </c>
      <c r="G81" s="55">
        <f t="shared" ref="G81:M81" si="26">G79*G80</f>
        <v>49827508</v>
      </c>
      <c r="H81" s="55">
        <f t="shared" si="26"/>
        <v>64599039.102874599</v>
      </c>
      <c r="I81" s="55">
        <f t="shared" si="26"/>
        <v>1343244.6600000001</v>
      </c>
      <c r="J81" s="55">
        <f t="shared" si="26"/>
        <v>2668080.96</v>
      </c>
      <c r="K81" s="55">
        <f t="shared" si="26"/>
        <v>5263723.9950000001</v>
      </c>
      <c r="L81" s="55">
        <f t="shared" si="26"/>
        <v>1363740.3627846227</v>
      </c>
      <c r="M81" s="55">
        <f t="shared" si="26"/>
        <v>798012.69000000006</v>
      </c>
      <c r="N81" s="65">
        <f>SUM(F81:M81)</f>
        <v>199400550.6806592</v>
      </c>
      <c r="O81" s="125"/>
      <c r="P81" s="8"/>
    </row>
    <row r="82" spans="3:17" s="4" customFormat="1" x14ac:dyDescent="0.2">
      <c r="C82" s="6" t="s">
        <v>120</v>
      </c>
      <c r="D82" s="6"/>
      <c r="E82" s="6"/>
      <c r="F82" s="76">
        <v>-697286.36999999708</v>
      </c>
      <c r="G82" s="76">
        <v>-117582</v>
      </c>
      <c r="H82" s="76">
        <v>0</v>
      </c>
      <c r="I82" s="76">
        <v>-11929</v>
      </c>
      <c r="J82" s="76">
        <v>-1606.6499999993014</v>
      </c>
      <c r="K82" s="76">
        <v>-20277.8415613709</v>
      </c>
      <c r="L82" s="76">
        <v>0</v>
      </c>
      <c r="M82" s="76">
        <v>-173.76</v>
      </c>
      <c r="N82" s="66">
        <f>SUM(F82:M82)</f>
        <v>-848855.6215613673</v>
      </c>
      <c r="O82" s="125"/>
      <c r="P82" s="106"/>
    </row>
    <row r="83" spans="3:17" s="4" customFormat="1" x14ac:dyDescent="0.2">
      <c r="C83" s="2" t="s">
        <v>121</v>
      </c>
      <c r="F83" s="55">
        <f>F81+F82</f>
        <v>72839914.539999992</v>
      </c>
      <c r="G83" s="55">
        <f t="shared" ref="G83:M83" si="27">G81+G82</f>
        <v>49709926</v>
      </c>
      <c r="H83" s="55">
        <f>H81+H82</f>
        <v>64599039.102874599</v>
      </c>
      <c r="I83" s="55">
        <f t="shared" si="27"/>
        <v>1331315.6600000001</v>
      </c>
      <c r="J83" s="55">
        <f t="shared" si="27"/>
        <v>2666474.3100000005</v>
      </c>
      <c r="K83" s="55">
        <f t="shared" si="27"/>
        <v>5243446.1534386296</v>
      </c>
      <c r="L83" s="55">
        <f t="shared" si="27"/>
        <v>1363740.3627846227</v>
      </c>
      <c r="M83" s="55">
        <f t="shared" si="27"/>
        <v>797838.93</v>
      </c>
      <c r="N83" s="65">
        <f>SUM(F83:M83)</f>
        <v>198551695.05909786</v>
      </c>
      <c r="O83" s="125"/>
      <c r="P83" s="8"/>
    </row>
    <row r="84" spans="3:17" s="4" customFormat="1" x14ac:dyDescent="0.2">
      <c r="F84" s="8"/>
      <c r="G84" s="8"/>
      <c r="H84" s="8"/>
      <c r="I84" s="8"/>
      <c r="J84" s="8"/>
      <c r="K84" s="8"/>
      <c r="L84" s="8"/>
      <c r="M84" s="8"/>
      <c r="N84" s="8"/>
      <c r="O84" s="21"/>
      <c r="P84" s="8"/>
    </row>
    <row r="85" spans="3:17" s="4" customFormat="1" x14ac:dyDescent="0.2">
      <c r="C85" s="40" t="s">
        <v>77</v>
      </c>
      <c r="D85" s="2"/>
      <c r="F85" s="14"/>
      <c r="G85" s="8"/>
      <c r="H85" s="8"/>
      <c r="I85" s="8"/>
      <c r="J85" s="8"/>
      <c r="K85" s="8"/>
      <c r="L85" s="8"/>
      <c r="M85" s="8"/>
      <c r="N85" s="8"/>
      <c r="O85" s="21"/>
      <c r="P85" s="8"/>
    </row>
    <row r="86" spans="3:17" s="4" customFormat="1" x14ac:dyDescent="0.2">
      <c r="C86" s="26"/>
      <c r="D86" s="18"/>
      <c r="E86" s="6"/>
      <c r="F86" s="44"/>
      <c r="G86" s="23"/>
      <c r="H86" s="23"/>
      <c r="I86" s="23"/>
      <c r="J86" s="23"/>
      <c r="K86" s="23"/>
      <c r="L86" s="23"/>
      <c r="M86" s="23"/>
      <c r="N86" s="45"/>
      <c r="O86" s="124"/>
      <c r="P86" s="8"/>
    </row>
    <row r="87" spans="3:17" s="4" customFormat="1" x14ac:dyDescent="0.2">
      <c r="C87" s="24" t="s">
        <v>118</v>
      </c>
      <c r="D87" s="2"/>
      <c r="F87" s="71">
        <f>F83</f>
        <v>72839914.539999992</v>
      </c>
      <c r="G87" s="71">
        <f t="shared" ref="G87:M87" si="28">G83</f>
        <v>49709926</v>
      </c>
      <c r="H87" s="71">
        <f t="shared" si="28"/>
        <v>64599039.102874599</v>
      </c>
      <c r="I87" s="71">
        <f t="shared" si="28"/>
        <v>1331315.6600000001</v>
      </c>
      <c r="J87" s="71">
        <f t="shared" si="28"/>
        <v>2666474.3100000005</v>
      </c>
      <c r="K87" s="71">
        <f t="shared" si="28"/>
        <v>5243446.1534386296</v>
      </c>
      <c r="L87" s="71">
        <f t="shared" si="28"/>
        <v>1363740.3627846227</v>
      </c>
      <c r="M87" s="71">
        <f t="shared" si="28"/>
        <v>797838.93</v>
      </c>
      <c r="N87" s="65">
        <f>SUM(F87:M87)</f>
        <v>198551695.05909786</v>
      </c>
      <c r="O87" s="125"/>
      <c r="P87" s="8"/>
    </row>
    <row r="88" spans="3:17" s="4" customFormat="1" x14ac:dyDescent="0.2">
      <c r="C88" s="39" t="s">
        <v>30</v>
      </c>
      <c r="D88" s="6"/>
      <c r="E88" s="6"/>
      <c r="F88" s="72">
        <f t="shared" ref="F88:M88" si="29">F74</f>
        <v>41822382.908876404</v>
      </c>
      <c r="G88" s="72">
        <f t="shared" si="29"/>
        <v>23830324.067548536</v>
      </c>
      <c r="H88" s="72">
        <f t="shared" si="29"/>
        <v>36007917.000079416</v>
      </c>
      <c r="I88" s="72">
        <f t="shared" si="29"/>
        <v>963619.74695772259</v>
      </c>
      <c r="J88" s="72">
        <f t="shared" si="29"/>
        <v>1333909.2074807391</v>
      </c>
      <c r="K88" s="72">
        <f t="shared" si="29"/>
        <v>3199356.7002281123</v>
      </c>
      <c r="L88" s="72">
        <f t="shared" si="29"/>
        <v>812366.65678847826</v>
      </c>
      <c r="M88" s="72">
        <f t="shared" si="29"/>
        <v>402348.65466311923</v>
      </c>
      <c r="N88" s="66">
        <f>SUM(F88:M88)</f>
        <v>108372224.94262253</v>
      </c>
      <c r="O88" s="125"/>
      <c r="P88" s="8"/>
    </row>
    <row r="89" spans="3:17" s="4" customFormat="1" x14ac:dyDescent="0.2">
      <c r="C89" s="30" t="s">
        <v>35</v>
      </c>
      <c r="F89" s="113">
        <f>F87-F88</f>
        <v>31017531.631123587</v>
      </c>
      <c r="G89" s="113">
        <f t="shared" ref="G89:M89" si="30">G87-G88</f>
        <v>25879601.932451464</v>
      </c>
      <c r="H89" s="113">
        <f t="shared" si="30"/>
        <v>28591122.102795184</v>
      </c>
      <c r="I89" s="113">
        <f t="shared" si="30"/>
        <v>367695.91304227756</v>
      </c>
      <c r="J89" s="113">
        <f t="shared" si="30"/>
        <v>1332565.1025192614</v>
      </c>
      <c r="K89" s="113">
        <f t="shared" si="30"/>
        <v>2044089.4532105173</v>
      </c>
      <c r="L89" s="113">
        <f t="shared" si="30"/>
        <v>551373.70599614445</v>
      </c>
      <c r="M89" s="113">
        <f t="shared" si="30"/>
        <v>395490.27533688082</v>
      </c>
      <c r="N89" s="55">
        <f>SUM(F89:M89)</f>
        <v>90179470.116475314</v>
      </c>
      <c r="O89" s="21"/>
      <c r="P89" s="8"/>
    </row>
    <row r="90" spans="3:17" s="4" customFormat="1" x14ac:dyDescent="0.2">
      <c r="C90" s="30"/>
      <c r="F90" s="15"/>
      <c r="G90" s="9"/>
      <c r="H90" s="9"/>
      <c r="I90" s="9"/>
      <c r="J90" s="9"/>
      <c r="K90" s="9"/>
      <c r="L90" s="9"/>
      <c r="M90" s="9"/>
      <c r="N90" s="8"/>
      <c r="O90" s="21"/>
      <c r="Q90" s="10"/>
    </row>
    <row r="91" spans="3:17" x14ac:dyDescent="0.2">
      <c r="C91" s="4"/>
      <c r="D91" s="4"/>
      <c r="E91" s="4"/>
      <c r="F91" s="4"/>
      <c r="G91" s="4"/>
      <c r="H91" s="4"/>
      <c r="I91" s="4"/>
      <c r="J91" s="4"/>
      <c r="K91" s="4"/>
      <c r="L91" s="4"/>
      <c r="M91" s="4"/>
      <c r="N91" s="8"/>
      <c r="O91" s="21"/>
      <c r="P91" s="4"/>
    </row>
    <row r="92" spans="3:17" x14ac:dyDescent="0.2">
      <c r="C92" s="41"/>
      <c r="D92" s="4"/>
      <c r="E92" s="4"/>
      <c r="F92" s="4"/>
      <c r="G92" s="4"/>
      <c r="H92" s="4"/>
      <c r="I92" s="4"/>
      <c r="J92" s="4"/>
      <c r="K92" s="4"/>
      <c r="L92" s="4"/>
      <c r="M92" s="4"/>
      <c r="N92" s="8"/>
      <c r="O92" s="21"/>
      <c r="P92" s="4"/>
    </row>
    <row r="93" spans="3:17" x14ac:dyDescent="0.2">
      <c r="C93" s="4"/>
      <c r="D93" s="4"/>
      <c r="E93" s="4"/>
      <c r="F93" s="4"/>
      <c r="G93" s="4"/>
      <c r="H93" s="4"/>
      <c r="I93" s="4"/>
      <c r="J93" s="4"/>
      <c r="K93" s="4"/>
      <c r="L93" s="4"/>
      <c r="M93" s="4"/>
      <c r="N93" s="8"/>
      <c r="O93" s="21"/>
      <c r="P93" s="4"/>
    </row>
    <row r="94" spans="3:17" x14ac:dyDescent="0.2">
      <c r="N94" s="8"/>
      <c r="O94" s="21"/>
    </row>
  </sheetData>
  <phoneticPr fontId="4" type="noConversion"/>
  <pageMargins left="0.75" right="0.75" top="1" bottom="1" header="0.5" footer="0.5"/>
  <pageSetup paperSize="9" scale="67" fitToHeight="0" orientation="landscape" r:id="rId1"/>
  <headerFooter alignWithMargins="0"/>
  <rowBreaks count="1" manualBreakCount="1">
    <brk id="39" min="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4"/>
  <sheetViews>
    <sheetView zoomScale="85" zoomScaleNormal="85" workbookViewId="0">
      <pane xSplit="5" ySplit="2" topLeftCell="F3" activePane="bottomRight" state="frozen"/>
      <selection pane="topRight" activeCell="F1" sqref="F1"/>
      <selection pane="bottomLeft" activeCell="A3" sqref="A3"/>
      <selection pane="bottomRight" activeCell="C12" sqref="C12"/>
    </sheetView>
  </sheetViews>
  <sheetFormatPr defaultRowHeight="12.75" x14ac:dyDescent="0.2"/>
  <cols>
    <col min="1" max="1" width="3.85546875" style="1" customWidth="1"/>
    <col min="2" max="2" width="6.42578125" style="1" customWidth="1"/>
    <col min="3" max="3" width="70.7109375" style="1" customWidth="1"/>
    <col min="4" max="4" width="17.85546875" style="1" customWidth="1"/>
    <col min="5" max="5" width="3" style="1" customWidth="1"/>
    <col min="6" max="13" width="11.7109375" style="1" customWidth="1"/>
    <col min="14" max="14" width="11.85546875" style="1" customWidth="1"/>
    <col min="15" max="15" width="14.85546875" style="17" customWidth="1"/>
    <col min="16" max="16" width="9.140625" style="1"/>
    <col min="17" max="17" width="11.28515625" style="1" bestFit="1" customWidth="1"/>
    <col min="18" max="16384" width="9.140625" style="1"/>
  </cols>
  <sheetData>
    <row r="1" spans="3:16" ht="13.5" thickBot="1" x14ac:dyDescent="0.25">
      <c r="N1" s="29"/>
    </row>
    <row r="2" spans="3:16" x14ac:dyDescent="0.2">
      <c r="C2" s="11" t="s">
        <v>23</v>
      </c>
      <c r="F2" s="128" t="s">
        <v>0</v>
      </c>
      <c r="G2" s="128" t="s">
        <v>1</v>
      </c>
      <c r="H2" s="128" t="s">
        <v>2</v>
      </c>
      <c r="I2" s="128" t="s">
        <v>93</v>
      </c>
      <c r="J2" s="128" t="s">
        <v>3</v>
      </c>
      <c r="K2" s="128" t="s">
        <v>4</v>
      </c>
      <c r="L2" s="128" t="s">
        <v>5</v>
      </c>
      <c r="M2" s="128" t="s">
        <v>6</v>
      </c>
      <c r="N2" s="131" t="s">
        <v>9</v>
      </c>
      <c r="O2" s="120"/>
      <c r="P2" s="119"/>
    </row>
    <row r="3" spans="3:16" x14ac:dyDescent="0.2">
      <c r="F3" s="7"/>
      <c r="G3" s="7"/>
      <c r="H3" s="7"/>
      <c r="I3" s="7"/>
      <c r="J3" s="7"/>
      <c r="K3" s="7"/>
      <c r="L3" s="7"/>
      <c r="M3" s="7"/>
    </row>
    <row r="4" spans="3:16" x14ac:dyDescent="0.2">
      <c r="C4" s="42" t="s">
        <v>55</v>
      </c>
      <c r="F4" s="2"/>
      <c r="G4" s="2"/>
      <c r="H4" s="2"/>
      <c r="I4" s="2"/>
      <c r="J4" s="2"/>
      <c r="K4" s="2"/>
      <c r="L4" s="2"/>
      <c r="M4" s="2"/>
    </row>
    <row r="5" spans="3:16" x14ac:dyDescent="0.2">
      <c r="F5" s="2"/>
      <c r="G5" s="2"/>
      <c r="H5" s="2"/>
      <c r="I5" s="2"/>
      <c r="J5" s="2"/>
      <c r="K5" s="2"/>
      <c r="L5" s="2"/>
      <c r="M5" s="2"/>
    </row>
    <row r="6" spans="3:16" x14ac:dyDescent="0.2">
      <c r="C6" s="18" t="s">
        <v>104</v>
      </c>
      <c r="D6" s="6"/>
      <c r="E6" s="6"/>
      <c r="F6" s="18"/>
      <c r="G6" s="18"/>
      <c r="H6" s="18"/>
      <c r="I6" s="18"/>
      <c r="J6" s="18"/>
      <c r="K6" s="18"/>
      <c r="L6" s="18"/>
      <c r="M6" s="18"/>
    </row>
    <row r="7" spans="3:16" x14ac:dyDescent="0.2">
      <c r="C7" s="81" t="s">
        <v>98</v>
      </c>
      <c r="D7" s="129"/>
      <c r="E7" s="29"/>
      <c r="F7" s="82">
        <f>'Marges Elektriciteit 2011'!F7</f>
        <v>50940650.593736537</v>
      </c>
      <c r="G7" s="82">
        <f>'Marges Elektriciteit 2011'!G7</f>
        <v>42466920.691252045</v>
      </c>
      <c r="H7" s="82">
        <f>'Marges Elektriciteit 2011'!H7</f>
        <v>34832471.257959642</v>
      </c>
      <c r="I7" s="82">
        <f>'Marges Elektriciteit 2011'!I7</f>
        <v>1194872.9540272332</v>
      </c>
      <c r="J7" s="82">
        <f>'Marges Elektriciteit 2011'!J7</f>
        <v>1975339.8966407345</v>
      </c>
      <c r="K7" s="82">
        <f>'Marges Elektriciteit 2011'!K7</f>
        <v>4795286.6924904697</v>
      </c>
      <c r="L7" s="82">
        <f>'Marges Elektriciteit 2011'!L7</f>
        <v>635825.61532222212</v>
      </c>
      <c r="M7" s="82">
        <f>'Marges Elektriciteit 2011'!M7</f>
        <v>248028.13858056077</v>
      </c>
      <c r="N7" s="132">
        <f>SUM(F7:M7)</f>
        <v>137089395.84000945</v>
      </c>
      <c r="P7" s="135"/>
    </row>
    <row r="8" spans="3:16" x14ac:dyDescent="0.2">
      <c r="C8" s="81" t="s">
        <v>105</v>
      </c>
      <c r="D8" s="84" t="s">
        <v>81</v>
      </c>
      <c r="E8" s="29"/>
      <c r="F8" s="82">
        <f>'Marges Elektriciteit 2011'!F9</f>
        <v>45280578.305543587</v>
      </c>
      <c r="G8" s="82">
        <f>'Marges Elektriciteit 2011'!G9</f>
        <v>37748373.947779596</v>
      </c>
      <c r="H8" s="82">
        <f>'Marges Elektriciteit 2011'!H9</f>
        <v>30962196.673741903</v>
      </c>
      <c r="I8" s="82">
        <f>'Marges Elektriciteit 2011'!I9</f>
        <v>1062109.2924686517</v>
      </c>
      <c r="J8" s="82">
        <f>'Marges Elektriciteit 2011'!J9</f>
        <v>1755857.6859028751</v>
      </c>
      <c r="K8" s="82">
        <f>'Marges Elektriciteit 2011'!K9</f>
        <v>4262477.0599915283</v>
      </c>
      <c r="L8" s="82">
        <f>'Marges Elektriciteit 2011'!L9</f>
        <v>565178.32473086414</v>
      </c>
      <c r="M8" s="82">
        <f>'Marges Elektriciteit 2011'!M9</f>
        <v>220469.45651605402</v>
      </c>
      <c r="N8" s="130">
        <f t="shared" ref="N8:N10" si="0">SUM(F8:M8)</f>
        <v>121857240.74667506</v>
      </c>
      <c r="P8" s="93"/>
    </row>
    <row r="9" spans="3:16" x14ac:dyDescent="0.2">
      <c r="C9" s="51" t="s">
        <v>106</v>
      </c>
      <c r="D9" s="134">
        <f>'Marges Elektriciteit 2011'!D8</f>
        <v>9</v>
      </c>
      <c r="E9" s="5"/>
      <c r="F9" s="57">
        <f>F7/$D$9</f>
        <v>5660072.2881929483</v>
      </c>
      <c r="G9" s="57">
        <f t="shared" ref="G9:M9" si="1">G7/$D$9</f>
        <v>4718546.7434724495</v>
      </c>
      <c r="H9" s="57">
        <f t="shared" si="1"/>
        <v>3870274.5842177379</v>
      </c>
      <c r="I9" s="57">
        <f t="shared" si="1"/>
        <v>132763.66155858146</v>
      </c>
      <c r="J9" s="57">
        <f t="shared" si="1"/>
        <v>219482.21073785939</v>
      </c>
      <c r="K9" s="57">
        <f t="shared" si="1"/>
        <v>532809.63249894104</v>
      </c>
      <c r="L9" s="57">
        <f t="shared" si="1"/>
        <v>70647.290591358018</v>
      </c>
      <c r="M9" s="57">
        <f t="shared" si="1"/>
        <v>27558.682064506753</v>
      </c>
      <c r="N9" s="63">
        <f t="shared" si="0"/>
        <v>15232155.093334382</v>
      </c>
      <c r="P9" s="93"/>
    </row>
    <row r="10" spans="3:16" x14ac:dyDescent="0.2">
      <c r="C10" s="30" t="s">
        <v>107</v>
      </c>
      <c r="E10" s="4"/>
      <c r="F10" s="55">
        <f>F8-F9</f>
        <v>39620506.017350636</v>
      </c>
      <c r="G10" s="55">
        <f t="shared" ref="G10:M10" si="2">G8-G9</f>
        <v>33029827.204307146</v>
      </c>
      <c r="H10" s="55">
        <f t="shared" si="2"/>
        <v>27091922.089524165</v>
      </c>
      <c r="I10" s="55">
        <f t="shared" si="2"/>
        <v>929345.63091007015</v>
      </c>
      <c r="J10" s="55">
        <f t="shared" si="2"/>
        <v>1536375.4751650158</v>
      </c>
      <c r="K10" s="55">
        <f t="shared" si="2"/>
        <v>3729667.4274925874</v>
      </c>
      <c r="L10" s="55">
        <f t="shared" si="2"/>
        <v>494531.03413950611</v>
      </c>
      <c r="M10" s="55">
        <f t="shared" si="2"/>
        <v>192910.77445154727</v>
      </c>
      <c r="N10" s="130">
        <f t="shared" si="0"/>
        <v>106625085.65334067</v>
      </c>
      <c r="O10" s="32"/>
      <c r="P10" s="3"/>
    </row>
    <row r="11" spans="3:16" x14ac:dyDescent="0.2">
      <c r="C11" s="85" t="s">
        <v>51</v>
      </c>
      <c r="D11" s="118">
        <f>'Marges Elektriciteit 2011'!D10</f>
        <v>1.4999999999999999E-2</v>
      </c>
      <c r="E11" s="4"/>
      <c r="F11" s="8"/>
      <c r="G11" s="8"/>
      <c r="H11" s="8"/>
      <c r="I11" s="8"/>
      <c r="J11" s="8"/>
      <c r="K11" s="8"/>
      <c r="L11" s="8"/>
      <c r="M11" s="8"/>
      <c r="N11" s="3"/>
      <c r="O11" s="32"/>
      <c r="P11" s="3"/>
    </row>
    <row r="12" spans="3:16" x14ac:dyDescent="0.2">
      <c r="C12" s="85" t="s">
        <v>52</v>
      </c>
      <c r="D12" s="117">
        <v>2.5999999999999999E-2</v>
      </c>
      <c r="E12" s="4"/>
      <c r="F12" s="8"/>
      <c r="G12" s="8"/>
      <c r="H12" s="8"/>
      <c r="I12" s="8"/>
      <c r="J12" s="8"/>
      <c r="K12" s="8"/>
      <c r="L12" s="8"/>
      <c r="M12" s="8"/>
      <c r="N12" s="3"/>
      <c r="O12" s="32"/>
      <c r="P12" s="106"/>
    </row>
    <row r="13" spans="3:16" x14ac:dyDescent="0.2">
      <c r="C13" s="49" t="s">
        <v>108</v>
      </c>
      <c r="D13" s="25"/>
      <c r="E13" s="25"/>
      <c r="F13" s="55">
        <f>F9*(1+$D$11)*(1+$D$12)</f>
        <v>5894342.6802012548</v>
      </c>
      <c r="G13" s="55">
        <f t="shared" ref="G13:M13" si="3">G9*(1+$D$11)*(1+$D$12)</f>
        <v>4913847.3931847736</v>
      </c>
      <c r="H13" s="55">
        <f t="shared" si="3"/>
        <v>4030465.2492585098</v>
      </c>
      <c r="I13" s="55">
        <f t="shared" si="3"/>
        <v>138258.74951049115</v>
      </c>
      <c r="J13" s="55">
        <f t="shared" si="3"/>
        <v>228566.57944029939</v>
      </c>
      <c r="K13" s="55">
        <f t="shared" si="3"/>
        <v>554862.62318807212</v>
      </c>
      <c r="L13" s="55">
        <f t="shared" si="3"/>
        <v>73571.381948934315</v>
      </c>
      <c r="M13" s="55">
        <f t="shared" si="3"/>
        <v>28699.335915156687</v>
      </c>
      <c r="N13" s="130">
        <f t="shared" ref="N13:N14" si="4">SUM(F13:M13)</f>
        <v>15862613.992647495</v>
      </c>
      <c r="O13" s="32"/>
      <c r="P13" s="3"/>
    </row>
    <row r="14" spans="3:16" x14ac:dyDescent="0.2">
      <c r="C14" s="50" t="s">
        <v>109</v>
      </c>
      <c r="D14" s="35"/>
      <c r="E14" s="35"/>
      <c r="F14" s="56">
        <f>F10*(1+$D$11)*(1+$D$12)</f>
        <v>41260398.761408776</v>
      </c>
      <c r="G14" s="56">
        <f t="shared" ref="G14:M14" si="5">G10*(1+$D$11)*(1+$D$12)</f>
        <v>34396931.752293415</v>
      </c>
      <c r="H14" s="56">
        <f t="shared" si="5"/>
        <v>28213256.744809568</v>
      </c>
      <c r="I14" s="56">
        <f t="shared" si="5"/>
        <v>967811.24657343782</v>
      </c>
      <c r="J14" s="56">
        <f t="shared" si="5"/>
        <v>1599966.0560820955</v>
      </c>
      <c r="K14" s="56">
        <f t="shared" si="5"/>
        <v>3884038.3623165055</v>
      </c>
      <c r="L14" s="56">
        <f t="shared" si="5"/>
        <v>514999.67364254018</v>
      </c>
      <c r="M14" s="56">
        <f t="shared" si="5"/>
        <v>200895.3514060968</v>
      </c>
      <c r="N14" s="56">
        <f t="shared" si="4"/>
        <v>111038297.94853243</v>
      </c>
      <c r="O14" s="32"/>
      <c r="P14" s="3"/>
    </row>
    <row r="15" spans="3:16" x14ac:dyDescent="0.2">
      <c r="C15" s="37"/>
      <c r="D15" s="25"/>
      <c r="E15" s="25"/>
      <c r="F15" s="21"/>
      <c r="G15" s="21"/>
      <c r="H15" s="21"/>
      <c r="I15" s="21"/>
      <c r="J15" s="21"/>
      <c r="K15" s="21"/>
      <c r="L15" s="21"/>
      <c r="M15" s="21"/>
      <c r="N15" s="3"/>
      <c r="O15" s="32"/>
      <c r="P15" s="3"/>
    </row>
    <row r="16" spans="3:16" x14ac:dyDescent="0.2">
      <c r="C16" s="18" t="s">
        <v>95</v>
      </c>
      <c r="D16" s="6"/>
      <c r="E16" s="6"/>
      <c r="F16" s="104"/>
      <c r="G16" s="104"/>
      <c r="H16" s="104"/>
      <c r="I16" s="104"/>
      <c r="J16" s="104"/>
      <c r="K16" s="104"/>
      <c r="L16" s="104"/>
      <c r="M16" s="104"/>
      <c r="N16" s="106"/>
      <c r="O16" s="126"/>
      <c r="P16" s="3"/>
    </row>
    <row r="17" spans="3:16" x14ac:dyDescent="0.2">
      <c r="C17" s="30" t="s">
        <v>113</v>
      </c>
      <c r="D17" s="4"/>
      <c r="E17" s="4"/>
      <c r="F17" s="105">
        <v>6012388.3651833674</v>
      </c>
      <c r="G17" s="105">
        <v>3189627.8023102051</v>
      </c>
      <c r="H17" s="105">
        <v>5536953.7999999998</v>
      </c>
      <c r="I17" s="105">
        <v>60237.103944315546</v>
      </c>
      <c r="J17" s="105">
        <v>140820.44466069352</v>
      </c>
      <c r="K17" s="105">
        <v>183767.78494704992</v>
      </c>
      <c r="L17" s="105">
        <v>67363</v>
      </c>
      <c r="M17" s="105">
        <v>37604.42</v>
      </c>
      <c r="N17" s="64">
        <f t="shared" ref="N17:N21" si="6">SUM(F17:M17)</f>
        <v>15228762.72104563</v>
      </c>
      <c r="O17" s="32"/>
      <c r="P17" s="93"/>
    </row>
    <row r="18" spans="3:16" x14ac:dyDescent="0.2">
      <c r="C18" s="30" t="s">
        <v>69</v>
      </c>
      <c r="D18" s="4"/>
      <c r="E18" s="4"/>
      <c r="F18" s="105">
        <v>63694.399999999994</v>
      </c>
      <c r="G18" s="105">
        <v>56061.599999999999</v>
      </c>
      <c r="H18" s="105">
        <v>101858.4</v>
      </c>
      <c r="I18" s="105">
        <v>0</v>
      </c>
      <c r="J18" s="105">
        <v>2632</v>
      </c>
      <c r="K18" s="105">
        <v>4079.6</v>
      </c>
      <c r="L18" s="105">
        <v>921.19999999999993</v>
      </c>
      <c r="M18" s="105">
        <v>1052.8</v>
      </c>
      <c r="N18" s="130">
        <f t="shared" si="6"/>
        <v>230300</v>
      </c>
      <c r="O18" s="126"/>
      <c r="P18" s="93"/>
    </row>
    <row r="19" spans="3:16" x14ac:dyDescent="0.2">
      <c r="C19" s="24" t="s">
        <v>47</v>
      </c>
      <c r="D19" s="84" t="s">
        <v>81</v>
      </c>
      <c r="E19" s="4"/>
      <c r="F19" s="54">
        <f t="shared" ref="F19:M19" si="7">SUM(F17:F18)</f>
        <v>6076082.7651833678</v>
      </c>
      <c r="G19" s="54">
        <f t="shared" si="7"/>
        <v>3245689.4023102052</v>
      </c>
      <c r="H19" s="54">
        <f t="shared" si="7"/>
        <v>5638812.2000000002</v>
      </c>
      <c r="I19" s="54">
        <f t="shared" si="7"/>
        <v>60237.103944315546</v>
      </c>
      <c r="J19" s="54">
        <f t="shared" si="7"/>
        <v>143452.44466069352</v>
      </c>
      <c r="K19" s="54">
        <f t="shared" si="7"/>
        <v>187847.38494704993</v>
      </c>
      <c r="L19" s="54">
        <f t="shared" si="7"/>
        <v>68284.2</v>
      </c>
      <c r="M19" s="54">
        <f t="shared" si="7"/>
        <v>38657.22</v>
      </c>
      <c r="N19" s="130">
        <f t="shared" si="6"/>
        <v>15459062.721045632</v>
      </c>
      <c r="O19" s="32"/>
      <c r="P19" s="3"/>
    </row>
    <row r="20" spans="3:16" x14ac:dyDescent="0.2">
      <c r="C20" s="86" t="s">
        <v>53</v>
      </c>
      <c r="D20" s="80">
        <v>8</v>
      </c>
      <c r="E20" s="5"/>
      <c r="F20" s="57">
        <f>F19/$D$20</f>
        <v>759510.34564792097</v>
      </c>
      <c r="G20" s="57">
        <f t="shared" ref="G20:M20" si="8">G19/$D$20</f>
        <v>405711.17528877564</v>
      </c>
      <c r="H20" s="57">
        <f t="shared" si="8"/>
        <v>704851.52500000002</v>
      </c>
      <c r="I20" s="57">
        <f t="shared" si="8"/>
        <v>7529.6379930394432</v>
      </c>
      <c r="J20" s="57">
        <f t="shared" si="8"/>
        <v>17931.55558258669</v>
      </c>
      <c r="K20" s="57">
        <f t="shared" si="8"/>
        <v>23480.923118381241</v>
      </c>
      <c r="L20" s="57">
        <f t="shared" si="8"/>
        <v>8535.5249999999996</v>
      </c>
      <c r="M20" s="57">
        <f t="shared" si="8"/>
        <v>4832.1525000000001</v>
      </c>
      <c r="N20" s="63">
        <f t="shared" si="6"/>
        <v>1932382.840130704</v>
      </c>
      <c r="O20" s="32"/>
      <c r="P20" s="106"/>
    </row>
    <row r="21" spans="3:16" x14ac:dyDescent="0.2">
      <c r="C21" s="49" t="s">
        <v>54</v>
      </c>
      <c r="D21" s="2"/>
      <c r="E21" s="4"/>
      <c r="F21" s="54">
        <f>F19-F20</f>
        <v>5316572.4195354469</v>
      </c>
      <c r="G21" s="54">
        <f t="shared" ref="G21:M21" si="9">G19-G20</f>
        <v>2839978.2270214297</v>
      </c>
      <c r="H21" s="54">
        <f t="shared" si="9"/>
        <v>4933960.6749999998</v>
      </c>
      <c r="I21" s="54">
        <f t="shared" si="9"/>
        <v>52707.465951276099</v>
      </c>
      <c r="J21" s="54">
        <f t="shared" si="9"/>
        <v>125520.88907810683</v>
      </c>
      <c r="K21" s="54">
        <f t="shared" si="9"/>
        <v>164366.46182866869</v>
      </c>
      <c r="L21" s="54">
        <f t="shared" si="9"/>
        <v>59748.674999999996</v>
      </c>
      <c r="M21" s="54">
        <f t="shared" si="9"/>
        <v>33825.067500000005</v>
      </c>
      <c r="N21" s="130">
        <f t="shared" si="6"/>
        <v>13526679.880914932</v>
      </c>
      <c r="O21" s="32"/>
      <c r="P21" s="3"/>
    </row>
    <row r="22" spans="3:16" x14ac:dyDescent="0.2">
      <c r="C22" s="85" t="s">
        <v>52</v>
      </c>
      <c r="D22" s="68">
        <f>D12</f>
        <v>2.5999999999999999E-2</v>
      </c>
      <c r="E22" s="4"/>
      <c r="F22" s="31"/>
      <c r="G22" s="31"/>
      <c r="H22" s="31"/>
      <c r="I22" s="31"/>
      <c r="J22" s="31"/>
      <c r="K22" s="31"/>
      <c r="L22" s="31"/>
      <c r="M22" s="31"/>
      <c r="N22" s="3"/>
      <c r="O22" s="32"/>
      <c r="P22" s="3"/>
    </row>
    <row r="23" spans="3:16" x14ac:dyDescent="0.2">
      <c r="C23" s="30" t="s">
        <v>49</v>
      </c>
      <c r="D23" s="4"/>
      <c r="E23" s="4"/>
      <c r="F23" s="55">
        <f>F20*(1+$D$22)</f>
        <v>779257.61463476694</v>
      </c>
      <c r="G23" s="55">
        <f t="shared" ref="G23:M23" si="10">G20*(1+$D$22)</f>
        <v>416259.66584628384</v>
      </c>
      <c r="H23" s="55">
        <f t="shared" si="10"/>
        <v>723177.66465000005</v>
      </c>
      <c r="I23" s="55">
        <f t="shared" si="10"/>
        <v>7725.4085808584687</v>
      </c>
      <c r="J23" s="55">
        <f t="shared" si="10"/>
        <v>18397.776027733944</v>
      </c>
      <c r="K23" s="55">
        <f t="shared" si="10"/>
        <v>24091.427119459153</v>
      </c>
      <c r="L23" s="55">
        <f t="shared" si="10"/>
        <v>8757.4486500000003</v>
      </c>
      <c r="M23" s="55">
        <f t="shared" si="10"/>
        <v>4957.7884650000005</v>
      </c>
      <c r="N23" s="130">
        <f t="shared" ref="N23:N24" si="11">SUM(F23:M23)</f>
        <v>1982624.7939741025</v>
      </c>
      <c r="O23" s="32"/>
      <c r="P23" s="3"/>
    </row>
    <row r="24" spans="3:16" x14ac:dyDescent="0.2">
      <c r="C24" s="34" t="s">
        <v>48</v>
      </c>
      <c r="D24" s="6"/>
      <c r="E24" s="6"/>
      <c r="F24" s="56">
        <f>F21*(1+$D$22)</f>
        <v>5454803.3024433684</v>
      </c>
      <c r="G24" s="56">
        <f t="shared" ref="G24:M24" si="12">G21*(1+$D$22)</f>
        <v>2913817.6609239867</v>
      </c>
      <c r="H24" s="56">
        <f t="shared" si="12"/>
        <v>5062243.6525499998</v>
      </c>
      <c r="I24" s="56">
        <f t="shared" si="12"/>
        <v>54077.860066009278</v>
      </c>
      <c r="J24" s="56">
        <f t="shared" si="12"/>
        <v>128784.43219413761</v>
      </c>
      <c r="K24" s="56">
        <f t="shared" si="12"/>
        <v>168639.98983621408</v>
      </c>
      <c r="L24" s="56">
        <f t="shared" si="12"/>
        <v>61302.140549999996</v>
      </c>
      <c r="M24" s="56">
        <f t="shared" si="12"/>
        <v>34704.519255000007</v>
      </c>
      <c r="N24" s="56">
        <f t="shared" si="11"/>
        <v>13878373.557818716</v>
      </c>
      <c r="O24" s="32"/>
      <c r="P24" s="3"/>
    </row>
    <row r="25" spans="3:16" x14ac:dyDescent="0.2">
      <c r="C25" s="4"/>
      <c r="D25" s="103"/>
      <c r="E25" s="4"/>
      <c r="F25" s="2"/>
      <c r="G25" s="2"/>
      <c r="H25" s="2"/>
      <c r="I25" s="2"/>
      <c r="J25" s="2"/>
      <c r="K25" s="2"/>
      <c r="L25" s="2"/>
      <c r="M25" s="2"/>
      <c r="N25" s="93"/>
      <c r="O25" s="93"/>
    </row>
    <row r="26" spans="3:16" x14ac:dyDescent="0.2">
      <c r="C26" s="28" t="s">
        <v>82</v>
      </c>
      <c r="D26" s="6"/>
      <c r="E26" s="6"/>
      <c r="F26" s="13"/>
      <c r="G26" s="13"/>
      <c r="H26" s="13"/>
      <c r="I26" s="13"/>
      <c r="J26" s="13"/>
      <c r="K26" s="13"/>
      <c r="L26" s="13"/>
      <c r="M26" s="13"/>
      <c r="N26" s="93"/>
      <c r="O26" s="93"/>
    </row>
    <row r="27" spans="3:16" x14ac:dyDescent="0.2">
      <c r="C27" s="4" t="s">
        <v>11</v>
      </c>
      <c r="D27" s="4"/>
      <c r="E27" s="4"/>
      <c r="F27" s="67">
        <f>'Marges Elektriciteit 2011'!F15</f>
        <v>6160048.6502917139</v>
      </c>
      <c r="G27" s="67">
        <f>'Marges Elektriciteit 2011'!G15</f>
        <v>3290508</v>
      </c>
      <c r="H27" s="67">
        <f>'Marges Elektriciteit 2011'!H15</f>
        <v>0</v>
      </c>
      <c r="I27" s="67">
        <f>'Marges Elektriciteit 2011'!I15</f>
        <v>80095</v>
      </c>
      <c r="J27" s="67">
        <f>'Marges Elektriciteit 2011'!J15</f>
        <v>105230.18364000002</v>
      </c>
      <c r="K27" s="67">
        <f>'Marges Elektriciteit 2011'!K15</f>
        <v>179873.09999999998</v>
      </c>
      <c r="L27" s="67">
        <f>'Marges Elektriciteit 2011'!L15</f>
        <v>-848.51694160177976</v>
      </c>
      <c r="M27" s="67">
        <f>'Marges Elektriciteit 2011'!M15</f>
        <v>78114.3</v>
      </c>
      <c r="N27" s="64">
        <f t="shared" ref="N27:N37" si="13">SUM(F27:M27)</f>
        <v>9893020.7169901133</v>
      </c>
      <c r="O27" s="93"/>
    </row>
    <row r="28" spans="3:16" x14ac:dyDescent="0.2">
      <c r="C28" s="4" t="s">
        <v>12</v>
      </c>
      <c r="D28" s="4"/>
      <c r="E28" s="4"/>
      <c r="F28" s="67">
        <f>'Marges Elektriciteit 2011'!F16</f>
        <v>5108349.8327206345</v>
      </c>
      <c r="G28" s="67">
        <f>'Marges Elektriciteit 2011'!G16</f>
        <v>695217.15</v>
      </c>
      <c r="H28" s="67">
        <f>'Marges Elektriciteit 2011'!H16</f>
        <v>0</v>
      </c>
      <c r="I28" s="67">
        <f>'Marges Elektriciteit 2011'!I16</f>
        <v>235918</v>
      </c>
      <c r="J28" s="67">
        <f>'Marges Elektriciteit 2011'!J16</f>
        <v>108197.270125</v>
      </c>
      <c r="K28" s="67">
        <f>'Marges Elektriciteit 2011'!K16</f>
        <v>0</v>
      </c>
      <c r="L28" s="67">
        <f>'Marges Elektriciteit 2011'!L16</f>
        <v>2621.85</v>
      </c>
      <c r="M28" s="67">
        <f>'Marges Elektriciteit 2011'!M16</f>
        <v>31751.24</v>
      </c>
      <c r="N28" s="130">
        <f t="shared" si="13"/>
        <v>6182055.3428456346</v>
      </c>
      <c r="O28" s="93"/>
    </row>
    <row r="29" spans="3:16" x14ac:dyDescent="0.2">
      <c r="C29" s="4" t="s">
        <v>13</v>
      </c>
      <c r="D29" s="4"/>
      <c r="E29" s="4"/>
      <c r="F29" s="67">
        <f>'Marges Elektriciteit 2011'!F17</f>
        <v>1632794.351809758</v>
      </c>
      <c r="G29" s="67">
        <f>'Marges Elektriciteit 2011'!G17</f>
        <v>0</v>
      </c>
      <c r="H29" s="67">
        <f>'Marges Elektriciteit 2011'!H17</f>
        <v>0</v>
      </c>
      <c r="I29" s="67">
        <f>'Marges Elektriciteit 2011'!I17</f>
        <v>0</v>
      </c>
      <c r="J29" s="67">
        <f>'Marges Elektriciteit 2011'!J17</f>
        <v>0</v>
      </c>
      <c r="K29" s="67">
        <f>'Marges Elektriciteit 2011'!K17</f>
        <v>0</v>
      </c>
      <c r="L29" s="67">
        <f>'Marges Elektriciteit 2011'!L17</f>
        <v>0</v>
      </c>
      <c r="M29" s="67">
        <f>'Marges Elektriciteit 2011'!M17</f>
        <v>0</v>
      </c>
      <c r="N29" s="130">
        <f t="shared" si="13"/>
        <v>1632794.351809758</v>
      </c>
      <c r="O29" s="93"/>
    </row>
    <row r="30" spans="3:16" x14ac:dyDescent="0.2">
      <c r="C30" s="4" t="s">
        <v>14</v>
      </c>
      <c r="D30" s="4"/>
      <c r="E30" s="4"/>
      <c r="F30" s="67">
        <f>'Marges Elektriciteit 2011'!F18</f>
        <v>56653</v>
      </c>
      <c r="G30" s="67">
        <f>'Marges Elektriciteit 2011'!G18</f>
        <v>0</v>
      </c>
      <c r="H30" s="67">
        <f>'Marges Elektriciteit 2011'!H18</f>
        <v>0</v>
      </c>
      <c r="I30" s="67">
        <f>'Marges Elektriciteit 2011'!I18</f>
        <v>0</v>
      </c>
      <c r="J30" s="67">
        <f>'Marges Elektriciteit 2011'!J18</f>
        <v>0</v>
      </c>
      <c r="K30" s="67">
        <f>'Marges Elektriciteit 2011'!K18</f>
        <v>0</v>
      </c>
      <c r="L30" s="67">
        <f>'Marges Elektriciteit 2011'!L18</f>
        <v>0</v>
      </c>
      <c r="M30" s="67">
        <f>'Marges Elektriciteit 2011'!M18</f>
        <v>0</v>
      </c>
      <c r="N30" s="130">
        <f t="shared" si="13"/>
        <v>56653</v>
      </c>
      <c r="O30" s="93"/>
    </row>
    <row r="31" spans="3:16" x14ac:dyDescent="0.2">
      <c r="C31" s="4" t="s">
        <v>15</v>
      </c>
      <c r="D31" s="4"/>
      <c r="E31" s="4"/>
      <c r="F31" s="67">
        <f>'Marges Elektriciteit 2011'!F19</f>
        <v>0</v>
      </c>
      <c r="G31" s="67">
        <f>'Marges Elektriciteit 2011'!G19</f>
        <v>672577.47</v>
      </c>
      <c r="H31" s="67">
        <f>'Marges Elektriciteit 2011'!H19</f>
        <v>0</v>
      </c>
      <c r="I31" s="67">
        <f>'Marges Elektriciteit 2011'!I19</f>
        <v>0</v>
      </c>
      <c r="J31" s="67">
        <f>'Marges Elektriciteit 2011'!J19</f>
        <v>0</v>
      </c>
      <c r="K31" s="67">
        <f>'Marges Elektriciteit 2011'!K19</f>
        <v>0</v>
      </c>
      <c r="L31" s="67">
        <f>'Marges Elektriciteit 2011'!L19</f>
        <v>0</v>
      </c>
      <c r="M31" s="67">
        <f>'Marges Elektriciteit 2011'!M19</f>
        <v>0</v>
      </c>
      <c r="N31" s="130">
        <f t="shared" si="13"/>
        <v>672577.47</v>
      </c>
      <c r="O31" s="93"/>
    </row>
    <row r="32" spans="3:16" x14ac:dyDescent="0.2">
      <c r="C32" s="5" t="s">
        <v>16</v>
      </c>
      <c r="D32" s="5"/>
      <c r="E32" s="5"/>
      <c r="F32" s="69">
        <f>'Marges Elektriciteit 2011'!F20</f>
        <v>0</v>
      </c>
      <c r="G32" s="69">
        <f>'Marges Elektriciteit 2011'!G20</f>
        <v>0</v>
      </c>
      <c r="H32" s="69">
        <f>'Marges Elektriciteit 2011'!H20</f>
        <v>5592925.0200000005</v>
      </c>
      <c r="I32" s="69">
        <f>'Marges Elektriciteit 2011'!I20</f>
        <v>0</v>
      </c>
      <c r="J32" s="69">
        <f>'Marges Elektriciteit 2011'!J20</f>
        <v>0</v>
      </c>
      <c r="K32" s="69">
        <f>'Marges Elektriciteit 2011'!K20</f>
        <v>0</v>
      </c>
      <c r="L32" s="69">
        <f>'Marges Elektriciteit 2011'!L20</f>
        <v>0</v>
      </c>
      <c r="M32" s="69">
        <f>'Marges Elektriciteit 2011'!M20</f>
        <v>0</v>
      </c>
      <c r="N32" s="63">
        <f t="shared" si="13"/>
        <v>5592925.0200000005</v>
      </c>
      <c r="O32" s="93"/>
    </row>
    <row r="33" spans="3:15" x14ac:dyDescent="0.2">
      <c r="C33" s="4" t="s">
        <v>17</v>
      </c>
      <c r="D33" s="4"/>
      <c r="E33" s="4"/>
      <c r="F33" s="67">
        <f>'Marges Elektriciteit 2011'!F21</f>
        <v>0</v>
      </c>
      <c r="G33" s="67">
        <f>'Marges Elektriciteit 2011'!G21</f>
        <v>0</v>
      </c>
      <c r="H33" s="67">
        <f>'Marges Elektriciteit 2011'!H21</f>
        <v>0</v>
      </c>
      <c r="I33" s="67">
        <f>'Marges Elektriciteit 2011'!I21</f>
        <v>0</v>
      </c>
      <c r="J33" s="67">
        <f>'Marges Elektriciteit 2011'!J21</f>
        <v>0</v>
      </c>
      <c r="K33" s="67">
        <f>'Marges Elektriciteit 2011'!K21</f>
        <v>0</v>
      </c>
      <c r="L33" s="67">
        <f>'Marges Elektriciteit 2011'!L21</f>
        <v>0</v>
      </c>
      <c r="M33" s="67">
        <f>'Marges Elektriciteit 2011'!M21</f>
        <v>0</v>
      </c>
      <c r="N33" s="130">
        <f t="shared" si="13"/>
        <v>0</v>
      </c>
      <c r="O33" s="93"/>
    </row>
    <row r="34" spans="3:15" x14ac:dyDescent="0.2">
      <c r="C34" s="4" t="s">
        <v>19</v>
      </c>
      <c r="D34" s="4"/>
      <c r="E34" s="4"/>
      <c r="F34" s="67">
        <f>'Marges Elektriciteit 2011'!F22</f>
        <v>0</v>
      </c>
      <c r="G34" s="67">
        <f>'Marges Elektriciteit 2011'!G22</f>
        <v>449907</v>
      </c>
      <c r="H34" s="67">
        <f>'Marges Elektriciteit 2011'!H22</f>
        <v>1724850.5265399546</v>
      </c>
      <c r="I34" s="67">
        <f>'Marges Elektriciteit 2011'!I22</f>
        <v>0</v>
      </c>
      <c r="J34" s="67">
        <f>'Marges Elektriciteit 2011'!J22</f>
        <v>0</v>
      </c>
      <c r="K34" s="67">
        <f>'Marges Elektriciteit 2011'!K22</f>
        <v>378598.98442602676</v>
      </c>
      <c r="L34" s="67">
        <f>'Marges Elektriciteit 2011'!L22</f>
        <v>345687.3418325918</v>
      </c>
      <c r="M34" s="67">
        <f>'Marges Elektriciteit 2011'!M22</f>
        <v>42433.98</v>
      </c>
      <c r="N34" s="130">
        <f t="shared" si="13"/>
        <v>2941477.8327985727</v>
      </c>
      <c r="O34" s="93"/>
    </row>
    <row r="35" spans="3:15" x14ac:dyDescent="0.2">
      <c r="C35" s="4" t="s">
        <v>20</v>
      </c>
      <c r="D35" s="4"/>
      <c r="E35" s="4"/>
      <c r="F35" s="67">
        <f>'Marges Elektriciteit 2011'!F23</f>
        <v>0</v>
      </c>
      <c r="G35" s="67">
        <f>'Marges Elektriciteit 2011'!G23</f>
        <v>13042</v>
      </c>
      <c r="H35" s="67">
        <f>'Marges Elektriciteit 2011'!H23</f>
        <v>0</v>
      </c>
      <c r="I35" s="67">
        <f>'Marges Elektriciteit 2011'!I23</f>
        <v>0</v>
      </c>
      <c r="J35" s="67">
        <f>'Marges Elektriciteit 2011'!J23</f>
        <v>0</v>
      </c>
      <c r="K35" s="67">
        <f>'Marges Elektriciteit 2011'!K23</f>
        <v>0</v>
      </c>
      <c r="L35" s="67">
        <f>'Marges Elektriciteit 2011'!L23</f>
        <v>0</v>
      </c>
      <c r="M35" s="67">
        <f>'Marges Elektriciteit 2011'!M23</f>
        <v>0</v>
      </c>
      <c r="N35" s="130">
        <f t="shared" si="13"/>
        <v>13042</v>
      </c>
      <c r="O35" s="93"/>
    </row>
    <row r="36" spans="3:15" x14ac:dyDescent="0.2">
      <c r="C36" s="6" t="s">
        <v>21</v>
      </c>
      <c r="D36" s="6"/>
      <c r="E36" s="6"/>
      <c r="F36" s="67">
        <f>'Marges Elektriciteit 2011'!F24</f>
        <v>0</v>
      </c>
      <c r="G36" s="67">
        <f>'Marges Elektriciteit 2011'!G24</f>
        <v>0</v>
      </c>
      <c r="H36" s="67">
        <f>'Marges Elektriciteit 2011'!H24</f>
        <v>0</v>
      </c>
      <c r="I36" s="67">
        <f>'Marges Elektriciteit 2011'!I24</f>
        <v>0</v>
      </c>
      <c r="J36" s="67">
        <f>'Marges Elektriciteit 2011'!J24</f>
        <v>0</v>
      </c>
      <c r="K36" s="67">
        <f>'Marges Elektriciteit 2011'!K24</f>
        <v>0</v>
      </c>
      <c r="L36" s="67">
        <f>'Marges Elektriciteit 2011'!L24</f>
        <v>0</v>
      </c>
      <c r="M36" s="67">
        <f>'Marges Elektriciteit 2011'!M24</f>
        <v>0</v>
      </c>
      <c r="N36" s="56">
        <f t="shared" si="13"/>
        <v>0</v>
      </c>
      <c r="O36" s="93"/>
    </row>
    <row r="37" spans="3:15" x14ac:dyDescent="0.2">
      <c r="C37" s="2" t="s">
        <v>9</v>
      </c>
      <c r="D37" s="4"/>
      <c r="E37" s="4"/>
      <c r="F37" s="55">
        <f t="shared" ref="F37:M37" si="14">SUM(F27:F36)</f>
        <v>12957845.834822107</v>
      </c>
      <c r="G37" s="55">
        <f t="shared" si="14"/>
        <v>5121251.62</v>
      </c>
      <c r="H37" s="55">
        <f t="shared" si="14"/>
        <v>7317775.5465399548</v>
      </c>
      <c r="I37" s="55">
        <f t="shared" si="14"/>
        <v>316013</v>
      </c>
      <c r="J37" s="55">
        <f t="shared" si="14"/>
        <v>213427.45376500001</v>
      </c>
      <c r="K37" s="55">
        <f t="shared" si="14"/>
        <v>558472.08442602679</v>
      </c>
      <c r="L37" s="55">
        <f t="shared" si="14"/>
        <v>347460.67489099002</v>
      </c>
      <c r="M37" s="55">
        <f t="shared" si="14"/>
        <v>152299.52000000002</v>
      </c>
      <c r="N37" s="130">
        <f t="shared" si="13"/>
        <v>26984545.734444082</v>
      </c>
      <c r="O37" s="93"/>
    </row>
    <row r="38" spans="3:15" x14ac:dyDescent="0.2">
      <c r="C38" s="2"/>
      <c r="D38" s="4"/>
      <c r="E38" s="4"/>
      <c r="F38" s="93"/>
      <c r="G38" s="93"/>
      <c r="H38" s="93"/>
      <c r="I38" s="93"/>
      <c r="J38" s="93"/>
      <c r="K38" s="93"/>
      <c r="L38" s="93"/>
      <c r="M38" s="93"/>
      <c r="N38" s="93"/>
      <c r="O38" s="93"/>
    </row>
    <row r="39" spans="3:15" x14ac:dyDescent="0.2">
      <c r="C39" s="18" t="s">
        <v>83</v>
      </c>
      <c r="D39" s="20"/>
      <c r="E39" s="20"/>
      <c r="F39" s="6"/>
      <c r="G39" s="6"/>
      <c r="H39" s="6"/>
      <c r="I39" s="6"/>
      <c r="J39" s="6"/>
      <c r="K39" s="6"/>
      <c r="L39" s="6"/>
      <c r="M39" s="6"/>
      <c r="N39" s="6"/>
    </row>
    <row r="40" spans="3:15" x14ac:dyDescent="0.2">
      <c r="C40" s="4" t="s">
        <v>11</v>
      </c>
      <c r="D40" s="21"/>
      <c r="E40" s="21"/>
      <c r="F40" s="67">
        <f>'Marges Elektriciteit 2011'!F41</f>
        <v>5817823.7252755072</v>
      </c>
      <c r="G40" s="67">
        <f>'Marges Elektriciteit 2011'!G41</f>
        <v>3107702</v>
      </c>
      <c r="H40" s="67">
        <f>'Marges Elektriciteit 2011'!H41</f>
        <v>0</v>
      </c>
      <c r="I40" s="67">
        <f>'Marges Elektriciteit 2011'!I41</f>
        <v>75645.277777777781</v>
      </c>
      <c r="J40" s="67">
        <f>'Marges Elektriciteit 2011'!J41</f>
        <v>99384.062326666681</v>
      </c>
      <c r="K40" s="67">
        <f>'Marges Elektriciteit 2011'!K41</f>
        <v>169880.14999999997</v>
      </c>
      <c r="L40" s="67">
        <f>'Marges Elektriciteit 2011'!L41</f>
        <v>-801.377111512792</v>
      </c>
      <c r="M40" s="67">
        <f>'Marges Elektriciteit 2011'!M41</f>
        <v>73774.616666666669</v>
      </c>
      <c r="N40" s="55">
        <f t="shared" ref="N40:N50" si="15">SUM(F40:M40)</f>
        <v>9343408.4549351055</v>
      </c>
    </row>
    <row r="41" spans="3:15" x14ac:dyDescent="0.2">
      <c r="C41" s="4" t="s">
        <v>12</v>
      </c>
      <c r="D41" s="21"/>
      <c r="E41" s="21"/>
      <c r="F41" s="67">
        <f>'Marges Elektriciteit 2011'!F42</f>
        <v>4938071.5049632797</v>
      </c>
      <c r="G41" s="67">
        <f>'Marges Elektriciteit 2011'!G42</f>
        <v>672043.245</v>
      </c>
      <c r="H41" s="67">
        <f>'Marges Elektriciteit 2011'!H42</f>
        <v>0</v>
      </c>
      <c r="I41" s="67">
        <f>'Marges Elektriciteit 2011'!I42</f>
        <v>228054.06666666668</v>
      </c>
      <c r="J41" s="67">
        <f>'Marges Elektriciteit 2011'!J42</f>
        <v>104590.69445416666</v>
      </c>
      <c r="K41" s="67">
        <f>'Marges Elektriciteit 2011'!K42</f>
        <v>0</v>
      </c>
      <c r="L41" s="67">
        <f>'Marges Elektriciteit 2011'!L42</f>
        <v>2534.4549999999999</v>
      </c>
      <c r="M41" s="67">
        <f>'Marges Elektriciteit 2011'!M42</f>
        <v>30692.865333333335</v>
      </c>
      <c r="N41" s="130">
        <f t="shared" si="15"/>
        <v>5975986.831417447</v>
      </c>
    </row>
    <row r="42" spans="3:15" x14ac:dyDescent="0.2">
      <c r="C42" s="4" t="s">
        <v>13</v>
      </c>
      <c r="D42" s="21"/>
      <c r="E42" s="21"/>
      <c r="F42" s="67">
        <f>'Marges Elektriciteit 2011'!F43</f>
        <v>1542083.5544869937</v>
      </c>
      <c r="G42" s="67">
        <f>'Marges Elektriciteit 2011'!G43</f>
        <v>0</v>
      </c>
      <c r="H42" s="67">
        <f>'Marges Elektriciteit 2011'!H43</f>
        <v>0</v>
      </c>
      <c r="I42" s="67">
        <f>'Marges Elektriciteit 2011'!I43</f>
        <v>0</v>
      </c>
      <c r="J42" s="67">
        <f>'Marges Elektriciteit 2011'!J43</f>
        <v>0</v>
      </c>
      <c r="K42" s="67">
        <f>'Marges Elektriciteit 2011'!K43</f>
        <v>0</v>
      </c>
      <c r="L42" s="67">
        <f>'Marges Elektriciteit 2011'!L43</f>
        <v>0</v>
      </c>
      <c r="M42" s="67">
        <f>'Marges Elektriciteit 2011'!M43</f>
        <v>0</v>
      </c>
      <c r="N42" s="130">
        <f t="shared" si="15"/>
        <v>1542083.5544869937</v>
      </c>
    </row>
    <row r="43" spans="3:15" x14ac:dyDescent="0.2">
      <c r="C43" s="4" t="s">
        <v>14</v>
      </c>
      <c r="D43" s="21"/>
      <c r="E43" s="21"/>
      <c r="F43" s="67">
        <f>'Marges Elektriciteit 2011'!F44</f>
        <v>54764.566666666666</v>
      </c>
      <c r="G43" s="67">
        <f>'Marges Elektriciteit 2011'!G44</f>
        <v>0</v>
      </c>
      <c r="H43" s="67">
        <f>'Marges Elektriciteit 2011'!H44</f>
        <v>0</v>
      </c>
      <c r="I43" s="67">
        <f>'Marges Elektriciteit 2011'!I44</f>
        <v>0</v>
      </c>
      <c r="J43" s="67">
        <f>'Marges Elektriciteit 2011'!J44</f>
        <v>0</v>
      </c>
      <c r="K43" s="67">
        <f>'Marges Elektriciteit 2011'!K44</f>
        <v>0</v>
      </c>
      <c r="L43" s="67">
        <f>'Marges Elektriciteit 2011'!L44</f>
        <v>0</v>
      </c>
      <c r="M43" s="67">
        <f>'Marges Elektriciteit 2011'!M44</f>
        <v>0</v>
      </c>
      <c r="N43" s="130">
        <f t="shared" si="15"/>
        <v>54764.566666666666</v>
      </c>
    </row>
    <row r="44" spans="3:15" x14ac:dyDescent="0.2">
      <c r="C44" s="4" t="s">
        <v>15</v>
      </c>
      <c r="D44" s="21"/>
      <c r="E44" s="21"/>
      <c r="F44" s="67">
        <f>'Marges Elektriciteit 2011'!F45</f>
        <v>0</v>
      </c>
      <c r="G44" s="67">
        <f>'Marges Elektriciteit 2011'!G45</f>
        <v>638948.59649999999</v>
      </c>
      <c r="H44" s="67">
        <f>'Marges Elektriciteit 2011'!H45</f>
        <v>0</v>
      </c>
      <c r="I44" s="67">
        <f>'Marges Elektriciteit 2011'!I45</f>
        <v>0</v>
      </c>
      <c r="J44" s="67">
        <f>'Marges Elektriciteit 2011'!J45</f>
        <v>0</v>
      </c>
      <c r="K44" s="67">
        <f>'Marges Elektriciteit 2011'!K45</f>
        <v>0</v>
      </c>
      <c r="L44" s="67">
        <f>'Marges Elektriciteit 2011'!L45</f>
        <v>0</v>
      </c>
      <c r="M44" s="67">
        <f>'Marges Elektriciteit 2011'!M45</f>
        <v>0</v>
      </c>
      <c r="N44" s="130">
        <f t="shared" si="15"/>
        <v>638948.59649999999</v>
      </c>
    </row>
    <row r="45" spans="3:15" x14ac:dyDescent="0.2">
      <c r="C45" s="5" t="s">
        <v>16</v>
      </c>
      <c r="D45" s="22"/>
      <c r="E45" s="22"/>
      <c r="F45" s="69">
        <f>'Marges Elektriciteit 2011'!F46</f>
        <v>0</v>
      </c>
      <c r="G45" s="69">
        <f>'Marges Elektriciteit 2011'!G46</f>
        <v>0</v>
      </c>
      <c r="H45" s="69">
        <f>'Marges Elektriciteit 2011'!H46</f>
        <v>5406494.1860000007</v>
      </c>
      <c r="I45" s="69">
        <f>'Marges Elektriciteit 2011'!I46</f>
        <v>0</v>
      </c>
      <c r="J45" s="69">
        <f>'Marges Elektriciteit 2011'!J46</f>
        <v>0</v>
      </c>
      <c r="K45" s="69">
        <f>'Marges Elektriciteit 2011'!K46</f>
        <v>0</v>
      </c>
      <c r="L45" s="69">
        <f>'Marges Elektriciteit 2011'!L46</f>
        <v>0</v>
      </c>
      <c r="M45" s="69">
        <f>'Marges Elektriciteit 2011'!M46</f>
        <v>0</v>
      </c>
      <c r="N45" s="63">
        <f t="shared" si="15"/>
        <v>5406494.1860000007</v>
      </c>
    </row>
    <row r="46" spans="3:15" x14ac:dyDescent="0.2">
      <c r="C46" s="4" t="s">
        <v>17</v>
      </c>
      <c r="D46" s="21"/>
      <c r="E46" s="21"/>
      <c r="F46" s="67">
        <f>'Marges Elektriciteit 2011'!F47</f>
        <v>0</v>
      </c>
      <c r="G46" s="67">
        <f>'Marges Elektriciteit 2011'!G47</f>
        <v>0</v>
      </c>
      <c r="H46" s="67">
        <f>'Marges Elektriciteit 2011'!H47</f>
        <v>0</v>
      </c>
      <c r="I46" s="67">
        <f>'Marges Elektriciteit 2011'!I47</f>
        <v>0</v>
      </c>
      <c r="J46" s="67">
        <f>'Marges Elektriciteit 2011'!J47</f>
        <v>0</v>
      </c>
      <c r="K46" s="67">
        <f>'Marges Elektriciteit 2011'!K47</f>
        <v>0</v>
      </c>
      <c r="L46" s="67">
        <f>'Marges Elektriciteit 2011'!L47</f>
        <v>0</v>
      </c>
      <c r="M46" s="67">
        <f>'Marges Elektriciteit 2011'!M47</f>
        <v>0</v>
      </c>
      <c r="N46" s="130">
        <f t="shared" si="15"/>
        <v>0</v>
      </c>
    </row>
    <row r="47" spans="3:15" x14ac:dyDescent="0.2">
      <c r="C47" s="4" t="s">
        <v>19</v>
      </c>
      <c r="D47" s="21"/>
      <c r="E47" s="21"/>
      <c r="F47" s="67">
        <f>'Marges Elektriciteit 2011'!F48</f>
        <v>0</v>
      </c>
      <c r="G47" s="67">
        <f>'Marges Elektriciteit 2011'!G48</f>
        <v>404916.3</v>
      </c>
      <c r="H47" s="67">
        <f>'Marges Elektriciteit 2011'!H48</f>
        <v>1552365.473885959</v>
      </c>
      <c r="I47" s="67">
        <f>'Marges Elektriciteit 2011'!I48</f>
        <v>0</v>
      </c>
      <c r="J47" s="67">
        <f>'Marges Elektriciteit 2011'!J48</f>
        <v>0</v>
      </c>
      <c r="K47" s="67">
        <f>'Marges Elektriciteit 2011'!K48</f>
        <v>340739.0859834241</v>
      </c>
      <c r="L47" s="67">
        <f>'Marges Elektriciteit 2011'!L48</f>
        <v>311118.60764933261</v>
      </c>
      <c r="M47" s="67">
        <f>'Marges Elektriciteit 2011'!M48</f>
        <v>38190.582000000002</v>
      </c>
      <c r="N47" s="130">
        <f t="shared" si="15"/>
        <v>2647330.0495187161</v>
      </c>
    </row>
    <row r="48" spans="3:15" x14ac:dyDescent="0.2">
      <c r="C48" s="4" t="s">
        <v>20</v>
      </c>
      <c r="D48" s="21"/>
      <c r="E48" s="21"/>
      <c r="F48" s="67">
        <f>'Marges Elektriciteit 2011'!F49</f>
        <v>0</v>
      </c>
      <c r="G48" s="67">
        <f>'Marges Elektriciteit 2011'!G49</f>
        <v>12389.9</v>
      </c>
      <c r="H48" s="67">
        <f>'Marges Elektriciteit 2011'!H49</f>
        <v>0</v>
      </c>
      <c r="I48" s="67">
        <f>'Marges Elektriciteit 2011'!I49</f>
        <v>0</v>
      </c>
      <c r="J48" s="67">
        <f>'Marges Elektriciteit 2011'!J49</f>
        <v>0</v>
      </c>
      <c r="K48" s="67">
        <f>'Marges Elektriciteit 2011'!K49</f>
        <v>0</v>
      </c>
      <c r="L48" s="67">
        <f>'Marges Elektriciteit 2011'!L49</f>
        <v>0</v>
      </c>
      <c r="M48" s="67">
        <f>'Marges Elektriciteit 2011'!M49</f>
        <v>0</v>
      </c>
      <c r="N48" s="130">
        <f t="shared" si="15"/>
        <v>12389.9</v>
      </c>
    </row>
    <row r="49" spans="1:14" x14ac:dyDescent="0.2">
      <c r="C49" s="6" t="s">
        <v>21</v>
      </c>
      <c r="D49" s="23"/>
      <c r="E49" s="23"/>
      <c r="F49" s="70">
        <f>'Marges Elektriciteit 2011'!F50</f>
        <v>0</v>
      </c>
      <c r="G49" s="70">
        <f>'Marges Elektriciteit 2011'!G50</f>
        <v>0</v>
      </c>
      <c r="H49" s="70">
        <f>'Marges Elektriciteit 2011'!H50</f>
        <v>0</v>
      </c>
      <c r="I49" s="70">
        <f>'Marges Elektriciteit 2011'!I50</f>
        <v>0</v>
      </c>
      <c r="J49" s="70">
        <f>'Marges Elektriciteit 2011'!J50</f>
        <v>0</v>
      </c>
      <c r="K49" s="70">
        <f>'Marges Elektriciteit 2011'!K50</f>
        <v>0</v>
      </c>
      <c r="L49" s="70">
        <f>'Marges Elektriciteit 2011'!L50</f>
        <v>0</v>
      </c>
      <c r="M49" s="70">
        <f>'Marges Elektriciteit 2011'!M50</f>
        <v>0</v>
      </c>
      <c r="N49" s="56">
        <f t="shared" si="15"/>
        <v>0</v>
      </c>
    </row>
    <row r="50" spans="1:14" x14ac:dyDescent="0.2">
      <c r="C50" s="7" t="s">
        <v>9</v>
      </c>
      <c r="D50" s="29"/>
      <c r="E50" s="29"/>
      <c r="F50" s="55">
        <f>SUM(F40:F49)</f>
        <v>12352743.351392448</v>
      </c>
      <c r="G50" s="55">
        <f t="shared" ref="G50:M50" si="16">SUM(G40:G49)</f>
        <v>4836000.0415000003</v>
      </c>
      <c r="H50" s="55">
        <f>SUM(H40:H49)</f>
        <v>6958859.6598859597</v>
      </c>
      <c r="I50" s="55">
        <f t="shared" si="16"/>
        <v>303699.34444444446</v>
      </c>
      <c r="J50" s="55">
        <f t="shared" si="16"/>
        <v>203974.75678083336</v>
      </c>
      <c r="K50" s="55">
        <f t="shared" si="16"/>
        <v>510619.23598342406</v>
      </c>
      <c r="L50" s="55">
        <f t="shared" si="16"/>
        <v>312851.68553781981</v>
      </c>
      <c r="M50" s="55">
        <f t="shared" si="16"/>
        <v>142658.06400000001</v>
      </c>
      <c r="N50" s="130">
        <f t="shared" si="15"/>
        <v>25621406.139524929</v>
      </c>
    </row>
    <row r="51" spans="1:14" x14ac:dyDescent="0.2">
      <c r="C51" s="4"/>
      <c r="D51" s="4"/>
      <c r="E51" s="4"/>
      <c r="F51" s="2"/>
      <c r="G51" s="2"/>
      <c r="H51" s="2"/>
      <c r="I51" s="2"/>
      <c r="J51" s="2"/>
      <c r="K51" s="2"/>
      <c r="L51" s="2"/>
      <c r="M51" s="2"/>
    </row>
    <row r="52" spans="1:14" x14ac:dyDescent="0.2">
      <c r="A52" s="4"/>
      <c r="C52" s="18" t="s">
        <v>84</v>
      </c>
      <c r="D52" s="133" t="s">
        <v>81</v>
      </c>
      <c r="E52" s="6"/>
      <c r="F52" s="19"/>
      <c r="G52" s="19"/>
      <c r="H52" s="19"/>
      <c r="I52" s="19"/>
      <c r="J52" s="19"/>
      <c r="K52" s="19"/>
      <c r="L52" s="19"/>
      <c r="M52" s="19"/>
    </row>
    <row r="53" spans="1:14" x14ac:dyDescent="0.2">
      <c r="A53" s="4"/>
      <c r="C53" s="4" t="s">
        <v>11</v>
      </c>
      <c r="D53" s="59">
        <f>'Marges Elektriciteit 2011'!D28</f>
        <v>9</v>
      </c>
      <c r="E53" s="4"/>
      <c r="F53" s="55">
        <f>IF($D53&lt;&gt;"Geen",(F27/$D53),0)</f>
        <v>684449.85003241268</v>
      </c>
      <c r="G53" s="55">
        <f t="shared" ref="G53:M53" si="17">IF($D53&lt;&gt;"Geen",(G27/$D53),0)</f>
        <v>365612</v>
      </c>
      <c r="H53" s="55">
        <f t="shared" si="17"/>
        <v>0</v>
      </c>
      <c r="I53" s="55">
        <f t="shared" si="17"/>
        <v>8899.4444444444453</v>
      </c>
      <c r="J53" s="55">
        <f t="shared" si="17"/>
        <v>11692.242626666668</v>
      </c>
      <c r="K53" s="55">
        <f t="shared" si="17"/>
        <v>19985.899999999998</v>
      </c>
      <c r="L53" s="55">
        <f t="shared" si="17"/>
        <v>-94.279660177975529</v>
      </c>
      <c r="M53" s="55">
        <f t="shared" si="17"/>
        <v>8679.3666666666668</v>
      </c>
      <c r="N53" s="64">
        <f t="shared" ref="N53:N63" si="18">SUM(F53:M53)</f>
        <v>1099224.5241100125</v>
      </c>
    </row>
    <row r="54" spans="1:14" x14ac:dyDescent="0.2">
      <c r="A54" s="4"/>
      <c r="C54" s="4" t="s">
        <v>12</v>
      </c>
      <c r="D54" s="59">
        <f>'Marges Elektriciteit 2011'!D29</f>
        <v>15</v>
      </c>
      <c r="E54" s="4"/>
      <c r="F54" s="55">
        <f t="shared" ref="F54:F62" si="19">IF($D54&lt;&gt;"Geen",(F28/$D54),0)</f>
        <v>340556.65551470895</v>
      </c>
      <c r="G54" s="55">
        <f t="shared" ref="G54:M54" si="20">IF($D54&lt;&gt;"Geen",(G28/$D54),0)</f>
        <v>46347.810000000005</v>
      </c>
      <c r="H54" s="55">
        <f t="shared" si="20"/>
        <v>0</v>
      </c>
      <c r="I54" s="55">
        <f t="shared" si="20"/>
        <v>15727.866666666667</v>
      </c>
      <c r="J54" s="55">
        <f t="shared" si="20"/>
        <v>7213.1513416666667</v>
      </c>
      <c r="K54" s="55">
        <f t="shared" si="20"/>
        <v>0</v>
      </c>
      <c r="L54" s="55">
        <f t="shared" si="20"/>
        <v>174.79</v>
      </c>
      <c r="M54" s="55">
        <f t="shared" si="20"/>
        <v>2116.7493333333337</v>
      </c>
      <c r="N54" s="130">
        <f t="shared" si="18"/>
        <v>412137.02285637555</v>
      </c>
    </row>
    <row r="55" spans="1:14" x14ac:dyDescent="0.2">
      <c r="A55" s="4"/>
      <c r="C55" s="4" t="s">
        <v>13</v>
      </c>
      <c r="D55" s="59">
        <f>'Marges Elektriciteit 2011'!D30</f>
        <v>9</v>
      </c>
      <c r="E55" s="4"/>
      <c r="F55" s="55">
        <f t="shared" si="19"/>
        <v>181421.59464552868</v>
      </c>
      <c r="G55" s="55">
        <f t="shared" ref="G55:M55" si="21">IF($D55&lt;&gt;"Geen",(G29/$D55),0)</f>
        <v>0</v>
      </c>
      <c r="H55" s="55">
        <f t="shared" si="21"/>
        <v>0</v>
      </c>
      <c r="I55" s="55">
        <f t="shared" si="21"/>
        <v>0</v>
      </c>
      <c r="J55" s="55">
        <f t="shared" si="21"/>
        <v>0</v>
      </c>
      <c r="K55" s="55">
        <f t="shared" si="21"/>
        <v>0</v>
      </c>
      <c r="L55" s="55">
        <f t="shared" si="21"/>
        <v>0</v>
      </c>
      <c r="M55" s="55">
        <f t="shared" si="21"/>
        <v>0</v>
      </c>
      <c r="N55" s="130">
        <f t="shared" si="18"/>
        <v>181421.59464552868</v>
      </c>
    </row>
    <row r="56" spans="1:14" x14ac:dyDescent="0.2">
      <c r="A56" s="4"/>
      <c r="C56" s="4" t="s">
        <v>14</v>
      </c>
      <c r="D56" s="59">
        <f>'Marges Elektriciteit 2011'!D31</f>
        <v>15</v>
      </c>
      <c r="E56" s="4"/>
      <c r="F56" s="55">
        <f t="shared" si="19"/>
        <v>3776.8666666666668</v>
      </c>
      <c r="G56" s="55">
        <f t="shared" ref="G56:M56" si="22">IF($D56&lt;&gt;"Geen",(G30/$D56),0)</f>
        <v>0</v>
      </c>
      <c r="H56" s="55">
        <f t="shared" si="22"/>
        <v>0</v>
      </c>
      <c r="I56" s="55">
        <f t="shared" si="22"/>
        <v>0</v>
      </c>
      <c r="J56" s="55">
        <f t="shared" si="22"/>
        <v>0</v>
      </c>
      <c r="K56" s="55">
        <f t="shared" si="22"/>
        <v>0</v>
      </c>
      <c r="L56" s="55">
        <f t="shared" si="22"/>
        <v>0</v>
      </c>
      <c r="M56" s="55">
        <f t="shared" si="22"/>
        <v>0</v>
      </c>
      <c r="N56" s="130">
        <f t="shared" si="18"/>
        <v>3776.8666666666668</v>
      </c>
    </row>
    <row r="57" spans="1:14" x14ac:dyDescent="0.2">
      <c r="A57" s="4"/>
      <c r="C57" s="4" t="s">
        <v>15</v>
      </c>
      <c r="D57" s="59">
        <f>'Marges Elektriciteit 2011'!D32</f>
        <v>10</v>
      </c>
      <c r="E57" s="4"/>
      <c r="F57" s="55">
        <f t="shared" si="19"/>
        <v>0</v>
      </c>
      <c r="G57" s="55">
        <f t="shared" ref="G57:M57" si="23">IF($D57&lt;&gt;"Geen",(G31/$D57),0)</f>
        <v>67257.747000000003</v>
      </c>
      <c r="H57" s="55">
        <f t="shared" si="23"/>
        <v>0</v>
      </c>
      <c r="I57" s="55">
        <f t="shared" si="23"/>
        <v>0</v>
      </c>
      <c r="J57" s="55">
        <f t="shared" si="23"/>
        <v>0</v>
      </c>
      <c r="K57" s="55">
        <f t="shared" si="23"/>
        <v>0</v>
      </c>
      <c r="L57" s="55">
        <f t="shared" si="23"/>
        <v>0</v>
      </c>
      <c r="M57" s="55">
        <f t="shared" si="23"/>
        <v>0</v>
      </c>
      <c r="N57" s="130">
        <f t="shared" si="18"/>
        <v>67257.747000000003</v>
      </c>
    </row>
    <row r="58" spans="1:14" x14ac:dyDescent="0.2">
      <c r="A58" s="4"/>
      <c r="C58" s="5" t="s">
        <v>16</v>
      </c>
      <c r="D58" s="60">
        <f>'Marges Elektriciteit 2011'!D33</f>
        <v>15</v>
      </c>
      <c r="E58" s="5"/>
      <c r="F58" s="63">
        <f t="shared" si="19"/>
        <v>0</v>
      </c>
      <c r="G58" s="63">
        <f t="shared" ref="G58:M58" si="24">IF($D58&lt;&gt;"Geen",(G32/$D58),0)</f>
        <v>0</v>
      </c>
      <c r="H58" s="63">
        <f t="shared" si="24"/>
        <v>372861.66800000001</v>
      </c>
      <c r="I58" s="63">
        <f t="shared" si="24"/>
        <v>0</v>
      </c>
      <c r="J58" s="63">
        <f t="shared" si="24"/>
        <v>0</v>
      </c>
      <c r="K58" s="63">
        <f t="shared" si="24"/>
        <v>0</v>
      </c>
      <c r="L58" s="63">
        <f t="shared" si="24"/>
        <v>0</v>
      </c>
      <c r="M58" s="63">
        <f t="shared" si="24"/>
        <v>0</v>
      </c>
      <c r="N58" s="63">
        <f t="shared" si="18"/>
        <v>372861.66800000001</v>
      </c>
    </row>
    <row r="59" spans="1:14" x14ac:dyDescent="0.2">
      <c r="A59" s="4"/>
      <c r="C59" s="4" t="s">
        <v>17</v>
      </c>
      <c r="D59" s="78" t="s">
        <v>18</v>
      </c>
      <c r="E59" s="4"/>
      <c r="F59" s="55">
        <f t="shared" si="19"/>
        <v>0</v>
      </c>
      <c r="G59" s="55">
        <f t="shared" ref="G59:M59" si="25">IF($D59&lt;&gt;"Geen",(G33/$D59),0)</f>
        <v>0</v>
      </c>
      <c r="H59" s="55">
        <f t="shared" si="25"/>
        <v>0</v>
      </c>
      <c r="I59" s="55">
        <f t="shared" si="25"/>
        <v>0</v>
      </c>
      <c r="J59" s="55">
        <f t="shared" si="25"/>
        <v>0</v>
      </c>
      <c r="K59" s="55">
        <f t="shared" si="25"/>
        <v>0</v>
      </c>
      <c r="L59" s="55">
        <f t="shared" si="25"/>
        <v>0</v>
      </c>
      <c r="M59" s="55">
        <f t="shared" si="25"/>
        <v>0</v>
      </c>
      <c r="N59" s="130">
        <f t="shared" si="18"/>
        <v>0</v>
      </c>
    </row>
    <row r="60" spans="1:14" x14ac:dyDescent="0.2">
      <c r="A60" s="4"/>
      <c r="C60" s="4" t="s">
        <v>19</v>
      </c>
      <c r="D60" s="61">
        <f>'Marges Elektriciteit 2011'!D35</f>
        <v>5</v>
      </c>
      <c r="E60" s="4"/>
      <c r="F60" s="55">
        <f t="shared" si="19"/>
        <v>0</v>
      </c>
      <c r="G60" s="55">
        <f t="shared" ref="G60:M60" si="26">IF($D60&lt;&gt;"Geen",(G34/$D60),0)</f>
        <v>89981.4</v>
      </c>
      <c r="H60" s="55">
        <f t="shared" si="26"/>
        <v>344970.10530799092</v>
      </c>
      <c r="I60" s="55">
        <f t="shared" si="26"/>
        <v>0</v>
      </c>
      <c r="J60" s="55">
        <f t="shared" si="26"/>
        <v>0</v>
      </c>
      <c r="K60" s="55">
        <f t="shared" si="26"/>
        <v>75719.796885205345</v>
      </c>
      <c r="L60" s="55">
        <f t="shared" si="26"/>
        <v>69137.468366518355</v>
      </c>
      <c r="M60" s="55">
        <f t="shared" si="26"/>
        <v>8486.7960000000003</v>
      </c>
      <c r="N60" s="130">
        <f t="shared" si="18"/>
        <v>588295.56655971461</v>
      </c>
    </row>
    <row r="61" spans="1:14" x14ac:dyDescent="0.2">
      <c r="A61" s="4"/>
      <c r="C61" s="4" t="s">
        <v>20</v>
      </c>
      <c r="D61" s="61">
        <f>'Marges Elektriciteit 2011'!D36</f>
        <v>10</v>
      </c>
      <c r="E61" s="4"/>
      <c r="F61" s="55">
        <f t="shared" si="19"/>
        <v>0</v>
      </c>
      <c r="G61" s="55">
        <f t="shared" ref="G61:M61" si="27">IF($D61&lt;&gt;"Geen",(G35/$D61),0)</f>
        <v>1304.2</v>
      </c>
      <c r="H61" s="55">
        <f t="shared" si="27"/>
        <v>0</v>
      </c>
      <c r="I61" s="55">
        <f t="shared" si="27"/>
        <v>0</v>
      </c>
      <c r="J61" s="55">
        <f t="shared" si="27"/>
        <v>0</v>
      </c>
      <c r="K61" s="55">
        <f t="shared" si="27"/>
        <v>0</v>
      </c>
      <c r="L61" s="55">
        <f t="shared" si="27"/>
        <v>0</v>
      </c>
      <c r="M61" s="55">
        <f t="shared" si="27"/>
        <v>0</v>
      </c>
      <c r="N61" s="130">
        <f t="shared" si="18"/>
        <v>1304.2</v>
      </c>
    </row>
    <row r="62" spans="1:14" x14ac:dyDescent="0.2">
      <c r="A62" s="4"/>
      <c r="C62" s="6" t="s">
        <v>21</v>
      </c>
      <c r="D62" s="62">
        <f>'Marges Elektriciteit 2011'!D37</f>
        <v>30</v>
      </c>
      <c r="E62" s="6"/>
      <c r="F62" s="55">
        <f t="shared" si="19"/>
        <v>0</v>
      </c>
      <c r="G62" s="55">
        <f t="shared" ref="G62:M62" si="28">IF($D62&lt;&gt;"Geen",(G36/$D62),0)</f>
        <v>0</v>
      </c>
      <c r="H62" s="55">
        <f t="shared" si="28"/>
        <v>0</v>
      </c>
      <c r="I62" s="55">
        <f t="shared" si="28"/>
        <v>0</v>
      </c>
      <c r="J62" s="55">
        <f t="shared" si="28"/>
        <v>0</v>
      </c>
      <c r="K62" s="55">
        <f t="shared" si="28"/>
        <v>0</v>
      </c>
      <c r="L62" s="55">
        <f t="shared" si="28"/>
        <v>0</v>
      </c>
      <c r="M62" s="55">
        <f t="shared" si="28"/>
        <v>0</v>
      </c>
      <c r="N62" s="56">
        <f t="shared" si="18"/>
        <v>0</v>
      </c>
    </row>
    <row r="63" spans="1:14" x14ac:dyDescent="0.2">
      <c r="C63" s="2" t="s">
        <v>9</v>
      </c>
      <c r="D63" s="4"/>
      <c r="E63" s="4"/>
      <c r="F63" s="64">
        <f>SUM(F53:F62)</f>
        <v>1210204.9668593169</v>
      </c>
      <c r="G63" s="64">
        <f t="shared" ref="G63:M63" si="29">SUM(G53:G62)</f>
        <v>570503.15700000001</v>
      </c>
      <c r="H63" s="64">
        <f t="shared" si="29"/>
        <v>717831.77330799098</v>
      </c>
      <c r="I63" s="64">
        <f t="shared" si="29"/>
        <v>24627.311111111114</v>
      </c>
      <c r="J63" s="64">
        <f t="shared" si="29"/>
        <v>18905.393968333334</v>
      </c>
      <c r="K63" s="64">
        <f t="shared" si="29"/>
        <v>95705.69688520534</v>
      </c>
      <c r="L63" s="64">
        <f t="shared" si="29"/>
        <v>69217.978706340378</v>
      </c>
      <c r="M63" s="64">
        <f t="shared" si="29"/>
        <v>19282.912</v>
      </c>
      <c r="N63" s="130">
        <f t="shared" si="18"/>
        <v>2726279.1898382986</v>
      </c>
    </row>
    <row r="64" spans="1:14" x14ac:dyDescent="0.2">
      <c r="C64" s="4"/>
      <c r="D64" s="4"/>
      <c r="E64" s="4"/>
      <c r="F64" s="2"/>
      <c r="G64" s="2"/>
      <c r="H64" s="2"/>
      <c r="I64" s="2"/>
      <c r="J64" s="2"/>
      <c r="K64" s="2"/>
      <c r="L64" s="2"/>
      <c r="M64" s="2"/>
    </row>
    <row r="65" spans="3:14" x14ac:dyDescent="0.2">
      <c r="C65" s="18" t="s">
        <v>85</v>
      </c>
      <c r="D65" s="20"/>
      <c r="E65" s="20"/>
      <c r="F65" s="19"/>
      <c r="G65" s="19"/>
      <c r="H65" s="19"/>
      <c r="I65" s="19"/>
      <c r="J65" s="19"/>
      <c r="K65" s="19"/>
      <c r="L65" s="19"/>
      <c r="M65" s="19"/>
    </row>
    <row r="66" spans="3:14" x14ac:dyDescent="0.2">
      <c r="C66" s="4" t="s">
        <v>11</v>
      </c>
      <c r="D66" s="21"/>
      <c r="E66" s="21"/>
      <c r="F66" s="54">
        <f>F40-F53</f>
        <v>5133373.8752430947</v>
      </c>
      <c r="G66" s="54">
        <f t="shared" ref="F66:M75" si="30">G40-G53</f>
        <v>2742090</v>
      </c>
      <c r="H66" s="54">
        <f t="shared" si="30"/>
        <v>0</v>
      </c>
      <c r="I66" s="54">
        <f t="shared" si="30"/>
        <v>66745.833333333343</v>
      </c>
      <c r="J66" s="54">
        <f t="shared" si="30"/>
        <v>87691.819700000007</v>
      </c>
      <c r="K66" s="54">
        <f t="shared" si="30"/>
        <v>149894.24999999997</v>
      </c>
      <c r="L66" s="54">
        <f t="shared" si="30"/>
        <v>-707.09745133481647</v>
      </c>
      <c r="M66" s="54">
        <f t="shared" si="30"/>
        <v>65095.25</v>
      </c>
      <c r="N66" s="64">
        <f t="shared" ref="N66:N76" si="31">SUM(F66:M66)</f>
        <v>8244183.9308250928</v>
      </c>
    </row>
    <row r="67" spans="3:14" x14ac:dyDescent="0.2">
      <c r="C67" s="4" t="s">
        <v>12</v>
      </c>
      <c r="D67" s="21"/>
      <c r="E67" s="21"/>
      <c r="F67" s="54">
        <f t="shared" si="30"/>
        <v>4597514.849448571</v>
      </c>
      <c r="G67" s="54">
        <f t="shared" si="30"/>
        <v>625695.43499999994</v>
      </c>
      <c r="H67" s="54">
        <f t="shared" si="30"/>
        <v>0</v>
      </c>
      <c r="I67" s="54">
        <f t="shared" si="30"/>
        <v>212326.2</v>
      </c>
      <c r="J67" s="54">
        <f t="shared" si="30"/>
        <v>97377.543112499989</v>
      </c>
      <c r="K67" s="54">
        <f t="shared" si="30"/>
        <v>0</v>
      </c>
      <c r="L67" s="54">
        <f t="shared" si="30"/>
        <v>2359.665</v>
      </c>
      <c r="M67" s="54">
        <f t="shared" si="30"/>
        <v>28576.116000000002</v>
      </c>
      <c r="N67" s="130">
        <f t="shared" si="31"/>
        <v>5563849.8085610708</v>
      </c>
    </row>
    <row r="68" spans="3:14" x14ac:dyDescent="0.2">
      <c r="C68" s="4" t="s">
        <v>13</v>
      </c>
      <c r="D68" s="21"/>
      <c r="E68" s="21"/>
      <c r="F68" s="54">
        <f t="shared" si="30"/>
        <v>1360661.9598414651</v>
      </c>
      <c r="G68" s="54">
        <f t="shared" si="30"/>
        <v>0</v>
      </c>
      <c r="H68" s="54">
        <f t="shared" si="30"/>
        <v>0</v>
      </c>
      <c r="I68" s="54">
        <f t="shared" si="30"/>
        <v>0</v>
      </c>
      <c r="J68" s="54">
        <f t="shared" si="30"/>
        <v>0</v>
      </c>
      <c r="K68" s="54">
        <f t="shared" si="30"/>
        <v>0</v>
      </c>
      <c r="L68" s="54">
        <f t="shared" si="30"/>
        <v>0</v>
      </c>
      <c r="M68" s="54">
        <f t="shared" si="30"/>
        <v>0</v>
      </c>
      <c r="N68" s="130">
        <f t="shared" si="31"/>
        <v>1360661.9598414651</v>
      </c>
    </row>
    <row r="69" spans="3:14" x14ac:dyDescent="0.2">
      <c r="C69" s="4" t="s">
        <v>14</v>
      </c>
      <c r="D69" s="21"/>
      <c r="E69" s="21"/>
      <c r="F69" s="54">
        <f t="shared" si="30"/>
        <v>50987.7</v>
      </c>
      <c r="G69" s="54">
        <f t="shared" si="30"/>
        <v>0</v>
      </c>
      <c r="H69" s="54">
        <f t="shared" si="30"/>
        <v>0</v>
      </c>
      <c r="I69" s="54">
        <f t="shared" si="30"/>
        <v>0</v>
      </c>
      <c r="J69" s="54">
        <f t="shared" si="30"/>
        <v>0</v>
      </c>
      <c r="K69" s="54">
        <f t="shared" si="30"/>
        <v>0</v>
      </c>
      <c r="L69" s="54">
        <f t="shared" si="30"/>
        <v>0</v>
      </c>
      <c r="M69" s="54">
        <f t="shared" si="30"/>
        <v>0</v>
      </c>
      <c r="N69" s="130">
        <f t="shared" si="31"/>
        <v>50987.7</v>
      </c>
    </row>
    <row r="70" spans="3:14" x14ac:dyDescent="0.2">
      <c r="C70" s="4" t="s">
        <v>15</v>
      </c>
      <c r="D70" s="21"/>
      <c r="E70" s="21"/>
      <c r="F70" s="54">
        <f t="shared" si="30"/>
        <v>0</v>
      </c>
      <c r="G70" s="54">
        <f t="shared" si="30"/>
        <v>571690.84950000001</v>
      </c>
      <c r="H70" s="54">
        <f t="shared" si="30"/>
        <v>0</v>
      </c>
      <c r="I70" s="54">
        <f t="shared" si="30"/>
        <v>0</v>
      </c>
      <c r="J70" s="54">
        <f t="shared" si="30"/>
        <v>0</v>
      </c>
      <c r="K70" s="54">
        <f t="shared" si="30"/>
        <v>0</v>
      </c>
      <c r="L70" s="54">
        <f t="shared" si="30"/>
        <v>0</v>
      </c>
      <c r="M70" s="54">
        <f t="shared" si="30"/>
        <v>0</v>
      </c>
      <c r="N70" s="130">
        <f t="shared" si="31"/>
        <v>571690.84950000001</v>
      </c>
    </row>
    <row r="71" spans="3:14" x14ac:dyDescent="0.2">
      <c r="C71" s="5" t="s">
        <v>16</v>
      </c>
      <c r="D71" s="22"/>
      <c r="E71" s="22"/>
      <c r="F71" s="57">
        <f t="shared" si="30"/>
        <v>0</v>
      </c>
      <c r="G71" s="57">
        <f t="shared" si="30"/>
        <v>0</v>
      </c>
      <c r="H71" s="57">
        <f t="shared" si="30"/>
        <v>5033632.5180000011</v>
      </c>
      <c r="I71" s="57">
        <f t="shared" si="30"/>
        <v>0</v>
      </c>
      <c r="J71" s="57">
        <f t="shared" si="30"/>
        <v>0</v>
      </c>
      <c r="K71" s="57">
        <f t="shared" si="30"/>
        <v>0</v>
      </c>
      <c r="L71" s="57">
        <f t="shared" si="30"/>
        <v>0</v>
      </c>
      <c r="M71" s="57">
        <f t="shared" si="30"/>
        <v>0</v>
      </c>
      <c r="N71" s="63">
        <f t="shared" si="31"/>
        <v>5033632.5180000011</v>
      </c>
    </row>
    <row r="72" spans="3:14" x14ac:dyDescent="0.2">
      <c r="C72" s="4" t="s">
        <v>17</v>
      </c>
      <c r="D72" s="21"/>
      <c r="E72" s="21"/>
      <c r="F72" s="54">
        <f t="shared" si="30"/>
        <v>0</v>
      </c>
      <c r="G72" s="54">
        <f t="shared" si="30"/>
        <v>0</v>
      </c>
      <c r="H72" s="54">
        <f t="shared" si="30"/>
        <v>0</v>
      </c>
      <c r="I72" s="54">
        <f t="shared" si="30"/>
        <v>0</v>
      </c>
      <c r="J72" s="54">
        <f t="shared" si="30"/>
        <v>0</v>
      </c>
      <c r="K72" s="54">
        <f t="shared" si="30"/>
        <v>0</v>
      </c>
      <c r="L72" s="54">
        <f t="shared" si="30"/>
        <v>0</v>
      </c>
      <c r="M72" s="54">
        <f t="shared" si="30"/>
        <v>0</v>
      </c>
      <c r="N72" s="130">
        <f t="shared" si="31"/>
        <v>0</v>
      </c>
    </row>
    <row r="73" spans="3:14" x14ac:dyDescent="0.2">
      <c r="C73" s="4" t="s">
        <v>19</v>
      </c>
      <c r="D73" s="21"/>
      <c r="E73" s="21"/>
      <c r="F73" s="54">
        <f t="shared" si="30"/>
        <v>0</v>
      </c>
      <c r="G73" s="54">
        <f t="shared" si="30"/>
        <v>314934.90000000002</v>
      </c>
      <c r="H73" s="54">
        <f t="shared" si="30"/>
        <v>1207395.3685779681</v>
      </c>
      <c r="I73" s="54">
        <f t="shared" si="30"/>
        <v>0</v>
      </c>
      <c r="J73" s="54">
        <f t="shared" si="30"/>
        <v>0</v>
      </c>
      <c r="K73" s="54">
        <f t="shared" si="30"/>
        <v>265019.28909821878</v>
      </c>
      <c r="L73" s="54">
        <f t="shared" si="30"/>
        <v>241981.13928281426</v>
      </c>
      <c r="M73" s="54">
        <f t="shared" si="30"/>
        <v>29703.786</v>
      </c>
      <c r="N73" s="130">
        <f t="shared" si="31"/>
        <v>2059034.4829590013</v>
      </c>
    </row>
    <row r="74" spans="3:14" x14ac:dyDescent="0.2">
      <c r="C74" s="4" t="s">
        <v>20</v>
      </c>
      <c r="D74" s="21"/>
      <c r="E74" s="21"/>
      <c r="F74" s="54">
        <f t="shared" si="30"/>
        <v>0</v>
      </c>
      <c r="G74" s="54">
        <f t="shared" si="30"/>
        <v>11085.699999999999</v>
      </c>
      <c r="H74" s="54">
        <f t="shared" si="30"/>
        <v>0</v>
      </c>
      <c r="I74" s="54">
        <f t="shared" si="30"/>
        <v>0</v>
      </c>
      <c r="J74" s="54">
        <f t="shared" si="30"/>
        <v>0</v>
      </c>
      <c r="K74" s="54">
        <f t="shared" si="30"/>
        <v>0</v>
      </c>
      <c r="L74" s="54">
        <f t="shared" si="30"/>
        <v>0</v>
      </c>
      <c r="M74" s="54">
        <f t="shared" si="30"/>
        <v>0</v>
      </c>
      <c r="N74" s="130">
        <f t="shared" si="31"/>
        <v>11085.699999999999</v>
      </c>
    </row>
    <row r="75" spans="3:14" x14ac:dyDescent="0.2">
      <c r="C75" s="6" t="s">
        <v>21</v>
      </c>
      <c r="D75" s="23"/>
      <c r="E75" s="23"/>
      <c r="F75" s="58">
        <f t="shared" si="30"/>
        <v>0</v>
      </c>
      <c r="G75" s="58">
        <f t="shared" si="30"/>
        <v>0</v>
      </c>
      <c r="H75" s="58">
        <f t="shared" si="30"/>
        <v>0</v>
      </c>
      <c r="I75" s="58">
        <f t="shared" si="30"/>
        <v>0</v>
      </c>
      <c r="J75" s="58">
        <f t="shared" si="30"/>
        <v>0</v>
      </c>
      <c r="K75" s="58">
        <f t="shared" si="30"/>
        <v>0</v>
      </c>
      <c r="L75" s="58">
        <f t="shared" si="30"/>
        <v>0</v>
      </c>
      <c r="M75" s="58">
        <f t="shared" si="30"/>
        <v>0</v>
      </c>
      <c r="N75" s="56">
        <f t="shared" si="31"/>
        <v>0</v>
      </c>
    </row>
    <row r="76" spans="3:14" x14ac:dyDescent="0.2">
      <c r="C76" s="7" t="s">
        <v>9</v>
      </c>
      <c r="D76" s="29"/>
      <c r="E76" s="29"/>
      <c r="F76" s="54">
        <f>SUM(F66:F75)</f>
        <v>11142538.384533131</v>
      </c>
      <c r="G76" s="54">
        <f t="shared" ref="G76:M76" si="32">SUM(G66:G75)</f>
        <v>4265496.8845000006</v>
      </c>
      <c r="H76" s="54">
        <f t="shared" si="32"/>
        <v>6241027.8865779694</v>
      </c>
      <c r="I76" s="54">
        <f t="shared" si="32"/>
        <v>279072.03333333333</v>
      </c>
      <c r="J76" s="54">
        <f t="shared" si="32"/>
        <v>185069.36281249998</v>
      </c>
      <c r="K76" s="54">
        <f t="shared" si="32"/>
        <v>414913.53909821878</v>
      </c>
      <c r="L76" s="54">
        <f t="shared" si="32"/>
        <v>243633.70683147945</v>
      </c>
      <c r="M76" s="54">
        <f t="shared" si="32"/>
        <v>123375.152</v>
      </c>
      <c r="N76" s="130">
        <f t="shared" si="31"/>
        <v>22895126.949686635</v>
      </c>
    </row>
    <row r="77" spans="3:14" x14ac:dyDescent="0.2">
      <c r="C77" s="2"/>
      <c r="D77" s="4"/>
      <c r="E77" s="4"/>
      <c r="F77" s="21"/>
      <c r="G77" s="21"/>
      <c r="H77" s="21"/>
      <c r="I77" s="21"/>
      <c r="J77" s="21"/>
      <c r="K77" s="21"/>
      <c r="L77" s="21"/>
      <c r="M77" s="21"/>
      <c r="N77" s="21"/>
    </row>
    <row r="78" spans="3:14" x14ac:dyDescent="0.2">
      <c r="C78" s="18" t="s">
        <v>92</v>
      </c>
      <c r="D78" s="6"/>
      <c r="E78" s="6"/>
      <c r="F78" s="23"/>
      <c r="G78" s="23"/>
      <c r="H78" s="23"/>
      <c r="I78" s="23"/>
      <c r="J78" s="23"/>
      <c r="K78" s="23"/>
      <c r="L78" s="23"/>
      <c r="M78" s="23"/>
      <c r="N78" s="23"/>
    </row>
    <row r="79" spans="3:14" x14ac:dyDescent="0.2">
      <c r="C79" s="30" t="s">
        <v>58</v>
      </c>
      <c r="D79" s="4"/>
      <c r="E79" s="4"/>
      <c r="F79" s="71">
        <f>F63</f>
        <v>1210204.9668593169</v>
      </c>
      <c r="G79" s="71">
        <f t="shared" ref="G79:M79" si="33">G63</f>
        <v>570503.15700000001</v>
      </c>
      <c r="H79" s="71">
        <f t="shared" si="33"/>
        <v>717831.77330799098</v>
      </c>
      <c r="I79" s="71">
        <f t="shared" si="33"/>
        <v>24627.311111111114</v>
      </c>
      <c r="J79" s="71">
        <f t="shared" si="33"/>
        <v>18905.393968333334</v>
      </c>
      <c r="K79" s="71">
        <f t="shared" si="33"/>
        <v>95705.69688520534</v>
      </c>
      <c r="L79" s="71">
        <f t="shared" si="33"/>
        <v>69217.978706340378</v>
      </c>
      <c r="M79" s="71">
        <f t="shared" si="33"/>
        <v>19282.912</v>
      </c>
      <c r="N79" s="64">
        <f t="shared" ref="N79:N80" si="34">SUM(F79:M79)</f>
        <v>2726279.1898382986</v>
      </c>
    </row>
    <row r="80" spans="3:14" x14ac:dyDescent="0.2">
      <c r="C80" s="30" t="s">
        <v>57</v>
      </c>
      <c r="D80" s="4"/>
      <c r="E80" s="4"/>
      <c r="F80" s="71">
        <f>F76</f>
        <v>11142538.384533131</v>
      </c>
      <c r="G80" s="71">
        <f t="shared" ref="G80:M80" si="35">G76</f>
        <v>4265496.8845000006</v>
      </c>
      <c r="H80" s="71">
        <f t="shared" si="35"/>
        <v>6241027.8865779694</v>
      </c>
      <c r="I80" s="71">
        <f t="shared" si="35"/>
        <v>279072.03333333333</v>
      </c>
      <c r="J80" s="71">
        <f t="shared" si="35"/>
        <v>185069.36281249998</v>
      </c>
      <c r="K80" s="71">
        <f t="shared" si="35"/>
        <v>414913.53909821878</v>
      </c>
      <c r="L80" s="71">
        <f t="shared" si="35"/>
        <v>243633.70683147945</v>
      </c>
      <c r="M80" s="71">
        <f t="shared" si="35"/>
        <v>123375.152</v>
      </c>
      <c r="N80" s="130">
        <f t="shared" si="34"/>
        <v>22895126.949686635</v>
      </c>
    </row>
    <row r="81" spans="1:16" x14ac:dyDescent="0.2">
      <c r="C81" s="85" t="s">
        <v>52</v>
      </c>
      <c r="D81" s="118">
        <f>D12</f>
        <v>2.5999999999999999E-2</v>
      </c>
      <c r="E81" s="4"/>
      <c r="F81" s="8"/>
      <c r="G81" s="8"/>
      <c r="H81" s="8"/>
      <c r="I81" s="8"/>
      <c r="J81" s="8"/>
      <c r="K81" s="8"/>
      <c r="L81" s="8"/>
      <c r="M81" s="8"/>
    </row>
    <row r="82" spans="1:16" x14ac:dyDescent="0.2">
      <c r="C82" s="30" t="s">
        <v>114</v>
      </c>
      <c r="D82" s="4"/>
      <c r="E82" s="4"/>
      <c r="F82" s="55">
        <f>F79*(1+$D$81)</f>
        <v>1241670.2959976592</v>
      </c>
      <c r="G82" s="55">
        <f t="shared" ref="G82:M82" si="36">G79*(1+$D$81)</f>
        <v>585336.23908199999</v>
      </c>
      <c r="H82" s="55">
        <f t="shared" si="36"/>
        <v>736495.39941399882</v>
      </c>
      <c r="I82" s="55">
        <f t="shared" si="36"/>
        <v>25267.621200000005</v>
      </c>
      <c r="J82" s="55">
        <f t="shared" si="36"/>
        <v>19396.934211510001</v>
      </c>
      <c r="K82" s="55">
        <f t="shared" si="36"/>
        <v>98194.045004220679</v>
      </c>
      <c r="L82" s="55">
        <f t="shared" si="36"/>
        <v>71017.646152705231</v>
      </c>
      <c r="M82" s="55">
        <f t="shared" si="36"/>
        <v>19784.267712000001</v>
      </c>
      <c r="N82" s="130">
        <f t="shared" ref="N82:N83" si="37">SUM(F82:M82)</f>
        <v>2797162.4487740942</v>
      </c>
    </row>
    <row r="83" spans="1:16" x14ac:dyDescent="0.2">
      <c r="C83" s="34" t="s">
        <v>115</v>
      </c>
      <c r="D83" s="6"/>
      <c r="E83" s="6"/>
      <c r="F83" s="56">
        <f>F80*(1+$D$81)</f>
        <v>11432244.382530993</v>
      </c>
      <c r="G83" s="56">
        <f t="shared" ref="G83:M83" si="38">G80*(1+$D$81)</f>
        <v>4376399.8034970006</v>
      </c>
      <c r="H83" s="56">
        <f t="shared" si="38"/>
        <v>6403294.6116289971</v>
      </c>
      <c r="I83" s="56">
        <f t="shared" si="38"/>
        <v>286327.90620000003</v>
      </c>
      <c r="J83" s="56">
        <f t="shared" si="38"/>
        <v>189881.16624562498</v>
      </c>
      <c r="K83" s="56">
        <f t="shared" si="38"/>
        <v>425701.2911147725</v>
      </c>
      <c r="L83" s="56">
        <f t="shared" si="38"/>
        <v>249968.18320909792</v>
      </c>
      <c r="M83" s="56">
        <f t="shared" si="38"/>
        <v>126582.905952</v>
      </c>
      <c r="N83" s="56">
        <f t="shared" si="37"/>
        <v>23490400.250378486</v>
      </c>
    </row>
    <row r="84" spans="1:16" x14ac:dyDescent="0.2">
      <c r="C84" s="4"/>
      <c r="D84" s="4"/>
      <c r="E84" s="4"/>
      <c r="F84" s="8"/>
      <c r="G84" s="8"/>
      <c r="H84" s="8"/>
      <c r="I84" s="8"/>
      <c r="J84" s="8"/>
      <c r="K84" s="8"/>
      <c r="L84" s="8"/>
      <c r="M84" s="8"/>
    </row>
    <row r="85" spans="1:16" x14ac:dyDescent="0.2">
      <c r="A85" s="4"/>
      <c r="B85" s="4"/>
      <c r="C85" s="28" t="s">
        <v>86</v>
      </c>
      <c r="D85" s="6"/>
      <c r="E85" s="6"/>
      <c r="F85" s="13"/>
      <c r="G85" s="13"/>
      <c r="H85" s="13"/>
      <c r="I85" s="13"/>
      <c r="J85" s="13"/>
      <c r="K85" s="13"/>
      <c r="L85" s="13"/>
      <c r="M85" s="13"/>
    </row>
    <row r="86" spans="1:16" x14ac:dyDescent="0.2">
      <c r="A86" s="4"/>
      <c r="B86" s="4"/>
      <c r="C86" s="4" t="s">
        <v>11</v>
      </c>
      <c r="D86" s="4"/>
      <c r="E86" s="4"/>
      <c r="F86" s="53">
        <v>1559229.5288024724</v>
      </c>
      <c r="G86" s="53">
        <v>1569369.8263295698</v>
      </c>
      <c r="H86" s="53">
        <v>2242038.7265499998</v>
      </c>
      <c r="I86" s="53">
        <v>3780.8463636364031</v>
      </c>
      <c r="J86" s="53">
        <v>22542.532295374665</v>
      </c>
      <c r="K86" s="53">
        <v>410706.58</v>
      </c>
      <c r="L86" s="53">
        <v>198.78121645360827</v>
      </c>
      <c r="M86" s="53">
        <v>5495.16</v>
      </c>
      <c r="N86" s="64">
        <f t="shared" ref="N86:N96" si="39">SUM(F86:M86)</f>
        <v>5813361.9815575071</v>
      </c>
      <c r="O86" s="121"/>
      <c r="P86" s="93"/>
    </row>
    <row r="87" spans="1:16" x14ac:dyDescent="0.2">
      <c r="A87" s="4"/>
      <c r="B87" s="4"/>
      <c r="C87" s="4" t="s">
        <v>12</v>
      </c>
      <c r="D87" s="4"/>
      <c r="E87" s="4"/>
      <c r="F87" s="53">
        <v>24240019.022424843</v>
      </c>
      <c r="G87" s="53">
        <v>8800136.690238731</v>
      </c>
      <c r="H87" s="53">
        <v>14666142.147499999</v>
      </c>
      <c r="I87" s="53">
        <v>582639.84928628698</v>
      </c>
      <c r="J87" s="53">
        <v>733211.255531742</v>
      </c>
      <c r="K87" s="53">
        <v>1440331.35</v>
      </c>
      <c r="L87" s="53">
        <v>363063.45</v>
      </c>
      <c r="M87" s="53">
        <v>196333.41000000003</v>
      </c>
      <c r="N87" s="130">
        <f t="shared" si="39"/>
        <v>51021877.174981609</v>
      </c>
      <c r="O87" s="121"/>
      <c r="P87" s="93"/>
    </row>
    <row r="88" spans="1:16" x14ac:dyDescent="0.2">
      <c r="A88" s="4"/>
      <c r="B88" s="4"/>
      <c r="C88" s="4" t="s">
        <v>13</v>
      </c>
      <c r="D88" s="4"/>
      <c r="E88" s="4"/>
      <c r="F88" s="53">
        <v>775191.98589395883</v>
      </c>
      <c r="G88" s="53"/>
      <c r="H88" s="53"/>
      <c r="I88" s="53"/>
      <c r="J88" s="53"/>
      <c r="K88" s="53"/>
      <c r="L88" s="53"/>
      <c r="M88" s="53"/>
      <c r="N88" s="130">
        <f t="shared" si="39"/>
        <v>775191.98589395883</v>
      </c>
      <c r="O88" s="1"/>
      <c r="P88" s="93"/>
    </row>
    <row r="89" spans="1:16" x14ac:dyDescent="0.2">
      <c r="A89" s="4"/>
      <c r="B89" s="4"/>
      <c r="C89" s="4" t="s">
        <v>14</v>
      </c>
      <c r="D89" s="4"/>
      <c r="E89" s="4"/>
      <c r="F89" s="53"/>
      <c r="G89" s="53"/>
      <c r="H89" s="53"/>
      <c r="I89" s="53"/>
      <c r="J89" s="53"/>
      <c r="K89" s="53"/>
      <c r="L89" s="53"/>
      <c r="M89" s="53"/>
      <c r="N89" s="130">
        <f t="shared" si="39"/>
        <v>0</v>
      </c>
      <c r="P89" s="93"/>
    </row>
    <row r="90" spans="1:16" x14ac:dyDescent="0.2">
      <c r="A90" s="4"/>
      <c r="B90" s="4"/>
      <c r="C90" s="4" t="s">
        <v>15</v>
      </c>
      <c r="D90" s="4"/>
      <c r="E90" s="4"/>
      <c r="F90" s="53"/>
      <c r="G90" s="53"/>
      <c r="H90" s="53"/>
      <c r="I90" s="53"/>
      <c r="J90" s="53"/>
      <c r="K90" s="53"/>
      <c r="L90" s="53"/>
      <c r="M90" s="53"/>
      <c r="N90" s="130">
        <f t="shared" si="39"/>
        <v>0</v>
      </c>
      <c r="P90" s="93"/>
    </row>
    <row r="91" spans="1:16" x14ac:dyDescent="0.2">
      <c r="A91" s="4"/>
      <c r="B91" s="4"/>
      <c r="C91" s="5" t="s">
        <v>16</v>
      </c>
      <c r="D91" s="5"/>
      <c r="E91" s="5"/>
      <c r="F91" s="80"/>
      <c r="G91" s="80"/>
      <c r="H91" s="80"/>
      <c r="I91" s="80"/>
      <c r="J91" s="80"/>
      <c r="K91" s="80"/>
      <c r="L91" s="80"/>
      <c r="M91" s="80"/>
      <c r="N91" s="63">
        <f t="shared" si="39"/>
        <v>0</v>
      </c>
      <c r="P91" s="93"/>
    </row>
    <row r="92" spans="1:16" x14ac:dyDescent="0.2">
      <c r="A92" s="4"/>
      <c r="B92" s="4"/>
      <c r="C92" s="4" t="s">
        <v>17</v>
      </c>
      <c r="D92" s="4"/>
      <c r="E92" s="4"/>
      <c r="F92" s="53"/>
      <c r="G92" s="53"/>
      <c r="H92" s="53"/>
      <c r="I92" s="53"/>
      <c r="J92" s="53"/>
      <c r="K92" s="53"/>
      <c r="L92" s="53"/>
      <c r="M92" s="53"/>
      <c r="N92" s="130">
        <f t="shared" si="39"/>
        <v>0</v>
      </c>
      <c r="P92" s="93"/>
    </row>
    <row r="93" spans="1:16" x14ac:dyDescent="0.2">
      <c r="A93" s="4"/>
      <c r="B93" s="4"/>
      <c r="C93" s="4" t="s">
        <v>19</v>
      </c>
      <c r="D93" s="4"/>
      <c r="E93" s="4"/>
      <c r="F93" s="53"/>
      <c r="G93" s="53">
        <v>519173.70984343701</v>
      </c>
      <c r="H93" s="53">
        <v>4227540.9805395277</v>
      </c>
      <c r="I93" s="53"/>
      <c r="J93" s="53"/>
      <c r="K93" s="53">
        <v>112989.8925583747</v>
      </c>
      <c r="L93" s="53">
        <v>174116.58073851914</v>
      </c>
      <c r="M93" s="53">
        <v>28197.58</v>
      </c>
      <c r="N93" s="130">
        <f t="shared" si="39"/>
        <v>5062018.7436798587</v>
      </c>
      <c r="P93" s="93"/>
    </row>
    <row r="94" spans="1:16" x14ac:dyDescent="0.2">
      <c r="A94" s="4"/>
      <c r="B94" s="4"/>
      <c r="C94" s="4" t="s">
        <v>20</v>
      </c>
      <c r="D94" s="4"/>
      <c r="E94" s="4"/>
      <c r="F94" s="53"/>
      <c r="G94" s="53"/>
      <c r="H94" s="53"/>
      <c r="I94" s="53"/>
      <c r="J94" s="53">
        <v>3073.302671711594</v>
      </c>
      <c r="K94" s="53"/>
      <c r="L94" s="53"/>
      <c r="M94" s="53"/>
      <c r="N94" s="130">
        <f t="shared" si="39"/>
        <v>3073.302671711594</v>
      </c>
      <c r="P94" s="93"/>
    </row>
    <row r="95" spans="1:16" x14ac:dyDescent="0.2">
      <c r="A95" s="4"/>
      <c r="B95" s="4"/>
      <c r="C95" s="6" t="s">
        <v>21</v>
      </c>
      <c r="D95" s="6"/>
      <c r="E95" s="6"/>
      <c r="F95" s="79"/>
      <c r="G95" s="79"/>
      <c r="H95" s="79"/>
      <c r="I95" s="79"/>
      <c r="J95" s="79"/>
      <c r="K95" s="79"/>
      <c r="L95" s="79"/>
      <c r="M95" s="79"/>
      <c r="N95" s="56">
        <f t="shared" si="39"/>
        <v>0</v>
      </c>
      <c r="P95" s="93"/>
    </row>
    <row r="96" spans="1:16" x14ac:dyDescent="0.2">
      <c r="A96" s="4"/>
      <c r="B96" s="4"/>
      <c r="C96" s="2" t="s">
        <v>9</v>
      </c>
      <c r="D96" s="4"/>
      <c r="E96" s="4"/>
      <c r="F96" s="55">
        <f>SUM(F86:F95)</f>
        <v>26574440.537121274</v>
      </c>
      <c r="G96" s="55">
        <f t="shared" ref="G96:M96" si="40">SUM(G86:G95)</f>
        <v>10888680.226411738</v>
      </c>
      <c r="H96" s="55">
        <f>SUM(H86:H95)</f>
        <v>21135721.854589526</v>
      </c>
      <c r="I96" s="55">
        <f t="shared" si="40"/>
        <v>586420.69564992341</v>
      </c>
      <c r="J96" s="55">
        <f t="shared" si="40"/>
        <v>758827.09049882821</v>
      </c>
      <c r="K96" s="55">
        <f t="shared" si="40"/>
        <v>1964027.8225583748</v>
      </c>
      <c r="L96" s="55">
        <f t="shared" si="40"/>
        <v>537378.8119549728</v>
      </c>
      <c r="M96" s="55">
        <f t="shared" si="40"/>
        <v>230026.15000000002</v>
      </c>
      <c r="N96" s="130">
        <f t="shared" si="39"/>
        <v>62675523.188784629</v>
      </c>
    </row>
    <row r="97" spans="1:16" x14ac:dyDescent="0.2">
      <c r="A97" s="4"/>
      <c r="B97" s="4"/>
      <c r="C97" s="4"/>
      <c r="D97" s="4"/>
      <c r="E97" s="4"/>
      <c r="F97" s="12"/>
      <c r="G97" s="12"/>
      <c r="H97" s="12"/>
      <c r="I97" s="12"/>
      <c r="J97" s="12"/>
      <c r="K97" s="12"/>
      <c r="L97" s="12"/>
      <c r="M97" s="12"/>
    </row>
    <row r="98" spans="1:16" x14ac:dyDescent="0.2">
      <c r="A98" s="4"/>
      <c r="B98" s="4"/>
      <c r="C98" s="18" t="s">
        <v>87</v>
      </c>
      <c r="D98" s="133" t="s">
        <v>81</v>
      </c>
      <c r="E98" s="6"/>
      <c r="F98" s="19"/>
      <c r="G98" s="19"/>
      <c r="H98" s="19"/>
      <c r="I98" s="19"/>
      <c r="J98" s="19"/>
      <c r="K98" s="19"/>
      <c r="L98" s="19"/>
      <c r="M98" s="19"/>
    </row>
    <row r="99" spans="1:16" x14ac:dyDescent="0.2">
      <c r="A99" s="4"/>
      <c r="B99" s="4"/>
      <c r="C99" s="4" t="s">
        <v>11</v>
      </c>
      <c r="D99" s="59">
        <f>'Marges Elektriciteit 2011'!D28-1</f>
        <v>8</v>
      </c>
      <c r="E99" s="4"/>
      <c r="F99" s="55">
        <f t="shared" ref="F99:M108" si="41">IF($D99&lt;&gt;"Geen",(F86/$D99)/2,0)</f>
        <v>97451.845550154525</v>
      </c>
      <c r="G99" s="55">
        <f t="shared" si="41"/>
        <v>98085.614145598112</v>
      </c>
      <c r="H99" s="55">
        <f t="shared" si="41"/>
        <v>140127.42040937499</v>
      </c>
      <c r="I99" s="55">
        <f t="shared" si="41"/>
        <v>236.30289772727519</v>
      </c>
      <c r="J99" s="55">
        <f t="shared" si="41"/>
        <v>1408.9082684609166</v>
      </c>
      <c r="K99" s="55">
        <f t="shared" si="41"/>
        <v>25669.161250000001</v>
      </c>
      <c r="L99" s="55">
        <f t="shared" si="41"/>
        <v>12.423826028350517</v>
      </c>
      <c r="M99" s="55">
        <f t="shared" si="41"/>
        <v>343.44749999999999</v>
      </c>
      <c r="N99" s="64">
        <f t="shared" ref="N99:N109" si="42">SUM(F99:M99)</f>
        <v>363335.12384734419</v>
      </c>
      <c r="O99" s="121"/>
      <c r="P99" s="93"/>
    </row>
    <row r="100" spans="1:16" x14ac:dyDescent="0.2">
      <c r="A100" s="4"/>
      <c r="B100" s="4"/>
      <c r="C100" s="4" t="s">
        <v>12</v>
      </c>
      <c r="D100" s="102">
        <f>'Marges Elektriciteit 2011'!D29</f>
        <v>15</v>
      </c>
      <c r="E100" s="4"/>
      <c r="F100" s="55">
        <f t="shared" si="41"/>
        <v>808000.63408082805</v>
      </c>
      <c r="G100" s="55">
        <f t="shared" si="41"/>
        <v>293337.88967462437</v>
      </c>
      <c r="H100" s="55">
        <f t="shared" si="41"/>
        <v>488871.40491666662</v>
      </c>
      <c r="I100" s="55">
        <f t="shared" si="41"/>
        <v>19421.3283095429</v>
      </c>
      <c r="J100" s="55">
        <f t="shared" si="41"/>
        <v>24440.3751843914</v>
      </c>
      <c r="K100" s="55">
        <f t="shared" si="41"/>
        <v>48011.045000000006</v>
      </c>
      <c r="L100" s="55">
        <f t="shared" si="41"/>
        <v>12102.115</v>
      </c>
      <c r="M100" s="55">
        <f t="shared" si="41"/>
        <v>6544.447000000001</v>
      </c>
      <c r="N100" s="130">
        <f t="shared" si="42"/>
        <v>1700729.2391660532</v>
      </c>
      <c r="O100" s="122"/>
      <c r="P100" s="93"/>
    </row>
    <row r="101" spans="1:16" x14ac:dyDescent="0.2">
      <c r="A101" s="4"/>
      <c r="B101" s="4"/>
      <c r="C101" s="4" t="s">
        <v>13</v>
      </c>
      <c r="D101" s="59">
        <f>'Marges Elektriciteit 2011'!D30-1</f>
        <v>8</v>
      </c>
      <c r="E101" s="4"/>
      <c r="F101" s="55">
        <f t="shared" si="41"/>
        <v>48449.499118372427</v>
      </c>
      <c r="G101" s="55">
        <f t="shared" si="41"/>
        <v>0</v>
      </c>
      <c r="H101" s="55">
        <f t="shared" si="41"/>
        <v>0</v>
      </c>
      <c r="I101" s="55">
        <f t="shared" si="41"/>
        <v>0</v>
      </c>
      <c r="J101" s="55">
        <f t="shared" si="41"/>
        <v>0</v>
      </c>
      <c r="K101" s="55">
        <f t="shared" si="41"/>
        <v>0</v>
      </c>
      <c r="L101" s="55">
        <f t="shared" si="41"/>
        <v>0</v>
      </c>
      <c r="M101" s="55">
        <f t="shared" si="41"/>
        <v>0</v>
      </c>
      <c r="N101" s="130">
        <f t="shared" si="42"/>
        <v>48449.499118372427</v>
      </c>
      <c r="P101" s="93"/>
    </row>
    <row r="102" spans="1:16" x14ac:dyDescent="0.2">
      <c r="A102" s="4"/>
      <c r="B102" s="4"/>
      <c r="C102" s="4" t="s">
        <v>14</v>
      </c>
      <c r="D102" s="102">
        <f>'Marges Elektriciteit 2011'!D31</f>
        <v>15</v>
      </c>
      <c r="E102" s="4"/>
      <c r="F102" s="55">
        <f t="shared" si="41"/>
        <v>0</v>
      </c>
      <c r="G102" s="55">
        <f t="shared" si="41"/>
        <v>0</v>
      </c>
      <c r="H102" s="55">
        <f t="shared" si="41"/>
        <v>0</v>
      </c>
      <c r="I102" s="55">
        <f t="shared" si="41"/>
        <v>0</v>
      </c>
      <c r="J102" s="55">
        <f t="shared" si="41"/>
        <v>0</v>
      </c>
      <c r="K102" s="55">
        <f t="shared" si="41"/>
        <v>0</v>
      </c>
      <c r="L102" s="55">
        <f t="shared" si="41"/>
        <v>0</v>
      </c>
      <c r="M102" s="55">
        <f t="shared" si="41"/>
        <v>0</v>
      </c>
      <c r="N102" s="130">
        <f t="shared" si="42"/>
        <v>0</v>
      </c>
      <c r="P102" s="93"/>
    </row>
    <row r="103" spans="1:16" x14ac:dyDescent="0.2">
      <c r="A103" s="4"/>
      <c r="B103" s="4"/>
      <c r="C103" s="4" t="s">
        <v>15</v>
      </c>
      <c r="D103" s="102">
        <f>'Marges Elektriciteit 2011'!D32</f>
        <v>10</v>
      </c>
      <c r="E103" s="4"/>
      <c r="F103" s="55">
        <f t="shared" si="41"/>
        <v>0</v>
      </c>
      <c r="G103" s="55">
        <f t="shared" si="41"/>
        <v>0</v>
      </c>
      <c r="H103" s="55">
        <f t="shared" si="41"/>
        <v>0</v>
      </c>
      <c r="I103" s="55">
        <f t="shared" si="41"/>
        <v>0</v>
      </c>
      <c r="J103" s="55">
        <f t="shared" si="41"/>
        <v>0</v>
      </c>
      <c r="K103" s="55">
        <f t="shared" si="41"/>
        <v>0</v>
      </c>
      <c r="L103" s="55">
        <f t="shared" si="41"/>
        <v>0</v>
      </c>
      <c r="M103" s="55">
        <f t="shared" si="41"/>
        <v>0</v>
      </c>
      <c r="N103" s="130">
        <f t="shared" si="42"/>
        <v>0</v>
      </c>
      <c r="P103" s="93"/>
    </row>
    <row r="104" spans="1:16" x14ac:dyDescent="0.2">
      <c r="A104" s="4"/>
      <c r="B104" s="4"/>
      <c r="C104" s="5" t="s">
        <v>16</v>
      </c>
      <c r="D104" s="101">
        <f>'Marges Elektriciteit 2011'!D33</f>
        <v>15</v>
      </c>
      <c r="E104" s="5"/>
      <c r="F104" s="63">
        <f t="shared" si="41"/>
        <v>0</v>
      </c>
      <c r="G104" s="63">
        <f t="shared" si="41"/>
        <v>0</v>
      </c>
      <c r="H104" s="63">
        <f t="shared" si="41"/>
        <v>0</v>
      </c>
      <c r="I104" s="63">
        <f t="shared" si="41"/>
        <v>0</v>
      </c>
      <c r="J104" s="63">
        <f t="shared" si="41"/>
        <v>0</v>
      </c>
      <c r="K104" s="63">
        <f t="shared" si="41"/>
        <v>0</v>
      </c>
      <c r="L104" s="63">
        <f t="shared" si="41"/>
        <v>0</v>
      </c>
      <c r="M104" s="63">
        <f t="shared" si="41"/>
        <v>0</v>
      </c>
      <c r="N104" s="63">
        <f t="shared" si="42"/>
        <v>0</v>
      </c>
      <c r="P104" s="93"/>
    </row>
    <row r="105" spans="1:16" x14ac:dyDescent="0.2">
      <c r="A105" s="4"/>
      <c r="B105" s="4"/>
      <c r="C105" s="4" t="s">
        <v>17</v>
      </c>
      <c r="D105" s="78" t="s">
        <v>18</v>
      </c>
      <c r="E105" s="4"/>
      <c r="F105" s="55">
        <f t="shared" si="41"/>
        <v>0</v>
      </c>
      <c r="G105" s="55">
        <f t="shared" si="41"/>
        <v>0</v>
      </c>
      <c r="H105" s="55">
        <f t="shared" si="41"/>
        <v>0</v>
      </c>
      <c r="I105" s="55">
        <f t="shared" si="41"/>
        <v>0</v>
      </c>
      <c r="J105" s="55">
        <f t="shared" si="41"/>
        <v>0</v>
      </c>
      <c r="K105" s="55">
        <f t="shared" si="41"/>
        <v>0</v>
      </c>
      <c r="L105" s="55">
        <f t="shared" si="41"/>
        <v>0</v>
      </c>
      <c r="M105" s="55">
        <f t="shared" si="41"/>
        <v>0</v>
      </c>
      <c r="N105" s="130">
        <f t="shared" si="42"/>
        <v>0</v>
      </c>
      <c r="O105" s="122"/>
      <c r="P105" s="93"/>
    </row>
    <row r="106" spans="1:16" x14ac:dyDescent="0.2">
      <c r="A106" s="4"/>
      <c r="B106" s="4"/>
      <c r="C106" s="4" t="s">
        <v>19</v>
      </c>
      <c r="D106" s="78">
        <v>5</v>
      </c>
      <c r="E106" s="4"/>
      <c r="F106" s="55">
        <f t="shared" si="41"/>
        <v>0</v>
      </c>
      <c r="G106" s="55">
        <f t="shared" si="41"/>
        <v>51917.370984343703</v>
      </c>
      <c r="H106" s="55">
        <f t="shared" si="41"/>
        <v>422754.0980539528</v>
      </c>
      <c r="I106" s="55">
        <f t="shared" si="41"/>
        <v>0</v>
      </c>
      <c r="J106" s="55">
        <f t="shared" si="41"/>
        <v>0</v>
      </c>
      <c r="K106" s="55">
        <f t="shared" si="41"/>
        <v>11298.98925583747</v>
      </c>
      <c r="L106" s="55">
        <f t="shared" si="41"/>
        <v>17411.658073851915</v>
      </c>
      <c r="M106" s="55">
        <f t="shared" si="41"/>
        <v>2819.7580000000003</v>
      </c>
      <c r="N106" s="130">
        <f t="shared" si="42"/>
        <v>506201.87436798582</v>
      </c>
      <c r="P106" s="93"/>
    </row>
    <row r="107" spans="1:16" x14ac:dyDescent="0.2">
      <c r="A107" s="4"/>
      <c r="B107" s="4"/>
      <c r="C107" s="4" t="s">
        <v>20</v>
      </c>
      <c r="D107" s="78">
        <v>10</v>
      </c>
      <c r="E107" s="4"/>
      <c r="F107" s="55">
        <f t="shared" si="41"/>
        <v>0</v>
      </c>
      <c r="G107" s="55">
        <f t="shared" si="41"/>
        <v>0</v>
      </c>
      <c r="H107" s="55">
        <f t="shared" si="41"/>
        <v>0</v>
      </c>
      <c r="I107" s="55">
        <f t="shared" si="41"/>
        <v>0</v>
      </c>
      <c r="J107" s="55">
        <f t="shared" si="41"/>
        <v>153.6651335855797</v>
      </c>
      <c r="K107" s="55">
        <f t="shared" si="41"/>
        <v>0</v>
      </c>
      <c r="L107" s="55">
        <f t="shared" si="41"/>
        <v>0</v>
      </c>
      <c r="M107" s="55">
        <f t="shared" si="41"/>
        <v>0</v>
      </c>
      <c r="N107" s="130">
        <f t="shared" si="42"/>
        <v>153.6651335855797</v>
      </c>
      <c r="P107" s="93"/>
    </row>
    <row r="108" spans="1:16" x14ac:dyDescent="0.2">
      <c r="A108" s="4"/>
      <c r="B108" s="4"/>
      <c r="C108" s="6" t="s">
        <v>21</v>
      </c>
      <c r="D108" s="91">
        <v>30</v>
      </c>
      <c r="E108" s="6"/>
      <c r="F108" s="56">
        <f t="shared" si="41"/>
        <v>0</v>
      </c>
      <c r="G108" s="56">
        <f t="shared" si="41"/>
        <v>0</v>
      </c>
      <c r="H108" s="56">
        <f t="shared" si="41"/>
        <v>0</v>
      </c>
      <c r="I108" s="56">
        <f t="shared" si="41"/>
        <v>0</v>
      </c>
      <c r="J108" s="56">
        <f t="shared" si="41"/>
        <v>0</v>
      </c>
      <c r="K108" s="56">
        <f t="shared" si="41"/>
        <v>0</v>
      </c>
      <c r="L108" s="56">
        <f t="shared" si="41"/>
        <v>0</v>
      </c>
      <c r="M108" s="56">
        <f t="shared" si="41"/>
        <v>0</v>
      </c>
      <c r="N108" s="56">
        <f t="shared" si="42"/>
        <v>0</v>
      </c>
      <c r="P108" s="93"/>
    </row>
    <row r="109" spans="1:16" x14ac:dyDescent="0.2">
      <c r="B109" s="4"/>
      <c r="C109" s="2" t="s">
        <v>31</v>
      </c>
      <c r="D109" s="4"/>
      <c r="E109" s="4"/>
      <c r="F109" s="55">
        <f>SUM(F99:F108)</f>
        <v>953901.97874935507</v>
      </c>
      <c r="G109" s="55">
        <f t="shared" ref="G109:M109" si="43">SUM(G99:G108)</f>
        <v>443340.87480456615</v>
      </c>
      <c r="H109" s="55">
        <f>SUM(H99:H108)</f>
        <v>1051752.9233799945</v>
      </c>
      <c r="I109" s="55">
        <f t="shared" si="43"/>
        <v>19657.631207270177</v>
      </c>
      <c r="J109" s="55">
        <f t="shared" si="43"/>
        <v>26002.948586437895</v>
      </c>
      <c r="K109" s="55">
        <f t="shared" si="43"/>
        <v>84979.195505837473</v>
      </c>
      <c r="L109" s="55">
        <f t="shared" si="43"/>
        <v>29526.196899880266</v>
      </c>
      <c r="M109" s="55">
        <f t="shared" si="43"/>
        <v>9707.652500000002</v>
      </c>
      <c r="N109" s="130">
        <f t="shared" si="42"/>
        <v>2618869.4016333413</v>
      </c>
    </row>
    <row r="110" spans="1:16" x14ac:dyDescent="0.2">
      <c r="B110" s="4"/>
      <c r="C110" s="4"/>
      <c r="D110" s="4"/>
      <c r="E110" s="4"/>
      <c r="F110" s="8"/>
      <c r="G110" s="8"/>
      <c r="H110" s="8"/>
      <c r="I110" s="8"/>
      <c r="J110" s="8"/>
      <c r="K110" s="8"/>
      <c r="L110" s="8"/>
      <c r="M110" s="8"/>
    </row>
    <row r="111" spans="1:16" x14ac:dyDescent="0.2">
      <c r="B111" s="4"/>
      <c r="C111" s="18" t="s">
        <v>88</v>
      </c>
      <c r="D111" s="20"/>
      <c r="E111" s="20"/>
      <c r="F111" s="19"/>
      <c r="G111" s="19"/>
      <c r="H111" s="19"/>
      <c r="I111" s="19"/>
      <c r="J111" s="19"/>
      <c r="K111" s="19"/>
      <c r="L111" s="19"/>
      <c r="M111" s="19"/>
    </row>
    <row r="112" spans="1:16" x14ac:dyDescent="0.2">
      <c r="B112" s="4"/>
      <c r="C112" s="4" t="s">
        <v>11</v>
      </c>
      <c r="D112" s="21"/>
      <c r="E112" s="21"/>
      <c r="F112" s="55">
        <f>F86-F99</f>
        <v>1461777.6832523178</v>
      </c>
      <c r="G112" s="55">
        <f t="shared" ref="G112:M112" si="44">G86-G99</f>
        <v>1471284.2121839717</v>
      </c>
      <c r="H112" s="55">
        <f t="shared" si="44"/>
        <v>2101911.3061406249</v>
      </c>
      <c r="I112" s="55">
        <f t="shared" si="44"/>
        <v>3544.5434659091279</v>
      </c>
      <c r="J112" s="55">
        <f t="shared" si="44"/>
        <v>21133.624026913749</v>
      </c>
      <c r="K112" s="55">
        <f t="shared" si="44"/>
        <v>385037.41875000001</v>
      </c>
      <c r="L112" s="55">
        <f t="shared" si="44"/>
        <v>186.35739042525776</v>
      </c>
      <c r="M112" s="55">
        <f t="shared" si="44"/>
        <v>5151.7124999999996</v>
      </c>
      <c r="N112" s="64">
        <f t="shared" ref="N112:N122" si="45">SUM(F112:M112)</f>
        <v>5450026.857710164</v>
      </c>
    </row>
    <row r="113" spans="2:16" x14ac:dyDescent="0.2">
      <c r="B113" s="4"/>
      <c r="C113" s="4" t="s">
        <v>12</v>
      </c>
      <c r="D113" s="21"/>
      <c r="E113" s="21"/>
      <c r="F113" s="55">
        <f t="shared" ref="F113:M121" si="46">F87-F100</f>
        <v>23432018.388344016</v>
      </c>
      <c r="G113" s="55">
        <f t="shared" si="46"/>
        <v>8506798.8005641066</v>
      </c>
      <c r="H113" s="55">
        <f t="shared" si="46"/>
        <v>14177270.742583333</v>
      </c>
      <c r="I113" s="55">
        <f t="shared" si="46"/>
        <v>563218.52097674413</v>
      </c>
      <c r="J113" s="55">
        <f t="shared" si="46"/>
        <v>708770.88034735061</v>
      </c>
      <c r="K113" s="55">
        <f t="shared" si="46"/>
        <v>1392320.3050000002</v>
      </c>
      <c r="L113" s="55">
        <f t="shared" si="46"/>
        <v>350961.33500000002</v>
      </c>
      <c r="M113" s="55">
        <f t="shared" si="46"/>
        <v>189788.96300000002</v>
      </c>
      <c r="N113" s="130">
        <f t="shared" si="45"/>
        <v>49321147.93581555</v>
      </c>
    </row>
    <row r="114" spans="2:16" x14ac:dyDescent="0.2">
      <c r="B114" s="4"/>
      <c r="C114" s="4" t="s">
        <v>13</v>
      </c>
      <c r="D114" s="21"/>
      <c r="E114" s="21"/>
      <c r="F114" s="55">
        <f t="shared" si="46"/>
        <v>726742.48677558638</v>
      </c>
      <c r="G114" s="55">
        <f t="shared" si="46"/>
        <v>0</v>
      </c>
      <c r="H114" s="55">
        <f t="shared" si="46"/>
        <v>0</v>
      </c>
      <c r="I114" s="55">
        <f t="shared" si="46"/>
        <v>0</v>
      </c>
      <c r="J114" s="55">
        <f t="shared" si="46"/>
        <v>0</v>
      </c>
      <c r="K114" s="55">
        <f t="shared" si="46"/>
        <v>0</v>
      </c>
      <c r="L114" s="55">
        <f t="shared" si="46"/>
        <v>0</v>
      </c>
      <c r="M114" s="55">
        <f t="shared" si="46"/>
        <v>0</v>
      </c>
      <c r="N114" s="130">
        <f t="shared" si="45"/>
        <v>726742.48677558638</v>
      </c>
    </row>
    <row r="115" spans="2:16" x14ac:dyDescent="0.2">
      <c r="B115" s="4"/>
      <c r="C115" s="4" t="s">
        <v>14</v>
      </c>
      <c r="D115" s="21"/>
      <c r="E115" s="21"/>
      <c r="F115" s="55">
        <f t="shared" si="46"/>
        <v>0</v>
      </c>
      <c r="G115" s="55">
        <f t="shared" si="46"/>
        <v>0</v>
      </c>
      <c r="H115" s="55">
        <f t="shared" si="46"/>
        <v>0</v>
      </c>
      <c r="I115" s="55">
        <f t="shared" si="46"/>
        <v>0</v>
      </c>
      <c r="J115" s="55">
        <f t="shared" si="46"/>
        <v>0</v>
      </c>
      <c r="K115" s="55">
        <f t="shared" si="46"/>
        <v>0</v>
      </c>
      <c r="L115" s="55">
        <f t="shared" si="46"/>
        <v>0</v>
      </c>
      <c r="M115" s="55">
        <f t="shared" si="46"/>
        <v>0</v>
      </c>
      <c r="N115" s="130">
        <f t="shared" si="45"/>
        <v>0</v>
      </c>
    </row>
    <row r="116" spans="2:16" x14ac:dyDescent="0.2">
      <c r="B116" s="4"/>
      <c r="C116" s="4" t="s">
        <v>15</v>
      </c>
      <c r="D116" s="21"/>
      <c r="E116" s="21"/>
      <c r="F116" s="55">
        <f t="shared" si="46"/>
        <v>0</v>
      </c>
      <c r="G116" s="55">
        <f t="shared" si="46"/>
        <v>0</v>
      </c>
      <c r="H116" s="55">
        <f t="shared" si="46"/>
        <v>0</v>
      </c>
      <c r="I116" s="55">
        <f t="shared" si="46"/>
        <v>0</v>
      </c>
      <c r="J116" s="55">
        <f t="shared" si="46"/>
        <v>0</v>
      </c>
      <c r="K116" s="55">
        <f t="shared" si="46"/>
        <v>0</v>
      </c>
      <c r="L116" s="55">
        <f t="shared" si="46"/>
        <v>0</v>
      </c>
      <c r="M116" s="55">
        <f t="shared" si="46"/>
        <v>0</v>
      </c>
      <c r="N116" s="130">
        <f t="shared" si="45"/>
        <v>0</v>
      </c>
    </row>
    <row r="117" spans="2:16" x14ac:dyDescent="0.2">
      <c r="B117" s="4"/>
      <c r="C117" s="5" t="s">
        <v>16</v>
      </c>
      <c r="D117" s="22"/>
      <c r="E117" s="22"/>
      <c r="F117" s="63">
        <f t="shared" si="46"/>
        <v>0</v>
      </c>
      <c r="G117" s="63">
        <f t="shared" si="46"/>
        <v>0</v>
      </c>
      <c r="H117" s="63">
        <f t="shared" si="46"/>
        <v>0</v>
      </c>
      <c r="I117" s="63">
        <f t="shared" si="46"/>
        <v>0</v>
      </c>
      <c r="J117" s="63">
        <f t="shared" si="46"/>
        <v>0</v>
      </c>
      <c r="K117" s="63">
        <f t="shared" si="46"/>
        <v>0</v>
      </c>
      <c r="L117" s="63">
        <f t="shared" si="46"/>
        <v>0</v>
      </c>
      <c r="M117" s="63">
        <f t="shared" si="46"/>
        <v>0</v>
      </c>
      <c r="N117" s="63">
        <f t="shared" si="45"/>
        <v>0</v>
      </c>
    </row>
    <row r="118" spans="2:16" x14ac:dyDescent="0.2">
      <c r="B118" s="4"/>
      <c r="C118" s="4" t="s">
        <v>17</v>
      </c>
      <c r="D118" s="21"/>
      <c r="E118" s="21"/>
      <c r="F118" s="55">
        <f t="shared" si="46"/>
        <v>0</v>
      </c>
      <c r="G118" s="55">
        <f t="shared" si="46"/>
        <v>0</v>
      </c>
      <c r="H118" s="55">
        <f t="shared" si="46"/>
        <v>0</v>
      </c>
      <c r="I118" s="55">
        <f t="shared" si="46"/>
        <v>0</v>
      </c>
      <c r="J118" s="55">
        <f t="shared" si="46"/>
        <v>0</v>
      </c>
      <c r="K118" s="55">
        <f t="shared" si="46"/>
        <v>0</v>
      </c>
      <c r="L118" s="55">
        <f t="shared" si="46"/>
        <v>0</v>
      </c>
      <c r="M118" s="55">
        <f t="shared" si="46"/>
        <v>0</v>
      </c>
      <c r="N118" s="130">
        <f t="shared" si="45"/>
        <v>0</v>
      </c>
    </row>
    <row r="119" spans="2:16" x14ac:dyDescent="0.2">
      <c r="B119" s="4"/>
      <c r="C119" s="4" t="s">
        <v>19</v>
      </c>
      <c r="D119" s="21"/>
      <c r="E119" s="21"/>
      <c r="F119" s="55">
        <f t="shared" si="46"/>
        <v>0</v>
      </c>
      <c r="G119" s="55">
        <f t="shared" si="46"/>
        <v>467256.33885909332</v>
      </c>
      <c r="H119" s="55">
        <f t="shared" si="46"/>
        <v>3804786.882485575</v>
      </c>
      <c r="I119" s="55">
        <f t="shared" si="46"/>
        <v>0</v>
      </c>
      <c r="J119" s="55">
        <f t="shared" si="46"/>
        <v>0</v>
      </c>
      <c r="K119" s="55">
        <f t="shared" si="46"/>
        <v>101690.90330253723</v>
      </c>
      <c r="L119" s="55">
        <f t="shared" si="46"/>
        <v>156704.92266466722</v>
      </c>
      <c r="M119" s="55">
        <f t="shared" si="46"/>
        <v>25377.822</v>
      </c>
      <c r="N119" s="130">
        <f t="shared" si="45"/>
        <v>4555816.8693118729</v>
      </c>
    </row>
    <row r="120" spans="2:16" x14ac:dyDescent="0.2">
      <c r="B120" s="4"/>
      <c r="C120" s="4" t="s">
        <v>20</v>
      </c>
      <c r="D120" s="21"/>
      <c r="E120" s="21"/>
      <c r="F120" s="55">
        <f t="shared" si="46"/>
        <v>0</v>
      </c>
      <c r="G120" s="55">
        <f t="shared" si="46"/>
        <v>0</v>
      </c>
      <c r="H120" s="55">
        <f t="shared" si="46"/>
        <v>0</v>
      </c>
      <c r="I120" s="55">
        <f t="shared" si="46"/>
        <v>0</v>
      </c>
      <c r="J120" s="55">
        <f t="shared" si="46"/>
        <v>2919.6375381260145</v>
      </c>
      <c r="K120" s="55">
        <f t="shared" si="46"/>
        <v>0</v>
      </c>
      <c r="L120" s="55">
        <f t="shared" si="46"/>
        <v>0</v>
      </c>
      <c r="M120" s="55">
        <f t="shared" si="46"/>
        <v>0</v>
      </c>
      <c r="N120" s="130">
        <f t="shared" si="45"/>
        <v>2919.6375381260145</v>
      </c>
    </row>
    <row r="121" spans="2:16" x14ac:dyDescent="0.2">
      <c r="B121" s="4"/>
      <c r="C121" s="6" t="s">
        <v>21</v>
      </c>
      <c r="D121" s="23"/>
      <c r="E121" s="23"/>
      <c r="F121" s="56">
        <f t="shared" si="46"/>
        <v>0</v>
      </c>
      <c r="G121" s="56">
        <f t="shared" si="46"/>
        <v>0</v>
      </c>
      <c r="H121" s="56">
        <f t="shared" si="46"/>
        <v>0</v>
      </c>
      <c r="I121" s="56">
        <f t="shared" si="46"/>
        <v>0</v>
      </c>
      <c r="J121" s="56">
        <f t="shared" si="46"/>
        <v>0</v>
      </c>
      <c r="K121" s="56">
        <f t="shared" si="46"/>
        <v>0</v>
      </c>
      <c r="L121" s="56">
        <f t="shared" si="46"/>
        <v>0</v>
      </c>
      <c r="M121" s="56">
        <f t="shared" si="46"/>
        <v>0</v>
      </c>
      <c r="N121" s="56">
        <f t="shared" si="45"/>
        <v>0</v>
      </c>
    </row>
    <row r="122" spans="2:16" x14ac:dyDescent="0.2">
      <c r="B122" s="4"/>
      <c r="C122" s="7" t="s">
        <v>9</v>
      </c>
      <c r="D122" s="29"/>
      <c r="E122" s="29"/>
      <c r="F122" s="55">
        <f>SUM(F112:F121)</f>
        <v>25620538.558371916</v>
      </c>
      <c r="G122" s="55">
        <f t="shared" ref="G122:M122" si="47">SUM(G112:G121)</f>
        <v>10445339.35160717</v>
      </c>
      <c r="H122" s="55">
        <f>SUM(H112:H121)</f>
        <v>20083968.931209534</v>
      </c>
      <c r="I122" s="55">
        <f t="shared" si="47"/>
        <v>566763.06444265321</v>
      </c>
      <c r="J122" s="55">
        <f t="shared" si="47"/>
        <v>732824.14191239036</v>
      </c>
      <c r="K122" s="55">
        <f t="shared" si="47"/>
        <v>1879048.6270525374</v>
      </c>
      <c r="L122" s="55">
        <f t="shared" si="47"/>
        <v>507852.61505509249</v>
      </c>
      <c r="M122" s="55">
        <f t="shared" si="47"/>
        <v>220318.4975</v>
      </c>
      <c r="N122" s="130">
        <f t="shared" si="45"/>
        <v>60056653.787151299</v>
      </c>
    </row>
    <row r="123" spans="2:16" x14ac:dyDescent="0.2">
      <c r="B123" s="4"/>
      <c r="C123" s="4"/>
      <c r="D123" s="4"/>
      <c r="E123" s="4"/>
      <c r="F123" s="8"/>
      <c r="G123" s="8"/>
      <c r="H123" s="8"/>
      <c r="I123" s="8"/>
      <c r="J123" s="8"/>
      <c r="K123" s="8"/>
      <c r="L123" s="8"/>
      <c r="M123" s="8"/>
    </row>
    <row r="124" spans="2:16" x14ac:dyDescent="0.2">
      <c r="B124" s="4"/>
      <c r="C124" s="18" t="s">
        <v>39</v>
      </c>
      <c r="D124" s="6"/>
      <c r="E124" s="6"/>
      <c r="F124" s="6"/>
      <c r="G124" s="6"/>
      <c r="H124" s="6"/>
      <c r="I124" s="6"/>
      <c r="J124" s="6"/>
      <c r="K124" s="6"/>
      <c r="L124" s="6"/>
      <c r="M124" s="6"/>
    </row>
    <row r="125" spans="2:16" x14ac:dyDescent="0.2">
      <c r="B125" s="4"/>
      <c r="C125" s="30" t="s">
        <v>109</v>
      </c>
      <c r="D125" s="4"/>
      <c r="E125" s="4"/>
      <c r="F125" s="67">
        <f t="shared" ref="F125:M125" si="48">F14</f>
        <v>41260398.761408776</v>
      </c>
      <c r="G125" s="67">
        <f t="shared" si="48"/>
        <v>34396931.752293415</v>
      </c>
      <c r="H125" s="67">
        <f t="shared" si="48"/>
        <v>28213256.744809568</v>
      </c>
      <c r="I125" s="67">
        <f t="shared" si="48"/>
        <v>967811.24657343782</v>
      </c>
      <c r="J125" s="67">
        <f t="shared" si="48"/>
        <v>1599966.0560820955</v>
      </c>
      <c r="K125" s="67">
        <f t="shared" si="48"/>
        <v>3884038.3623165055</v>
      </c>
      <c r="L125" s="67">
        <f t="shared" si="48"/>
        <v>514999.67364254018</v>
      </c>
      <c r="M125" s="67">
        <f t="shared" si="48"/>
        <v>200895.3514060968</v>
      </c>
      <c r="N125" s="64">
        <f t="shared" ref="N125:N130" si="49">SUM(F125:M125)</f>
        <v>111038297.94853243</v>
      </c>
      <c r="O125" s="32"/>
      <c r="P125" s="3"/>
    </row>
    <row r="126" spans="2:16" x14ac:dyDescent="0.2">
      <c r="B126" s="4"/>
      <c r="C126" s="30" t="s">
        <v>48</v>
      </c>
      <c r="D126" s="4"/>
      <c r="E126" s="4"/>
      <c r="F126" s="67">
        <f t="shared" ref="F126:M126" si="50">F24</f>
        <v>5454803.3024433684</v>
      </c>
      <c r="G126" s="67">
        <f t="shared" si="50"/>
        <v>2913817.6609239867</v>
      </c>
      <c r="H126" s="67">
        <f t="shared" si="50"/>
        <v>5062243.6525499998</v>
      </c>
      <c r="I126" s="67">
        <f t="shared" si="50"/>
        <v>54077.860066009278</v>
      </c>
      <c r="J126" s="67">
        <f t="shared" si="50"/>
        <v>128784.43219413761</v>
      </c>
      <c r="K126" s="67">
        <f t="shared" si="50"/>
        <v>168639.98983621408</v>
      </c>
      <c r="L126" s="67">
        <f t="shared" si="50"/>
        <v>61302.140549999996</v>
      </c>
      <c r="M126" s="67">
        <f t="shared" si="50"/>
        <v>34704.519255000007</v>
      </c>
      <c r="N126" s="130">
        <f t="shared" si="49"/>
        <v>13878373.557818716</v>
      </c>
      <c r="O126" s="32"/>
      <c r="P126" s="3"/>
    </row>
    <row r="127" spans="2:16" x14ac:dyDescent="0.2">
      <c r="B127" s="4"/>
      <c r="C127" s="30" t="s">
        <v>37</v>
      </c>
      <c r="D127" s="4"/>
      <c r="E127" s="4"/>
      <c r="F127" s="67">
        <f t="shared" ref="F127:M127" si="51">F83</f>
        <v>11432244.382530993</v>
      </c>
      <c r="G127" s="67">
        <f t="shared" si="51"/>
        <v>4376399.8034970006</v>
      </c>
      <c r="H127" s="67">
        <f t="shared" si="51"/>
        <v>6403294.6116289971</v>
      </c>
      <c r="I127" s="67">
        <f t="shared" si="51"/>
        <v>286327.90620000003</v>
      </c>
      <c r="J127" s="67">
        <f t="shared" si="51"/>
        <v>189881.16624562498</v>
      </c>
      <c r="K127" s="67">
        <f t="shared" si="51"/>
        <v>425701.2911147725</v>
      </c>
      <c r="L127" s="67">
        <f t="shared" si="51"/>
        <v>249968.18320909792</v>
      </c>
      <c r="M127" s="67">
        <f t="shared" si="51"/>
        <v>126582.905952</v>
      </c>
      <c r="N127" s="130">
        <f t="shared" si="49"/>
        <v>23490400.250378486</v>
      </c>
      <c r="O127" s="32"/>
      <c r="P127" s="3"/>
    </row>
    <row r="128" spans="2:16" x14ac:dyDescent="0.2">
      <c r="B128" s="4"/>
      <c r="C128" s="30" t="s">
        <v>38</v>
      </c>
      <c r="D128" s="4"/>
      <c r="E128" s="4"/>
      <c r="F128" s="67">
        <f>F122</f>
        <v>25620538.558371916</v>
      </c>
      <c r="G128" s="67">
        <f t="shared" ref="G128:M128" si="52">G122</f>
        <v>10445339.35160717</v>
      </c>
      <c r="H128" s="67">
        <f t="shared" si="52"/>
        <v>20083968.931209534</v>
      </c>
      <c r="I128" s="67">
        <f t="shared" si="52"/>
        <v>566763.06444265321</v>
      </c>
      <c r="J128" s="67">
        <f t="shared" si="52"/>
        <v>732824.14191239036</v>
      </c>
      <c r="K128" s="67">
        <f t="shared" si="52"/>
        <v>1879048.6270525374</v>
      </c>
      <c r="L128" s="67">
        <f t="shared" si="52"/>
        <v>507852.61505509249</v>
      </c>
      <c r="M128" s="67">
        <f t="shared" si="52"/>
        <v>220318.4975</v>
      </c>
      <c r="N128" s="130">
        <f t="shared" si="49"/>
        <v>60056653.787151299</v>
      </c>
      <c r="O128" s="32"/>
      <c r="P128" s="3"/>
    </row>
    <row r="129" spans="2:16" x14ac:dyDescent="0.2">
      <c r="B129" s="4"/>
      <c r="C129" s="34" t="s">
        <v>40</v>
      </c>
      <c r="D129" s="136" t="s">
        <v>22</v>
      </c>
      <c r="E129" s="6"/>
      <c r="F129" s="58">
        <f>SUM(F125:F128)</f>
        <v>83767985.00475505</v>
      </c>
      <c r="G129" s="58">
        <f t="shared" ref="G129:M129" si="53">SUM(G125:G128)</f>
        <v>52132488.568321571</v>
      </c>
      <c r="H129" s="58">
        <f t="shared" si="53"/>
        <v>59762763.940198101</v>
      </c>
      <c r="I129" s="58">
        <f t="shared" si="53"/>
        <v>1874980.0772821005</v>
      </c>
      <c r="J129" s="58">
        <f t="shared" si="53"/>
        <v>2651455.7964342483</v>
      </c>
      <c r="K129" s="58">
        <f t="shared" si="53"/>
        <v>6357428.270320029</v>
      </c>
      <c r="L129" s="58">
        <f t="shared" si="53"/>
        <v>1334122.6124567306</v>
      </c>
      <c r="M129" s="58">
        <f t="shared" si="53"/>
        <v>582501.27411309676</v>
      </c>
      <c r="N129" s="56">
        <f>SUM(F129:M129)</f>
        <v>208463725.54388091</v>
      </c>
      <c r="O129" s="32"/>
      <c r="P129" s="3"/>
    </row>
    <row r="130" spans="2:16" x14ac:dyDescent="0.2">
      <c r="B130" s="4"/>
      <c r="C130" s="7" t="s">
        <v>41</v>
      </c>
      <c r="D130" s="77">
        <v>4.2000000000000003E-2</v>
      </c>
      <c r="E130" s="29"/>
      <c r="F130" s="64">
        <f>F129*$D$130</f>
        <v>3518255.3701997125</v>
      </c>
      <c r="G130" s="64">
        <f t="shared" ref="G130:M130" si="54">G129*$D$130</f>
        <v>2189564.5198695059</v>
      </c>
      <c r="H130" s="64">
        <f t="shared" si="54"/>
        <v>2510036.0854883203</v>
      </c>
      <c r="I130" s="64">
        <f t="shared" si="54"/>
        <v>78749.16324584822</v>
      </c>
      <c r="J130" s="64">
        <f t="shared" si="54"/>
        <v>111361.14345023844</v>
      </c>
      <c r="K130" s="64">
        <f t="shared" si="54"/>
        <v>267011.98735344125</v>
      </c>
      <c r="L130" s="64">
        <f t="shared" si="54"/>
        <v>56033.149723182687</v>
      </c>
      <c r="M130" s="64">
        <f t="shared" si="54"/>
        <v>24465.053512750066</v>
      </c>
      <c r="N130" s="130">
        <f t="shared" si="49"/>
        <v>8755476.4728429988</v>
      </c>
      <c r="O130" s="123"/>
      <c r="P130" s="106"/>
    </row>
    <row r="131" spans="2:16" s="17" customFormat="1" x14ac:dyDescent="0.2">
      <c r="B131" s="4"/>
      <c r="C131" s="25"/>
      <c r="D131" s="25"/>
      <c r="E131" s="25"/>
      <c r="F131" s="31"/>
      <c r="G131" s="31"/>
      <c r="H131" s="31"/>
      <c r="I131" s="31"/>
      <c r="J131" s="31"/>
      <c r="K131" s="31"/>
      <c r="L131" s="31"/>
      <c r="M131" s="31"/>
      <c r="N131" s="32"/>
      <c r="O131" s="32"/>
      <c r="P131" s="32"/>
    </row>
    <row r="132" spans="2:16" s="17" customFormat="1" x14ac:dyDescent="0.2">
      <c r="B132" s="4"/>
      <c r="C132" s="37" t="s">
        <v>25</v>
      </c>
      <c r="D132" s="35"/>
      <c r="E132" s="35"/>
      <c r="F132" s="36"/>
      <c r="G132" s="36"/>
      <c r="H132" s="36"/>
      <c r="I132" s="36"/>
      <c r="J132" s="36"/>
      <c r="K132" s="36"/>
      <c r="L132" s="36"/>
      <c r="M132" s="36"/>
      <c r="N132" s="32"/>
      <c r="O132" s="32"/>
      <c r="P132" s="32"/>
    </row>
    <row r="133" spans="2:16" s="17" customFormat="1" x14ac:dyDescent="0.2">
      <c r="B133" s="4"/>
      <c r="C133" s="33" t="s">
        <v>41</v>
      </c>
      <c r="D133" s="25"/>
      <c r="E133" s="25"/>
      <c r="F133" s="67">
        <f>F130</f>
        <v>3518255.3701997125</v>
      </c>
      <c r="G133" s="67">
        <f t="shared" ref="G133:M133" si="55">G130</f>
        <v>2189564.5198695059</v>
      </c>
      <c r="H133" s="67">
        <f t="shared" si="55"/>
        <v>2510036.0854883203</v>
      </c>
      <c r="I133" s="67">
        <f t="shared" si="55"/>
        <v>78749.16324584822</v>
      </c>
      <c r="J133" s="67">
        <f t="shared" si="55"/>
        <v>111361.14345023844</v>
      </c>
      <c r="K133" s="67">
        <f t="shared" si="55"/>
        <v>267011.98735344125</v>
      </c>
      <c r="L133" s="67">
        <f t="shared" si="55"/>
        <v>56033.149723182687</v>
      </c>
      <c r="M133" s="67">
        <f t="shared" si="55"/>
        <v>24465.053512750066</v>
      </c>
      <c r="N133" s="64">
        <f t="shared" ref="N133:N138" si="56">SUM(F133:M133)</f>
        <v>8755476.4728429988</v>
      </c>
      <c r="O133" s="32"/>
      <c r="P133" s="32"/>
    </row>
    <row r="134" spans="2:16" x14ac:dyDescent="0.2">
      <c r="B134" s="4"/>
      <c r="C134" s="30" t="s">
        <v>110</v>
      </c>
      <c r="D134" s="4"/>
      <c r="E134" s="4"/>
      <c r="F134" s="67">
        <f t="shared" ref="F134:M134" si="57">F13</f>
        <v>5894342.6802012548</v>
      </c>
      <c r="G134" s="67">
        <f t="shared" si="57"/>
        <v>4913847.3931847736</v>
      </c>
      <c r="H134" s="67">
        <f t="shared" si="57"/>
        <v>4030465.2492585098</v>
      </c>
      <c r="I134" s="67">
        <f t="shared" si="57"/>
        <v>138258.74951049115</v>
      </c>
      <c r="J134" s="67">
        <f t="shared" si="57"/>
        <v>228566.57944029939</v>
      </c>
      <c r="K134" s="67">
        <f t="shared" si="57"/>
        <v>554862.62318807212</v>
      </c>
      <c r="L134" s="67">
        <f t="shared" si="57"/>
        <v>73571.381948934315</v>
      </c>
      <c r="M134" s="67">
        <f t="shared" si="57"/>
        <v>28699.335915156687</v>
      </c>
      <c r="N134" s="130">
        <f t="shared" si="56"/>
        <v>15862613.992647495</v>
      </c>
      <c r="O134" s="21"/>
      <c r="P134" s="3"/>
    </row>
    <row r="135" spans="2:16" x14ac:dyDescent="0.2">
      <c r="B135" s="4"/>
      <c r="C135" s="30" t="s">
        <v>49</v>
      </c>
      <c r="D135" s="4"/>
      <c r="E135" s="4"/>
      <c r="F135" s="67">
        <f t="shared" ref="F135:M135" si="58">F23</f>
        <v>779257.61463476694</v>
      </c>
      <c r="G135" s="67">
        <f t="shared" si="58"/>
        <v>416259.66584628384</v>
      </c>
      <c r="H135" s="67">
        <f t="shared" si="58"/>
        <v>723177.66465000005</v>
      </c>
      <c r="I135" s="67">
        <f t="shared" si="58"/>
        <v>7725.4085808584687</v>
      </c>
      <c r="J135" s="67">
        <f t="shared" si="58"/>
        <v>18397.776027733944</v>
      </c>
      <c r="K135" s="67">
        <f t="shared" si="58"/>
        <v>24091.427119459153</v>
      </c>
      <c r="L135" s="67">
        <f t="shared" si="58"/>
        <v>8757.4486500000003</v>
      </c>
      <c r="M135" s="67">
        <f t="shared" si="58"/>
        <v>4957.7884650000005</v>
      </c>
      <c r="N135" s="130">
        <f t="shared" si="56"/>
        <v>1982624.7939741025</v>
      </c>
      <c r="O135" s="21"/>
      <c r="P135" s="3"/>
    </row>
    <row r="136" spans="2:16" x14ac:dyDescent="0.2">
      <c r="B136" s="4"/>
      <c r="C136" s="4" t="s">
        <v>31</v>
      </c>
      <c r="D136" s="4"/>
      <c r="E136" s="4"/>
      <c r="F136" s="67">
        <f t="shared" ref="F136:M136" si="59">F82</f>
        <v>1241670.2959976592</v>
      </c>
      <c r="G136" s="67">
        <f t="shared" si="59"/>
        <v>585336.23908199999</v>
      </c>
      <c r="H136" s="67">
        <f t="shared" si="59"/>
        <v>736495.39941399882</v>
      </c>
      <c r="I136" s="67">
        <f t="shared" si="59"/>
        <v>25267.621200000005</v>
      </c>
      <c r="J136" s="67">
        <f t="shared" si="59"/>
        <v>19396.934211510001</v>
      </c>
      <c r="K136" s="67">
        <f t="shared" si="59"/>
        <v>98194.045004220679</v>
      </c>
      <c r="L136" s="67">
        <f t="shared" si="59"/>
        <v>71017.646152705231</v>
      </c>
      <c r="M136" s="67">
        <f t="shared" si="59"/>
        <v>19784.267712000001</v>
      </c>
      <c r="N136" s="130">
        <f t="shared" si="56"/>
        <v>2797162.4487740942</v>
      </c>
      <c r="O136" s="32"/>
      <c r="P136" s="3"/>
    </row>
    <row r="137" spans="2:16" x14ac:dyDescent="0.2">
      <c r="B137" s="4"/>
      <c r="C137" s="6" t="s">
        <v>36</v>
      </c>
      <c r="D137" s="6"/>
      <c r="E137" s="6"/>
      <c r="F137" s="70">
        <f>F109</f>
        <v>953901.97874935507</v>
      </c>
      <c r="G137" s="70">
        <f t="shared" ref="G137:M137" si="60">G109</f>
        <v>443340.87480456615</v>
      </c>
      <c r="H137" s="70">
        <f t="shared" si="60"/>
        <v>1051752.9233799945</v>
      </c>
      <c r="I137" s="70">
        <f t="shared" si="60"/>
        <v>19657.631207270177</v>
      </c>
      <c r="J137" s="70">
        <f t="shared" si="60"/>
        <v>26002.948586437895</v>
      </c>
      <c r="K137" s="70">
        <f t="shared" si="60"/>
        <v>84979.195505837473</v>
      </c>
      <c r="L137" s="70">
        <f t="shared" si="60"/>
        <v>29526.196899880266</v>
      </c>
      <c r="M137" s="70">
        <f t="shared" si="60"/>
        <v>9707.652500000002</v>
      </c>
      <c r="N137" s="56">
        <f t="shared" si="56"/>
        <v>2618869.4016333413</v>
      </c>
      <c r="O137" s="32"/>
      <c r="P137" s="3"/>
    </row>
    <row r="138" spans="2:16" x14ac:dyDescent="0.2">
      <c r="B138" s="4"/>
      <c r="C138" s="2" t="s">
        <v>42</v>
      </c>
      <c r="D138" s="4"/>
      <c r="E138" s="4"/>
      <c r="F138" s="55">
        <f>SUM(F133:F137)</f>
        <v>12387427.939782748</v>
      </c>
      <c r="G138" s="55">
        <f t="shared" ref="G138:M138" si="61">SUM(G133:G137)</f>
        <v>8548348.6927871294</v>
      </c>
      <c r="H138" s="55">
        <f t="shared" si="61"/>
        <v>9051927.322190823</v>
      </c>
      <c r="I138" s="55">
        <f t="shared" si="61"/>
        <v>269658.57374446798</v>
      </c>
      <c r="J138" s="55">
        <f t="shared" si="61"/>
        <v>403725.38171621965</v>
      </c>
      <c r="K138" s="55">
        <f t="shared" si="61"/>
        <v>1029139.2781710307</v>
      </c>
      <c r="L138" s="55">
        <f t="shared" si="61"/>
        <v>238905.82337470251</v>
      </c>
      <c r="M138" s="55">
        <f t="shared" si="61"/>
        <v>87614.098104906749</v>
      </c>
      <c r="N138" s="130">
        <f t="shared" si="56"/>
        <v>32016747.109872025</v>
      </c>
    </row>
    <row r="140" spans="2:16" x14ac:dyDescent="0.2">
      <c r="C140" s="18" t="s">
        <v>94</v>
      </c>
      <c r="D140" s="6"/>
      <c r="E140" s="6"/>
      <c r="F140" s="23"/>
      <c r="G140" s="23"/>
      <c r="H140" s="23"/>
      <c r="I140" s="23"/>
      <c r="J140" s="23"/>
      <c r="K140" s="23"/>
      <c r="L140" s="23"/>
      <c r="M140" s="23"/>
      <c r="N140" s="3"/>
      <c r="O140" s="32"/>
      <c r="P140" s="3"/>
    </row>
    <row r="141" spans="2:16" x14ac:dyDescent="0.2">
      <c r="C141" s="30" t="s">
        <v>44</v>
      </c>
      <c r="D141" s="4"/>
      <c r="E141" s="4"/>
      <c r="F141" s="100">
        <v>37691010.788465902</v>
      </c>
      <c r="G141" s="100">
        <v>15989531.1477686</v>
      </c>
      <c r="H141" s="100">
        <v>34075955.522440471</v>
      </c>
      <c r="I141" s="100">
        <v>709785.62466943962</v>
      </c>
      <c r="J141" s="100">
        <v>1707325.9483007556</v>
      </c>
      <c r="K141" s="100">
        <v>2028775.935371621</v>
      </c>
      <c r="L141" s="100">
        <v>745768.31408924598</v>
      </c>
      <c r="M141" s="100">
        <v>414910</v>
      </c>
      <c r="N141" s="64">
        <f t="shared" ref="N141:N143" si="62">SUM(F141:M141)</f>
        <v>93363063.28110601</v>
      </c>
      <c r="O141" s="32"/>
      <c r="P141" s="106"/>
    </row>
    <row r="142" spans="2:16" x14ac:dyDescent="0.2">
      <c r="C142" s="4" t="s">
        <v>7</v>
      </c>
      <c r="D142" s="4"/>
      <c r="E142" s="4"/>
      <c r="F142" s="75"/>
      <c r="G142" s="75">
        <v>20528</v>
      </c>
      <c r="H142" s="75"/>
      <c r="I142" s="75"/>
      <c r="J142" s="75">
        <v>0</v>
      </c>
      <c r="K142" s="75"/>
      <c r="L142" s="75"/>
      <c r="M142" s="75"/>
      <c r="N142" s="130">
        <f t="shared" si="62"/>
        <v>20528</v>
      </c>
      <c r="O142" s="32"/>
      <c r="P142" s="106"/>
    </row>
    <row r="143" spans="2:16" x14ac:dyDescent="0.2">
      <c r="C143" s="6" t="s">
        <v>8</v>
      </c>
      <c r="D143" s="6"/>
      <c r="E143" s="6"/>
      <c r="F143" s="76">
        <v>383.80999999999995</v>
      </c>
      <c r="G143" s="76">
        <v>47940</v>
      </c>
      <c r="H143" s="76">
        <v>2896119.1487852996</v>
      </c>
      <c r="I143" s="76"/>
      <c r="J143" s="76">
        <v>7760.7551120236676</v>
      </c>
      <c r="K143" s="76">
        <v>28753.599095873407</v>
      </c>
      <c r="L143" s="76"/>
      <c r="M143" s="76">
        <v>563.15</v>
      </c>
      <c r="N143" s="56">
        <f t="shared" si="62"/>
        <v>2981520.4629931967</v>
      </c>
      <c r="O143" s="32"/>
      <c r="P143" s="106"/>
    </row>
    <row r="144" spans="2:16" x14ac:dyDescent="0.2">
      <c r="C144" s="2" t="s">
        <v>68</v>
      </c>
      <c r="D144" s="4"/>
      <c r="E144" s="4"/>
      <c r="F144" s="55">
        <f t="shared" ref="F144:M144" si="63">F141-SUM(F142:F143)</f>
        <v>37690626.9784659</v>
      </c>
      <c r="G144" s="55">
        <f t="shared" si="63"/>
        <v>15921063.1477686</v>
      </c>
      <c r="H144" s="55">
        <f t="shared" si="63"/>
        <v>31179836.37365517</v>
      </c>
      <c r="I144" s="55">
        <f t="shared" si="63"/>
        <v>709785.62466943962</v>
      </c>
      <c r="J144" s="55">
        <f t="shared" si="63"/>
        <v>1699565.193188732</v>
      </c>
      <c r="K144" s="55">
        <f t="shared" si="63"/>
        <v>2000022.3362757477</v>
      </c>
      <c r="L144" s="55">
        <f t="shared" si="63"/>
        <v>745768.31408924598</v>
      </c>
      <c r="M144" s="55">
        <f t="shared" si="63"/>
        <v>414346.85</v>
      </c>
      <c r="N144" s="130">
        <f>SUM(F144:M144)</f>
        <v>90361014.818112805</v>
      </c>
      <c r="O144" s="32"/>
    </row>
    <row r="145" spans="2:16" x14ac:dyDescent="0.2">
      <c r="B145" s="4"/>
      <c r="C145" s="4"/>
      <c r="D145" s="4"/>
      <c r="E145" s="4"/>
      <c r="F145" s="8"/>
      <c r="G145" s="8"/>
      <c r="H145" s="8"/>
      <c r="I145" s="8"/>
      <c r="J145" s="8"/>
      <c r="K145" s="8"/>
      <c r="L145" s="8"/>
      <c r="M145" s="8"/>
      <c r="N145" s="3"/>
      <c r="O145" s="32"/>
      <c r="P145" s="3"/>
    </row>
    <row r="146" spans="2:16" x14ac:dyDescent="0.2">
      <c r="B146" s="4"/>
      <c r="C146" s="18" t="s">
        <v>43</v>
      </c>
      <c r="D146" s="6"/>
      <c r="E146" s="6"/>
      <c r="F146" s="23"/>
      <c r="G146" s="23"/>
      <c r="H146" s="23"/>
      <c r="I146" s="23"/>
      <c r="J146" s="23"/>
      <c r="K146" s="23"/>
      <c r="L146" s="23"/>
      <c r="M146" s="23"/>
      <c r="N146" s="45"/>
      <c r="O146" s="124"/>
      <c r="P146" s="3"/>
    </row>
    <row r="147" spans="2:16" x14ac:dyDescent="0.2">
      <c r="B147" s="4"/>
      <c r="C147" s="30" t="s">
        <v>42</v>
      </c>
      <c r="D147" s="4"/>
      <c r="E147" s="4"/>
      <c r="F147" s="67">
        <f t="shared" ref="F147:M147" si="64">F138</f>
        <v>12387427.939782748</v>
      </c>
      <c r="G147" s="67">
        <f t="shared" si="64"/>
        <v>8548348.6927871294</v>
      </c>
      <c r="H147" s="67">
        <f t="shared" si="64"/>
        <v>9051927.322190823</v>
      </c>
      <c r="I147" s="67">
        <f t="shared" si="64"/>
        <v>269658.57374446798</v>
      </c>
      <c r="J147" s="67">
        <f t="shared" si="64"/>
        <v>403725.38171621965</v>
      </c>
      <c r="K147" s="67">
        <f t="shared" si="64"/>
        <v>1029139.2781710307</v>
      </c>
      <c r="L147" s="67">
        <f t="shared" si="64"/>
        <v>238905.82337470251</v>
      </c>
      <c r="M147" s="67">
        <f t="shared" si="64"/>
        <v>87614.098104906749</v>
      </c>
      <c r="N147" s="65">
        <f>SUM(F147:M147)</f>
        <v>32016747.109872025</v>
      </c>
      <c r="O147" s="125"/>
      <c r="P147" s="3"/>
    </row>
    <row r="148" spans="2:16" x14ac:dyDescent="0.2">
      <c r="B148" s="4"/>
      <c r="C148" s="39" t="s">
        <v>44</v>
      </c>
      <c r="D148" s="6"/>
      <c r="E148" s="6"/>
      <c r="F148" s="72">
        <f>F144</f>
        <v>37690626.9784659</v>
      </c>
      <c r="G148" s="72">
        <f t="shared" ref="G148:M148" si="65">G144</f>
        <v>15921063.1477686</v>
      </c>
      <c r="H148" s="72">
        <f t="shared" si="65"/>
        <v>31179836.37365517</v>
      </c>
      <c r="I148" s="72">
        <f t="shared" si="65"/>
        <v>709785.62466943962</v>
      </c>
      <c r="J148" s="72">
        <f t="shared" si="65"/>
        <v>1699565.193188732</v>
      </c>
      <c r="K148" s="72">
        <f t="shared" si="65"/>
        <v>2000022.3362757477</v>
      </c>
      <c r="L148" s="72">
        <f t="shared" si="65"/>
        <v>745768.31408924598</v>
      </c>
      <c r="M148" s="72">
        <f t="shared" si="65"/>
        <v>414346.85</v>
      </c>
      <c r="N148" s="66">
        <f>SUM(F148:M148)</f>
        <v>90361014.818112805</v>
      </c>
      <c r="O148" s="125"/>
      <c r="P148" s="16"/>
    </row>
    <row r="149" spans="2:16" x14ac:dyDescent="0.2">
      <c r="B149" s="4"/>
      <c r="C149" s="38" t="s">
        <v>45</v>
      </c>
      <c r="D149" s="4"/>
      <c r="E149" s="4"/>
      <c r="F149" s="55">
        <f>F147+F148</f>
        <v>50078054.918248646</v>
      </c>
      <c r="G149" s="55">
        <f t="shared" ref="G149:M149" si="66">G147+G148</f>
        <v>24469411.840555727</v>
      </c>
      <c r="H149" s="55">
        <f t="shared" si="66"/>
        <v>40231763.695845991</v>
      </c>
      <c r="I149" s="55">
        <f t="shared" si="66"/>
        <v>979444.19841390755</v>
      </c>
      <c r="J149" s="55">
        <f t="shared" si="66"/>
        <v>2103290.5749049517</v>
      </c>
      <c r="K149" s="55">
        <f t="shared" si="66"/>
        <v>3029161.6144467783</v>
      </c>
      <c r="L149" s="55">
        <f t="shared" si="66"/>
        <v>984674.13746394846</v>
      </c>
      <c r="M149" s="55">
        <f t="shared" si="66"/>
        <v>501960.94810490671</v>
      </c>
      <c r="N149" s="65">
        <f>SUM(F149:M149)</f>
        <v>122377761.92798485</v>
      </c>
      <c r="O149" s="125"/>
      <c r="P149" s="3"/>
    </row>
    <row r="150" spans="2:16" x14ac:dyDescent="0.2">
      <c r="B150" s="4"/>
      <c r="C150" s="4"/>
      <c r="D150" s="4"/>
      <c r="E150" s="4"/>
      <c r="F150" s="8"/>
      <c r="G150" s="8"/>
      <c r="H150" s="8"/>
      <c r="I150" s="8"/>
      <c r="J150" s="8"/>
      <c r="K150" s="8"/>
      <c r="L150" s="8"/>
      <c r="M150" s="8"/>
      <c r="N150" s="3"/>
      <c r="O150" s="32"/>
      <c r="P150" s="3"/>
    </row>
    <row r="151" spans="2:16" x14ac:dyDescent="0.2">
      <c r="B151" s="4"/>
      <c r="C151" s="43" t="s">
        <v>122</v>
      </c>
      <c r="D151" s="4"/>
      <c r="E151" s="4"/>
      <c r="F151" s="8"/>
      <c r="G151" s="8"/>
      <c r="H151" s="8"/>
      <c r="I151" s="8"/>
      <c r="J151" s="8"/>
      <c r="K151" s="8"/>
      <c r="L151" s="8"/>
      <c r="M151" s="8"/>
      <c r="N151" s="8"/>
      <c r="O151" s="21"/>
      <c r="P151" s="8"/>
    </row>
    <row r="152" spans="2:16" x14ac:dyDescent="0.2">
      <c r="B152" s="4"/>
      <c r="C152" s="4"/>
      <c r="D152" s="4"/>
      <c r="E152" s="4"/>
      <c r="F152" s="8"/>
      <c r="G152" s="8"/>
      <c r="H152" s="8"/>
      <c r="I152" s="8"/>
      <c r="J152" s="8"/>
      <c r="K152" s="8"/>
      <c r="L152" s="8"/>
      <c r="M152" s="8"/>
      <c r="N152" s="8"/>
      <c r="O152" s="21"/>
      <c r="P152" s="8"/>
    </row>
    <row r="153" spans="2:16" s="4" customFormat="1" x14ac:dyDescent="0.2">
      <c r="C153" s="28" t="s">
        <v>125</v>
      </c>
      <c r="D153" s="6"/>
      <c r="E153" s="6"/>
      <c r="F153" s="44"/>
      <c r="G153" s="23"/>
      <c r="H153" s="23"/>
      <c r="I153" s="23"/>
      <c r="J153" s="23"/>
      <c r="K153" s="23"/>
      <c r="L153" s="23"/>
      <c r="M153" s="23"/>
      <c r="N153" s="45"/>
      <c r="O153" s="124"/>
      <c r="P153" s="8"/>
    </row>
    <row r="154" spans="2:16" s="4" customFormat="1" x14ac:dyDescent="0.2">
      <c r="C154" s="4" t="s">
        <v>50</v>
      </c>
      <c r="D154" s="25"/>
      <c r="F154" s="89">
        <v>26.3796</v>
      </c>
      <c r="G154" s="87">
        <v>26.37</v>
      </c>
      <c r="H154" s="87">
        <v>26.38</v>
      </c>
      <c r="I154" s="87">
        <v>26.38</v>
      </c>
      <c r="J154" s="87">
        <v>26.38</v>
      </c>
      <c r="K154" s="88">
        <v>26.37846</v>
      </c>
      <c r="L154" s="87">
        <v>26.38</v>
      </c>
      <c r="M154" s="87">
        <v>26.38</v>
      </c>
      <c r="N154" s="46"/>
      <c r="O154" s="125"/>
      <c r="P154" s="106"/>
    </row>
    <row r="155" spans="2:16" s="4" customFormat="1" x14ac:dyDescent="0.2">
      <c r="C155" s="27" t="s">
        <v>10</v>
      </c>
      <c r="F155" s="74">
        <v>2895334.6722467355</v>
      </c>
      <c r="G155" s="74">
        <v>1976140.0833333333</v>
      </c>
      <c r="H155" s="75">
        <v>2573893.955114597</v>
      </c>
      <c r="I155" s="75">
        <v>52091.461538461546</v>
      </c>
      <c r="J155" s="75">
        <v>105897</v>
      </c>
      <c r="K155" s="75">
        <v>206156.91666666666</v>
      </c>
      <c r="L155" s="75">
        <v>54511.010079053129</v>
      </c>
      <c r="M155" s="75">
        <v>31532</v>
      </c>
      <c r="N155" s="65">
        <f>SUM(F155:M155)</f>
        <v>7895557.0989788473</v>
      </c>
      <c r="O155" s="125"/>
      <c r="P155" s="106"/>
    </row>
    <row r="156" spans="2:16" s="4" customFormat="1" x14ac:dyDescent="0.2">
      <c r="C156" s="30" t="s">
        <v>119</v>
      </c>
      <c r="F156" s="55">
        <f>F154*F155</f>
        <v>76377770.519999981</v>
      </c>
      <c r="G156" s="55">
        <f t="shared" ref="G156:M156" si="67">G154*G155</f>
        <v>52110813.997500002</v>
      </c>
      <c r="H156" s="55">
        <f t="shared" si="67"/>
        <v>67899322.535923064</v>
      </c>
      <c r="I156" s="55">
        <f t="shared" si="67"/>
        <v>1374172.7553846156</v>
      </c>
      <c r="J156" s="55">
        <f t="shared" si="67"/>
        <v>2793562.86</v>
      </c>
      <c r="K156" s="55">
        <f t="shared" si="67"/>
        <v>5438101.9800149994</v>
      </c>
      <c r="L156" s="55">
        <f t="shared" si="67"/>
        <v>1438000.4458854215</v>
      </c>
      <c r="M156" s="55">
        <f t="shared" si="67"/>
        <v>831814.15999999992</v>
      </c>
      <c r="N156" s="65">
        <f>SUM(F156:M156)</f>
        <v>208263559.25470811</v>
      </c>
      <c r="O156" s="125"/>
      <c r="P156" s="8"/>
    </row>
    <row r="157" spans="2:16" s="4" customFormat="1" x14ac:dyDescent="0.2">
      <c r="C157" s="6" t="s">
        <v>120</v>
      </c>
      <c r="D157" s="6"/>
      <c r="E157" s="6"/>
      <c r="F157" s="76">
        <v>-666363.89</v>
      </c>
      <c r="G157" s="76">
        <v>56701</v>
      </c>
      <c r="H157" s="76"/>
      <c r="I157" s="76">
        <v>-7678.0199999999995</v>
      </c>
      <c r="J157" s="76">
        <v>2278.810000008948</v>
      </c>
      <c r="K157" s="76"/>
      <c r="L157" s="76"/>
      <c r="M157" s="76">
        <v>-673.73</v>
      </c>
      <c r="N157" s="66">
        <f>SUM(F157:M157)</f>
        <v>-615735.82999999111</v>
      </c>
      <c r="O157" s="125"/>
      <c r="P157" s="106"/>
    </row>
    <row r="158" spans="2:16" s="4" customFormat="1" x14ac:dyDescent="0.2">
      <c r="C158" s="2" t="s">
        <v>124</v>
      </c>
      <c r="F158" s="55">
        <f>F156+F157</f>
        <v>75711406.62999998</v>
      </c>
      <c r="G158" s="55">
        <f t="shared" ref="G158:M158" si="68">G156+G157</f>
        <v>52167514.997500002</v>
      </c>
      <c r="H158" s="55">
        <f>H156+H157</f>
        <v>67899322.535923064</v>
      </c>
      <c r="I158" s="55">
        <f t="shared" si="68"/>
        <v>1366494.7353846156</v>
      </c>
      <c r="J158" s="55">
        <f t="shared" si="68"/>
        <v>2795841.6700000088</v>
      </c>
      <c r="K158" s="55">
        <f t="shared" si="68"/>
        <v>5438101.9800149994</v>
      </c>
      <c r="L158" s="55">
        <f t="shared" si="68"/>
        <v>1438000.4458854215</v>
      </c>
      <c r="M158" s="55">
        <f t="shared" si="68"/>
        <v>831140.42999999993</v>
      </c>
      <c r="N158" s="65">
        <f>SUM(F158:M158)</f>
        <v>207647823.42470813</v>
      </c>
      <c r="O158" s="125"/>
      <c r="P158" s="1"/>
    </row>
    <row r="159" spans="2:16" s="4" customFormat="1" x14ac:dyDescent="0.2">
      <c r="F159" s="8"/>
      <c r="G159" s="8"/>
      <c r="H159" s="8"/>
      <c r="I159" s="8"/>
      <c r="J159" s="8"/>
      <c r="K159" s="8"/>
      <c r="L159" s="8"/>
      <c r="M159" s="8"/>
      <c r="N159" s="8"/>
      <c r="O159" s="21"/>
      <c r="P159" s="8"/>
    </row>
    <row r="160" spans="2:16" s="4" customFormat="1" x14ac:dyDescent="0.2">
      <c r="C160" s="40" t="s">
        <v>78</v>
      </c>
      <c r="D160" s="2"/>
      <c r="F160" s="14"/>
      <c r="G160" s="8"/>
      <c r="H160" s="8"/>
      <c r="I160" s="8"/>
      <c r="J160" s="8"/>
      <c r="K160" s="8"/>
      <c r="L160" s="8"/>
      <c r="M160" s="8"/>
      <c r="N160" s="8"/>
      <c r="O160" s="21"/>
      <c r="P160" s="8"/>
    </row>
    <row r="161" spans="2:17" s="4" customFormat="1" x14ac:dyDescent="0.2">
      <c r="C161" s="26"/>
      <c r="D161" s="18"/>
      <c r="E161" s="6"/>
      <c r="F161" s="44"/>
      <c r="G161" s="23"/>
      <c r="H161" s="23"/>
      <c r="I161" s="23"/>
      <c r="J161" s="23"/>
      <c r="K161" s="23"/>
      <c r="L161" s="23"/>
      <c r="M161" s="23"/>
      <c r="N161" s="23"/>
      <c r="O161" s="21"/>
      <c r="P161" s="8"/>
    </row>
    <row r="162" spans="2:17" s="4" customFormat="1" x14ac:dyDescent="0.2">
      <c r="C162" s="24" t="s">
        <v>125</v>
      </c>
      <c r="D162" s="2"/>
      <c r="F162" s="71">
        <f>F158</f>
        <v>75711406.62999998</v>
      </c>
      <c r="G162" s="71">
        <f t="shared" ref="G162:M162" si="69">G158</f>
        <v>52167514.997500002</v>
      </c>
      <c r="H162" s="71">
        <f t="shared" si="69"/>
        <v>67899322.535923064</v>
      </c>
      <c r="I162" s="71">
        <f t="shared" si="69"/>
        <v>1366494.7353846156</v>
      </c>
      <c r="J162" s="71">
        <f t="shared" si="69"/>
        <v>2795841.6700000088</v>
      </c>
      <c r="K162" s="71">
        <f t="shared" si="69"/>
        <v>5438101.9800149994</v>
      </c>
      <c r="L162" s="71">
        <f t="shared" si="69"/>
        <v>1438000.4458854215</v>
      </c>
      <c r="M162" s="71">
        <f t="shared" si="69"/>
        <v>831140.42999999993</v>
      </c>
      <c r="N162" s="65">
        <f>SUM(F162:M162)</f>
        <v>207647823.42470813</v>
      </c>
      <c r="O162" s="125"/>
      <c r="P162" s="8"/>
    </row>
    <row r="163" spans="2:17" s="4" customFormat="1" x14ac:dyDescent="0.2">
      <c r="C163" s="39" t="s">
        <v>45</v>
      </c>
      <c r="D163" s="6"/>
      <c r="E163" s="6"/>
      <c r="F163" s="72">
        <f t="shared" ref="F163:M163" si="70">F149</f>
        <v>50078054.918248646</v>
      </c>
      <c r="G163" s="72">
        <f t="shared" si="70"/>
        <v>24469411.840555727</v>
      </c>
      <c r="H163" s="72">
        <f t="shared" si="70"/>
        <v>40231763.695845991</v>
      </c>
      <c r="I163" s="72">
        <f t="shared" si="70"/>
        <v>979444.19841390755</v>
      </c>
      <c r="J163" s="72">
        <f t="shared" si="70"/>
        <v>2103290.5749049517</v>
      </c>
      <c r="K163" s="72">
        <f t="shared" si="70"/>
        <v>3029161.6144467783</v>
      </c>
      <c r="L163" s="72">
        <f t="shared" si="70"/>
        <v>984674.13746394846</v>
      </c>
      <c r="M163" s="72">
        <f t="shared" si="70"/>
        <v>501960.94810490671</v>
      </c>
      <c r="N163" s="66">
        <f>SUM(F163:M163)</f>
        <v>122377761.92798485</v>
      </c>
      <c r="O163" s="125"/>
      <c r="P163" s="8"/>
    </row>
    <row r="164" spans="2:17" s="4" customFormat="1" x14ac:dyDescent="0.2">
      <c r="C164" s="30" t="s">
        <v>46</v>
      </c>
      <c r="F164" s="113">
        <f>F162-F163</f>
        <v>25633351.711751334</v>
      </c>
      <c r="G164" s="113">
        <f t="shared" ref="G164:M164" si="71">G162-G163</f>
        <v>27698103.156944275</v>
      </c>
      <c r="H164" s="113">
        <f t="shared" si="71"/>
        <v>27667558.840077072</v>
      </c>
      <c r="I164" s="113">
        <f t="shared" si="71"/>
        <v>387050.53697070805</v>
      </c>
      <c r="J164" s="113">
        <f t="shared" si="71"/>
        <v>692551.09509505704</v>
      </c>
      <c r="K164" s="113">
        <f t="shared" si="71"/>
        <v>2408940.3655682211</v>
      </c>
      <c r="L164" s="113">
        <f t="shared" si="71"/>
        <v>453326.30842147302</v>
      </c>
      <c r="M164" s="113">
        <f t="shared" si="71"/>
        <v>329179.48189509322</v>
      </c>
      <c r="N164" s="55">
        <f>SUM(F164:M164)</f>
        <v>85270061.496723235</v>
      </c>
      <c r="O164" s="21"/>
      <c r="P164" s="8"/>
    </row>
    <row r="165" spans="2:17" s="4" customFormat="1" x14ac:dyDescent="0.2">
      <c r="C165" s="30"/>
      <c r="F165" s="15"/>
      <c r="G165" s="9"/>
      <c r="H165" s="9"/>
      <c r="I165" s="9"/>
      <c r="J165" s="9"/>
      <c r="K165" s="9"/>
      <c r="L165" s="9"/>
      <c r="M165" s="9"/>
      <c r="N165" s="9"/>
      <c r="O165" s="127"/>
      <c r="Q165" s="10"/>
    </row>
    <row r="166" spans="2:17" x14ac:dyDescent="0.2">
      <c r="B166" s="4"/>
      <c r="C166" s="4"/>
      <c r="D166" s="4"/>
      <c r="E166" s="4"/>
      <c r="F166" s="4"/>
      <c r="G166" s="4"/>
      <c r="H166" s="4"/>
      <c r="I166" s="4"/>
      <c r="J166" s="4"/>
      <c r="K166" s="4"/>
      <c r="L166" s="4"/>
      <c r="M166" s="4"/>
      <c r="N166" s="4"/>
      <c r="O166" s="25"/>
      <c r="P166" s="4"/>
    </row>
    <row r="167" spans="2:17" x14ac:dyDescent="0.2">
      <c r="B167" s="4"/>
      <c r="C167" s="41"/>
      <c r="D167" s="4"/>
      <c r="E167" s="4"/>
      <c r="F167" s="4"/>
      <c r="G167" s="4"/>
      <c r="H167" s="4"/>
      <c r="I167" s="4"/>
      <c r="J167" s="4"/>
      <c r="K167" s="4"/>
      <c r="L167" s="4"/>
      <c r="M167" s="4"/>
      <c r="N167" s="4"/>
      <c r="O167" s="25"/>
      <c r="P167" s="4"/>
    </row>
    <row r="168" spans="2:17" x14ac:dyDescent="0.2">
      <c r="B168" s="4"/>
      <c r="C168" s="4"/>
      <c r="D168" s="4"/>
      <c r="E168" s="4"/>
      <c r="F168" s="4"/>
      <c r="G168" s="4"/>
      <c r="H168" s="4"/>
      <c r="I168" s="4"/>
      <c r="J168" s="4"/>
      <c r="K168" s="4"/>
      <c r="L168" s="4"/>
      <c r="M168" s="4"/>
      <c r="N168" s="4"/>
      <c r="O168" s="25"/>
      <c r="P168" s="4"/>
    </row>
    <row r="169" spans="2:17" x14ac:dyDescent="0.2">
      <c r="B169" s="4"/>
    </row>
    <row r="170" spans="2:17" x14ac:dyDescent="0.2">
      <c r="B170" s="4"/>
    </row>
    <row r="171" spans="2:17" x14ac:dyDescent="0.2">
      <c r="B171" s="4"/>
    </row>
    <row r="172" spans="2:17" x14ac:dyDescent="0.2">
      <c r="B172" s="4"/>
    </row>
    <row r="173" spans="2:17" x14ac:dyDescent="0.2">
      <c r="B173" s="4"/>
    </row>
    <row r="174" spans="2:17" x14ac:dyDescent="0.2">
      <c r="B174" s="4"/>
    </row>
    <row r="175" spans="2:17" x14ac:dyDescent="0.2">
      <c r="B175" s="4"/>
    </row>
    <row r="176" spans="2:17"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sheetData>
  <pageMargins left="0.75" right="0.75" top="1" bottom="1" header="0.5" footer="0.5"/>
  <pageSetup paperSize="9" scale="67" fitToHeight="0" orientation="landscape" r:id="rId1"/>
  <headerFooter alignWithMargins="0"/>
  <rowBreaks count="1" manualBreakCount="1">
    <brk id="84"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zoomScale="85" zoomScaleNormal="85" workbookViewId="0">
      <pane xSplit="5" ySplit="2" topLeftCell="F3" activePane="bottomRight" state="frozen"/>
      <selection pane="topRight" activeCell="F1" sqref="F1"/>
      <selection pane="bottomLeft" activeCell="A3" sqref="A3"/>
      <selection pane="bottomRight" activeCell="F3" sqref="F3"/>
    </sheetView>
  </sheetViews>
  <sheetFormatPr defaultRowHeight="12.75" x14ac:dyDescent="0.2"/>
  <cols>
    <col min="1" max="1" width="3.85546875" style="1" customWidth="1"/>
    <col min="2" max="2" width="6.42578125" style="17" customWidth="1"/>
    <col min="3" max="3" width="70.7109375" style="1" customWidth="1"/>
    <col min="4" max="4" width="17.5703125" style="1" customWidth="1"/>
    <col min="5" max="5" width="3" style="1" customWidth="1"/>
    <col min="6" max="14" width="11.85546875" style="1" customWidth="1"/>
    <col min="15" max="15" width="9.140625" style="1"/>
    <col min="16" max="16" width="11.28515625" style="1" bestFit="1" customWidth="1"/>
    <col min="17" max="16384" width="9.140625" style="1"/>
  </cols>
  <sheetData>
    <row r="1" spans="3:16" ht="13.5" thickBot="1" x14ac:dyDescent="0.25"/>
    <row r="2" spans="3:16" x14ac:dyDescent="0.2">
      <c r="C2" s="11" t="s">
        <v>23</v>
      </c>
      <c r="F2" s="128" t="s">
        <v>0</v>
      </c>
      <c r="G2" s="128" t="s">
        <v>1</v>
      </c>
      <c r="H2" s="128" t="s">
        <v>2</v>
      </c>
      <c r="I2" s="128" t="s">
        <v>93</v>
      </c>
      <c r="J2" s="128" t="s">
        <v>3</v>
      </c>
      <c r="K2" s="128" t="s">
        <v>4</v>
      </c>
      <c r="L2" s="128" t="s">
        <v>5</v>
      </c>
      <c r="M2" s="128" t="s">
        <v>6</v>
      </c>
      <c r="N2" s="131" t="s">
        <v>9</v>
      </c>
      <c r="P2" s="119"/>
    </row>
    <row r="3" spans="3:16" x14ac:dyDescent="0.2">
      <c r="F3" s="7"/>
      <c r="G3" s="7"/>
      <c r="H3" s="7"/>
      <c r="I3" s="7"/>
      <c r="J3" s="7"/>
      <c r="K3" s="7"/>
      <c r="L3" s="7"/>
      <c r="M3" s="7"/>
    </row>
    <row r="4" spans="3:16" x14ac:dyDescent="0.2">
      <c r="C4" s="42" t="s">
        <v>65</v>
      </c>
      <c r="F4" s="2"/>
      <c r="G4" s="2"/>
      <c r="H4" s="2"/>
      <c r="I4" s="2"/>
      <c r="J4" s="2"/>
      <c r="K4" s="2"/>
      <c r="L4" s="2"/>
      <c r="M4" s="2"/>
    </row>
    <row r="5" spans="3:16" x14ac:dyDescent="0.2">
      <c r="F5" s="2"/>
      <c r="G5" s="2"/>
      <c r="H5" s="2"/>
      <c r="I5" s="2"/>
      <c r="J5" s="2"/>
      <c r="K5" s="2"/>
      <c r="L5" s="2"/>
      <c r="M5" s="2"/>
    </row>
    <row r="6" spans="3:16" x14ac:dyDescent="0.2">
      <c r="C6" s="47" t="s">
        <v>104</v>
      </c>
      <c r="D6" s="35"/>
      <c r="E6" s="35"/>
      <c r="F6" s="18"/>
      <c r="G6" s="18"/>
      <c r="H6" s="18"/>
      <c r="I6" s="18"/>
      <c r="J6" s="18"/>
      <c r="K6" s="18"/>
      <c r="L6" s="18"/>
      <c r="M6" s="18"/>
    </row>
    <row r="7" spans="3:16" x14ac:dyDescent="0.2">
      <c r="C7" s="48" t="s">
        <v>116</v>
      </c>
      <c r="D7" s="84" t="s">
        <v>81</v>
      </c>
      <c r="E7" s="25"/>
      <c r="F7" s="75">
        <v>39397344.733981386</v>
      </c>
      <c r="G7" s="75">
        <v>29949892.875616074</v>
      </c>
      <c r="H7" s="75">
        <v>31267269.549468398</v>
      </c>
      <c r="I7" s="75">
        <v>2719366.4255411392</v>
      </c>
      <c r="J7" s="75">
        <v>6964269.3655018182</v>
      </c>
      <c r="K7" s="75">
        <v>2317385.0352739361</v>
      </c>
      <c r="L7" s="75">
        <v>345213.63500000001</v>
      </c>
      <c r="M7" s="75">
        <v>1159178.9691969501</v>
      </c>
      <c r="N7" s="64">
        <f>SUM(F7:M7)</f>
        <v>114119920.5895797</v>
      </c>
      <c r="P7" s="93"/>
    </row>
    <row r="8" spans="3:16" x14ac:dyDescent="0.2">
      <c r="C8" s="51" t="s">
        <v>111</v>
      </c>
      <c r="D8" s="90">
        <v>8</v>
      </c>
      <c r="E8" s="52"/>
      <c r="F8" s="63">
        <f>F7/$D$8</f>
        <v>4924668.0917476732</v>
      </c>
      <c r="G8" s="63">
        <f t="shared" ref="G8:M8" si="0">G7/$D$8</f>
        <v>3743736.6094520092</v>
      </c>
      <c r="H8" s="63">
        <f t="shared" si="0"/>
        <v>3908408.6936835498</v>
      </c>
      <c r="I8" s="63">
        <f t="shared" si="0"/>
        <v>339920.8031926424</v>
      </c>
      <c r="J8" s="63">
        <f t="shared" si="0"/>
        <v>870533.67068772728</v>
      </c>
      <c r="K8" s="63">
        <f t="shared" si="0"/>
        <v>289673.12940924201</v>
      </c>
      <c r="L8" s="63">
        <f t="shared" si="0"/>
        <v>43151.704375000001</v>
      </c>
      <c r="M8" s="63">
        <f t="shared" si="0"/>
        <v>144897.37114961876</v>
      </c>
      <c r="N8" s="63">
        <f t="shared" ref="N8:N9" si="1">SUM(F8:M8)</f>
        <v>14264990.073697463</v>
      </c>
      <c r="P8" s="93"/>
    </row>
    <row r="9" spans="3:16" x14ac:dyDescent="0.2">
      <c r="C9" s="49" t="s">
        <v>112</v>
      </c>
      <c r="E9" s="25"/>
      <c r="F9" s="55">
        <f t="shared" ref="F9:M9" si="2">F7-F8</f>
        <v>34472676.642233714</v>
      </c>
      <c r="G9" s="55">
        <f t="shared" si="2"/>
        <v>26206156.266164064</v>
      </c>
      <c r="H9" s="55">
        <f t="shared" si="2"/>
        <v>27358860.855784848</v>
      </c>
      <c r="I9" s="55">
        <f t="shared" si="2"/>
        <v>2379445.6223484967</v>
      </c>
      <c r="J9" s="55">
        <f t="shared" si="2"/>
        <v>6093735.6948140906</v>
      </c>
      <c r="K9" s="55">
        <f t="shared" si="2"/>
        <v>2027711.9058646942</v>
      </c>
      <c r="L9" s="55">
        <f t="shared" si="2"/>
        <v>302061.93062500004</v>
      </c>
      <c r="M9" s="55">
        <f t="shared" si="2"/>
        <v>1014281.5980473313</v>
      </c>
      <c r="N9" s="130">
        <f t="shared" si="1"/>
        <v>99854930.515882254</v>
      </c>
      <c r="O9" s="3"/>
    </row>
    <row r="10" spans="3:16" x14ac:dyDescent="0.2">
      <c r="C10" s="83" t="s">
        <v>52</v>
      </c>
      <c r="D10" s="118">
        <f>'Marges Elektriciteit 2012'!D12</f>
        <v>2.5999999999999999E-2</v>
      </c>
      <c r="E10" s="25"/>
      <c r="F10" s="21"/>
      <c r="G10" s="21"/>
      <c r="H10" s="21"/>
      <c r="I10" s="21"/>
      <c r="J10" s="21"/>
      <c r="K10" s="21"/>
      <c r="L10" s="21"/>
      <c r="M10" s="21"/>
      <c r="N10" s="3"/>
      <c r="O10" s="3"/>
    </row>
    <row r="11" spans="3:16" x14ac:dyDescent="0.2">
      <c r="C11" s="49" t="s">
        <v>108</v>
      </c>
      <c r="E11" s="25"/>
      <c r="F11" s="55">
        <f t="shared" ref="F11:M12" si="3">F8*(1+$D$10)</f>
        <v>5052709.4621331133</v>
      </c>
      <c r="G11" s="55">
        <f t="shared" si="3"/>
        <v>3841073.7612977615</v>
      </c>
      <c r="H11" s="55">
        <f t="shared" si="3"/>
        <v>4010027.319719322</v>
      </c>
      <c r="I11" s="55">
        <f>I8*(1+$D$10)</f>
        <v>348758.74407565111</v>
      </c>
      <c r="J11" s="55">
        <f t="shared" si="3"/>
        <v>893167.54612560826</v>
      </c>
      <c r="K11" s="55">
        <f t="shared" si="3"/>
        <v>297204.63077388232</v>
      </c>
      <c r="L11" s="55">
        <f t="shared" si="3"/>
        <v>44273.64868875</v>
      </c>
      <c r="M11" s="55">
        <f t="shared" si="3"/>
        <v>148664.70279950884</v>
      </c>
      <c r="N11" s="130">
        <f t="shared" ref="N11:N12" si="4">SUM(F11:M11)</f>
        <v>14635879.815613596</v>
      </c>
      <c r="O11" s="3"/>
    </row>
    <row r="12" spans="3:16" x14ac:dyDescent="0.2">
      <c r="C12" s="50" t="s">
        <v>109</v>
      </c>
      <c r="D12" s="35"/>
      <c r="E12" s="35"/>
      <c r="F12" s="56">
        <f t="shared" si="3"/>
        <v>35368966.234931789</v>
      </c>
      <c r="G12" s="56">
        <f t="shared" si="3"/>
        <v>26887516.329084329</v>
      </c>
      <c r="H12" s="56">
        <f t="shared" si="3"/>
        <v>28070191.238035254</v>
      </c>
      <c r="I12" s="56">
        <f>I9*(1+$D$10)</f>
        <v>2441311.2085295576</v>
      </c>
      <c r="J12" s="56">
        <f t="shared" si="3"/>
        <v>6252172.8228792567</v>
      </c>
      <c r="K12" s="56">
        <f t="shared" si="3"/>
        <v>2080432.4154171762</v>
      </c>
      <c r="L12" s="56">
        <f t="shared" si="3"/>
        <v>309915.54082125006</v>
      </c>
      <c r="M12" s="56">
        <f t="shared" si="3"/>
        <v>1040652.9195965619</v>
      </c>
      <c r="N12" s="56">
        <f t="shared" si="4"/>
        <v>102451158.70929518</v>
      </c>
      <c r="O12" s="3"/>
    </row>
    <row r="13" spans="3:16" x14ac:dyDescent="0.2">
      <c r="C13" s="4"/>
      <c r="D13" s="4"/>
      <c r="E13" s="4"/>
      <c r="F13" s="2"/>
      <c r="G13" s="2"/>
      <c r="H13" s="2"/>
      <c r="I13" s="2"/>
      <c r="J13" s="2"/>
      <c r="K13" s="2"/>
      <c r="L13" s="2"/>
      <c r="M13" s="2"/>
    </row>
    <row r="14" spans="3:16" x14ac:dyDescent="0.2">
      <c r="C14" s="18" t="s">
        <v>95</v>
      </c>
      <c r="D14" s="6"/>
      <c r="E14" s="6"/>
      <c r="F14" s="104"/>
      <c r="G14" s="104"/>
      <c r="H14" s="104"/>
      <c r="I14" s="104"/>
      <c r="J14" s="104"/>
      <c r="K14" s="104"/>
      <c r="L14" s="104"/>
      <c r="M14" s="104"/>
      <c r="N14" s="106"/>
      <c r="O14" s="3"/>
    </row>
    <row r="15" spans="3:16" x14ac:dyDescent="0.2">
      <c r="C15" s="30" t="s">
        <v>117</v>
      </c>
      <c r="D15" s="4"/>
      <c r="E15" s="4"/>
      <c r="F15" s="75">
        <v>3667751.5072119399</v>
      </c>
      <c r="G15" s="75">
        <v>2474430.9775730581</v>
      </c>
      <c r="H15" s="75">
        <v>3318243.37</v>
      </c>
      <c r="I15" s="75">
        <v>140403.48750359713</v>
      </c>
      <c r="J15" s="75">
        <v>541375.74105195072</v>
      </c>
      <c r="K15" s="75">
        <v>124022.80145284622</v>
      </c>
      <c r="L15" s="75">
        <v>61672</v>
      </c>
      <c r="M15" s="75">
        <v>133323</v>
      </c>
      <c r="N15" s="64">
        <f t="shared" ref="N15:N19" si="5">SUM(F15:M15)</f>
        <v>10461222.884793393</v>
      </c>
      <c r="O15" s="3"/>
      <c r="P15" s="93"/>
    </row>
    <row r="16" spans="3:16" x14ac:dyDescent="0.2">
      <c r="C16" s="30" t="s">
        <v>69</v>
      </c>
      <c r="D16" s="4"/>
      <c r="E16" s="4"/>
      <c r="F16" s="105">
        <v>16886.879999999997</v>
      </c>
      <c r="G16" s="105">
        <v>17512.32</v>
      </c>
      <c r="H16" s="105">
        <v>28770.239999999998</v>
      </c>
      <c r="I16" s="105">
        <v>0</v>
      </c>
      <c r="J16" s="105">
        <v>2606</v>
      </c>
      <c r="K16" s="105">
        <v>1667.84</v>
      </c>
      <c r="L16" s="105">
        <v>104.24</v>
      </c>
      <c r="M16" s="105">
        <v>1355.12</v>
      </c>
      <c r="N16" s="130">
        <f t="shared" si="5"/>
        <v>68902.64</v>
      </c>
      <c r="O16" s="3"/>
      <c r="P16" s="93"/>
    </row>
    <row r="17" spans="1:16" x14ac:dyDescent="0.2">
      <c r="C17" s="24" t="s">
        <v>47</v>
      </c>
      <c r="D17" s="84" t="s">
        <v>81</v>
      </c>
      <c r="E17" s="4"/>
      <c r="F17" s="54">
        <f t="shared" ref="F17:M17" si="6">SUM(F15:F16)</f>
        <v>3684638.3872119398</v>
      </c>
      <c r="G17" s="54">
        <f t="shared" si="6"/>
        <v>2491943.2975730579</v>
      </c>
      <c r="H17" s="54">
        <f t="shared" si="6"/>
        <v>3347013.6100000003</v>
      </c>
      <c r="I17" s="54">
        <f t="shared" si="6"/>
        <v>140403.48750359713</v>
      </c>
      <c r="J17" s="54">
        <f t="shared" si="6"/>
        <v>543981.74105195072</v>
      </c>
      <c r="K17" s="54">
        <f t="shared" si="6"/>
        <v>125690.64145284622</v>
      </c>
      <c r="L17" s="54">
        <f t="shared" si="6"/>
        <v>61776.24</v>
      </c>
      <c r="M17" s="54">
        <f t="shared" si="6"/>
        <v>134678.12</v>
      </c>
      <c r="N17" s="130">
        <f t="shared" si="5"/>
        <v>10530125.524793392</v>
      </c>
      <c r="O17" s="3"/>
    </row>
    <row r="18" spans="1:16" x14ac:dyDescent="0.2">
      <c r="C18" s="86" t="s">
        <v>53</v>
      </c>
      <c r="D18" s="90">
        <v>8</v>
      </c>
      <c r="E18" s="5"/>
      <c r="F18" s="57">
        <f>F17/$D$18</f>
        <v>460579.79840149247</v>
      </c>
      <c r="G18" s="57">
        <f t="shared" ref="G18:M18" si="7">G17/$D$18</f>
        <v>311492.91219663224</v>
      </c>
      <c r="H18" s="57">
        <f t="shared" si="7"/>
        <v>418376.70125000004</v>
      </c>
      <c r="I18" s="57">
        <f t="shared" si="7"/>
        <v>17550.435937949642</v>
      </c>
      <c r="J18" s="57">
        <f t="shared" si="7"/>
        <v>67997.717631493841</v>
      </c>
      <c r="K18" s="57">
        <f t="shared" si="7"/>
        <v>15711.330181605777</v>
      </c>
      <c r="L18" s="57">
        <f t="shared" si="7"/>
        <v>7722.03</v>
      </c>
      <c r="M18" s="57">
        <f t="shared" si="7"/>
        <v>16834.764999999999</v>
      </c>
      <c r="N18" s="63">
        <f t="shared" si="5"/>
        <v>1316265.690599174</v>
      </c>
      <c r="O18" s="3"/>
      <c r="P18" s="106"/>
    </row>
    <row r="19" spans="1:16" x14ac:dyDescent="0.2">
      <c r="C19" s="49" t="s">
        <v>54</v>
      </c>
      <c r="D19" s="2"/>
      <c r="E19" s="4"/>
      <c r="F19" s="54">
        <f>F17-F18</f>
        <v>3224058.5888104471</v>
      </c>
      <c r="G19" s="54">
        <f t="shared" ref="G19:M19" si="8">G17-G18</f>
        <v>2180450.3853764255</v>
      </c>
      <c r="H19" s="54">
        <f t="shared" si="8"/>
        <v>2928636.9087500004</v>
      </c>
      <c r="I19" s="54">
        <f t="shared" si="8"/>
        <v>122853.05156564749</v>
      </c>
      <c r="J19" s="54">
        <f t="shared" si="8"/>
        <v>475984.02342045691</v>
      </c>
      <c r="K19" s="54">
        <f t="shared" si="8"/>
        <v>109979.31127124044</v>
      </c>
      <c r="L19" s="54">
        <f t="shared" si="8"/>
        <v>54054.21</v>
      </c>
      <c r="M19" s="54">
        <f t="shared" si="8"/>
        <v>117843.355</v>
      </c>
      <c r="N19" s="130">
        <f t="shared" si="5"/>
        <v>9213859.8341942206</v>
      </c>
      <c r="O19" s="3"/>
    </row>
    <row r="20" spans="1:16" x14ac:dyDescent="0.2">
      <c r="C20" s="85" t="s">
        <v>52</v>
      </c>
      <c r="D20" s="118">
        <f>D10</f>
        <v>2.5999999999999999E-2</v>
      </c>
      <c r="E20" s="4"/>
      <c r="F20" s="31"/>
      <c r="G20" s="31"/>
      <c r="H20" s="31"/>
      <c r="I20" s="31"/>
      <c r="J20" s="31"/>
      <c r="K20" s="31"/>
      <c r="L20" s="31"/>
      <c r="M20" s="31"/>
      <c r="N20" s="3"/>
      <c r="O20" s="3"/>
    </row>
    <row r="21" spans="1:16" x14ac:dyDescent="0.2">
      <c r="C21" s="30" t="s">
        <v>49</v>
      </c>
      <c r="D21" s="4"/>
      <c r="E21" s="4"/>
      <c r="F21" s="55">
        <f>F18*(1+$D$20)</f>
        <v>472554.87315993127</v>
      </c>
      <c r="G21" s="55">
        <f t="shared" ref="G21:M21" si="9">G18*(1+$D$20)</f>
        <v>319591.72791374469</v>
      </c>
      <c r="H21" s="55">
        <f t="shared" si="9"/>
        <v>429254.49548250006</v>
      </c>
      <c r="I21" s="55">
        <f t="shared" si="9"/>
        <v>18006.747272336332</v>
      </c>
      <c r="J21" s="55">
        <f t="shared" si="9"/>
        <v>69765.658289912681</v>
      </c>
      <c r="K21" s="55">
        <f t="shared" si="9"/>
        <v>16119.824766327529</v>
      </c>
      <c r="L21" s="55">
        <f t="shared" si="9"/>
        <v>7922.80278</v>
      </c>
      <c r="M21" s="55">
        <f t="shared" si="9"/>
        <v>17272.46889</v>
      </c>
      <c r="N21" s="130">
        <f t="shared" ref="N21:N22" si="10">SUM(F21:M21)</f>
        <v>1350488.5985547525</v>
      </c>
      <c r="O21" s="3"/>
    </row>
    <row r="22" spans="1:16" x14ac:dyDescent="0.2">
      <c r="C22" s="34" t="s">
        <v>48</v>
      </c>
      <c r="D22" s="6"/>
      <c r="E22" s="6"/>
      <c r="F22" s="56">
        <f>F19*(1+$D$20)</f>
        <v>3307884.1121195187</v>
      </c>
      <c r="G22" s="56">
        <f t="shared" ref="G22:M22" si="11">G19*(1+$D$20)</f>
        <v>2237142.0953962128</v>
      </c>
      <c r="H22" s="56">
        <f t="shared" si="11"/>
        <v>3004781.4683775003</v>
      </c>
      <c r="I22" s="56">
        <f t="shared" si="11"/>
        <v>126047.23090635432</v>
      </c>
      <c r="J22" s="56">
        <f t="shared" si="11"/>
        <v>488359.60802938882</v>
      </c>
      <c r="K22" s="56">
        <f t="shared" si="11"/>
        <v>112838.77336429269</v>
      </c>
      <c r="L22" s="56">
        <f t="shared" si="11"/>
        <v>55459.619460000002</v>
      </c>
      <c r="M22" s="56">
        <f t="shared" si="11"/>
        <v>120907.28223</v>
      </c>
      <c r="N22" s="56">
        <f t="shared" si="10"/>
        <v>9453420.1898832675</v>
      </c>
      <c r="O22" s="3"/>
    </row>
    <row r="23" spans="1:16" x14ac:dyDescent="0.2">
      <c r="C23" s="4"/>
      <c r="D23" s="4"/>
      <c r="E23" s="4"/>
      <c r="F23" s="2"/>
      <c r="G23" s="2"/>
      <c r="H23" s="2"/>
      <c r="I23" s="2"/>
      <c r="J23" s="2"/>
      <c r="K23" s="2"/>
      <c r="L23" s="2"/>
      <c r="M23" s="2"/>
      <c r="N23" s="93"/>
    </row>
    <row r="24" spans="1:16" x14ac:dyDescent="0.2">
      <c r="A24" s="4"/>
      <c r="B24" s="25"/>
      <c r="C24" s="28" t="s">
        <v>86</v>
      </c>
      <c r="D24" s="6"/>
      <c r="E24" s="6"/>
      <c r="F24" s="13"/>
      <c r="G24" s="13"/>
      <c r="H24" s="13"/>
      <c r="I24" s="13"/>
      <c r="J24" s="13"/>
      <c r="K24" s="13"/>
      <c r="L24" s="13"/>
      <c r="M24" s="13"/>
    </row>
    <row r="25" spans="1:16" x14ac:dyDescent="0.2">
      <c r="A25" s="4"/>
      <c r="B25" s="25"/>
      <c r="C25" s="4" t="s">
        <v>11</v>
      </c>
      <c r="D25" s="4"/>
      <c r="E25" s="4"/>
      <c r="F25" s="53">
        <v>1117770.316410332</v>
      </c>
      <c r="G25" s="53">
        <v>1233100.6747042926</v>
      </c>
      <c r="H25" s="53">
        <v>934655.95680000004</v>
      </c>
      <c r="I25" s="53">
        <v>-614.527804926096</v>
      </c>
      <c r="J25" s="53">
        <v>7879.8375664940186</v>
      </c>
      <c r="K25" s="53">
        <v>229278.56</v>
      </c>
      <c r="L25" s="53">
        <v>198.12276716907871</v>
      </c>
      <c r="M25" s="53">
        <v>19074.61</v>
      </c>
      <c r="N25" s="64">
        <f t="shared" ref="N25:N35" si="12">SUM(F25:M25)</f>
        <v>3541343.5504433615</v>
      </c>
      <c r="P25" s="93"/>
    </row>
    <row r="26" spans="1:16" x14ac:dyDescent="0.2">
      <c r="A26" s="4"/>
      <c r="B26" s="25"/>
      <c r="C26" s="4" t="s">
        <v>12</v>
      </c>
      <c r="D26" s="4"/>
      <c r="E26" s="4"/>
      <c r="F26" s="53">
        <v>17962165.239808332</v>
      </c>
      <c r="G26" s="53">
        <v>4623367.0608330909</v>
      </c>
      <c r="H26" s="53">
        <v>8515806.4501399994</v>
      </c>
      <c r="I26" s="53">
        <v>541771.59074565</v>
      </c>
      <c r="J26" s="53">
        <v>1533517.2795569669</v>
      </c>
      <c r="K26" s="53">
        <v>1589995.86</v>
      </c>
      <c r="L26" s="53">
        <v>311491.8</v>
      </c>
      <c r="M26" s="53">
        <v>244879.01</v>
      </c>
      <c r="N26" s="130">
        <f t="shared" si="12"/>
        <v>35322994.291084036</v>
      </c>
      <c r="P26" s="93"/>
    </row>
    <row r="27" spans="1:16" x14ac:dyDescent="0.2">
      <c r="A27" s="4"/>
      <c r="B27" s="25"/>
      <c r="C27" s="4" t="s">
        <v>13</v>
      </c>
      <c r="D27" s="4"/>
      <c r="E27" s="4"/>
      <c r="F27" s="53"/>
      <c r="G27" s="53"/>
      <c r="H27" s="53"/>
      <c r="I27" s="53"/>
      <c r="J27" s="53"/>
      <c r="K27" s="53"/>
      <c r="L27" s="53"/>
      <c r="M27" s="53"/>
      <c r="N27" s="130">
        <f t="shared" si="12"/>
        <v>0</v>
      </c>
      <c r="P27" s="93"/>
    </row>
    <row r="28" spans="1:16" x14ac:dyDescent="0.2">
      <c r="A28" s="4"/>
      <c r="B28" s="25"/>
      <c r="C28" s="4" t="s">
        <v>14</v>
      </c>
      <c r="D28" s="4"/>
      <c r="E28" s="4"/>
      <c r="F28" s="53"/>
      <c r="G28" s="53"/>
      <c r="H28" s="53"/>
      <c r="I28" s="53"/>
      <c r="J28" s="53"/>
      <c r="K28" s="53"/>
      <c r="L28" s="53"/>
      <c r="M28" s="53"/>
      <c r="N28" s="130">
        <f t="shared" si="12"/>
        <v>0</v>
      </c>
      <c r="P28" s="93"/>
    </row>
    <row r="29" spans="1:16" x14ac:dyDescent="0.2">
      <c r="A29" s="4"/>
      <c r="B29" s="25"/>
      <c r="C29" s="4" t="s">
        <v>15</v>
      </c>
      <c r="D29" s="4"/>
      <c r="E29" s="4"/>
      <c r="F29" s="53"/>
      <c r="G29" s="53"/>
      <c r="H29" s="53"/>
      <c r="I29" s="53"/>
      <c r="J29" s="53"/>
      <c r="K29" s="53"/>
      <c r="L29" s="53"/>
      <c r="M29" s="53"/>
      <c r="N29" s="130">
        <f t="shared" si="12"/>
        <v>0</v>
      </c>
      <c r="P29" s="93"/>
    </row>
    <row r="30" spans="1:16" x14ac:dyDescent="0.2">
      <c r="A30" s="4"/>
      <c r="B30" s="25"/>
      <c r="C30" s="5" t="s">
        <v>16</v>
      </c>
      <c r="D30" s="5"/>
      <c r="E30" s="5"/>
      <c r="F30" s="80"/>
      <c r="G30" s="80"/>
      <c r="H30" s="80"/>
      <c r="I30" s="80"/>
      <c r="J30" s="80"/>
      <c r="K30" s="80"/>
      <c r="L30" s="80"/>
      <c r="M30" s="80"/>
      <c r="N30" s="63">
        <f t="shared" si="12"/>
        <v>0</v>
      </c>
      <c r="P30" s="93"/>
    </row>
    <row r="31" spans="1:16" x14ac:dyDescent="0.2">
      <c r="A31" s="4"/>
      <c r="B31" s="25"/>
      <c r="C31" s="4" t="s">
        <v>17</v>
      </c>
      <c r="D31" s="4"/>
      <c r="E31" s="4"/>
      <c r="F31" s="53"/>
      <c r="G31" s="53"/>
      <c r="H31" s="53"/>
      <c r="I31" s="53"/>
      <c r="J31" s="53"/>
      <c r="K31" s="53"/>
      <c r="L31" s="53"/>
      <c r="M31" s="53"/>
      <c r="N31" s="130">
        <f t="shared" si="12"/>
        <v>0</v>
      </c>
      <c r="P31" s="93"/>
    </row>
    <row r="32" spans="1:16" x14ac:dyDescent="0.2">
      <c r="A32" s="4"/>
      <c r="B32" s="25"/>
      <c r="C32" s="4" t="s">
        <v>19</v>
      </c>
      <c r="D32" s="4"/>
      <c r="E32" s="4"/>
      <c r="F32" s="53"/>
      <c r="G32" s="53">
        <v>492445.78015656292</v>
      </c>
      <c r="H32" s="53">
        <v>2454696.0194604713</v>
      </c>
      <c r="I32" s="53"/>
      <c r="J32" s="53"/>
      <c r="K32" s="53">
        <v>96867.558576140509</v>
      </c>
      <c r="L32" s="53">
        <v>115642.73636363636</v>
      </c>
      <c r="M32" s="53">
        <v>53566.96</v>
      </c>
      <c r="N32" s="130">
        <f t="shared" si="12"/>
        <v>3213219.0545568112</v>
      </c>
      <c r="P32" s="93"/>
    </row>
    <row r="33" spans="1:16" x14ac:dyDescent="0.2">
      <c r="A33" s="4"/>
      <c r="B33" s="25"/>
      <c r="C33" s="4" t="s">
        <v>20</v>
      </c>
      <c r="D33" s="4"/>
      <c r="E33" s="4"/>
      <c r="F33" s="53"/>
      <c r="G33" s="53"/>
      <c r="H33" s="53"/>
      <c r="I33" s="53"/>
      <c r="J33" s="53">
        <v>11391.566944297147</v>
      </c>
      <c r="K33" s="53"/>
      <c r="L33" s="53"/>
      <c r="M33" s="53"/>
      <c r="N33" s="130">
        <f t="shared" si="12"/>
        <v>11391.566944297147</v>
      </c>
      <c r="P33" s="93"/>
    </row>
    <row r="34" spans="1:16" x14ac:dyDescent="0.2">
      <c r="A34" s="4"/>
      <c r="B34" s="25"/>
      <c r="C34" s="6" t="s">
        <v>21</v>
      </c>
      <c r="D34" s="6"/>
      <c r="E34" s="6"/>
      <c r="F34" s="79"/>
      <c r="G34" s="79"/>
      <c r="H34" s="79"/>
      <c r="I34" s="79"/>
      <c r="J34" s="79"/>
      <c r="K34" s="79"/>
      <c r="L34" s="79"/>
      <c r="M34" s="79"/>
      <c r="N34" s="56">
        <f t="shared" si="12"/>
        <v>0</v>
      </c>
      <c r="P34" s="93"/>
    </row>
    <row r="35" spans="1:16" x14ac:dyDescent="0.2">
      <c r="A35" s="4"/>
      <c r="B35" s="25"/>
      <c r="C35" s="2" t="s">
        <v>9</v>
      </c>
      <c r="D35" s="4"/>
      <c r="E35" s="4"/>
      <c r="F35" s="55">
        <f>SUM(F25:F34)</f>
        <v>19079935.556218665</v>
      </c>
      <c r="G35" s="55">
        <f t="shared" ref="G35:M35" si="13">SUM(G25:G34)</f>
        <v>6348913.5156939467</v>
      </c>
      <c r="H35" s="55">
        <f>SUM(H25:H34)</f>
        <v>11905158.426400471</v>
      </c>
      <c r="I35" s="55">
        <f t="shared" si="13"/>
        <v>541157.06294072396</v>
      </c>
      <c r="J35" s="55">
        <f t="shared" si="13"/>
        <v>1552788.684067758</v>
      </c>
      <c r="K35" s="55">
        <f t="shared" si="13"/>
        <v>1916141.9785761407</v>
      </c>
      <c r="L35" s="55">
        <f t="shared" si="13"/>
        <v>427332.6591308054</v>
      </c>
      <c r="M35" s="55">
        <f t="shared" si="13"/>
        <v>317520.58</v>
      </c>
      <c r="N35" s="130">
        <f t="shared" si="12"/>
        <v>42088948.463028505</v>
      </c>
    </row>
    <row r="36" spans="1:16" x14ac:dyDescent="0.2">
      <c r="A36" s="4"/>
      <c r="B36" s="25"/>
      <c r="C36" s="4"/>
      <c r="D36" s="4"/>
      <c r="E36" s="4"/>
      <c r="F36" s="12"/>
      <c r="G36" s="12"/>
      <c r="H36" s="12"/>
      <c r="I36" s="12"/>
      <c r="J36" s="12"/>
      <c r="K36" s="12"/>
      <c r="L36" s="12"/>
      <c r="M36" s="12"/>
    </row>
    <row r="37" spans="1:16" x14ac:dyDescent="0.2">
      <c r="A37" s="4"/>
      <c r="B37" s="25"/>
      <c r="C37" s="18" t="s">
        <v>87</v>
      </c>
      <c r="D37" s="133" t="s">
        <v>81</v>
      </c>
      <c r="E37" s="6"/>
      <c r="F37" s="19"/>
      <c r="G37" s="19"/>
      <c r="H37" s="19"/>
      <c r="I37" s="19"/>
      <c r="J37" s="19"/>
      <c r="K37" s="19"/>
      <c r="L37" s="19"/>
      <c r="M37" s="19"/>
    </row>
    <row r="38" spans="1:16" x14ac:dyDescent="0.2">
      <c r="A38" s="4"/>
      <c r="B38" s="25"/>
      <c r="C38" s="4" t="s">
        <v>11</v>
      </c>
      <c r="D38" s="102">
        <f>'Marges Elektriciteit 2012'!D99</f>
        <v>8</v>
      </c>
      <c r="E38" s="4"/>
      <c r="F38" s="55">
        <f>IF($D38&lt;&gt;"Geen",(F25/$D38)/2,0)</f>
        <v>69860.644775645749</v>
      </c>
      <c r="G38" s="55">
        <f t="shared" ref="F38:M47" si="14">IF($D38&lt;&gt;"Geen",(G25/$D38)/2,0)</f>
        <v>77068.792169018285</v>
      </c>
      <c r="H38" s="55">
        <f t="shared" si="14"/>
        <v>58415.997300000003</v>
      </c>
      <c r="I38" s="55">
        <f t="shared" si="14"/>
        <v>-38.407987807881</v>
      </c>
      <c r="J38" s="55">
        <f t="shared" si="14"/>
        <v>492.48984790587616</v>
      </c>
      <c r="K38" s="55">
        <f t="shared" si="14"/>
        <v>14329.91</v>
      </c>
      <c r="L38" s="55">
        <f t="shared" si="14"/>
        <v>12.38267294806742</v>
      </c>
      <c r="M38" s="55">
        <f t="shared" si="14"/>
        <v>1192.163125</v>
      </c>
      <c r="N38" s="64">
        <f t="shared" ref="N38:N48" si="15">SUM(F38:M38)</f>
        <v>221333.97190271009</v>
      </c>
    </row>
    <row r="39" spans="1:16" x14ac:dyDescent="0.2">
      <c r="A39" s="4"/>
      <c r="B39" s="25"/>
      <c r="C39" s="4" t="s">
        <v>12</v>
      </c>
      <c r="D39" s="102">
        <f>'Marges Elektriciteit 2012'!D100</f>
        <v>15</v>
      </c>
      <c r="E39" s="4"/>
      <c r="F39" s="55">
        <f t="shared" si="14"/>
        <v>598738.84132694441</v>
      </c>
      <c r="G39" s="55">
        <f t="shared" si="14"/>
        <v>154112.23536110303</v>
      </c>
      <c r="H39" s="55">
        <f t="shared" si="14"/>
        <v>283860.21500466665</v>
      </c>
      <c r="I39" s="55">
        <f t="shared" si="14"/>
        <v>18059.053024854999</v>
      </c>
      <c r="J39" s="55">
        <f t="shared" si="14"/>
        <v>51117.242651898894</v>
      </c>
      <c r="K39" s="55">
        <f t="shared" si="14"/>
        <v>52999.862000000001</v>
      </c>
      <c r="L39" s="55">
        <f t="shared" si="14"/>
        <v>10383.06</v>
      </c>
      <c r="M39" s="55">
        <f t="shared" si="14"/>
        <v>8162.6336666666666</v>
      </c>
      <c r="N39" s="130">
        <f t="shared" si="15"/>
        <v>1177433.1430361348</v>
      </c>
    </row>
    <row r="40" spans="1:16" x14ac:dyDescent="0.2">
      <c r="A40" s="4"/>
      <c r="B40" s="25"/>
      <c r="C40" s="4" t="s">
        <v>13</v>
      </c>
      <c r="D40" s="102">
        <f>'Marges Elektriciteit 2012'!D101</f>
        <v>8</v>
      </c>
      <c r="E40" s="4"/>
      <c r="F40" s="55">
        <f t="shared" si="14"/>
        <v>0</v>
      </c>
      <c r="G40" s="55">
        <f t="shared" si="14"/>
        <v>0</v>
      </c>
      <c r="H40" s="55">
        <f t="shared" si="14"/>
        <v>0</v>
      </c>
      <c r="I40" s="55">
        <f t="shared" si="14"/>
        <v>0</v>
      </c>
      <c r="J40" s="55">
        <f t="shared" si="14"/>
        <v>0</v>
      </c>
      <c r="K40" s="55">
        <f t="shared" si="14"/>
        <v>0</v>
      </c>
      <c r="L40" s="55">
        <f t="shared" si="14"/>
        <v>0</v>
      </c>
      <c r="M40" s="55">
        <f t="shared" si="14"/>
        <v>0</v>
      </c>
      <c r="N40" s="130">
        <f t="shared" si="15"/>
        <v>0</v>
      </c>
    </row>
    <row r="41" spans="1:16" x14ac:dyDescent="0.2">
      <c r="A41" s="4"/>
      <c r="B41" s="25"/>
      <c r="C41" s="4" t="s">
        <v>14</v>
      </c>
      <c r="D41" s="102">
        <f>'Marges Elektriciteit 2012'!D102</f>
        <v>15</v>
      </c>
      <c r="E41" s="4"/>
      <c r="F41" s="55">
        <f t="shared" si="14"/>
        <v>0</v>
      </c>
      <c r="G41" s="55">
        <f t="shared" si="14"/>
        <v>0</v>
      </c>
      <c r="H41" s="55">
        <f t="shared" si="14"/>
        <v>0</v>
      </c>
      <c r="I41" s="55">
        <f t="shared" si="14"/>
        <v>0</v>
      </c>
      <c r="J41" s="55">
        <f t="shared" si="14"/>
        <v>0</v>
      </c>
      <c r="K41" s="55">
        <f t="shared" si="14"/>
        <v>0</v>
      </c>
      <c r="L41" s="55">
        <f t="shared" si="14"/>
        <v>0</v>
      </c>
      <c r="M41" s="55">
        <f t="shared" si="14"/>
        <v>0</v>
      </c>
      <c r="N41" s="130">
        <f t="shared" si="15"/>
        <v>0</v>
      </c>
    </row>
    <row r="42" spans="1:16" x14ac:dyDescent="0.2">
      <c r="A42" s="4"/>
      <c r="B42" s="25"/>
      <c r="C42" s="4" t="s">
        <v>15</v>
      </c>
      <c r="D42" s="102">
        <f>'Marges Elektriciteit 2012'!D103</f>
        <v>10</v>
      </c>
      <c r="E42" s="4"/>
      <c r="F42" s="55">
        <f t="shared" si="14"/>
        <v>0</v>
      </c>
      <c r="G42" s="55">
        <f t="shared" si="14"/>
        <v>0</v>
      </c>
      <c r="H42" s="55">
        <f t="shared" si="14"/>
        <v>0</v>
      </c>
      <c r="I42" s="55">
        <f t="shared" si="14"/>
        <v>0</v>
      </c>
      <c r="J42" s="55">
        <f t="shared" si="14"/>
        <v>0</v>
      </c>
      <c r="K42" s="55">
        <f t="shared" si="14"/>
        <v>0</v>
      </c>
      <c r="L42" s="55">
        <f t="shared" si="14"/>
        <v>0</v>
      </c>
      <c r="M42" s="55">
        <f t="shared" si="14"/>
        <v>0</v>
      </c>
      <c r="N42" s="130">
        <f t="shared" si="15"/>
        <v>0</v>
      </c>
    </row>
    <row r="43" spans="1:16" x14ac:dyDescent="0.2">
      <c r="A43" s="4"/>
      <c r="B43" s="25"/>
      <c r="C43" s="5" t="s">
        <v>16</v>
      </c>
      <c r="D43" s="101">
        <f>'Marges Elektriciteit 2012'!D104</f>
        <v>15</v>
      </c>
      <c r="E43" s="5"/>
      <c r="F43" s="63">
        <f t="shared" si="14"/>
        <v>0</v>
      </c>
      <c r="G43" s="63">
        <f t="shared" si="14"/>
        <v>0</v>
      </c>
      <c r="H43" s="63">
        <f t="shared" si="14"/>
        <v>0</v>
      </c>
      <c r="I43" s="63">
        <f t="shared" si="14"/>
        <v>0</v>
      </c>
      <c r="J43" s="63">
        <f t="shared" si="14"/>
        <v>0</v>
      </c>
      <c r="K43" s="63">
        <f t="shared" si="14"/>
        <v>0</v>
      </c>
      <c r="L43" s="63">
        <f t="shared" si="14"/>
        <v>0</v>
      </c>
      <c r="M43" s="63">
        <f t="shared" si="14"/>
        <v>0</v>
      </c>
      <c r="N43" s="63">
        <f t="shared" si="15"/>
        <v>0</v>
      </c>
    </row>
    <row r="44" spans="1:16" x14ac:dyDescent="0.2">
      <c r="A44" s="4"/>
      <c r="B44" s="25"/>
      <c r="C44" s="4" t="s">
        <v>17</v>
      </c>
      <c r="D44" s="78" t="s">
        <v>18</v>
      </c>
      <c r="E44" s="4"/>
      <c r="F44" s="55">
        <f t="shared" si="14"/>
        <v>0</v>
      </c>
      <c r="G44" s="55">
        <f t="shared" si="14"/>
        <v>0</v>
      </c>
      <c r="H44" s="55">
        <f t="shared" si="14"/>
        <v>0</v>
      </c>
      <c r="I44" s="55">
        <f t="shared" si="14"/>
        <v>0</v>
      </c>
      <c r="J44" s="55">
        <f t="shared" si="14"/>
        <v>0</v>
      </c>
      <c r="K44" s="55">
        <f t="shared" si="14"/>
        <v>0</v>
      </c>
      <c r="L44" s="55">
        <f t="shared" si="14"/>
        <v>0</v>
      </c>
      <c r="M44" s="55">
        <f t="shared" si="14"/>
        <v>0</v>
      </c>
      <c r="N44" s="130">
        <f t="shared" si="15"/>
        <v>0</v>
      </c>
      <c r="P44" s="93"/>
    </row>
    <row r="45" spans="1:16" x14ac:dyDescent="0.2">
      <c r="A45" s="4"/>
      <c r="B45" s="25"/>
      <c r="C45" s="4" t="s">
        <v>19</v>
      </c>
      <c r="D45" s="78">
        <v>5</v>
      </c>
      <c r="E45" s="4"/>
      <c r="F45" s="55">
        <f t="shared" si="14"/>
        <v>0</v>
      </c>
      <c r="G45" s="55">
        <f t="shared" si="14"/>
        <v>49244.578015656291</v>
      </c>
      <c r="H45" s="55">
        <f t="shared" si="14"/>
        <v>245469.60194604713</v>
      </c>
      <c r="I45" s="55">
        <f t="shared" si="14"/>
        <v>0</v>
      </c>
      <c r="J45" s="55">
        <f t="shared" si="14"/>
        <v>0</v>
      </c>
      <c r="K45" s="55">
        <f t="shared" si="14"/>
        <v>9686.7558576140509</v>
      </c>
      <c r="L45" s="55">
        <f t="shared" si="14"/>
        <v>11564.273636363636</v>
      </c>
      <c r="M45" s="55">
        <f t="shared" si="14"/>
        <v>5356.6959999999999</v>
      </c>
      <c r="N45" s="130">
        <f t="shared" si="15"/>
        <v>321321.90545568109</v>
      </c>
      <c r="P45" s="93"/>
    </row>
    <row r="46" spans="1:16" x14ac:dyDescent="0.2">
      <c r="A46" s="4"/>
      <c r="B46" s="25"/>
      <c r="C46" s="4" t="s">
        <v>20</v>
      </c>
      <c r="D46" s="78">
        <v>10</v>
      </c>
      <c r="E46" s="4"/>
      <c r="F46" s="55">
        <f t="shared" si="14"/>
        <v>0</v>
      </c>
      <c r="G46" s="55">
        <f t="shared" si="14"/>
        <v>0</v>
      </c>
      <c r="H46" s="55">
        <f t="shared" si="14"/>
        <v>0</v>
      </c>
      <c r="I46" s="55">
        <f t="shared" si="14"/>
        <v>0</v>
      </c>
      <c r="J46" s="55">
        <f t="shared" si="14"/>
        <v>569.57834721485733</v>
      </c>
      <c r="K46" s="55">
        <f t="shared" si="14"/>
        <v>0</v>
      </c>
      <c r="L46" s="55">
        <f t="shared" si="14"/>
        <v>0</v>
      </c>
      <c r="M46" s="55">
        <f t="shared" si="14"/>
        <v>0</v>
      </c>
      <c r="N46" s="130">
        <f t="shared" si="15"/>
        <v>569.57834721485733</v>
      </c>
      <c r="P46" s="93"/>
    </row>
    <row r="47" spans="1:16" x14ac:dyDescent="0.2">
      <c r="A47" s="4"/>
      <c r="B47" s="25"/>
      <c r="C47" s="6" t="s">
        <v>21</v>
      </c>
      <c r="D47" s="91">
        <v>30</v>
      </c>
      <c r="E47" s="6"/>
      <c r="F47" s="56">
        <f t="shared" si="14"/>
        <v>0</v>
      </c>
      <c r="G47" s="56">
        <f t="shared" si="14"/>
        <v>0</v>
      </c>
      <c r="H47" s="56">
        <f t="shared" si="14"/>
        <v>0</v>
      </c>
      <c r="I47" s="56">
        <f t="shared" si="14"/>
        <v>0</v>
      </c>
      <c r="J47" s="56">
        <f t="shared" si="14"/>
        <v>0</v>
      </c>
      <c r="K47" s="56">
        <f t="shared" si="14"/>
        <v>0</v>
      </c>
      <c r="L47" s="56">
        <f t="shared" si="14"/>
        <v>0</v>
      </c>
      <c r="M47" s="56">
        <f t="shared" si="14"/>
        <v>0</v>
      </c>
      <c r="N47" s="56">
        <f t="shared" si="15"/>
        <v>0</v>
      </c>
      <c r="P47" s="93"/>
    </row>
    <row r="48" spans="1:16" x14ac:dyDescent="0.2">
      <c r="C48" s="2" t="s">
        <v>36</v>
      </c>
      <c r="D48" s="4"/>
      <c r="E48" s="4"/>
      <c r="F48" s="55">
        <f>SUM(F38:F47)</f>
        <v>668599.4861025901</v>
      </c>
      <c r="G48" s="55">
        <f t="shared" ref="G48:M48" si="16">SUM(G38:G47)</f>
        <v>280425.60554577759</v>
      </c>
      <c r="H48" s="55">
        <f>SUM(H38:H47)</f>
        <v>587745.8142507138</v>
      </c>
      <c r="I48" s="55">
        <f t="shared" si="16"/>
        <v>18020.645037047118</v>
      </c>
      <c r="J48" s="55">
        <f t="shared" si="16"/>
        <v>52179.310847019624</v>
      </c>
      <c r="K48" s="55">
        <f t="shared" si="16"/>
        <v>77016.527857614041</v>
      </c>
      <c r="L48" s="55">
        <f t="shared" si="16"/>
        <v>21959.716309311705</v>
      </c>
      <c r="M48" s="55">
        <f t="shared" si="16"/>
        <v>14711.492791666667</v>
      </c>
      <c r="N48" s="130">
        <f t="shared" si="15"/>
        <v>1720658.5987417405</v>
      </c>
    </row>
    <row r="49" spans="3:15" x14ac:dyDescent="0.2">
      <c r="C49" s="4"/>
      <c r="D49" s="4"/>
      <c r="E49" s="4"/>
      <c r="F49" s="8"/>
      <c r="G49" s="8"/>
      <c r="H49" s="8"/>
      <c r="I49" s="8"/>
      <c r="J49" s="8"/>
      <c r="K49" s="8"/>
      <c r="L49" s="8"/>
      <c r="M49" s="8"/>
    </row>
    <row r="50" spans="3:15" x14ac:dyDescent="0.2">
      <c r="C50" s="18" t="s">
        <v>91</v>
      </c>
      <c r="D50" s="20"/>
      <c r="E50" s="20"/>
      <c r="F50" s="19"/>
      <c r="G50" s="19"/>
      <c r="H50" s="19"/>
      <c r="I50" s="19"/>
      <c r="J50" s="19"/>
      <c r="K50" s="19"/>
      <c r="L50" s="19"/>
      <c r="M50" s="19"/>
    </row>
    <row r="51" spans="3:15" x14ac:dyDescent="0.2">
      <c r="C51" s="4" t="s">
        <v>11</v>
      </c>
      <c r="D51" s="21"/>
      <c r="E51" s="21"/>
      <c r="F51" s="55">
        <f>F25-F38</f>
        <v>1047909.6716346862</v>
      </c>
      <c r="G51" s="55">
        <f t="shared" ref="G51:M51" si="17">G25-G38</f>
        <v>1156031.8825352744</v>
      </c>
      <c r="H51" s="55">
        <f t="shared" si="17"/>
        <v>876239.9595</v>
      </c>
      <c r="I51" s="55">
        <f t="shared" si="17"/>
        <v>-576.119817118215</v>
      </c>
      <c r="J51" s="55">
        <f t="shared" si="17"/>
        <v>7387.347718588142</v>
      </c>
      <c r="K51" s="55">
        <f t="shared" si="17"/>
        <v>214948.65</v>
      </c>
      <c r="L51" s="55">
        <f t="shared" si="17"/>
        <v>185.7400942210113</v>
      </c>
      <c r="M51" s="55">
        <f t="shared" si="17"/>
        <v>17882.446875000001</v>
      </c>
      <c r="N51" s="64">
        <f t="shared" ref="N51:N61" si="18">SUM(F51:M51)</f>
        <v>3320009.5785406511</v>
      </c>
    </row>
    <row r="52" spans="3:15" x14ac:dyDescent="0.2">
      <c r="C52" s="4" t="s">
        <v>12</v>
      </c>
      <c r="D52" s="21"/>
      <c r="E52" s="21"/>
      <c r="F52" s="55">
        <f t="shared" ref="F52:M60" si="19">F26-F39</f>
        <v>17363426.398481388</v>
      </c>
      <c r="G52" s="55">
        <f t="shared" si="19"/>
        <v>4469254.8254719879</v>
      </c>
      <c r="H52" s="55">
        <f t="shared" si="19"/>
        <v>8231946.2351353327</v>
      </c>
      <c r="I52" s="55">
        <f t="shared" si="19"/>
        <v>523712.53772079502</v>
      </c>
      <c r="J52" s="55">
        <f t="shared" si="19"/>
        <v>1482400.036905068</v>
      </c>
      <c r="K52" s="55">
        <f t="shared" si="19"/>
        <v>1536995.9980000001</v>
      </c>
      <c r="L52" s="55">
        <f t="shared" si="19"/>
        <v>301108.74</v>
      </c>
      <c r="M52" s="55">
        <f t="shared" si="19"/>
        <v>236716.37633333335</v>
      </c>
      <c r="N52" s="130">
        <f t="shared" si="18"/>
        <v>34145561.148047909</v>
      </c>
    </row>
    <row r="53" spans="3:15" x14ac:dyDescent="0.2">
      <c r="C53" s="4" t="s">
        <v>13</v>
      </c>
      <c r="D53" s="21"/>
      <c r="E53" s="21"/>
      <c r="F53" s="55">
        <f t="shared" si="19"/>
        <v>0</v>
      </c>
      <c r="G53" s="55">
        <f t="shared" si="19"/>
        <v>0</v>
      </c>
      <c r="H53" s="55">
        <f t="shared" si="19"/>
        <v>0</v>
      </c>
      <c r="I53" s="55">
        <f t="shared" si="19"/>
        <v>0</v>
      </c>
      <c r="J53" s="55">
        <f t="shared" si="19"/>
        <v>0</v>
      </c>
      <c r="K53" s="55">
        <f t="shared" si="19"/>
        <v>0</v>
      </c>
      <c r="L53" s="55">
        <f t="shared" si="19"/>
        <v>0</v>
      </c>
      <c r="M53" s="55">
        <f t="shared" si="19"/>
        <v>0</v>
      </c>
      <c r="N53" s="130">
        <f t="shared" si="18"/>
        <v>0</v>
      </c>
    </row>
    <row r="54" spans="3:15" x14ac:dyDescent="0.2">
      <c r="C54" s="4" t="s">
        <v>14</v>
      </c>
      <c r="D54" s="21"/>
      <c r="E54" s="21"/>
      <c r="F54" s="55">
        <f t="shared" si="19"/>
        <v>0</v>
      </c>
      <c r="G54" s="55">
        <f t="shared" si="19"/>
        <v>0</v>
      </c>
      <c r="H54" s="55">
        <f t="shared" si="19"/>
        <v>0</v>
      </c>
      <c r="I54" s="55">
        <f t="shared" si="19"/>
        <v>0</v>
      </c>
      <c r="J54" s="55">
        <f t="shared" si="19"/>
        <v>0</v>
      </c>
      <c r="K54" s="55">
        <f t="shared" si="19"/>
        <v>0</v>
      </c>
      <c r="L54" s="55">
        <f t="shared" si="19"/>
        <v>0</v>
      </c>
      <c r="M54" s="55">
        <f t="shared" si="19"/>
        <v>0</v>
      </c>
      <c r="N54" s="130">
        <f t="shared" si="18"/>
        <v>0</v>
      </c>
    </row>
    <row r="55" spans="3:15" x14ac:dyDescent="0.2">
      <c r="C55" s="4" t="s">
        <v>15</v>
      </c>
      <c r="D55" s="21"/>
      <c r="E55" s="21"/>
      <c r="F55" s="55">
        <f t="shared" si="19"/>
        <v>0</v>
      </c>
      <c r="G55" s="55">
        <f t="shared" si="19"/>
        <v>0</v>
      </c>
      <c r="H55" s="55">
        <f t="shared" si="19"/>
        <v>0</v>
      </c>
      <c r="I55" s="55">
        <f t="shared" si="19"/>
        <v>0</v>
      </c>
      <c r="J55" s="55">
        <f t="shared" si="19"/>
        <v>0</v>
      </c>
      <c r="K55" s="55">
        <f t="shared" si="19"/>
        <v>0</v>
      </c>
      <c r="L55" s="55">
        <f t="shared" si="19"/>
        <v>0</v>
      </c>
      <c r="M55" s="55">
        <f t="shared" si="19"/>
        <v>0</v>
      </c>
      <c r="N55" s="130">
        <f t="shared" si="18"/>
        <v>0</v>
      </c>
    </row>
    <row r="56" spans="3:15" x14ac:dyDescent="0.2">
      <c r="C56" s="5" t="s">
        <v>16</v>
      </c>
      <c r="D56" s="22"/>
      <c r="E56" s="22"/>
      <c r="F56" s="63">
        <f t="shared" si="19"/>
        <v>0</v>
      </c>
      <c r="G56" s="63">
        <f t="shared" si="19"/>
        <v>0</v>
      </c>
      <c r="H56" s="63">
        <f t="shared" si="19"/>
        <v>0</v>
      </c>
      <c r="I56" s="63">
        <f t="shared" si="19"/>
        <v>0</v>
      </c>
      <c r="J56" s="63">
        <f t="shared" si="19"/>
        <v>0</v>
      </c>
      <c r="K56" s="63">
        <f t="shared" si="19"/>
        <v>0</v>
      </c>
      <c r="L56" s="63">
        <f t="shared" si="19"/>
        <v>0</v>
      </c>
      <c r="M56" s="63">
        <f t="shared" si="19"/>
        <v>0</v>
      </c>
      <c r="N56" s="63">
        <f t="shared" si="18"/>
        <v>0</v>
      </c>
    </row>
    <row r="57" spans="3:15" x14ac:dyDescent="0.2">
      <c r="C57" s="4" t="s">
        <v>17</v>
      </c>
      <c r="D57" s="21"/>
      <c r="E57" s="21"/>
      <c r="F57" s="55">
        <f t="shared" si="19"/>
        <v>0</v>
      </c>
      <c r="G57" s="55">
        <f t="shared" si="19"/>
        <v>0</v>
      </c>
      <c r="H57" s="55">
        <f t="shared" si="19"/>
        <v>0</v>
      </c>
      <c r="I57" s="55">
        <f t="shared" si="19"/>
        <v>0</v>
      </c>
      <c r="J57" s="55">
        <f t="shared" si="19"/>
        <v>0</v>
      </c>
      <c r="K57" s="55">
        <f t="shared" si="19"/>
        <v>0</v>
      </c>
      <c r="L57" s="55">
        <f t="shared" si="19"/>
        <v>0</v>
      </c>
      <c r="M57" s="55">
        <f t="shared" si="19"/>
        <v>0</v>
      </c>
      <c r="N57" s="130">
        <f t="shared" si="18"/>
        <v>0</v>
      </c>
    </row>
    <row r="58" spans="3:15" x14ac:dyDescent="0.2">
      <c r="C58" s="4" t="s">
        <v>19</v>
      </c>
      <c r="D58" s="21"/>
      <c r="E58" s="21"/>
      <c r="F58" s="55">
        <f t="shared" si="19"/>
        <v>0</v>
      </c>
      <c r="G58" s="55">
        <f t="shared" si="19"/>
        <v>443201.20214090665</v>
      </c>
      <c r="H58" s="55">
        <f t="shared" si="19"/>
        <v>2209226.4175144243</v>
      </c>
      <c r="I58" s="55">
        <f t="shared" si="19"/>
        <v>0</v>
      </c>
      <c r="J58" s="55">
        <f t="shared" si="19"/>
        <v>0</v>
      </c>
      <c r="K58" s="55">
        <f t="shared" si="19"/>
        <v>87180.802718526451</v>
      </c>
      <c r="L58" s="55">
        <f t="shared" si="19"/>
        <v>104078.46272727272</v>
      </c>
      <c r="M58" s="55">
        <f t="shared" si="19"/>
        <v>48210.263999999996</v>
      </c>
      <c r="N58" s="130">
        <f t="shared" si="18"/>
        <v>2891897.1491011302</v>
      </c>
    </row>
    <row r="59" spans="3:15" x14ac:dyDescent="0.2">
      <c r="C59" s="4" t="s">
        <v>20</v>
      </c>
      <c r="D59" s="21"/>
      <c r="E59" s="21"/>
      <c r="F59" s="55">
        <f t="shared" si="19"/>
        <v>0</v>
      </c>
      <c r="G59" s="55">
        <f t="shared" si="19"/>
        <v>0</v>
      </c>
      <c r="H59" s="55">
        <f t="shared" si="19"/>
        <v>0</v>
      </c>
      <c r="I59" s="55">
        <f t="shared" si="19"/>
        <v>0</v>
      </c>
      <c r="J59" s="55">
        <f t="shared" si="19"/>
        <v>10821.988597082289</v>
      </c>
      <c r="K59" s="55">
        <f t="shared" si="19"/>
        <v>0</v>
      </c>
      <c r="L59" s="55">
        <f t="shared" si="19"/>
        <v>0</v>
      </c>
      <c r="M59" s="55">
        <f t="shared" si="19"/>
        <v>0</v>
      </c>
      <c r="N59" s="130">
        <f t="shared" si="18"/>
        <v>10821.988597082289</v>
      </c>
    </row>
    <row r="60" spans="3:15" x14ac:dyDescent="0.2">
      <c r="C60" s="6" t="s">
        <v>21</v>
      </c>
      <c r="D60" s="23"/>
      <c r="E60" s="23"/>
      <c r="F60" s="56">
        <f t="shared" si="19"/>
        <v>0</v>
      </c>
      <c r="G60" s="56">
        <f t="shared" si="19"/>
        <v>0</v>
      </c>
      <c r="H60" s="56">
        <f t="shared" si="19"/>
        <v>0</v>
      </c>
      <c r="I60" s="56">
        <f t="shared" si="19"/>
        <v>0</v>
      </c>
      <c r="J60" s="56">
        <f t="shared" si="19"/>
        <v>0</v>
      </c>
      <c r="K60" s="56">
        <f t="shared" si="19"/>
        <v>0</v>
      </c>
      <c r="L60" s="56">
        <f t="shared" si="19"/>
        <v>0</v>
      </c>
      <c r="M60" s="56">
        <f t="shared" si="19"/>
        <v>0</v>
      </c>
      <c r="N60" s="56">
        <f t="shared" si="18"/>
        <v>0</v>
      </c>
    </row>
    <row r="61" spans="3:15" x14ac:dyDescent="0.2">
      <c r="C61" s="7" t="s">
        <v>38</v>
      </c>
      <c r="D61" s="29"/>
      <c r="E61" s="29"/>
      <c r="F61" s="55">
        <f>SUM(F51:F60)</f>
        <v>18411336.070116073</v>
      </c>
      <c r="G61" s="55">
        <f t="shared" ref="G61:M61" si="20">SUM(G51:G60)</f>
        <v>6068487.9101481689</v>
      </c>
      <c r="H61" s="55">
        <f>SUM(H51:H60)</f>
        <v>11317412.612149758</v>
      </c>
      <c r="I61" s="55">
        <f t="shared" si="20"/>
        <v>523136.4179036768</v>
      </c>
      <c r="J61" s="55">
        <f t="shared" si="20"/>
        <v>1500609.3732207383</v>
      </c>
      <c r="K61" s="55">
        <f t="shared" si="20"/>
        <v>1839125.4507185265</v>
      </c>
      <c r="L61" s="55">
        <f t="shared" si="20"/>
        <v>405372.94282149372</v>
      </c>
      <c r="M61" s="55">
        <f t="shared" si="20"/>
        <v>302809.08720833331</v>
      </c>
      <c r="N61" s="130">
        <f t="shared" si="18"/>
        <v>40368289.864286773</v>
      </c>
    </row>
    <row r="62" spans="3:15" x14ac:dyDescent="0.2">
      <c r="C62" s="4"/>
      <c r="D62" s="4"/>
      <c r="E62" s="4"/>
      <c r="F62" s="8"/>
      <c r="G62" s="8"/>
      <c r="H62" s="8"/>
      <c r="I62" s="8"/>
      <c r="J62" s="8"/>
      <c r="K62" s="8"/>
      <c r="L62" s="8"/>
      <c r="M62" s="8"/>
    </row>
    <row r="63" spans="3:15" x14ac:dyDescent="0.2">
      <c r="C63" s="18" t="s">
        <v>39</v>
      </c>
      <c r="D63" s="6"/>
      <c r="E63" s="6"/>
      <c r="F63" s="6"/>
      <c r="G63" s="6"/>
      <c r="H63" s="6"/>
      <c r="I63" s="6"/>
      <c r="J63" s="6"/>
      <c r="K63" s="6"/>
      <c r="L63" s="6"/>
      <c r="M63" s="6"/>
    </row>
    <row r="64" spans="3:15" x14ac:dyDescent="0.2">
      <c r="C64" s="30" t="s">
        <v>109</v>
      </c>
      <c r="D64" s="4"/>
      <c r="E64" s="4"/>
      <c r="F64" s="67">
        <f t="shared" ref="F64:M64" si="21">F12</f>
        <v>35368966.234931789</v>
      </c>
      <c r="G64" s="67">
        <f t="shared" si="21"/>
        <v>26887516.329084329</v>
      </c>
      <c r="H64" s="67">
        <f t="shared" si="21"/>
        <v>28070191.238035254</v>
      </c>
      <c r="I64" s="67">
        <f t="shared" si="21"/>
        <v>2441311.2085295576</v>
      </c>
      <c r="J64" s="67">
        <f t="shared" si="21"/>
        <v>6252172.8228792567</v>
      </c>
      <c r="K64" s="67">
        <f t="shared" si="21"/>
        <v>2080432.4154171762</v>
      </c>
      <c r="L64" s="67">
        <f t="shared" si="21"/>
        <v>309915.54082125006</v>
      </c>
      <c r="M64" s="67">
        <f t="shared" si="21"/>
        <v>1040652.9195965619</v>
      </c>
      <c r="N64" s="64">
        <f t="shared" ref="N64:N68" si="22">SUM(F64:M64)</f>
        <v>102451158.70929518</v>
      </c>
      <c r="O64" s="3"/>
    </row>
    <row r="65" spans="2:16" x14ac:dyDescent="0.2">
      <c r="C65" s="30" t="s">
        <v>48</v>
      </c>
      <c r="D65" s="4"/>
      <c r="E65" s="4"/>
      <c r="F65" s="67">
        <f t="shared" ref="F65:M65" si="23">F22</f>
        <v>3307884.1121195187</v>
      </c>
      <c r="G65" s="67">
        <f t="shared" si="23"/>
        <v>2237142.0953962128</v>
      </c>
      <c r="H65" s="67">
        <f t="shared" si="23"/>
        <v>3004781.4683775003</v>
      </c>
      <c r="I65" s="67">
        <f t="shared" si="23"/>
        <v>126047.23090635432</v>
      </c>
      <c r="J65" s="67">
        <f t="shared" si="23"/>
        <v>488359.60802938882</v>
      </c>
      <c r="K65" s="67">
        <f t="shared" si="23"/>
        <v>112838.77336429269</v>
      </c>
      <c r="L65" s="67">
        <f t="shared" si="23"/>
        <v>55459.619460000002</v>
      </c>
      <c r="M65" s="67">
        <f t="shared" si="23"/>
        <v>120907.28223</v>
      </c>
      <c r="N65" s="130">
        <f t="shared" si="22"/>
        <v>9453420.1898832675</v>
      </c>
      <c r="O65" s="3"/>
    </row>
    <row r="66" spans="2:16" x14ac:dyDescent="0.2">
      <c r="C66" s="4" t="s">
        <v>38</v>
      </c>
      <c r="D66" s="4"/>
      <c r="E66" s="4"/>
      <c r="F66" s="67">
        <f t="shared" ref="F66:M66" si="24">F61</f>
        <v>18411336.070116073</v>
      </c>
      <c r="G66" s="67">
        <f t="shared" si="24"/>
        <v>6068487.9101481689</v>
      </c>
      <c r="H66" s="67">
        <f t="shared" si="24"/>
        <v>11317412.612149758</v>
      </c>
      <c r="I66" s="67">
        <f t="shared" si="24"/>
        <v>523136.4179036768</v>
      </c>
      <c r="J66" s="67">
        <f t="shared" si="24"/>
        <v>1500609.3732207383</v>
      </c>
      <c r="K66" s="67">
        <f t="shared" si="24"/>
        <v>1839125.4507185265</v>
      </c>
      <c r="L66" s="67">
        <f t="shared" si="24"/>
        <v>405372.94282149372</v>
      </c>
      <c r="M66" s="67">
        <f t="shared" si="24"/>
        <v>302809.08720833331</v>
      </c>
      <c r="N66" s="130">
        <f t="shared" si="22"/>
        <v>40368289.864286773</v>
      </c>
      <c r="O66" s="3"/>
    </row>
    <row r="67" spans="2:16" x14ac:dyDescent="0.2">
      <c r="C67" s="34" t="s">
        <v>40</v>
      </c>
      <c r="D67" s="136" t="s">
        <v>22</v>
      </c>
      <c r="E67" s="6"/>
      <c r="F67" s="58">
        <f>SUM(F64:F66)</f>
        <v>57088186.41716738</v>
      </c>
      <c r="G67" s="58">
        <f t="shared" ref="G67:M67" si="25">SUM(G64:G66)</f>
        <v>35193146.334628709</v>
      </c>
      <c r="H67" s="58">
        <f t="shared" si="25"/>
        <v>42392385.318562515</v>
      </c>
      <c r="I67" s="58">
        <f t="shared" si="25"/>
        <v>3090494.8573395885</v>
      </c>
      <c r="J67" s="58">
        <f t="shared" si="25"/>
        <v>8241141.8041293835</v>
      </c>
      <c r="K67" s="58">
        <f t="shared" si="25"/>
        <v>4032396.6394999959</v>
      </c>
      <c r="L67" s="58">
        <f t="shared" si="25"/>
        <v>770748.10310274386</v>
      </c>
      <c r="M67" s="58">
        <f t="shared" si="25"/>
        <v>1464369.2890348951</v>
      </c>
      <c r="N67" s="56">
        <f t="shared" si="22"/>
        <v>152272868.76346523</v>
      </c>
      <c r="O67" s="3"/>
    </row>
    <row r="68" spans="2:16" x14ac:dyDescent="0.2">
      <c r="C68" s="7" t="s">
        <v>41</v>
      </c>
      <c r="D68" s="77">
        <v>4.2000000000000003E-2</v>
      </c>
      <c r="E68" s="29"/>
      <c r="F68" s="64">
        <f t="shared" ref="F68:M68" si="26">F67*$D$68</f>
        <v>2397703.8295210302</v>
      </c>
      <c r="G68" s="64">
        <f t="shared" si="26"/>
        <v>1478112.146054406</v>
      </c>
      <c r="H68" s="64">
        <f t="shared" si="26"/>
        <v>1780480.1833796257</v>
      </c>
      <c r="I68" s="64">
        <f t="shared" si="26"/>
        <v>129800.78400826272</v>
      </c>
      <c r="J68" s="64">
        <f t="shared" si="26"/>
        <v>346127.95577343414</v>
      </c>
      <c r="K68" s="64">
        <f t="shared" si="26"/>
        <v>169360.65885899984</v>
      </c>
      <c r="L68" s="64">
        <f t="shared" si="26"/>
        <v>32371.420330315243</v>
      </c>
      <c r="M68" s="64">
        <f t="shared" si="26"/>
        <v>61503.510139465601</v>
      </c>
      <c r="N68" s="130">
        <f t="shared" si="22"/>
        <v>6395460.488065538</v>
      </c>
      <c r="O68" s="3"/>
      <c r="P68" s="106"/>
    </row>
    <row r="69" spans="2:16" s="17" customFormat="1" x14ac:dyDescent="0.2">
      <c r="C69" s="25"/>
      <c r="D69" s="25"/>
      <c r="E69" s="25"/>
      <c r="F69" s="31"/>
      <c r="G69" s="31"/>
      <c r="H69" s="31"/>
      <c r="I69" s="31"/>
      <c r="J69" s="31"/>
      <c r="K69" s="31"/>
      <c r="L69" s="31"/>
      <c r="M69" s="31"/>
      <c r="N69" s="32"/>
      <c r="O69" s="32"/>
    </row>
    <row r="70" spans="2:16" s="17" customFormat="1" x14ac:dyDescent="0.2">
      <c r="C70" s="37" t="s">
        <v>25</v>
      </c>
      <c r="D70" s="35"/>
      <c r="E70" s="35"/>
      <c r="F70" s="36"/>
      <c r="G70" s="36"/>
      <c r="H70" s="36"/>
      <c r="I70" s="36"/>
      <c r="J70" s="36"/>
      <c r="K70" s="36"/>
      <c r="L70" s="36"/>
      <c r="M70" s="36"/>
      <c r="N70" s="32"/>
      <c r="O70" s="32"/>
    </row>
    <row r="71" spans="2:16" s="17" customFormat="1" x14ac:dyDescent="0.2">
      <c r="C71" s="33" t="s">
        <v>41</v>
      </c>
      <c r="D71" s="25"/>
      <c r="E71" s="25"/>
      <c r="F71" s="67">
        <f>F68</f>
        <v>2397703.8295210302</v>
      </c>
      <c r="G71" s="67">
        <f t="shared" ref="G71:M71" si="27">G68</f>
        <v>1478112.146054406</v>
      </c>
      <c r="H71" s="67">
        <f t="shared" si="27"/>
        <v>1780480.1833796257</v>
      </c>
      <c r="I71" s="67">
        <f t="shared" si="27"/>
        <v>129800.78400826272</v>
      </c>
      <c r="J71" s="67">
        <f t="shared" si="27"/>
        <v>346127.95577343414</v>
      </c>
      <c r="K71" s="67">
        <f t="shared" si="27"/>
        <v>169360.65885899984</v>
      </c>
      <c r="L71" s="67">
        <f t="shared" si="27"/>
        <v>32371.420330315243</v>
      </c>
      <c r="M71" s="67">
        <f t="shared" si="27"/>
        <v>61503.510139465601</v>
      </c>
      <c r="N71" s="64">
        <f t="shared" ref="N71:N75" si="28">SUM(F71:M71)</f>
        <v>6395460.488065538</v>
      </c>
      <c r="O71" s="32"/>
    </row>
    <row r="72" spans="2:16" x14ac:dyDescent="0.2">
      <c r="C72" s="30" t="s">
        <v>110</v>
      </c>
      <c r="D72" s="4"/>
      <c r="E72" s="4"/>
      <c r="F72" s="67">
        <f t="shared" ref="F72:M72" si="29">F11</f>
        <v>5052709.4621331133</v>
      </c>
      <c r="G72" s="67">
        <f t="shared" si="29"/>
        <v>3841073.7612977615</v>
      </c>
      <c r="H72" s="67">
        <f t="shared" si="29"/>
        <v>4010027.319719322</v>
      </c>
      <c r="I72" s="67">
        <f t="shared" si="29"/>
        <v>348758.74407565111</v>
      </c>
      <c r="J72" s="67">
        <f t="shared" si="29"/>
        <v>893167.54612560826</v>
      </c>
      <c r="K72" s="67">
        <f t="shared" si="29"/>
        <v>297204.63077388232</v>
      </c>
      <c r="L72" s="67">
        <f t="shared" si="29"/>
        <v>44273.64868875</v>
      </c>
      <c r="M72" s="67">
        <f t="shared" si="29"/>
        <v>148664.70279950884</v>
      </c>
      <c r="N72" s="130">
        <f t="shared" si="28"/>
        <v>14635879.815613596</v>
      </c>
      <c r="O72" s="3"/>
    </row>
    <row r="73" spans="2:16" x14ac:dyDescent="0.2">
      <c r="C73" s="30" t="s">
        <v>49</v>
      </c>
      <c r="D73" s="4"/>
      <c r="E73" s="4"/>
      <c r="F73" s="67">
        <f t="shared" ref="F73:M73" si="30">F21</f>
        <v>472554.87315993127</v>
      </c>
      <c r="G73" s="67">
        <f t="shared" si="30"/>
        <v>319591.72791374469</v>
      </c>
      <c r="H73" s="67">
        <f t="shared" si="30"/>
        <v>429254.49548250006</v>
      </c>
      <c r="I73" s="67">
        <f t="shared" si="30"/>
        <v>18006.747272336332</v>
      </c>
      <c r="J73" s="67">
        <f t="shared" si="30"/>
        <v>69765.658289912681</v>
      </c>
      <c r="K73" s="67">
        <f t="shared" si="30"/>
        <v>16119.824766327529</v>
      </c>
      <c r="L73" s="67">
        <f t="shared" si="30"/>
        <v>7922.80278</v>
      </c>
      <c r="M73" s="67">
        <f t="shared" si="30"/>
        <v>17272.46889</v>
      </c>
      <c r="N73" s="130">
        <f t="shared" si="28"/>
        <v>1350488.5985547525</v>
      </c>
      <c r="O73" s="3"/>
    </row>
    <row r="74" spans="2:16" x14ac:dyDescent="0.2">
      <c r="C74" s="6" t="s">
        <v>36</v>
      </c>
      <c r="D74" s="6"/>
      <c r="E74" s="6"/>
      <c r="F74" s="70">
        <f t="shared" ref="F74:M74" si="31">F48</f>
        <v>668599.4861025901</v>
      </c>
      <c r="G74" s="70">
        <f t="shared" si="31"/>
        <v>280425.60554577759</v>
      </c>
      <c r="H74" s="70">
        <f t="shared" si="31"/>
        <v>587745.8142507138</v>
      </c>
      <c r="I74" s="70">
        <f t="shared" si="31"/>
        <v>18020.645037047118</v>
      </c>
      <c r="J74" s="70">
        <f t="shared" si="31"/>
        <v>52179.310847019624</v>
      </c>
      <c r="K74" s="70">
        <f t="shared" si="31"/>
        <v>77016.527857614041</v>
      </c>
      <c r="L74" s="70">
        <f t="shared" si="31"/>
        <v>21959.716309311705</v>
      </c>
      <c r="M74" s="70">
        <f t="shared" si="31"/>
        <v>14711.492791666667</v>
      </c>
      <c r="N74" s="56">
        <f t="shared" si="28"/>
        <v>1720658.5987417405</v>
      </c>
      <c r="O74" s="3"/>
    </row>
    <row r="75" spans="2:16" x14ac:dyDescent="0.2">
      <c r="C75" s="2" t="s">
        <v>42</v>
      </c>
      <c r="D75" s="4"/>
      <c r="E75" s="4"/>
      <c r="F75" s="55">
        <f t="shared" ref="F75:M75" si="32">SUM(F71:F74)</f>
        <v>8591567.6509166639</v>
      </c>
      <c r="G75" s="55">
        <f t="shared" si="32"/>
        <v>5919203.2408116898</v>
      </c>
      <c r="H75" s="55">
        <f t="shared" si="32"/>
        <v>6807507.8128321618</v>
      </c>
      <c r="I75" s="55">
        <f t="shared" si="32"/>
        <v>514586.92039329727</v>
      </c>
      <c r="J75" s="55">
        <f t="shared" si="32"/>
        <v>1361240.4710359746</v>
      </c>
      <c r="K75" s="55">
        <f t="shared" si="32"/>
        <v>559701.64225682372</v>
      </c>
      <c r="L75" s="55">
        <f t="shared" si="32"/>
        <v>106527.58810837695</v>
      </c>
      <c r="M75" s="55">
        <f t="shared" si="32"/>
        <v>242152.1746206411</v>
      </c>
      <c r="N75" s="130">
        <f t="shared" si="28"/>
        <v>24102487.500975624</v>
      </c>
    </row>
    <row r="76" spans="2:16" x14ac:dyDescent="0.2">
      <c r="C76" s="4"/>
      <c r="D76" s="4"/>
      <c r="E76" s="4"/>
      <c r="F76" s="8"/>
      <c r="G76" s="8"/>
      <c r="H76" s="8"/>
      <c r="I76" s="8"/>
      <c r="J76" s="8"/>
      <c r="K76" s="8"/>
      <c r="L76" s="8"/>
      <c r="M76" s="8"/>
      <c r="N76" s="3"/>
      <c r="O76" s="3"/>
    </row>
    <row r="77" spans="2:16" x14ac:dyDescent="0.2">
      <c r="B77" s="1"/>
      <c r="C77" s="18" t="s">
        <v>94</v>
      </c>
      <c r="D77" s="6"/>
      <c r="E77" s="6"/>
      <c r="F77" s="23"/>
      <c r="G77" s="23"/>
      <c r="H77" s="23"/>
      <c r="I77" s="23"/>
      <c r="J77" s="23"/>
      <c r="K77" s="23"/>
      <c r="L77" s="23"/>
      <c r="M77" s="23"/>
      <c r="N77" s="3"/>
    </row>
    <row r="78" spans="2:16" x14ac:dyDescent="0.2">
      <c r="B78" s="1"/>
      <c r="C78" s="30" t="s">
        <v>44</v>
      </c>
      <c r="D78" s="4"/>
      <c r="E78" s="4"/>
      <c r="F78" s="100">
        <v>28859605.276491594</v>
      </c>
      <c r="G78" s="100">
        <v>15116512.7033005</v>
      </c>
      <c r="H78" s="100">
        <v>34648984.412590995</v>
      </c>
      <c r="I78" s="100">
        <v>2125054.4359423015</v>
      </c>
      <c r="J78" s="100">
        <v>4711248.4364475515</v>
      </c>
      <c r="K78" s="100">
        <v>1393107.938032055</v>
      </c>
      <c r="L78" s="100">
        <v>542190.33856882097</v>
      </c>
      <c r="M78" s="100">
        <v>1082721.49093945</v>
      </c>
      <c r="N78" s="64">
        <f t="shared" ref="N78:N81" si="33">SUM(F78:M78)</f>
        <v>88479425.032313287</v>
      </c>
      <c r="P78" s="106"/>
    </row>
    <row r="79" spans="2:16" x14ac:dyDescent="0.2">
      <c r="B79" s="1"/>
      <c r="C79" s="4" t="s">
        <v>7</v>
      </c>
      <c r="D79" s="4"/>
      <c r="E79" s="4"/>
      <c r="F79" s="75"/>
      <c r="G79" s="75">
        <v>19472</v>
      </c>
      <c r="H79" s="75"/>
      <c r="I79" s="75"/>
      <c r="J79" s="75"/>
      <c r="K79" s="75"/>
      <c r="L79" s="75"/>
      <c r="M79" s="75"/>
      <c r="N79" s="130">
        <f t="shared" si="33"/>
        <v>19472</v>
      </c>
      <c r="P79" s="93"/>
    </row>
    <row r="80" spans="2:16" x14ac:dyDescent="0.2">
      <c r="B80" s="1"/>
      <c r="C80" s="6" t="s">
        <v>8</v>
      </c>
      <c r="D80" s="6"/>
      <c r="E80" s="6"/>
      <c r="F80" s="76">
        <v>634728.73865186283</v>
      </c>
      <c r="G80" s="76">
        <v>16425</v>
      </c>
      <c r="H80" s="76">
        <v>2275055.9158364953</v>
      </c>
      <c r="I80" s="76"/>
      <c r="J80" s="76">
        <v>16046.323201411871</v>
      </c>
      <c r="K80" s="76">
        <v>26107.27925237899</v>
      </c>
      <c r="L80" s="76"/>
      <c r="M80" s="76">
        <v>1433.98</v>
      </c>
      <c r="N80" s="56">
        <f t="shared" si="33"/>
        <v>2969797.2369421492</v>
      </c>
      <c r="P80" s="93"/>
    </row>
    <row r="81" spans="2:16" x14ac:dyDescent="0.2">
      <c r="B81" s="1"/>
      <c r="C81" s="2" t="s">
        <v>68</v>
      </c>
      <c r="D81" s="4"/>
      <c r="E81" s="4"/>
      <c r="F81" s="55">
        <f t="shared" ref="F81:M81" si="34">F78-SUM(F79:F80)</f>
        <v>28224876.537839729</v>
      </c>
      <c r="G81" s="55">
        <f t="shared" si="34"/>
        <v>15080615.7033005</v>
      </c>
      <c r="H81" s="55">
        <f t="shared" si="34"/>
        <v>32373928.496754501</v>
      </c>
      <c r="I81" s="55">
        <f t="shared" si="34"/>
        <v>2125054.4359423015</v>
      </c>
      <c r="J81" s="55">
        <f t="shared" si="34"/>
        <v>4695202.1132461391</v>
      </c>
      <c r="K81" s="55">
        <f t="shared" si="34"/>
        <v>1367000.6587796761</v>
      </c>
      <c r="L81" s="55">
        <f t="shared" si="34"/>
        <v>542190.33856882097</v>
      </c>
      <c r="M81" s="55">
        <f t="shared" si="34"/>
        <v>1081287.51093945</v>
      </c>
      <c r="N81" s="130">
        <f t="shared" si="33"/>
        <v>85490155.79537113</v>
      </c>
    </row>
    <row r="82" spans="2:16" x14ac:dyDescent="0.2">
      <c r="B82" s="4"/>
      <c r="C82" s="4"/>
      <c r="D82" s="4"/>
      <c r="E82" s="4"/>
      <c r="F82" s="8"/>
      <c r="G82" s="8"/>
      <c r="H82" s="8"/>
      <c r="I82" s="8"/>
      <c r="J82" s="8"/>
      <c r="K82" s="8"/>
      <c r="L82" s="8"/>
      <c r="M82" s="8"/>
      <c r="N82" s="3"/>
    </row>
    <row r="83" spans="2:16" x14ac:dyDescent="0.2">
      <c r="C83" s="18" t="s">
        <v>43</v>
      </c>
      <c r="D83" s="6"/>
      <c r="E83" s="6"/>
      <c r="F83" s="23"/>
      <c r="G83" s="23"/>
      <c r="H83" s="23"/>
      <c r="I83" s="23"/>
      <c r="J83" s="23"/>
      <c r="K83" s="23"/>
      <c r="L83" s="23"/>
      <c r="M83" s="23"/>
      <c r="N83" s="45"/>
      <c r="O83" s="3"/>
    </row>
    <row r="84" spans="2:16" x14ac:dyDescent="0.2">
      <c r="C84" s="30" t="s">
        <v>42</v>
      </c>
      <c r="D84" s="4"/>
      <c r="E84" s="4"/>
      <c r="F84" s="67">
        <f t="shared" ref="F84:M84" si="35">F75</f>
        <v>8591567.6509166639</v>
      </c>
      <c r="G84" s="67">
        <f t="shared" si="35"/>
        <v>5919203.2408116898</v>
      </c>
      <c r="H84" s="67">
        <f t="shared" si="35"/>
        <v>6807507.8128321618</v>
      </c>
      <c r="I84" s="67">
        <f t="shared" si="35"/>
        <v>514586.92039329727</v>
      </c>
      <c r="J84" s="67">
        <f t="shared" si="35"/>
        <v>1361240.4710359746</v>
      </c>
      <c r="K84" s="67">
        <f t="shared" si="35"/>
        <v>559701.64225682372</v>
      </c>
      <c r="L84" s="67">
        <f t="shared" si="35"/>
        <v>106527.58810837695</v>
      </c>
      <c r="M84" s="67">
        <f t="shared" si="35"/>
        <v>242152.1746206411</v>
      </c>
      <c r="N84" s="65">
        <f>SUM(F84:M84)</f>
        <v>24102487.500975624</v>
      </c>
      <c r="O84" s="3"/>
    </row>
    <row r="85" spans="2:16" x14ac:dyDescent="0.2">
      <c r="C85" s="39" t="s">
        <v>44</v>
      </c>
      <c r="D85" s="6"/>
      <c r="E85" s="6"/>
      <c r="F85" s="72">
        <f>F81</f>
        <v>28224876.537839729</v>
      </c>
      <c r="G85" s="72">
        <f t="shared" ref="G85:M85" si="36">G81</f>
        <v>15080615.7033005</v>
      </c>
      <c r="H85" s="72">
        <f t="shared" si="36"/>
        <v>32373928.496754501</v>
      </c>
      <c r="I85" s="72">
        <f t="shared" si="36"/>
        <v>2125054.4359423015</v>
      </c>
      <c r="J85" s="72">
        <f t="shared" si="36"/>
        <v>4695202.1132461391</v>
      </c>
      <c r="K85" s="72">
        <f t="shared" si="36"/>
        <v>1367000.6587796761</v>
      </c>
      <c r="L85" s="72">
        <f t="shared" si="36"/>
        <v>542190.33856882097</v>
      </c>
      <c r="M85" s="72">
        <f t="shared" si="36"/>
        <v>1081287.51093945</v>
      </c>
      <c r="N85" s="66">
        <f>SUM(F85:M85)</f>
        <v>85490155.79537113</v>
      </c>
      <c r="O85" s="16"/>
    </row>
    <row r="86" spans="2:16" x14ac:dyDescent="0.2">
      <c r="C86" s="38" t="s">
        <v>45</v>
      </c>
      <c r="D86" s="4"/>
      <c r="E86" s="4"/>
      <c r="F86" s="55">
        <f>F84+F85</f>
        <v>36816444.188756391</v>
      </c>
      <c r="G86" s="55">
        <f t="shared" ref="G86:M86" si="37">G84+G85</f>
        <v>20999818.944112189</v>
      </c>
      <c r="H86" s="55">
        <f t="shared" si="37"/>
        <v>39181436.309586659</v>
      </c>
      <c r="I86" s="55">
        <f t="shared" si="37"/>
        <v>2639641.356335599</v>
      </c>
      <c r="J86" s="55">
        <f t="shared" si="37"/>
        <v>6056442.5842821132</v>
      </c>
      <c r="K86" s="55">
        <f t="shared" si="37"/>
        <v>1926702.3010364999</v>
      </c>
      <c r="L86" s="55">
        <f t="shared" si="37"/>
        <v>648717.92667719792</v>
      </c>
      <c r="M86" s="55">
        <f t="shared" si="37"/>
        <v>1323439.6855600912</v>
      </c>
      <c r="N86" s="65">
        <f>SUM(F86:M86)</f>
        <v>109592643.29634674</v>
      </c>
      <c r="O86" s="3"/>
    </row>
    <row r="87" spans="2:16" x14ac:dyDescent="0.2">
      <c r="C87" s="4"/>
      <c r="D87" s="4"/>
      <c r="E87" s="4"/>
      <c r="F87" s="8"/>
      <c r="G87" s="8"/>
      <c r="H87" s="8"/>
      <c r="I87" s="8"/>
      <c r="J87" s="8"/>
      <c r="K87" s="8"/>
      <c r="L87" s="8"/>
      <c r="M87" s="8"/>
      <c r="N87" s="3"/>
      <c r="O87" s="3"/>
    </row>
    <row r="88" spans="2:16" x14ac:dyDescent="0.2">
      <c r="C88" s="43" t="s">
        <v>126</v>
      </c>
      <c r="D88" s="4"/>
      <c r="E88" s="4"/>
      <c r="F88" s="8"/>
      <c r="G88" s="8"/>
      <c r="H88" s="8"/>
      <c r="I88" s="8"/>
      <c r="J88" s="8"/>
      <c r="K88" s="8"/>
      <c r="L88" s="8"/>
      <c r="M88" s="8"/>
      <c r="N88" s="8"/>
      <c r="O88" s="8"/>
    </row>
    <row r="89" spans="2:16" x14ac:dyDescent="0.2">
      <c r="C89" s="4"/>
      <c r="D89" s="4"/>
      <c r="E89" s="4"/>
      <c r="F89" s="8"/>
      <c r="G89" s="8"/>
      <c r="H89" s="8"/>
      <c r="I89" s="8"/>
      <c r="J89" s="8"/>
      <c r="K89" s="8"/>
      <c r="L89" s="8"/>
      <c r="M89" s="8"/>
      <c r="N89" s="8"/>
      <c r="O89" s="8"/>
    </row>
    <row r="90" spans="2:16" s="4" customFormat="1" x14ac:dyDescent="0.2">
      <c r="B90" s="25"/>
      <c r="C90" s="28" t="s">
        <v>125</v>
      </c>
      <c r="D90" s="6"/>
      <c r="E90" s="6"/>
      <c r="F90" s="44"/>
      <c r="G90" s="23"/>
      <c r="H90" s="23"/>
      <c r="I90" s="23"/>
      <c r="J90" s="23"/>
      <c r="K90" s="23"/>
      <c r="L90" s="23"/>
      <c r="M90" s="23"/>
      <c r="N90" s="45"/>
      <c r="O90" s="8"/>
    </row>
    <row r="91" spans="2:16" s="4" customFormat="1" x14ac:dyDescent="0.2">
      <c r="B91" s="25"/>
      <c r="C91" s="30" t="s">
        <v>59</v>
      </c>
      <c r="F91" s="92">
        <v>19.29</v>
      </c>
      <c r="G91" s="92">
        <v>19.29</v>
      </c>
      <c r="H91" s="92">
        <v>17.09</v>
      </c>
      <c r="I91" s="92">
        <v>19.29</v>
      </c>
      <c r="J91" s="92">
        <v>19.29</v>
      </c>
      <c r="K91" s="92">
        <v>19.29</v>
      </c>
      <c r="L91" s="92">
        <v>19.29</v>
      </c>
      <c r="M91" s="92">
        <v>19.29</v>
      </c>
      <c r="N91" s="46"/>
      <c r="O91" s="8"/>
      <c r="P91" s="93"/>
    </row>
    <row r="92" spans="2:16" s="4" customFormat="1" x14ac:dyDescent="0.2">
      <c r="B92" s="25"/>
      <c r="C92" s="30" t="s">
        <v>60</v>
      </c>
      <c r="F92" s="92">
        <v>49.199999999999996</v>
      </c>
      <c r="G92" s="92">
        <v>49.2</v>
      </c>
      <c r="H92" s="92">
        <v>49.2</v>
      </c>
      <c r="I92" s="92">
        <v>49.2</v>
      </c>
      <c r="J92" s="92">
        <v>49.2</v>
      </c>
      <c r="K92" s="92">
        <v>49.2</v>
      </c>
      <c r="L92" s="92">
        <v>49.2</v>
      </c>
      <c r="M92" s="92">
        <v>49.2</v>
      </c>
      <c r="N92" s="46"/>
      <c r="O92" s="8"/>
      <c r="P92" s="93"/>
    </row>
    <row r="93" spans="2:16" s="4" customFormat="1" x14ac:dyDescent="0.2">
      <c r="B93" s="25"/>
      <c r="C93" s="94" t="s">
        <v>61</v>
      </c>
      <c r="D93" s="5"/>
      <c r="E93" s="5"/>
      <c r="F93" s="95">
        <v>169.17959999999999</v>
      </c>
      <c r="G93" s="95">
        <v>169.17</v>
      </c>
      <c r="H93" s="95">
        <v>169.18</v>
      </c>
      <c r="I93" s="95">
        <v>169.18</v>
      </c>
      <c r="J93" s="95">
        <v>169.18</v>
      </c>
      <c r="K93" s="95">
        <v>169.18</v>
      </c>
      <c r="L93" s="95">
        <v>169.18</v>
      </c>
      <c r="M93" s="95">
        <v>169.18</v>
      </c>
      <c r="N93" s="96"/>
      <c r="O93" s="8"/>
      <c r="P93" s="93"/>
    </row>
    <row r="94" spans="2:16" s="4" customFormat="1" x14ac:dyDescent="0.2">
      <c r="B94" s="25"/>
      <c r="C94" s="30" t="s">
        <v>62</v>
      </c>
      <c r="F94" s="75">
        <v>2190149.6615266623</v>
      </c>
      <c r="G94" s="75">
        <v>1844133.833333334</v>
      </c>
      <c r="H94" s="75">
        <v>1986446.0260130134</v>
      </c>
      <c r="I94" s="75">
        <v>134274.15384615384</v>
      </c>
      <c r="J94" s="75">
        <v>382483</v>
      </c>
      <c r="K94" s="75">
        <v>182881.33333333334</v>
      </c>
      <c r="L94" s="75">
        <v>49509.70284105523</v>
      </c>
      <c r="M94" s="75">
        <v>99547</v>
      </c>
      <c r="N94" s="98">
        <f t="shared" ref="N94:N100" si="38">SUM(F94:M94)</f>
        <v>6869424.7108935528</v>
      </c>
      <c r="O94" s="8"/>
      <c r="P94" s="93"/>
    </row>
    <row r="95" spans="2:16" s="4" customFormat="1" x14ac:dyDescent="0.2">
      <c r="B95" s="25"/>
      <c r="C95" s="30" t="s">
        <v>63</v>
      </c>
      <c r="F95" s="75">
        <v>32488.78222797639</v>
      </c>
      <c r="G95" s="75">
        <v>23891.75</v>
      </c>
      <c r="H95" s="75">
        <v>32418.3969713632</v>
      </c>
      <c r="I95" s="75">
        <v>2268.3846153846157</v>
      </c>
      <c r="J95" s="75">
        <v>8104</v>
      </c>
      <c r="K95" s="75">
        <v>2756.416666666667</v>
      </c>
      <c r="L95" s="75">
        <v>835.92681916896277</v>
      </c>
      <c r="M95" s="75">
        <v>1747</v>
      </c>
      <c r="N95" s="98">
        <f t="shared" si="38"/>
        <v>104510.65730055983</v>
      </c>
      <c r="O95" s="8"/>
      <c r="P95" s="93"/>
    </row>
    <row r="96" spans="2:16" s="4" customFormat="1" x14ac:dyDescent="0.2">
      <c r="B96" s="25"/>
      <c r="C96" s="94" t="s">
        <v>64</v>
      </c>
      <c r="D96" s="5"/>
      <c r="E96" s="5"/>
      <c r="F96" s="97">
        <v>8367.7320942578117</v>
      </c>
      <c r="G96" s="97">
        <v>6768.833333333333</v>
      </c>
      <c r="H96" s="97">
        <v>8475.7669755188181</v>
      </c>
      <c r="I96" s="97">
        <v>714.46153846153845</v>
      </c>
      <c r="J96" s="97">
        <v>1933</v>
      </c>
      <c r="K96" s="97">
        <v>675.58333333333337</v>
      </c>
      <c r="L96" s="97">
        <v>289.64757046081786</v>
      </c>
      <c r="M96" s="97">
        <v>403</v>
      </c>
      <c r="N96" s="99">
        <f t="shared" si="38"/>
        <v>27628.02484536565</v>
      </c>
      <c r="O96" s="8"/>
      <c r="P96" s="93"/>
    </row>
    <row r="97" spans="2:16" s="4" customFormat="1" x14ac:dyDescent="0.2">
      <c r="B97" s="25"/>
      <c r="C97" s="30" t="s">
        <v>10</v>
      </c>
      <c r="F97" s="55">
        <f>SUM(F94:F96)</f>
        <v>2231006.1758488961</v>
      </c>
      <c r="G97" s="55">
        <f t="shared" ref="G97:M97" si="39">SUM(G94:G96)</f>
        <v>1874794.4166666672</v>
      </c>
      <c r="H97" s="55">
        <f t="shared" si="39"/>
        <v>2027340.1899598953</v>
      </c>
      <c r="I97" s="55">
        <f t="shared" si="39"/>
        <v>137257</v>
      </c>
      <c r="J97" s="55">
        <f t="shared" si="39"/>
        <v>392520</v>
      </c>
      <c r="K97" s="55">
        <f t="shared" si="39"/>
        <v>186313.33333333334</v>
      </c>
      <c r="L97" s="55">
        <f t="shared" si="39"/>
        <v>50635.277230685009</v>
      </c>
      <c r="M97" s="55">
        <f t="shared" si="39"/>
        <v>101697</v>
      </c>
      <c r="N97" s="98">
        <f t="shared" si="38"/>
        <v>7001563.3930394761</v>
      </c>
      <c r="O97" s="8"/>
    </row>
    <row r="98" spans="2:16" s="4" customFormat="1" x14ac:dyDescent="0.2">
      <c r="B98" s="25"/>
      <c r="C98" s="30" t="s">
        <v>127</v>
      </c>
      <c r="F98" s="55">
        <f t="shared" ref="F98:M98" si="40">SUMPRODUCT(F91:F93,F94:F96)</f>
        <v>45262084.625079453</v>
      </c>
      <c r="G98" s="55">
        <f t="shared" si="40"/>
        <v>37893899.280000009</v>
      </c>
      <c r="H98" s="55">
        <f t="shared" si="40"/>
        <v>36977277.972471744</v>
      </c>
      <c r="I98" s="55">
        <f t="shared" si="40"/>
        <v>2822625.5538461539</v>
      </c>
      <c r="J98" s="55">
        <f t="shared" si="40"/>
        <v>8103838.8099999996</v>
      </c>
      <c r="K98" s="55">
        <f t="shared" si="40"/>
        <v>3777691.8083333336</v>
      </c>
      <c r="L98" s="55">
        <f t="shared" si="40"/>
        <v>1045172.3432776295</v>
      </c>
      <c r="M98" s="55">
        <f t="shared" si="40"/>
        <v>2074393.5699999998</v>
      </c>
      <c r="N98" s="65">
        <f t="shared" si="38"/>
        <v>137956983.96300831</v>
      </c>
      <c r="O98" s="8"/>
    </row>
    <row r="99" spans="2:16" s="4" customFormat="1" x14ac:dyDescent="0.2">
      <c r="B99" s="25"/>
      <c r="C99" s="6" t="s">
        <v>120</v>
      </c>
      <c r="D99" s="6"/>
      <c r="E99" s="6"/>
      <c r="F99" s="76">
        <v>-348064.83999999834</v>
      </c>
      <c r="G99" s="76">
        <v>6771</v>
      </c>
      <c r="H99" s="76"/>
      <c r="I99" s="76">
        <v>-8487.380000000001</v>
      </c>
      <c r="J99" s="76">
        <v>9462.610000016959</v>
      </c>
      <c r="K99" s="76">
        <v>-464.30118132524615</v>
      </c>
      <c r="L99" s="76"/>
      <c r="M99" s="76">
        <v>-6972.48</v>
      </c>
      <c r="N99" s="66">
        <f t="shared" si="38"/>
        <v>-347755.39118130656</v>
      </c>
      <c r="O99" s="8"/>
      <c r="P99" s="93"/>
    </row>
    <row r="100" spans="2:16" s="4" customFormat="1" x14ac:dyDescent="0.2">
      <c r="B100" s="25"/>
      <c r="C100" s="2" t="s">
        <v>124</v>
      </c>
      <c r="F100" s="55">
        <f t="shared" ref="F100:M100" si="41">F98+F99</f>
        <v>44914019.785079457</v>
      </c>
      <c r="G100" s="55">
        <f t="shared" si="41"/>
        <v>37900670.280000009</v>
      </c>
      <c r="H100" s="55">
        <f t="shared" si="41"/>
        <v>36977277.972471744</v>
      </c>
      <c r="I100" s="55">
        <f t="shared" si="41"/>
        <v>2814138.173846154</v>
      </c>
      <c r="J100" s="55">
        <f t="shared" si="41"/>
        <v>8113301.4200000167</v>
      </c>
      <c r="K100" s="55">
        <f t="shared" si="41"/>
        <v>3777227.5071520084</v>
      </c>
      <c r="L100" s="55">
        <f t="shared" si="41"/>
        <v>1045172.3432776295</v>
      </c>
      <c r="M100" s="55">
        <f t="shared" si="41"/>
        <v>2067421.0899999999</v>
      </c>
      <c r="N100" s="65">
        <f t="shared" si="38"/>
        <v>137609228.57182702</v>
      </c>
      <c r="O100" s="8"/>
      <c r="P100" s="1"/>
    </row>
    <row r="101" spans="2:16" s="4" customFormat="1" x14ac:dyDescent="0.2">
      <c r="B101" s="25"/>
      <c r="F101" s="8"/>
      <c r="G101" s="8"/>
      <c r="H101" s="8"/>
      <c r="I101" s="8"/>
      <c r="J101" s="8"/>
      <c r="K101" s="8"/>
      <c r="L101" s="8"/>
      <c r="M101" s="8"/>
      <c r="N101" s="8"/>
      <c r="O101" s="8"/>
    </row>
    <row r="102" spans="2:16" s="4" customFormat="1" x14ac:dyDescent="0.2">
      <c r="B102" s="25"/>
      <c r="C102" s="40" t="s">
        <v>79</v>
      </c>
      <c r="D102" s="2"/>
      <c r="F102" s="14"/>
      <c r="G102" s="8"/>
      <c r="H102" s="8"/>
      <c r="I102" s="8"/>
      <c r="J102" s="8"/>
      <c r="K102" s="8"/>
      <c r="L102" s="8"/>
      <c r="M102" s="8"/>
      <c r="N102" s="8"/>
      <c r="O102" s="8"/>
    </row>
    <row r="103" spans="2:16" s="4" customFormat="1" x14ac:dyDescent="0.2">
      <c r="B103" s="25"/>
      <c r="C103" s="26"/>
      <c r="D103" s="18"/>
      <c r="E103" s="6"/>
      <c r="F103" s="44"/>
      <c r="G103" s="23"/>
      <c r="H103" s="23"/>
      <c r="I103" s="23"/>
      <c r="J103" s="23"/>
      <c r="K103" s="23"/>
      <c r="L103" s="23"/>
      <c r="M103" s="23"/>
      <c r="N103" s="23"/>
      <c r="O103" s="8"/>
    </row>
    <row r="104" spans="2:16" s="4" customFormat="1" x14ac:dyDescent="0.2">
      <c r="B104" s="25"/>
      <c r="C104" s="24" t="s">
        <v>125</v>
      </c>
      <c r="D104" s="2"/>
      <c r="F104" s="71">
        <f>F100</f>
        <v>44914019.785079457</v>
      </c>
      <c r="G104" s="71">
        <f t="shared" ref="G104:M104" si="42">G100</f>
        <v>37900670.280000009</v>
      </c>
      <c r="H104" s="71">
        <f t="shared" si="42"/>
        <v>36977277.972471744</v>
      </c>
      <c r="I104" s="71">
        <f t="shared" si="42"/>
        <v>2814138.173846154</v>
      </c>
      <c r="J104" s="71">
        <f t="shared" si="42"/>
        <v>8113301.4200000167</v>
      </c>
      <c r="K104" s="71">
        <f t="shared" si="42"/>
        <v>3777227.5071520084</v>
      </c>
      <c r="L104" s="71">
        <f t="shared" si="42"/>
        <v>1045172.3432776295</v>
      </c>
      <c r="M104" s="71">
        <f t="shared" si="42"/>
        <v>2067421.0899999999</v>
      </c>
      <c r="N104" s="65">
        <f>SUM(F104:M104)</f>
        <v>137609228.57182702</v>
      </c>
      <c r="O104" s="8"/>
    </row>
    <row r="105" spans="2:16" s="4" customFormat="1" x14ac:dyDescent="0.2">
      <c r="B105" s="25"/>
      <c r="C105" s="39" t="s">
        <v>45</v>
      </c>
      <c r="D105" s="6"/>
      <c r="E105" s="6"/>
      <c r="F105" s="72">
        <f t="shared" ref="F105:M105" si="43">F86</f>
        <v>36816444.188756391</v>
      </c>
      <c r="G105" s="72">
        <f t="shared" si="43"/>
        <v>20999818.944112189</v>
      </c>
      <c r="H105" s="72">
        <f t="shared" si="43"/>
        <v>39181436.309586659</v>
      </c>
      <c r="I105" s="72">
        <f t="shared" si="43"/>
        <v>2639641.356335599</v>
      </c>
      <c r="J105" s="72">
        <f t="shared" si="43"/>
        <v>6056442.5842821132</v>
      </c>
      <c r="K105" s="72">
        <f t="shared" si="43"/>
        <v>1926702.3010364999</v>
      </c>
      <c r="L105" s="72">
        <f t="shared" si="43"/>
        <v>648717.92667719792</v>
      </c>
      <c r="M105" s="72">
        <f t="shared" si="43"/>
        <v>1323439.6855600912</v>
      </c>
      <c r="N105" s="66">
        <f>SUM(F105:M105)</f>
        <v>109592643.29634674</v>
      </c>
      <c r="O105" s="8"/>
    </row>
    <row r="106" spans="2:16" s="4" customFormat="1" x14ac:dyDescent="0.2">
      <c r="B106" s="25"/>
      <c r="C106" s="30" t="s">
        <v>46</v>
      </c>
      <c r="F106" s="113">
        <f>F104-F105</f>
        <v>8097575.5963230655</v>
      </c>
      <c r="G106" s="113">
        <f t="shared" ref="G106:M106" si="44">G104-G105</f>
        <v>16900851.33588782</v>
      </c>
      <c r="H106" s="113">
        <f t="shared" si="44"/>
        <v>-2204158.3371149153</v>
      </c>
      <c r="I106" s="113">
        <f t="shared" si="44"/>
        <v>174496.81751055503</v>
      </c>
      <c r="J106" s="113">
        <f t="shared" si="44"/>
        <v>2056858.8357179035</v>
      </c>
      <c r="K106" s="113">
        <f t="shared" si="44"/>
        <v>1850525.2061155085</v>
      </c>
      <c r="L106" s="113">
        <f t="shared" si="44"/>
        <v>396454.41660043155</v>
      </c>
      <c r="M106" s="113">
        <f t="shared" si="44"/>
        <v>743981.40443990869</v>
      </c>
      <c r="N106" s="55">
        <f>SUM(F106:M106)</f>
        <v>28016585.275480278</v>
      </c>
      <c r="O106" s="8"/>
    </row>
    <row r="107" spans="2:16" s="4" customFormat="1" x14ac:dyDescent="0.2">
      <c r="B107" s="25"/>
      <c r="C107" s="30"/>
      <c r="F107" s="15"/>
      <c r="G107" s="9"/>
      <c r="H107" s="9"/>
      <c r="I107" s="9"/>
      <c r="J107" s="9"/>
      <c r="K107" s="9"/>
      <c r="L107" s="9"/>
      <c r="M107" s="9"/>
      <c r="N107" s="9"/>
      <c r="P107" s="10"/>
    </row>
    <row r="108" spans="2:16" x14ac:dyDescent="0.2">
      <c r="C108" s="41"/>
      <c r="D108" s="4"/>
      <c r="E108" s="4"/>
      <c r="F108" s="4"/>
      <c r="G108" s="4"/>
      <c r="H108" s="4"/>
      <c r="I108" s="4"/>
      <c r="J108" s="4"/>
      <c r="K108" s="4"/>
      <c r="L108" s="4"/>
      <c r="M108" s="4"/>
      <c r="N108" s="4"/>
      <c r="O108" s="4"/>
    </row>
    <row r="109" spans="2:16" x14ac:dyDescent="0.2">
      <c r="C109" s="4"/>
      <c r="D109" s="4"/>
      <c r="E109" s="4"/>
      <c r="F109" s="4"/>
      <c r="G109" s="4"/>
      <c r="H109" s="4"/>
      <c r="I109" s="4"/>
      <c r="J109" s="4"/>
      <c r="K109" s="4"/>
      <c r="L109" s="4"/>
      <c r="M109" s="4"/>
      <c r="N109" s="4"/>
      <c r="O109" s="4"/>
    </row>
  </sheetData>
  <pageMargins left="0.75" right="0.75" top="1" bottom="1" header="0.5" footer="0.5"/>
  <pageSetup paperSize="9" scale="67" fitToHeight="0" orientation="landscape" r:id="rId1"/>
  <headerFooter alignWithMargins="0"/>
  <rowBreaks count="1" manualBreakCount="1">
    <brk id="49"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Toelichting</vt:lpstr>
      <vt:lpstr>Marges Elektriciteit 2011</vt:lpstr>
      <vt:lpstr>Marges Elektriciteit 2012</vt:lpstr>
      <vt:lpstr>Marges Gas 2012</vt:lpstr>
      <vt:lpstr>'Marges Elektriciteit 2011'!Afdrukbereik</vt:lpstr>
      <vt:lpstr>'Marges Elektriciteit 2012'!Afdrukbereik</vt:lpstr>
      <vt:lpstr>'Marges Gas 2012'!Afdrukbereik</vt:lpstr>
    </vt:vector>
  </TitlesOfParts>
  <Company>Nederlandse Mededingingsautoriteit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Muires, Mike</cp:lastModifiedBy>
  <cp:lastPrinted>2014-04-10T07:54:42Z</cp:lastPrinted>
  <dcterms:created xsi:type="dcterms:W3CDTF">2012-08-02T11:59:36Z</dcterms:created>
  <dcterms:modified xsi:type="dcterms:W3CDTF">2014-04-10T07:54:51Z</dcterms:modified>
</cp:coreProperties>
</file>